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202300"/>
  <mc:AlternateContent xmlns:mc="http://schemas.openxmlformats.org/markup-compatibility/2006">
    <mc:Choice Requires="x15">
      <x15ac:absPath xmlns:x15ac="http://schemas.microsoft.com/office/spreadsheetml/2010/11/ac" url="https://solutionswill-my.sharepoint.com/personal/claudia_solutionswill_com/Documents/Documents/Work/SolutionsWill/Monitoring Report/9e cohorte (2025)/Findings R2/"/>
    </mc:Choice>
  </mc:AlternateContent>
  <xr:revisionPtr revIDLastSave="812" documentId="13_ncr:1_{82B084E5-2365-47D0-9B8B-20ADBD38E5AF}" xr6:coauthVersionLast="47" xr6:coauthVersionMax="47" xr10:uidLastSave="{76DA6846-4FC6-4549-A84C-6D8E3CA44462}"/>
  <bookViews>
    <workbookView xWindow="-108" yWindow="-108" windowWidth="23256" windowHeight="13176" tabRatio="1000" activeTab="5" xr2:uid="{98680440-B773-419F-A11E-989CD92CED8A}"/>
  </bookViews>
  <sheets>
    <sheet name="Annex B - Summary" sheetId="2" r:id="rId1"/>
    <sheet name="Sample for Verification" sheetId="3" r:id="rId2"/>
    <sheet name="ER 2024 consolidated" sheetId="5" r:id="rId3"/>
    <sheet name="ER 2024 scope 3 &amp; 13" sheetId="6" r:id="rId4"/>
    <sheet name="Non participation 2024" sheetId="8" r:id="rId5"/>
    <sheet name="SDGs Evidence" sheetId="10" r:id="rId6"/>
    <sheet name="CF-0101|2024" sheetId="266" r:id="rId7"/>
    <sheet name="CF-0101|GDS" sheetId="267" r:id="rId8"/>
    <sheet name="CF-0102|2024" sheetId="270" r:id="rId9"/>
    <sheet name="CF-0102|GDS" sheetId="271" r:id="rId10"/>
    <sheet name="CF-0103|2024" sheetId="272" r:id="rId11"/>
    <sheet name="CF-0103|GDS" sheetId="273" r:id="rId12"/>
    <sheet name="CF-0105|2024" sheetId="274" r:id="rId13"/>
    <sheet name="CF-0105|GDS" sheetId="275" r:id="rId14"/>
    <sheet name="CF-0108|2024" sheetId="276" r:id="rId15"/>
    <sheet name="CF-0108|GDS" sheetId="277" r:id="rId16"/>
    <sheet name="CF-0112|2024" sheetId="278" r:id="rId17"/>
    <sheet name="CF-0112|GDS" sheetId="279" r:id="rId18"/>
    <sheet name="CF-0114|2024" sheetId="280" r:id="rId19"/>
    <sheet name="CF-0114|GDS" sheetId="281" r:id="rId20"/>
    <sheet name="CF-0115|2024" sheetId="282" r:id="rId21"/>
    <sheet name="CF-0115|GDS" sheetId="283" r:id="rId22"/>
    <sheet name="CF-0118|2024" sheetId="284" r:id="rId23"/>
    <sheet name="CF-0118|GDS" sheetId="285" r:id="rId24"/>
    <sheet name="CF-0119|2024" sheetId="286" r:id="rId25"/>
    <sheet name="CF-0119|GDS" sheetId="287" r:id="rId26"/>
    <sheet name="CF-0120|2024" sheetId="288" r:id="rId27"/>
    <sheet name="CF-0120|GDS" sheetId="289" r:id="rId28"/>
    <sheet name="CF-0121|2024" sheetId="290" r:id="rId29"/>
    <sheet name="CF-0121|GDS" sheetId="291" r:id="rId30"/>
    <sheet name="CF-0204|2024" sheetId="352" r:id="rId31"/>
    <sheet name="CF-0204|GDS" sheetId="353" r:id="rId32"/>
    <sheet name="CF-0206|2024" sheetId="292" r:id="rId33"/>
    <sheet name="CF-0206|GDS" sheetId="293" r:id="rId34"/>
    <sheet name="CF-0207|2024" sheetId="294" r:id="rId35"/>
    <sheet name="CF-0207|GDS" sheetId="295" r:id="rId36"/>
    <sheet name="CF-0211|2024" sheetId="302" r:id="rId37"/>
    <sheet name="CF-0211|GDS" sheetId="303" r:id="rId38"/>
    <sheet name="CF-0213|2024" sheetId="296" r:id="rId39"/>
    <sheet name="CF-0213|GDS" sheetId="297" r:id="rId40"/>
    <sheet name="CF-0216|2024" sheetId="298" r:id="rId41"/>
    <sheet name="CF-0216|GDS" sheetId="299" r:id="rId42"/>
    <sheet name="CF-0402|2024" sheetId="300" r:id="rId43"/>
    <sheet name="CF-0402|GDS" sheetId="301" r:id="rId44"/>
    <sheet name="CF-0405|2024" sheetId="326" r:id="rId45"/>
    <sheet name="CF-0405|GDS" sheetId="327" r:id="rId46"/>
    <sheet name="CF-0408|2024" sheetId="328" r:id="rId47"/>
    <sheet name="CF-0408|GDS" sheetId="329" r:id="rId48"/>
    <sheet name="CF-0603|2024" sheetId="372" r:id="rId49"/>
    <sheet name="CF-0603|GDS" sheetId="373" r:id="rId50"/>
    <sheet name="CF-0701|2024" sheetId="304" r:id="rId51"/>
    <sheet name="CF-0701|GDS" sheetId="305" r:id="rId52"/>
    <sheet name="CF-0702|2024" sheetId="354" r:id="rId53"/>
    <sheet name="CF-0702|GDS" sheetId="355" r:id="rId54"/>
    <sheet name="CF-0706|2024" sheetId="306" r:id="rId55"/>
    <sheet name="CF-0706|GDS" sheetId="307" r:id="rId56"/>
    <sheet name="CF-0707|2024" sheetId="308" r:id="rId57"/>
    <sheet name="CF-0707|GDS" sheetId="309" r:id="rId58"/>
    <sheet name="CF-0708|2024" sheetId="368" r:id="rId59"/>
    <sheet name="CF-0708|GDS" sheetId="369" r:id="rId60"/>
    <sheet name="CF-0710|2024" sheetId="366" r:id="rId61"/>
    <sheet name="CF-0710|GDS" sheetId="367" r:id="rId62"/>
    <sheet name="CF-0801|2024" sheetId="312" r:id="rId63"/>
    <sheet name="CF-0801|GDS" sheetId="313" r:id="rId64"/>
    <sheet name="CF-0807|2024" sheetId="360" r:id="rId65"/>
    <sheet name="CF-0807|GDS" sheetId="361" r:id="rId66"/>
    <sheet name="CF-0810|2024" sheetId="314" r:id="rId67"/>
    <sheet name="CF-0810|GDS" sheetId="315" r:id="rId68"/>
    <sheet name="CF-0901|2024" sheetId="310" r:id="rId69"/>
    <sheet name="CF-0901|GDS " sheetId="311" r:id="rId70"/>
    <sheet name="CF-0902|2024" sheetId="330" r:id="rId71"/>
    <sheet name="CF-0902|GDS" sheetId="331" r:id="rId72"/>
    <sheet name="CF-1002|2024" sheetId="362" r:id="rId73"/>
    <sheet name="CF-1002|GDS" sheetId="363" r:id="rId74"/>
    <sheet name="CF-1201|2024" sheetId="316" r:id="rId75"/>
    <sheet name="CF-1201|GDS" sheetId="317" r:id="rId76"/>
    <sheet name="CF-1202|2024" sheetId="318" r:id="rId77"/>
    <sheet name="CF-1202|GDS" sheetId="319" r:id="rId78"/>
    <sheet name="CF-1203|2024" sheetId="320" r:id="rId79"/>
    <sheet name="CF-1203|GDS" sheetId="321" r:id="rId80"/>
    <sheet name="CF-1204|2024" sheetId="322" r:id="rId81"/>
    <sheet name="CF-1204|GDS" sheetId="323" r:id="rId82"/>
    <sheet name="CF-1205|2024" sheetId="324" r:id="rId83"/>
    <sheet name="CF-1205|GDS" sheetId="325" r:id="rId84"/>
    <sheet name="CF-1207|2024" sheetId="364" r:id="rId85"/>
    <sheet name="CF-1207|GDS" sheetId="365" r:id="rId86"/>
    <sheet name="CF-1301|2024" sheetId="376" r:id="rId87"/>
    <sheet name="CF-1301|GDS" sheetId="377" r:id="rId88"/>
    <sheet name="CF-1501|2024" sheetId="332" r:id="rId89"/>
    <sheet name="CF-1501|GDS" sheetId="333" r:id="rId90"/>
    <sheet name="CF-1504|2024" sheetId="334" r:id="rId91"/>
    <sheet name="CF-1504|GDS" sheetId="335" r:id="rId92"/>
    <sheet name="CF-1505|2024" sheetId="336" r:id="rId93"/>
    <sheet name="CF-1505|GDS" sheetId="337" r:id="rId94"/>
    <sheet name="CF-1506|2024" sheetId="338" r:id="rId95"/>
    <sheet name="CF-1506|GDS" sheetId="339" r:id="rId96"/>
    <sheet name="CF-1507|2024" sheetId="340" r:id="rId97"/>
    <sheet name="CF-1507|GDS" sheetId="341" r:id="rId98"/>
    <sheet name="CF-1508|2024" sheetId="342" r:id="rId99"/>
    <sheet name="CF-1508|GDS" sheetId="343" r:id="rId100"/>
    <sheet name="CF-1510|2024" sheetId="344" r:id="rId101"/>
    <sheet name="CF-1510|GDS" sheetId="345" r:id="rId102"/>
    <sheet name="CF-1511|2024" sheetId="346" r:id="rId103"/>
    <sheet name="CF-1511|GDS" sheetId="347" r:id="rId104"/>
    <sheet name="CF-1601|2024" sheetId="348" r:id="rId105"/>
    <sheet name="CF-1601|GDS" sheetId="349" r:id="rId106"/>
    <sheet name="CF-1602|2024" sheetId="350" r:id="rId107"/>
    <sheet name="CF-1602|GDS" sheetId="351" r:id="rId108"/>
    <sheet name="CF-1603|2024" sheetId="370" r:id="rId109"/>
    <sheet name="CF-1603|GDS" sheetId="371" r:id="rId110"/>
    <sheet name="CF-1604|2024" sheetId="358" r:id="rId111"/>
    <sheet name="CF-1604|GDS" sheetId="359" r:id="rId112"/>
    <sheet name="CF-1605|2024" sheetId="356" r:id="rId113"/>
    <sheet name="CF-1605|GDS" sheetId="357" r:id="rId114"/>
  </sheets>
  <definedNames>
    <definedName name="_xlnm._FilterDatabase" localSheetId="72" hidden="1">'CF-1002|2024'!$B$6:$C$38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306" l="1"/>
  <c r="I11" i="345"/>
  <c r="H14" i="339"/>
  <c r="H13" i="339"/>
  <c r="I24" i="337"/>
  <c r="I23" i="337"/>
  <c r="I15" i="337"/>
  <c r="I16" i="337"/>
  <c r="I16" i="367"/>
  <c r="I14" i="367"/>
  <c r="I11" i="373"/>
  <c r="K34" i="338" l="1"/>
  <c r="J34" i="338"/>
  <c r="E34" i="342"/>
  <c r="D136" i="6"/>
  <c r="D133" i="6"/>
  <c r="D130" i="6"/>
  <c r="AI120" i="6" l="1"/>
  <c r="AI114" i="6"/>
  <c r="AI94" i="6"/>
  <c r="AI82" i="6"/>
  <c r="AI70" i="6"/>
  <c r="AI59" i="6"/>
  <c r="N13" i="377"/>
  <c r="N12" i="377"/>
  <c r="I32" i="376"/>
  <c r="H32" i="376"/>
  <c r="G32" i="376"/>
  <c r="F32" i="376"/>
  <c r="E32" i="376"/>
  <c r="D32" i="376"/>
  <c r="C32" i="376"/>
  <c r="U29" i="376"/>
  <c r="V27" i="376"/>
  <c r="V12" i="376" s="1"/>
  <c r="U27" i="376"/>
  <c r="T27" i="376"/>
  <c r="T12" i="376" s="1"/>
  <c r="S27" i="376"/>
  <c r="S29" i="376" s="1"/>
  <c r="I27" i="376"/>
  <c r="H27" i="376"/>
  <c r="G27" i="376"/>
  <c r="F27" i="376"/>
  <c r="E27" i="376"/>
  <c r="D27" i="376"/>
  <c r="C27" i="376"/>
  <c r="G22" i="376"/>
  <c r="F22" i="376"/>
  <c r="C22" i="376"/>
  <c r="V19" i="376"/>
  <c r="U11" i="376"/>
  <c r="T19" i="376"/>
  <c r="S19" i="376"/>
  <c r="G17" i="376"/>
  <c r="F17" i="376"/>
  <c r="C17" i="376"/>
  <c r="S11" i="376"/>
  <c r="C10" i="376"/>
  <c r="C26" i="8"/>
  <c r="C19" i="376" l="1"/>
  <c r="C33" i="376"/>
  <c r="D33" i="376" s="1"/>
  <c r="E33" i="376" s="1"/>
  <c r="C11" i="376"/>
  <c r="U19" i="376"/>
  <c r="U12" i="376"/>
  <c r="U14" i="376" s="1"/>
  <c r="D24" i="376"/>
  <c r="T11" i="376"/>
  <c r="T14" i="376" s="1"/>
  <c r="C34" i="376"/>
  <c r="F33" i="376"/>
  <c r="G33" i="376" s="1"/>
  <c r="H33" i="376" s="1"/>
  <c r="F29" i="376"/>
  <c r="D19" i="376"/>
  <c r="D11" i="376"/>
  <c r="E24" i="376"/>
  <c r="C29" i="376"/>
  <c r="D29" i="376"/>
  <c r="T29" i="376"/>
  <c r="V11" i="376"/>
  <c r="V14" i="376" s="1"/>
  <c r="S12" i="376"/>
  <c r="E29" i="376"/>
  <c r="V29" i="376"/>
  <c r="C24" i="376"/>
  <c r="B19" i="10"/>
  <c r="D37" i="10"/>
  <c r="E12" i="376" l="1"/>
  <c r="E34" i="376"/>
  <c r="D12" i="376"/>
  <c r="C12" i="376"/>
  <c r="D34" i="376"/>
  <c r="D14" i="376"/>
  <c r="X12" i="376"/>
  <c r="X11" i="376"/>
  <c r="G12" i="376"/>
  <c r="G29" i="376"/>
  <c r="I33" i="376"/>
  <c r="H34" i="376"/>
  <c r="F24" i="376"/>
  <c r="F11" i="376"/>
  <c r="G34" i="376"/>
  <c r="F34" i="376"/>
  <c r="F12" i="376"/>
  <c r="E19" i="376"/>
  <c r="F19" i="376"/>
  <c r="C14" i="376"/>
  <c r="E11" i="376"/>
  <c r="E14" i="376" s="1"/>
  <c r="S14" i="376"/>
  <c r="X14" i="376" s="1"/>
  <c r="D11" i="342"/>
  <c r="F14" i="376" l="1"/>
  <c r="G24" i="376"/>
  <c r="J33" i="376"/>
  <c r="I34" i="376"/>
  <c r="H12" i="376"/>
  <c r="H29" i="376"/>
  <c r="G11" i="376"/>
  <c r="G14" i="376" s="1"/>
  <c r="G19" i="376"/>
  <c r="J28" i="376" l="1"/>
  <c r="I12" i="376"/>
  <c r="P12" i="376" s="1"/>
  <c r="G93" i="6" s="1"/>
  <c r="I29" i="376"/>
  <c r="H19" i="376"/>
  <c r="H11" i="376"/>
  <c r="H14" i="376" s="1"/>
  <c r="K33" i="376"/>
  <c r="J34" i="376"/>
  <c r="H24" i="376"/>
  <c r="D30" i="358"/>
  <c r="D80" i="8"/>
  <c r="L33" i="376" l="1"/>
  <c r="K34" i="376"/>
  <c r="J18" i="376"/>
  <c r="I19" i="376"/>
  <c r="I11" i="376"/>
  <c r="I24" i="376"/>
  <c r="J23" i="376"/>
  <c r="J29" i="376"/>
  <c r="J12" i="376"/>
  <c r="K28" i="376"/>
  <c r="F44" i="5"/>
  <c r="E44" i="5"/>
  <c r="F33" i="5"/>
  <c r="E33" i="5"/>
  <c r="F32" i="5"/>
  <c r="E32" i="5"/>
  <c r="D46" i="5"/>
  <c r="D45" i="5"/>
  <c r="G41" i="5"/>
  <c r="D33" i="5"/>
  <c r="D32" i="5"/>
  <c r="I100" i="6"/>
  <c r="I107" i="6"/>
  <c r="I110" i="6"/>
  <c r="C23" i="5"/>
  <c r="K12" i="376" l="1"/>
  <c r="K29" i="376"/>
  <c r="L28" i="376"/>
  <c r="K23" i="376"/>
  <c r="J24" i="376"/>
  <c r="I14" i="376"/>
  <c r="P14" i="376" s="1"/>
  <c r="P11" i="376"/>
  <c r="F93" i="6" s="1"/>
  <c r="I93" i="6" s="1"/>
  <c r="R93" i="6" s="1"/>
  <c r="AJ93" i="6" s="1"/>
  <c r="AJ94" i="6" s="1"/>
  <c r="K18" i="376"/>
  <c r="J19" i="376"/>
  <c r="J11" i="376"/>
  <c r="J14" i="376" s="1"/>
  <c r="M33" i="376"/>
  <c r="L34" i="376"/>
  <c r="M34" i="376" l="1"/>
  <c r="N33" i="376"/>
  <c r="N34" i="376" s="1"/>
  <c r="K11" i="376"/>
  <c r="K14" i="376" s="1"/>
  <c r="L18" i="376"/>
  <c r="K19" i="376"/>
  <c r="L23" i="376"/>
  <c r="K24" i="376"/>
  <c r="L29" i="376"/>
  <c r="M28" i="376"/>
  <c r="L12" i="376"/>
  <c r="F80" i="8"/>
  <c r="E80" i="8"/>
  <c r="G80" i="8"/>
  <c r="H80" i="8"/>
  <c r="I80" i="8"/>
  <c r="J80" i="8"/>
  <c r="E114" i="6"/>
  <c r="T120" i="6"/>
  <c r="E120" i="6"/>
  <c r="K120" i="6"/>
  <c r="D120" i="6"/>
  <c r="D114" i="6"/>
  <c r="D92" i="6"/>
  <c r="O82" i="6"/>
  <c r="L82" i="6"/>
  <c r="K82" i="6"/>
  <c r="H82" i="6"/>
  <c r="F94" i="6"/>
  <c r="F98" i="6"/>
  <c r="F122" i="6"/>
  <c r="E82" i="6"/>
  <c r="D82" i="6"/>
  <c r="D79" i="6"/>
  <c r="O59" i="6"/>
  <c r="H59" i="6"/>
  <c r="L59" i="6"/>
  <c r="K70" i="6"/>
  <c r="K79" i="6"/>
  <c r="K84" i="6"/>
  <c r="K92" i="6"/>
  <c r="K94" i="6"/>
  <c r="K98" i="6"/>
  <c r="K114" i="6"/>
  <c r="K122" i="6"/>
  <c r="K59" i="6"/>
  <c r="E59" i="6"/>
  <c r="D59" i="6"/>
  <c r="U120" i="6"/>
  <c r="V120" i="6"/>
  <c r="W120" i="6"/>
  <c r="X120" i="6"/>
  <c r="Y120" i="6"/>
  <c r="Z120" i="6"/>
  <c r="AA120" i="6"/>
  <c r="AB120" i="6"/>
  <c r="AC120" i="6"/>
  <c r="AD120" i="6"/>
  <c r="AE120" i="6"/>
  <c r="AF120" i="6"/>
  <c r="U114" i="6"/>
  <c r="V114" i="6"/>
  <c r="W114" i="6"/>
  <c r="X114" i="6"/>
  <c r="Y114" i="6"/>
  <c r="Z114" i="6"/>
  <c r="AA114" i="6"/>
  <c r="AB114" i="6"/>
  <c r="AC114" i="6"/>
  <c r="AD114" i="6"/>
  <c r="AE114" i="6"/>
  <c r="AF114" i="6"/>
  <c r="T114" i="6"/>
  <c r="U92" i="6"/>
  <c r="V92" i="6"/>
  <c r="W92" i="6"/>
  <c r="X92" i="6"/>
  <c r="Y92" i="6"/>
  <c r="Z92" i="6"/>
  <c r="AA92" i="6"/>
  <c r="AB92" i="6"/>
  <c r="AC92" i="6"/>
  <c r="AD92" i="6"/>
  <c r="AE92" i="6"/>
  <c r="AF92" i="6"/>
  <c r="T92" i="6"/>
  <c r="V82" i="6"/>
  <c r="W82" i="6"/>
  <c r="X82" i="6"/>
  <c r="Y82" i="6"/>
  <c r="Z82" i="6"/>
  <c r="AA82" i="6"/>
  <c r="AB82" i="6"/>
  <c r="AC82" i="6"/>
  <c r="AD82" i="6"/>
  <c r="AE82" i="6"/>
  <c r="AF82" i="6"/>
  <c r="T82" i="6"/>
  <c r="U79" i="6"/>
  <c r="V79" i="6"/>
  <c r="W79" i="6"/>
  <c r="X79" i="6"/>
  <c r="Y79" i="6"/>
  <c r="Z79" i="6"/>
  <c r="AA79" i="6"/>
  <c r="AB79" i="6"/>
  <c r="AC79" i="6"/>
  <c r="AD79" i="6"/>
  <c r="AE79" i="6"/>
  <c r="AF79" i="6"/>
  <c r="T79" i="6"/>
  <c r="U70" i="6"/>
  <c r="V70" i="6"/>
  <c r="W70" i="6"/>
  <c r="X70" i="6"/>
  <c r="Y70" i="6"/>
  <c r="Z70" i="6"/>
  <c r="AA70" i="6"/>
  <c r="AB70" i="6"/>
  <c r="AC70" i="6"/>
  <c r="AD70" i="6"/>
  <c r="AE70" i="6"/>
  <c r="AF70" i="6"/>
  <c r="T70" i="6"/>
  <c r="U59" i="6"/>
  <c r="V59" i="6"/>
  <c r="W59" i="6"/>
  <c r="X59" i="6"/>
  <c r="Y59" i="6"/>
  <c r="Z59" i="6"/>
  <c r="AA59" i="6"/>
  <c r="AB59" i="6"/>
  <c r="AC59" i="6"/>
  <c r="AD59" i="6"/>
  <c r="AE59" i="6"/>
  <c r="AF59" i="6"/>
  <c r="T59" i="6"/>
  <c r="U56" i="6"/>
  <c r="V56" i="6"/>
  <c r="W56" i="6"/>
  <c r="X56" i="6"/>
  <c r="Y56" i="6"/>
  <c r="Z56" i="6"/>
  <c r="AA56" i="6"/>
  <c r="AB56" i="6"/>
  <c r="AC56" i="6"/>
  <c r="AD56" i="6"/>
  <c r="AE56" i="6"/>
  <c r="AF56" i="6"/>
  <c r="T56" i="6"/>
  <c r="U48" i="6"/>
  <c r="V48" i="6"/>
  <c r="W48" i="6"/>
  <c r="X48" i="6"/>
  <c r="Y48" i="6"/>
  <c r="Z48" i="6"/>
  <c r="AA48" i="6"/>
  <c r="AB48" i="6"/>
  <c r="AC48" i="6"/>
  <c r="AD48" i="6"/>
  <c r="AE48" i="6"/>
  <c r="AF48" i="6"/>
  <c r="T48" i="6"/>
  <c r="U33" i="6"/>
  <c r="V33" i="6"/>
  <c r="W33" i="6"/>
  <c r="X33" i="6"/>
  <c r="Y33" i="6"/>
  <c r="Z33" i="6"/>
  <c r="AA33" i="6"/>
  <c r="AB33" i="6"/>
  <c r="AC33" i="6"/>
  <c r="AD33" i="6"/>
  <c r="AE33" i="6"/>
  <c r="AF33" i="6"/>
  <c r="T33" i="6"/>
  <c r="D20" i="8"/>
  <c r="AG58" i="6"/>
  <c r="AF60" i="373"/>
  <c r="AF50" i="373"/>
  <c r="AF44" i="373"/>
  <c r="I29" i="373" s="1"/>
  <c r="K17" i="372" s="1"/>
  <c r="J12" i="373"/>
  <c r="I12" i="373"/>
  <c r="C27" i="372"/>
  <c r="K10" i="373"/>
  <c r="J10" i="373"/>
  <c r="I10" i="373"/>
  <c r="C17" i="372" s="1"/>
  <c r="K40" i="372"/>
  <c r="F34" i="372"/>
  <c r="D34" i="372"/>
  <c r="C34" i="372"/>
  <c r="E29" i="372"/>
  <c r="F29" i="372"/>
  <c r="D28" i="372"/>
  <c r="N27" i="372"/>
  <c r="M27" i="372"/>
  <c r="D24" i="372"/>
  <c r="C24" i="372"/>
  <c r="D19" i="372"/>
  <c r="N19" i="372"/>
  <c r="M11" i="372"/>
  <c r="L17" i="372"/>
  <c r="L19" i="372" s="1"/>
  <c r="L27" i="372" l="1"/>
  <c r="L12" i="372" s="1"/>
  <c r="E24" i="372"/>
  <c r="L11" i="372"/>
  <c r="L14" i="372" s="1"/>
  <c r="E12" i="372"/>
  <c r="D11" i="372"/>
  <c r="F24" i="372"/>
  <c r="AG120" i="6"/>
  <c r="N28" i="376"/>
  <c r="M12" i="376"/>
  <c r="M29" i="376"/>
  <c r="M23" i="376"/>
  <c r="L24" i="376"/>
  <c r="M18" i="376"/>
  <c r="L11" i="376"/>
  <c r="L14" i="376" s="1"/>
  <c r="L19" i="376"/>
  <c r="E19" i="372"/>
  <c r="M12" i="372"/>
  <c r="N12" i="372"/>
  <c r="F19" i="372"/>
  <c r="M14" i="372"/>
  <c r="N11" i="372"/>
  <c r="N14" i="372" s="1"/>
  <c r="C19" i="372"/>
  <c r="C11" i="372"/>
  <c r="C12" i="372"/>
  <c r="C29" i="372"/>
  <c r="D12" i="372"/>
  <c r="D29" i="372"/>
  <c r="K27" i="372"/>
  <c r="K11" i="372"/>
  <c r="K19" i="372"/>
  <c r="E11" i="372"/>
  <c r="E14" i="372" s="1"/>
  <c r="M29" i="372"/>
  <c r="F12" i="372"/>
  <c r="L29" i="372"/>
  <c r="F11" i="372"/>
  <c r="N29" i="372"/>
  <c r="E34" i="372"/>
  <c r="M19" i="372"/>
  <c r="D14" i="372" l="1"/>
  <c r="H12" i="372"/>
  <c r="G58" i="6" s="1"/>
  <c r="G59" i="6" s="1"/>
  <c r="M11" i="376"/>
  <c r="M14" i="376" s="1"/>
  <c r="M19" i="376"/>
  <c r="N18" i="376"/>
  <c r="N23" i="376"/>
  <c r="N24" i="376" s="1"/>
  <c r="M24" i="376"/>
  <c r="N12" i="376"/>
  <c r="N29" i="376"/>
  <c r="P11" i="372"/>
  <c r="M58" i="6" s="1"/>
  <c r="M59" i="6" s="1"/>
  <c r="F14" i="372"/>
  <c r="C14" i="372"/>
  <c r="H11" i="372"/>
  <c r="F58" i="6" s="1"/>
  <c r="F59" i="6" s="1"/>
  <c r="K12" i="372"/>
  <c r="P12" i="372" s="1"/>
  <c r="N58" i="6" s="1"/>
  <c r="N59" i="6" s="1"/>
  <c r="K29" i="372"/>
  <c r="N19" i="376" l="1"/>
  <c r="N11" i="376"/>
  <c r="N14" i="376" s="1"/>
  <c r="H14" i="372"/>
  <c r="K14" i="372"/>
  <c r="K44" i="372" l="1"/>
  <c r="P14" i="372"/>
  <c r="I191" i="371" l="1"/>
  <c r="I190" i="371"/>
  <c r="I32" i="371"/>
  <c r="BU29" i="370"/>
  <c r="CV12" i="370"/>
  <c r="BS12" i="370"/>
  <c r="BQ29" i="370"/>
  <c r="CV27" i="370"/>
  <c r="CU27" i="370"/>
  <c r="CU12" i="370" s="1"/>
  <c r="CP27" i="370"/>
  <c r="CP29" i="370" s="1"/>
  <c r="CL27" i="370"/>
  <c r="CL29" i="370" s="1"/>
  <c r="BY27" i="370"/>
  <c r="BY29" i="370" s="1"/>
  <c r="BU27" i="370"/>
  <c r="BS27" i="370"/>
  <c r="BS29" i="370" s="1"/>
  <c r="BQ27" i="370"/>
  <c r="BJ27" i="370"/>
  <c r="BJ12" i="370" s="1"/>
  <c r="CP19" i="370"/>
  <c r="CL19" i="370"/>
  <c r="BY19" i="370"/>
  <c r="BU19" i="370"/>
  <c r="BQ19" i="370"/>
  <c r="H19" i="370"/>
  <c r="CV19" i="370"/>
  <c r="CU19" i="370"/>
  <c r="BY11" i="370"/>
  <c r="BS19" i="370"/>
  <c r="BJ19" i="370"/>
  <c r="AT19" i="370"/>
  <c r="AS11" i="370"/>
  <c r="AN19" i="370"/>
  <c r="AJ19" i="370"/>
  <c r="W19" i="370"/>
  <c r="S19" i="370"/>
  <c r="Q19" i="370"/>
  <c r="O19" i="370"/>
  <c r="DE17" i="370"/>
  <c r="DE11" i="370" s="1"/>
  <c r="DD17" i="370"/>
  <c r="DD27" i="370" s="1"/>
  <c r="DC17" i="370"/>
  <c r="DC27" i="370" s="1"/>
  <c r="DB17" i="370"/>
  <c r="DB11" i="370" s="1"/>
  <c r="DA17" i="370"/>
  <c r="DA27" i="370" s="1"/>
  <c r="CZ17" i="370"/>
  <c r="CZ27" i="370" s="1"/>
  <c r="CY17" i="370"/>
  <c r="CY27" i="370" s="1"/>
  <c r="CX17" i="370"/>
  <c r="CX19" i="370" s="1"/>
  <c r="CW17" i="370"/>
  <c r="CW27" i="370" s="1"/>
  <c r="CT17" i="370"/>
  <c r="CT19" i="370" s="1"/>
  <c r="CS17" i="370"/>
  <c r="CS27" i="370" s="1"/>
  <c r="CR17" i="370"/>
  <c r="CR11" i="370" s="1"/>
  <c r="CQ17" i="370"/>
  <c r="CQ27" i="370" s="1"/>
  <c r="CO17" i="370"/>
  <c r="CO27" i="370" s="1"/>
  <c r="CN17" i="370"/>
  <c r="CN27" i="370" s="1"/>
  <c r="CM17" i="370"/>
  <c r="CM27" i="370" s="1"/>
  <c r="CK17" i="370"/>
  <c r="CK19" i="370" s="1"/>
  <c r="CJ17" i="370"/>
  <c r="CJ19" i="370" s="1"/>
  <c r="CI17" i="370"/>
  <c r="CI19" i="370" s="1"/>
  <c r="CH17" i="370"/>
  <c r="CH19" i="370" s="1"/>
  <c r="CG17" i="370"/>
  <c r="CG27" i="370" s="1"/>
  <c r="CF17" i="370"/>
  <c r="CF27" i="370" s="1"/>
  <c r="CE17" i="370"/>
  <c r="CE19" i="370" s="1"/>
  <c r="CD17" i="370"/>
  <c r="CD19" i="370" s="1"/>
  <c r="CC17" i="370"/>
  <c r="CC27" i="370" s="1"/>
  <c r="CB17" i="370"/>
  <c r="CB27" i="370" s="1"/>
  <c r="CA17" i="370"/>
  <c r="CA27" i="370" s="1"/>
  <c r="BZ17" i="370"/>
  <c r="BZ19" i="370" s="1"/>
  <c r="BX17" i="370"/>
  <c r="BX19" i="370" s="1"/>
  <c r="BW17" i="370"/>
  <c r="BW19" i="370" s="1"/>
  <c r="BV17" i="370"/>
  <c r="BV19" i="370" s="1"/>
  <c r="BT17" i="370"/>
  <c r="BT11" i="370" s="1"/>
  <c r="BR17" i="370"/>
  <c r="BR27" i="370" s="1"/>
  <c r="BP17" i="370"/>
  <c r="BP27" i="370" s="1"/>
  <c r="BO17" i="370"/>
  <c r="BO27" i="370" s="1"/>
  <c r="BN17" i="370"/>
  <c r="BN19" i="370" s="1"/>
  <c r="BM17" i="370"/>
  <c r="BM19" i="370" s="1"/>
  <c r="BL17" i="370"/>
  <c r="BL19" i="370" s="1"/>
  <c r="BI17" i="370"/>
  <c r="BI11" i="370" s="1"/>
  <c r="BH17" i="370"/>
  <c r="BH27" i="370" s="1"/>
  <c r="BG17" i="370"/>
  <c r="BG19" i="370" s="1"/>
  <c r="BF17" i="370"/>
  <c r="BF27" i="370" s="1"/>
  <c r="BE17" i="370"/>
  <c r="BE27" i="370" s="1"/>
  <c r="AZ17" i="370"/>
  <c r="AZ11" i="370" s="1"/>
  <c r="AY17" i="370"/>
  <c r="AX17" i="370"/>
  <c r="AX19" i="370" s="1"/>
  <c r="AW17" i="370"/>
  <c r="AW19" i="370" s="1"/>
  <c r="AV17" i="370"/>
  <c r="AU17" i="370"/>
  <c r="AU19" i="370" s="1"/>
  <c r="AR17" i="370"/>
  <c r="AR19" i="370" s="1"/>
  <c r="AQ17" i="370"/>
  <c r="AP17" i="370"/>
  <c r="AP19" i="370" s="1"/>
  <c r="AO17" i="370"/>
  <c r="AO19" i="370" s="1"/>
  <c r="AM17" i="370"/>
  <c r="AL17" i="370"/>
  <c r="AL19" i="370" s="1"/>
  <c r="AK17" i="370"/>
  <c r="AK11" i="370" s="1"/>
  <c r="AI17" i="370"/>
  <c r="AH17" i="370"/>
  <c r="AH11" i="370" s="1"/>
  <c r="AG17" i="370"/>
  <c r="AF17" i="370"/>
  <c r="AF11" i="370" s="1"/>
  <c r="AE17" i="370"/>
  <c r="AE11" i="370" s="1"/>
  <c r="AD17" i="370"/>
  <c r="AD11" i="370" s="1"/>
  <c r="AC17" i="370"/>
  <c r="AB17" i="370"/>
  <c r="AB11" i="370" s="1"/>
  <c r="AA17" i="370"/>
  <c r="Z17" i="370"/>
  <c r="Y17" i="370"/>
  <c r="Y19" i="370" s="1"/>
  <c r="X17" i="370"/>
  <c r="X11" i="370" s="1"/>
  <c r="V17" i="370"/>
  <c r="V11" i="370" s="1"/>
  <c r="U17" i="370"/>
  <c r="U11" i="370" s="1"/>
  <c r="T17" i="370"/>
  <c r="T11" i="370" s="1"/>
  <c r="R17" i="370"/>
  <c r="R11" i="370" s="1"/>
  <c r="P17" i="370"/>
  <c r="P11" i="370" s="1"/>
  <c r="N17" i="370"/>
  <c r="N19" i="370" s="1"/>
  <c r="M17" i="370"/>
  <c r="L17" i="370"/>
  <c r="L19" i="370" s="1"/>
  <c r="K17" i="370"/>
  <c r="K19" i="370" s="1"/>
  <c r="J17" i="370"/>
  <c r="J11" i="370" s="1"/>
  <c r="I17" i="370"/>
  <c r="I11" i="370" s="1"/>
  <c r="G17" i="370"/>
  <c r="G11" i="370" s="1"/>
  <c r="F17" i="370"/>
  <c r="F11" i="370" s="1"/>
  <c r="E17" i="370"/>
  <c r="E11" i="370" s="1"/>
  <c r="D17" i="370"/>
  <c r="D11" i="370" s="1"/>
  <c r="C17" i="370"/>
  <c r="C11" i="370" s="1"/>
  <c r="CP12" i="370"/>
  <c r="CL12" i="370"/>
  <c r="BY12" i="370"/>
  <c r="BU12" i="370"/>
  <c r="BQ12" i="370"/>
  <c r="DA11" i="370"/>
  <c r="CY11" i="370"/>
  <c r="CX11" i="370"/>
  <c r="CU11" i="370"/>
  <c r="CT11" i="370"/>
  <c r="CS11" i="370"/>
  <c r="CP11" i="370"/>
  <c r="CP14" i="370" s="1"/>
  <c r="CO11" i="370"/>
  <c r="CM11" i="370"/>
  <c r="CL11" i="370"/>
  <c r="CI11" i="370"/>
  <c r="CH11" i="370"/>
  <c r="CG11" i="370"/>
  <c r="CE11" i="370"/>
  <c r="CD11" i="370"/>
  <c r="CC11" i="370"/>
  <c r="CA11" i="370"/>
  <c r="BZ11" i="370"/>
  <c r="BW11" i="370"/>
  <c r="BV11" i="370"/>
  <c r="BU11" i="370"/>
  <c r="BU14" i="370" s="1"/>
  <c r="BS11" i="370"/>
  <c r="BR11" i="370"/>
  <c r="BQ11" i="370"/>
  <c r="BQ14" i="370" s="1"/>
  <c r="BO11" i="370"/>
  <c r="BN11" i="370"/>
  <c r="BJ11" i="370"/>
  <c r="BG11" i="370"/>
  <c r="BF11" i="370"/>
  <c r="BE11" i="370"/>
  <c r="AY11" i="370"/>
  <c r="AX11" i="370"/>
  <c r="AO11" i="370"/>
  <c r="AM11" i="370"/>
  <c r="AI11" i="370"/>
  <c r="AA11" i="370"/>
  <c r="S11" i="370"/>
  <c r="Q11" i="370"/>
  <c r="O11" i="370"/>
  <c r="K11" i="370"/>
  <c r="H11" i="370"/>
  <c r="BR29" i="370" l="1"/>
  <c r="BR12" i="370"/>
  <c r="CW29" i="370"/>
  <c r="CW12" i="370"/>
  <c r="BF29" i="370"/>
  <c r="BF12" i="370"/>
  <c r="BF14" i="370" s="1"/>
  <c r="T19" i="370"/>
  <c r="BW27" i="370"/>
  <c r="BW12" i="370" s="1"/>
  <c r="BW14" i="370" s="1"/>
  <c r="BX11" i="370"/>
  <c r="CR19" i="370"/>
  <c r="BF19" i="370"/>
  <c r="CS19" i="370"/>
  <c r="CD27" i="370"/>
  <c r="CB11" i="370"/>
  <c r="DA19" i="370"/>
  <c r="CE27" i="370"/>
  <c r="AU11" i="370"/>
  <c r="CF11" i="370"/>
  <c r="BR19" i="370"/>
  <c r="CI27" i="370"/>
  <c r="CI12" i="370" s="1"/>
  <c r="CI14" i="370" s="1"/>
  <c r="CJ11" i="370"/>
  <c r="BG27" i="370"/>
  <c r="CK27" i="370"/>
  <c r="L11" i="370"/>
  <c r="CK11" i="370"/>
  <c r="BH11" i="370"/>
  <c r="CG19" i="370"/>
  <c r="CT27" i="370"/>
  <c r="CT12" i="370" s="1"/>
  <c r="CW19" i="370"/>
  <c r="BL11" i="370"/>
  <c r="CZ11" i="370"/>
  <c r="BP11" i="370"/>
  <c r="DD11" i="370"/>
  <c r="CO19" i="370"/>
  <c r="BV27" i="370"/>
  <c r="BV12" i="370" s="1"/>
  <c r="BV14" i="370" s="1"/>
  <c r="AN11" i="370"/>
  <c r="E19" i="370"/>
  <c r="F19" i="370"/>
  <c r="AP11" i="370"/>
  <c r="AK19" i="370"/>
  <c r="AR11" i="370"/>
  <c r="AE19" i="370"/>
  <c r="Z19" i="370"/>
  <c r="U19" i="370"/>
  <c r="AV19" i="370"/>
  <c r="AG11" i="370"/>
  <c r="AH19" i="370"/>
  <c r="AS19" i="370"/>
  <c r="AW11" i="370"/>
  <c r="AI19" i="370"/>
  <c r="AT11" i="370"/>
  <c r="V19" i="370"/>
  <c r="W11" i="370"/>
  <c r="X19" i="370"/>
  <c r="CU14" i="370"/>
  <c r="CT14" i="370"/>
  <c r="CL14" i="370"/>
  <c r="BY14" i="370"/>
  <c r="BR14" i="370"/>
  <c r="BJ14" i="370"/>
  <c r="CZ29" i="370"/>
  <c r="CZ12" i="370"/>
  <c r="BH12" i="370"/>
  <c r="BH14" i="370" s="1"/>
  <c r="BH29" i="370"/>
  <c r="CA29" i="370"/>
  <c r="CA12" i="370"/>
  <c r="CA14" i="370" s="1"/>
  <c r="CN29" i="370"/>
  <c r="CN12" i="370"/>
  <c r="DC12" i="370"/>
  <c r="DC29" i="370"/>
  <c r="DA29" i="370"/>
  <c r="DA12" i="370"/>
  <c r="DA14" i="370" s="1"/>
  <c r="CM29" i="370"/>
  <c r="CM12" i="370"/>
  <c r="CM14" i="370" s="1"/>
  <c r="CO29" i="370"/>
  <c r="CO12" i="370"/>
  <c r="CO14" i="370" s="1"/>
  <c r="DD12" i="370"/>
  <c r="DD14" i="370" s="1"/>
  <c r="DD29" i="370"/>
  <c r="CC29" i="370"/>
  <c r="CC12" i="370"/>
  <c r="CC14" i="370" s="1"/>
  <c r="CQ12" i="370"/>
  <c r="CQ29" i="370"/>
  <c r="CY29" i="370"/>
  <c r="CY12" i="370"/>
  <c r="CY14" i="370" s="1"/>
  <c r="CB29" i="370"/>
  <c r="CB12" i="370"/>
  <c r="CB14" i="370" s="1"/>
  <c r="CZ14" i="370"/>
  <c r="BE29" i="370"/>
  <c r="BE12" i="370"/>
  <c r="BE14" i="370" s="1"/>
  <c r="BP29" i="370"/>
  <c r="BP12" i="370"/>
  <c r="CF12" i="370"/>
  <c r="CF29" i="370"/>
  <c r="I174" i="371"/>
  <c r="I12" i="371" s="1"/>
  <c r="BK17" i="370"/>
  <c r="BO29" i="370"/>
  <c r="BO12" i="370"/>
  <c r="BO14" i="370" s="1"/>
  <c r="CS12" i="370"/>
  <c r="CS14" i="370" s="1"/>
  <c r="CS29" i="370"/>
  <c r="BS14" i="370"/>
  <c r="CG12" i="370"/>
  <c r="CG14" i="370" s="1"/>
  <c r="CG29" i="370"/>
  <c r="AJ11" i="370"/>
  <c r="M11" i="370"/>
  <c r="Y11" i="370"/>
  <c r="CV11" i="370"/>
  <c r="CV14" i="370" s="1"/>
  <c r="C19" i="370"/>
  <c r="AA19" i="370"/>
  <c r="AM19" i="370"/>
  <c r="AY19" i="370"/>
  <c r="BO19" i="370"/>
  <c r="CA19" i="370"/>
  <c r="CM19" i="370"/>
  <c r="CY19" i="370"/>
  <c r="BT27" i="370"/>
  <c r="CR27" i="370"/>
  <c r="M19" i="370"/>
  <c r="DB27" i="370"/>
  <c r="AV11" i="370"/>
  <c r="N11" i="370"/>
  <c r="Z11" i="370"/>
  <c r="AL11" i="370"/>
  <c r="BM11" i="370"/>
  <c r="CW11" i="370"/>
  <c r="CW14" i="370" s="1"/>
  <c r="D19" i="370"/>
  <c r="P19" i="370"/>
  <c r="AB19" i="370"/>
  <c r="AZ19" i="370"/>
  <c r="BP19" i="370"/>
  <c r="CB19" i="370"/>
  <c r="CN19" i="370"/>
  <c r="CZ19" i="370"/>
  <c r="BI27" i="370"/>
  <c r="DE27" i="370"/>
  <c r="AC19" i="370"/>
  <c r="BE19" i="370"/>
  <c r="CC19" i="370"/>
  <c r="CH27" i="370"/>
  <c r="AD19" i="370"/>
  <c r="R19" i="370"/>
  <c r="DB19" i="370"/>
  <c r="BJ29" i="370"/>
  <c r="CT29" i="370"/>
  <c r="AC11" i="370"/>
  <c r="CN11" i="370"/>
  <c r="G19" i="370"/>
  <c r="AQ19" i="370"/>
  <c r="CQ19" i="370"/>
  <c r="DC19" i="370"/>
  <c r="BL27" i="370"/>
  <c r="BX27" i="370"/>
  <c r="CJ27" i="370"/>
  <c r="CU29" i="370"/>
  <c r="AF19" i="370"/>
  <c r="BH19" i="370"/>
  <c r="BT19" i="370"/>
  <c r="CF19" i="370"/>
  <c r="DD19" i="370"/>
  <c r="BM27" i="370"/>
  <c r="CV29" i="370"/>
  <c r="I19" i="370"/>
  <c r="DE19" i="370"/>
  <c r="BZ27" i="370"/>
  <c r="CX27" i="370"/>
  <c r="CQ11" i="370"/>
  <c r="DC11" i="370"/>
  <c r="DC14" i="370" s="1"/>
  <c r="J19" i="370"/>
  <c r="AG19" i="370"/>
  <c r="BN27" i="370"/>
  <c r="AQ11" i="370"/>
  <c r="BI19" i="370"/>
  <c r="BG29" i="370" l="1"/>
  <c r="BG12" i="370"/>
  <c r="BG14" i="370" s="1"/>
  <c r="BV29" i="370"/>
  <c r="CK29" i="370"/>
  <c r="CK12" i="370"/>
  <c r="CK14" i="370" s="1"/>
  <c r="CI29" i="370"/>
  <c r="CE29" i="370"/>
  <c r="CE12" i="370"/>
  <c r="CE14" i="370" s="1"/>
  <c r="BW29" i="370"/>
  <c r="CF14" i="370"/>
  <c r="BP14" i="370"/>
  <c r="CD29" i="370"/>
  <c r="CD12" i="370"/>
  <c r="CD14" i="370" s="1"/>
  <c r="AV27" i="370"/>
  <c r="X27" i="370"/>
  <c r="U27" i="370"/>
  <c r="Y27" i="370"/>
  <c r="E27" i="370"/>
  <c r="CQ14" i="370"/>
  <c r="CN14" i="370"/>
  <c r="Y12" i="370"/>
  <c r="Y29" i="370"/>
  <c r="AE27" i="370"/>
  <c r="S27" i="370"/>
  <c r="AP27" i="370"/>
  <c r="F27" i="370"/>
  <c r="Q27" i="370"/>
  <c r="AN27" i="370"/>
  <c r="O27" i="370"/>
  <c r="AX27" i="370"/>
  <c r="Z27" i="370"/>
  <c r="AW27" i="370"/>
  <c r="AK27" i="370"/>
  <c r="AJ27" i="370"/>
  <c r="AI27" i="370"/>
  <c r="W27" i="370"/>
  <c r="K27" i="370"/>
  <c r="AU27" i="370"/>
  <c r="AT27" i="370"/>
  <c r="AH27" i="370"/>
  <c r="V27" i="370"/>
  <c r="J27" i="370"/>
  <c r="AS27" i="370"/>
  <c r="H27" i="370"/>
  <c r="R27" i="370"/>
  <c r="BN29" i="370"/>
  <c r="BN12" i="370"/>
  <c r="BN14" i="370" s="1"/>
  <c r="N27" i="370"/>
  <c r="AZ27" i="370"/>
  <c r="AA27" i="370"/>
  <c r="BM29" i="370"/>
  <c r="BM12" i="370"/>
  <c r="BM14" i="370" s="1"/>
  <c r="X12" i="370"/>
  <c r="X14" i="370" s="1"/>
  <c r="X29" i="370"/>
  <c r="AY27" i="370"/>
  <c r="C27" i="370"/>
  <c r="C29" i="370" s="1"/>
  <c r="CH12" i="370"/>
  <c r="CH14" i="370" s="1"/>
  <c r="CH29" i="370"/>
  <c r="CR12" i="370"/>
  <c r="CR14" i="370" s="1"/>
  <c r="CR29" i="370"/>
  <c r="G27" i="370"/>
  <c r="AM27" i="370"/>
  <c r="D27" i="370"/>
  <c r="L27" i="370"/>
  <c r="DB29" i="370"/>
  <c r="DB12" i="370"/>
  <c r="DB14" i="370" s="1"/>
  <c r="BT12" i="370"/>
  <c r="BT14" i="370" s="1"/>
  <c r="BT29" i="370"/>
  <c r="AR27" i="370"/>
  <c r="Y14" i="370"/>
  <c r="BK19" i="370"/>
  <c r="BK27" i="370"/>
  <c r="BK11" i="370"/>
  <c r="AB27" i="370"/>
  <c r="M27" i="370"/>
  <c r="AV12" i="370"/>
  <c r="AV14" i="370" s="1"/>
  <c r="AV29" i="370"/>
  <c r="U12" i="370"/>
  <c r="U14" i="370" s="1"/>
  <c r="U29" i="370"/>
  <c r="E29" i="370"/>
  <c r="E12" i="370"/>
  <c r="E14" i="370" s="1"/>
  <c r="CX29" i="370"/>
  <c r="CX12" i="370"/>
  <c r="CX14" i="370" s="1"/>
  <c r="AF27" i="370"/>
  <c r="BZ29" i="370"/>
  <c r="BZ12" i="370"/>
  <c r="BZ14" i="370" s="1"/>
  <c r="BB11" i="370"/>
  <c r="F117" i="6" s="1"/>
  <c r="DE12" i="370"/>
  <c r="DE14" i="370" s="1"/>
  <c r="DE29" i="370"/>
  <c r="T27" i="370"/>
  <c r="P27" i="370"/>
  <c r="AO27" i="370"/>
  <c r="AQ27" i="370"/>
  <c r="AL27" i="370"/>
  <c r="CJ12" i="370"/>
  <c r="CJ14" i="370" s="1"/>
  <c r="CJ29" i="370"/>
  <c r="BI12" i="370"/>
  <c r="BI14" i="370" s="1"/>
  <c r="BI29" i="370"/>
  <c r="AD27" i="370"/>
  <c r="AC27" i="370"/>
  <c r="BX12" i="370"/>
  <c r="BX14" i="370" s="1"/>
  <c r="BX29" i="370"/>
  <c r="AG27" i="370"/>
  <c r="BL12" i="370"/>
  <c r="BL14" i="370" s="1"/>
  <c r="BL29" i="370"/>
  <c r="I27" i="370"/>
  <c r="AW12" i="370" l="1"/>
  <c r="AW14" i="370" s="1"/>
  <c r="AW29" i="370"/>
  <c r="Z12" i="370"/>
  <c r="Z14" i="370" s="1"/>
  <c r="Z29" i="370"/>
  <c r="O29" i="370"/>
  <c r="O12" i="370"/>
  <c r="O14" i="370" s="1"/>
  <c r="AL29" i="370"/>
  <c r="AL12" i="370"/>
  <c r="AL14" i="370" s="1"/>
  <c r="AF12" i="370"/>
  <c r="AF14" i="370" s="1"/>
  <c r="AF29" i="370"/>
  <c r="D29" i="370"/>
  <c r="D12" i="370"/>
  <c r="D14" i="370" s="1"/>
  <c r="AH12" i="370"/>
  <c r="AH14" i="370" s="1"/>
  <c r="AH29" i="370"/>
  <c r="AN29" i="370"/>
  <c r="AN12" i="370"/>
  <c r="AN14" i="370" s="1"/>
  <c r="H12" i="370"/>
  <c r="H14" i="370" s="1"/>
  <c r="H29" i="370"/>
  <c r="M12" i="370"/>
  <c r="M14" i="370" s="1"/>
  <c r="M29" i="370"/>
  <c r="AB29" i="370"/>
  <c r="AB12" i="370"/>
  <c r="AB14" i="370" s="1"/>
  <c r="AQ12" i="370"/>
  <c r="AQ14" i="370" s="1"/>
  <c r="AQ29" i="370"/>
  <c r="AT12" i="370"/>
  <c r="AT14" i="370" s="1"/>
  <c r="AT29" i="370"/>
  <c r="G12" i="370"/>
  <c r="G14" i="370" s="1"/>
  <c r="G29" i="370"/>
  <c r="P29" i="370"/>
  <c r="P12" i="370"/>
  <c r="P14" i="370" s="1"/>
  <c r="N12" i="370"/>
  <c r="N14" i="370" s="1"/>
  <c r="N29" i="370"/>
  <c r="K12" i="370"/>
  <c r="K14" i="370" s="1"/>
  <c r="K29" i="370"/>
  <c r="AP29" i="370"/>
  <c r="AP12" i="370"/>
  <c r="AP14" i="370" s="1"/>
  <c r="R29" i="370"/>
  <c r="R12" i="370"/>
  <c r="R14" i="370" s="1"/>
  <c r="AS12" i="370"/>
  <c r="AS14" i="370" s="1"/>
  <c r="AS29" i="370"/>
  <c r="J12" i="370"/>
  <c r="J14" i="370" s="1"/>
  <c r="J29" i="370"/>
  <c r="L12" i="370"/>
  <c r="L14" i="370" s="1"/>
  <c r="L29" i="370"/>
  <c r="AA29" i="370"/>
  <c r="AA12" i="370"/>
  <c r="AA14" i="370" s="1"/>
  <c r="AU12" i="370"/>
  <c r="AU14" i="370" s="1"/>
  <c r="AU29" i="370"/>
  <c r="AC29" i="370"/>
  <c r="AC12" i="370"/>
  <c r="AC14" i="370" s="1"/>
  <c r="W12" i="370"/>
  <c r="W14" i="370" s="1"/>
  <c r="W29" i="370"/>
  <c r="S12" i="370"/>
  <c r="S14" i="370" s="1"/>
  <c r="S29" i="370"/>
  <c r="C12" i="370"/>
  <c r="I12" i="370"/>
  <c r="I14" i="370" s="1"/>
  <c r="I29" i="370"/>
  <c r="AY29" i="370"/>
  <c r="AY12" i="370"/>
  <c r="AY14" i="370" s="1"/>
  <c r="AX29" i="370"/>
  <c r="AX12" i="370"/>
  <c r="AX14" i="370" s="1"/>
  <c r="V12" i="370"/>
  <c r="V14" i="370" s="1"/>
  <c r="V29" i="370"/>
  <c r="AM12" i="370"/>
  <c r="AM14" i="370" s="1"/>
  <c r="AM29" i="370"/>
  <c r="BK12" i="370"/>
  <c r="DG12" i="370" s="1"/>
  <c r="N117" i="6" s="1"/>
  <c r="BK29" i="370"/>
  <c r="AZ29" i="370"/>
  <c r="AZ12" i="370"/>
  <c r="AZ14" i="370" s="1"/>
  <c r="AD29" i="370"/>
  <c r="AD12" i="370"/>
  <c r="AD14" i="370" s="1"/>
  <c r="T12" i="370"/>
  <c r="T14" i="370" s="1"/>
  <c r="T29" i="370"/>
  <c r="AR12" i="370"/>
  <c r="AR14" i="370" s="1"/>
  <c r="AR29" i="370"/>
  <c r="AI12" i="370"/>
  <c r="AI14" i="370" s="1"/>
  <c r="AI29" i="370"/>
  <c r="AE12" i="370"/>
  <c r="AE14" i="370" s="1"/>
  <c r="AE29" i="370"/>
  <c r="AG12" i="370"/>
  <c r="AG14" i="370" s="1"/>
  <c r="AG29" i="370"/>
  <c r="BK14" i="370"/>
  <c r="E180" i="371" s="1"/>
  <c r="DG11" i="370"/>
  <c r="M117" i="6" s="1"/>
  <c r="Q29" i="370"/>
  <c r="Q12" i="370"/>
  <c r="Q14" i="370" s="1"/>
  <c r="AO29" i="370"/>
  <c r="AO12" i="370"/>
  <c r="AO14" i="370" s="1"/>
  <c r="F29" i="370"/>
  <c r="F12" i="370"/>
  <c r="F14" i="370" s="1"/>
  <c r="AJ12" i="370"/>
  <c r="AJ14" i="370" s="1"/>
  <c r="AJ29" i="370"/>
  <c r="AK12" i="370"/>
  <c r="AK14" i="370" s="1"/>
  <c r="AK29" i="370"/>
  <c r="DG14" i="370" l="1"/>
  <c r="BB12" i="370"/>
  <c r="G117" i="6" s="1"/>
  <c r="C14" i="370"/>
  <c r="BB14" i="370" s="1"/>
  <c r="AG93" i="6" l="1"/>
  <c r="AG95" i="6"/>
  <c r="AG96" i="6"/>
  <c r="AG97" i="6"/>
  <c r="AG99" i="6"/>
  <c r="AG100" i="6"/>
  <c r="AG101" i="6"/>
  <c r="AG102" i="6"/>
  <c r="AG103" i="6"/>
  <c r="AG104" i="6"/>
  <c r="AG105" i="6"/>
  <c r="AG106" i="6"/>
  <c r="AG107" i="6"/>
  <c r="AG108" i="6"/>
  <c r="AG109" i="6"/>
  <c r="AG110" i="6"/>
  <c r="AG111" i="6"/>
  <c r="AG112" i="6"/>
  <c r="AG113" i="6"/>
  <c r="AG115" i="6"/>
  <c r="AG116" i="6"/>
  <c r="AG117" i="6"/>
  <c r="AG118" i="6"/>
  <c r="AG119" i="6"/>
  <c r="AG121" i="6"/>
  <c r="U94" i="6"/>
  <c r="V94" i="6"/>
  <c r="W94" i="6"/>
  <c r="X94" i="6"/>
  <c r="Y94" i="6"/>
  <c r="Z94" i="6"/>
  <c r="AA94" i="6"/>
  <c r="AB94" i="6"/>
  <c r="AC94" i="6"/>
  <c r="AD94" i="6"/>
  <c r="AE94" i="6"/>
  <c r="AF94" i="6"/>
  <c r="T94" i="6"/>
  <c r="R94" i="6"/>
  <c r="L94" i="6"/>
  <c r="F18" i="5" s="1"/>
  <c r="M94" i="6"/>
  <c r="H18" i="5" s="1"/>
  <c r="N94" i="6"/>
  <c r="O94" i="6"/>
  <c r="P94" i="6"/>
  <c r="E94" i="6"/>
  <c r="G94" i="6"/>
  <c r="I18" i="5" s="1"/>
  <c r="H94" i="6"/>
  <c r="I94" i="6"/>
  <c r="D94" i="6"/>
  <c r="I58" i="6"/>
  <c r="P58" i="6"/>
  <c r="I66" i="369"/>
  <c r="K18" i="369"/>
  <c r="J18" i="369"/>
  <c r="J17" i="369"/>
  <c r="J15" i="369"/>
  <c r="J14" i="369"/>
  <c r="J12" i="369"/>
  <c r="J11" i="369"/>
  <c r="I10" i="369"/>
  <c r="I11" i="369" s="1"/>
  <c r="F34" i="368"/>
  <c r="E34" i="368"/>
  <c r="D34" i="368"/>
  <c r="C34" i="368"/>
  <c r="L28" i="368"/>
  <c r="F29" i="368"/>
  <c r="E29" i="368"/>
  <c r="D28" i="368"/>
  <c r="AC27" i="368"/>
  <c r="AB27" i="368"/>
  <c r="AA27" i="368"/>
  <c r="Z27" i="368"/>
  <c r="Y27" i="368"/>
  <c r="X27" i="368"/>
  <c r="Q27" i="368"/>
  <c r="P27" i="368"/>
  <c r="O27" i="368"/>
  <c r="N27" i="368"/>
  <c r="M27" i="368"/>
  <c r="L27" i="368"/>
  <c r="L29" i="368" s="1"/>
  <c r="C24" i="368"/>
  <c r="L19" i="368"/>
  <c r="D19" i="368"/>
  <c r="AI17" i="368"/>
  <c r="AH17" i="368"/>
  <c r="AG17" i="368"/>
  <c r="AF17" i="368"/>
  <c r="AF27" i="368" s="1"/>
  <c r="AE17" i="368"/>
  <c r="AE27" i="368" s="1"/>
  <c r="AD17" i="368"/>
  <c r="AC17" i="368"/>
  <c r="AB17" i="368"/>
  <c r="AA17" i="368"/>
  <c r="Z17" i="368"/>
  <c r="Y17" i="368"/>
  <c r="X17" i="368"/>
  <c r="W17" i="368"/>
  <c r="V17" i="368"/>
  <c r="U17" i="368"/>
  <c r="T17" i="368"/>
  <c r="T27" i="368" s="1"/>
  <c r="S17" i="368"/>
  <c r="S27" i="368" s="1"/>
  <c r="R17" i="368"/>
  <c r="Q17" i="368"/>
  <c r="P17" i="368"/>
  <c r="O17" i="368"/>
  <c r="N17" i="368"/>
  <c r="M17" i="368"/>
  <c r="L17" i="368"/>
  <c r="L11" i="368" s="1"/>
  <c r="K17" i="368"/>
  <c r="K11" i="368" s="1"/>
  <c r="AI9" i="368"/>
  <c r="AG69" i="6"/>
  <c r="O70" i="6"/>
  <c r="L70" i="6"/>
  <c r="E70" i="6"/>
  <c r="D84" i="6"/>
  <c r="D98" i="6"/>
  <c r="D122" i="6"/>
  <c r="D70" i="6"/>
  <c r="H70" i="6"/>
  <c r="M15" i="367"/>
  <c r="L15" i="367"/>
  <c r="I15" i="367"/>
  <c r="C17" i="366" s="1"/>
  <c r="M12" i="367"/>
  <c r="L12" i="367"/>
  <c r="K12" i="367"/>
  <c r="K15" i="367" s="1"/>
  <c r="J12" i="367"/>
  <c r="J15" i="367" s="1"/>
  <c r="I12" i="367"/>
  <c r="F34" i="366"/>
  <c r="E34" i="366"/>
  <c r="D12" i="366"/>
  <c r="C34" i="366"/>
  <c r="D29" i="366"/>
  <c r="C29" i="366"/>
  <c r="N29" i="366"/>
  <c r="M29" i="366"/>
  <c r="L12" i="366"/>
  <c r="F29" i="366"/>
  <c r="E29" i="366"/>
  <c r="D28" i="366"/>
  <c r="N27" i="366"/>
  <c r="M27" i="366"/>
  <c r="L27" i="366"/>
  <c r="K27" i="366"/>
  <c r="F24" i="366"/>
  <c r="D19" i="366"/>
  <c r="N19" i="366"/>
  <c r="M19" i="366"/>
  <c r="L19" i="366"/>
  <c r="K19" i="366"/>
  <c r="F19" i="366"/>
  <c r="C12" i="366"/>
  <c r="E11" i="368" l="1"/>
  <c r="D24" i="368"/>
  <c r="E24" i="368"/>
  <c r="K11" i="366"/>
  <c r="C24" i="366"/>
  <c r="D24" i="366"/>
  <c r="D11" i="368"/>
  <c r="F24" i="368"/>
  <c r="E19" i="368"/>
  <c r="F19" i="368"/>
  <c r="D11" i="366"/>
  <c r="D14" i="366" s="1"/>
  <c r="AG94" i="6"/>
  <c r="K18" i="5"/>
  <c r="E18" i="5"/>
  <c r="G18" i="5" s="1"/>
  <c r="R58" i="6"/>
  <c r="AJ58" i="6" s="1"/>
  <c r="AG70" i="6"/>
  <c r="M11" i="368"/>
  <c r="I12" i="369"/>
  <c r="C17" i="368" s="1"/>
  <c r="C27" i="368"/>
  <c r="M28" i="368"/>
  <c r="L12" i="368"/>
  <c r="L14" i="368" s="1"/>
  <c r="D29" i="368"/>
  <c r="D12" i="368"/>
  <c r="D14" i="368" s="1"/>
  <c r="M29" i="368"/>
  <c r="M19" i="368"/>
  <c r="F11" i="368"/>
  <c r="U27" i="368"/>
  <c r="AG27" i="368"/>
  <c r="E12" i="368"/>
  <c r="E14" i="368" s="1"/>
  <c r="V27" i="368"/>
  <c r="AH27" i="368"/>
  <c r="F12" i="368"/>
  <c r="K27" i="368"/>
  <c r="W27" i="368"/>
  <c r="AI27" i="368"/>
  <c r="K19" i="368"/>
  <c r="R27" i="368"/>
  <c r="AD27" i="368"/>
  <c r="K12" i="366"/>
  <c r="D34" i="366"/>
  <c r="M12" i="366"/>
  <c r="F11" i="366"/>
  <c r="L29" i="366"/>
  <c r="E19" i="366"/>
  <c r="N12" i="366"/>
  <c r="E24" i="366"/>
  <c r="C19" i="366"/>
  <c r="C11" i="366"/>
  <c r="E12" i="366"/>
  <c r="E11" i="366"/>
  <c r="E14" i="366" s="1"/>
  <c r="K29" i="366"/>
  <c r="F12" i="366"/>
  <c r="L11" i="366"/>
  <c r="L14" i="366" s="1"/>
  <c r="N11" i="366"/>
  <c r="M11" i="366"/>
  <c r="F14" i="368" l="1"/>
  <c r="H12" i="366"/>
  <c r="G69" i="6" s="1"/>
  <c r="P12" i="366"/>
  <c r="M14" i="366"/>
  <c r="N19" i="368"/>
  <c r="N11" i="368"/>
  <c r="N28" i="368"/>
  <c r="M12" i="368"/>
  <c r="M14" i="368" s="1"/>
  <c r="C12" i="368"/>
  <c r="H12" i="368" s="1"/>
  <c r="G67" i="6" s="1"/>
  <c r="C29" i="368"/>
  <c r="K12" i="368"/>
  <c r="K29" i="368"/>
  <c r="C11" i="368"/>
  <c r="C19" i="368"/>
  <c r="K14" i="366"/>
  <c r="N14" i="366"/>
  <c r="F14" i="366"/>
  <c r="C14" i="366"/>
  <c r="H14" i="366" s="1"/>
  <c r="H11" i="366"/>
  <c r="F69" i="6" s="1"/>
  <c r="P14" i="366"/>
  <c r="P11" i="366"/>
  <c r="K14" i="368" l="1"/>
  <c r="O19" i="368"/>
  <c r="O11" i="368"/>
  <c r="C14" i="368"/>
  <c r="H14" i="368" s="1"/>
  <c r="H11" i="368"/>
  <c r="F67" i="6" s="1"/>
  <c r="O28" i="368"/>
  <c r="N12" i="368"/>
  <c r="N29" i="368"/>
  <c r="I69" i="6"/>
  <c r="P69" i="6"/>
  <c r="AI92" i="6"/>
  <c r="AG91" i="6"/>
  <c r="O92" i="6"/>
  <c r="M98" i="6"/>
  <c r="M99" i="6"/>
  <c r="M115" i="6"/>
  <c r="M122" i="6"/>
  <c r="L92" i="6"/>
  <c r="H92" i="6"/>
  <c r="E92" i="6"/>
  <c r="M13" i="365"/>
  <c r="L13" i="365"/>
  <c r="K13" i="365"/>
  <c r="J13" i="365"/>
  <c r="I13" i="365"/>
  <c r="C17" i="364"/>
  <c r="C19" i="364" s="1"/>
  <c r="C11" i="364"/>
  <c r="C116" i="363"/>
  <c r="E111" i="363"/>
  <c r="I60" i="363" s="1"/>
  <c r="X17" i="362" s="1"/>
  <c r="I35" i="363"/>
  <c r="K17" i="362" s="1"/>
  <c r="K19" i="362" s="1"/>
  <c r="I62" i="363"/>
  <c r="I63" i="363" s="1"/>
  <c r="Y17" i="362" s="1"/>
  <c r="I10" i="363"/>
  <c r="I99" i="363" s="1"/>
  <c r="D117" i="363"/>
  <c r="U22" i="362"/>
  <c r="U24" i="362" s="1"/>
  <c r="M22" i="362"/>
  <c r="M12" i="362" s="1"/>
  <c r="I22" i="362"/>
  <c r="I24" i="362" s="1"/>
  <c r="M19" i="362"/>
  <c r="U19" i="362"/>
  <c r="I19" i="362"/>
  <c r="AD17" i="362"/>
  <c r="AD11" i="362" s="1"/>
  <c r="AB17" i="362"/>
  <c r="AB22" i="362" s="1"/>
  <c r="AA17" i="362"/>
  <c r="AA19" i="362" s="1"/>
  <c r="W17" i="362"/>
  <c r="W19" i="362" s="1"/>
  <c r="V17" i="362"/>
  <c r="V19" i="362" s="1"/>
  <c r="S17" i="362"/>
  <c r="S22" i="362" s="1"/>
  <c r="R17" i="362"/>
  <c r="R19" i="362" s="1"/>
  <c r="Q17" i="362"/>
  <c r="Q22" i="362" s="1"/>
  <c r="P17" i="362"/>
  <c r="P22" i="362" s="1"/>
  <c r="O17" i="362"/>
  <c r="O22" i="362" s="1"/>
  <c r="N17" i="362"/>
  <c r="N19" i="362" s="1"/>
  <c r="L17" i="362"/>
  <c r="L19" i="362" s="1"/>
  <c r="J17" i="362"/>
  <c r="J19" i="362" s="1"/>
  <c r="H17" i="362"/>
  <c r="H22" i="362" s="1"/>
  <c r="AA11" i="362"/>
  <c r="U11" i="362"/>
  <c r="M11" i="362"/>
  <c r="I11" i="362"/>
  <c r="I12" i="362" l="1"/>
  <c r="N22" i="362"/>
  <c r="N12" i="362" s="1"/>
  <c r="V22" i="362"/>
  <c r="V24" i="362" s="1"/>
  <c r="AA22" i="362"/>
  <c r="AA24" i="362" s="1"/>
  <c r="AG92" i="6"/>
  <c r="N14" i="368"/>
  <c r="P28" i="368"/>
  <c r="O29" i="368"/>
  <c r="O12" i="368"/>
  <c r="P11" i="368"/>
  <c r="P19" i="368"/>
  <c r="R69" i="6"/>
  <c r="AJ69" i="6" s="1"/>
  <c r="C22" i="364"/>
  <c r="C12" i="364" s="1"/>
  <c r="E12" i="364" s="1"/>
  <c r="N91" i="6" s="1"/>
  <c r="E11" i="364"/>
  <c r="M91" i="6" s="1"/>
  <c r="C24" i="364"/>
  <c r="J11" i="362"/>
  <c r="L22" i="362"/>
  <c r="L24" i="362" s="1"/>
  <c r="L11" i="362"/>
  <c r="P11" i="362"/>
  <c r="I14" i="362"/>
  <c r="W22" i="362"/>
  <c r="I52" i="363"/>
  <c r="T17" i="362" s="1"/>
  <c r="T11" i="362" s="1"/>
  <c r="U12" i="362"/>
  <c r="U14" i="362" s="1"/>
  <c r="C22" i="362"/>
  <c r="C12" i="362" s="1"/>
  <c r="J22" i="362"/>
  <c r="J24" i="362" s="1"/>
  <c r="K22" i="362"/>
  <c r="H24" i="362"/>
  <c r="H12" i="362"/>
  <c r="AB24" i="362"/>
  <c r="AB12" i="362"/>
  <c r="AF22" i="362"/>
  <c r="AF17" i="362"/>
  <c r="M14" i="362"/>
  <c r="O24" i="362"/>
  <c r="O12" i="362"/>
  <c r="T22" i="362"/>
  <c r="P24" i="362"/>
  <c r="P12" i="362"/>
  <c r="Y19" i="362"/>
  <c r="Y11" i="362"/>
  <c r="Y22" i="362"/>
  <c r="Q24" i="362"/>
  <c r="Q12" i="362"/>
  <c r="X19" i="362"/>
  <c r="X22" i="362"/>
  <c r="X11" i="362"/>
  <c r="S24" i="362"/>
  <c r="S12" i="362"/>
  <c r="D116" i="363"/>
  <c r="O11" i="362"/>
  <c r="O19" i="362"/>
  <c r="AB11" i="362"/>
  <c r="I66" i="363"/>
  <c r="Z17" i="362" s="1"/>
  <c r="Q11" i="362"/>
  <c r="Q19" i="362"/>
  <c r="S19" i="362"/>
  <c r="M24" i="362"/>
  <c r="I79" i="363"/>
  <c r="AE17" i="362" s="1"/>
  <c r="H11" i="362"/>
  <c r="H19" i="362"/>
  <c r="R22" i="362"/>
  <c r="AD22" i="362"/>
  <c r="N24" i="362"/>
  <c r="C17" i="362"/>
  <c r="I83" i="363"/>
  <c r="N11" i="362"/>
  <c r="N14" i="362" s="1"/>
  <c r="V12" i="362"/>
  <c r="L12" i="362"/>
  <c r="L14" i="362" s="1"/>
  <c r="P19" i="362"/>
  <c r="AB19" i="362"/>
  <c r="D118" i="363"/>
  <c r="D119" i="363"/>
  <c r="R11" i="362"/>
  <c r="AD19" i="362"/>
  <c r="S11" i="362"/>
  <c r="AA12" i="362"/>
  <c r="AA14" i="362" s="1"/>
  <c r="I94" i="363"/>
  <c r="V11" i="362"/>
  <c r="I73" i="363"/>
  <c r="AC17" i="362" s="1"/>
  <c r="I76" i="363"/>
  <c r="D121" i="363" s="1"/>
  <c r="K11" i="362"/>
  <c r="W11" i="362"/>
  <c r="I49" i="363"/>
  <c r="D120" i="363" s="1"/>
  <c r="T19" i="362" l="1"/>
  <c r="J12" i="362"/>
  <c r="J14" i="362" s="1"/>
  <c r="Q28" i="368"/>
  <c r="P29" i="368"/>
  <c r="P12" i="368"/>
  <c r="P14" i="368" s="1"/>
  <c r="O14" i="368"/>
  <c r="R18" i="368"/>
  <c r="Q11" i="368"/>
  <c r="Q19" i="368"/>
  <c r="P91" i="6"/>
  <c r="R91" i="6" s="1"/>
  <c r="AJ91" i="6" s="1"/>
  <c r="C14" i="364"/>
  <c r="E14" i="364" s="1"/>
  <c r="E12" i="362"/>
  <c r="G83" i="6" s="1"/>
  <c r="C24" i="362"/>
  <c r="W24" i="362"/>
  <c r="W12" i="362"/>
  <c r="W14" i="362" s="1"/>
  <c r="K24" i="362"/>
  <c r="K12" i="362"/>
  <c r="K14" i="362" s="1"/>
  <c r="S14" i="362"/>
  <c r="P14" i="362"/>
  <c r="V14" i="362"/>
  <c r="AB14" i="362"/>
  <c r="AC19" i="362"/>
  <c r="AC11" i="362"/>
  <c r="AC22" i="362"/>
  <c r="Q14" i="362"/>
  <c r="Z19" i="362"/>
  <c r="Z22" i="362"/>
  <c r="Z11" i="362"/>
  <c r="C11" i="362"/>
  <c r="C19" i="362"/>
  <c r="AF19" i="362"/>
  <c r="AF11" i="362"/>
  <c r="R24" i="362"/>
  <c r="R12" i="362"/>
  <c r="R14" i="362" s="1"/>
  <c r="Y12" i="362"/>
  <c r="Y14" i="362" s="1"/>
  <c r="Y24" i="362"/>
  <c r="AF12" i="362"/>
  <c r="AF24" i="362"/>
  <c r="AD24" i="362"/>
  <c r="AD12" i="362"/>
  <c r="AD14" i="362" s="1"/>
  <c r="O14" i="362"/>
  <c r="H14" i="362"/>
  <c r="AE22" i="362"/>
  <c r="AE19" i="362"/>
  <c r="AE11" i="362"/>
  <c r="X24" i="362"/>
  <c r="X12" i="362"/>
  <c r="X14" i="362" s="1"/>
  <c r="T24" i="362"/>
  <c r="T12" i="362"/>
  <c r="T14" i="362" s="1"/>
  <c r="AF14" i="362" l="1"/>
  <c r="U18" i="368"/>
  <c r="R11" i="368"/>
  <c r="S18" i="368"/>
  <c r="R19" i="368"/>
  <c r="R28" i="368"/>
  <c r="Q29" i="368"/>
  <c r="Q12" i="368"/>
  <c r="Q14" i="368" s="1"/>
  <c r="AH11" i="362"/>
  <c r="M83" i="6" s="1"/>
  <c r="C14" i="362"/>
  <c r="E11" i="362"/>
  <c r="F83" i="6" s="1"/>
  <c r="F84" i="6" s="1"/>
  <c r="Z12" i="362"/>
  <c r="Z14" i="362" s="1"/>
  <c r="Z24" i="362"/>
  <c r="AC24" i="362"/>
  <c r="AC12" i="362"/>
  <c r="AC14" i="362" s="1"/>
  <c r="AE24" i="362"/>
  <c r="AE12" i="362"/>
  <c r="AE14" i="362" s="1"/>
  <c r="U28" i="368" l="1"/>
  <c r="S28" i="368"/>
  <c r="R29" i="368"/>
  <c r="R12" i="368"/>
  <c r="R14" i="368" s="1"/>
  <c r="S11" i="368"/>
  <c r="T18" i="368"/>
  <c r="S19" i="368"/>
  <c r="V18" i="368"/>
  <c r="U11" i="368"/>
  <c r="U19" i="368"/>
  <c r="AH14" i="362"/>
  <c r="E14" i="362"/>
  <c r="C39" i="362"/>
  <c r="AH12" i="362"/>
  <c r="N83" i="6" s="1"/>
  <c r="T11" i="368" l="1"/>
  <c r="T19" i="368"/>
  <c r="T28" i="368"/>
  <c r="S29" i="368"/>
  <c r="S12" i="368"/>
  <c r="S14" i="368" s="1"/>
  <c r="W18" i="368"/>
  <c r="V11" i="368"/>
  <c r="V19" i="368"/>
  <c r="V28" i="368"/>
  <c r="U12" i="368"/>
  <c r="U14" i="368" s="1"/>
  <c r="U29" i="368"/>
  <c r="N75" i="6"/>
  <c r="M84" i="6"/>
  <c r="M85" i="6"/>
  <c r="M92" i="6" s="1"/>
  <c r="I13" i="361"/>
  <c r="H13" i="361"/>
  <c r="H9" i="361"/>
  <c r="E22" i="360"/>
  <c r="E12" i="360" s="1"/>
  <c r="D22" i="360"/>
  <c r="D12" i="360" s="1"/>
  <c r="E17" i="360"/>
  <c r="E19" i="360" s="1"/>
  <c r="D17" i="360"/>
  <c r="D19" i="360" s="1"/>
  <c r="C17" i="360"/>
  <c r="C22" i="360" s="1"/>
  <c r="X18" i="368" l="1"/>
  <c r="W11" i="368"/>
  <c r="W19" i="368"/>
  <c r="W28" i="368"/>
  <c r="V29" i="368"/>
  <c r="V12" i="368"/>
  <c r="V14" i="368" s="1"/>
  <c r="T29" i="368"/>
  <c r="T12" i="368"/>
  <c r="T14" i="368" s="1"/>
  <c r="C12" i="360"/>
  <c r="G12" i="360" s="1"/>
  <c r="C24" i="360"/>
  <c r="D24" i="360"/>
  <c r="E24" i="360"/>
  <c r="C11" i="360"/>
  <c r="D11" i="360"/>
  <c r="D14" i="360" s="1"/>
  <c r="E11" i="360"/>
  <c r="E14" i="360" s="1"/>
  <c r="C19" i="360"/>
  <c r="X28" i="368" l="1"/>
  <c r="W29" i="368"/>
  <c r="W12" i="368"/>
  <c r="W14" i="368" s="1"/>
  <c r="X19" i="368"/>
  <c r="Y18" i="368"/>
  <c r="X11" i="368"/>
  <c r="C14" i="360"/>
  <c r="G14" i="360" s="1"/>
  <c r="G11" i="360"/>
  <c r="M75" i="6" s="1"/>
  <c r="M79" i="6" s="1"/>
  <c r="Y19" i="368" l="1"/>
  <c r="Z18" i="368"/>
  <c r="Y11" i="368"/>
  <c r="Y28" i="368"/>
  <c r="X12" i="368"/>
  <c r="X14" i="368" s="1"/>
  <c r="X29" i="368"/>
  <c r="N118" i="6"/>
  <c r="D17" i="358"/>
  <c r="C17" i="358"/>
  <c r="D23" i="358"/>
  <c r="D18" i="358"/>
  <c r="D19" i="358" l="1"/>
  <c r="D11" i="358"/>
  <c r="D22" i="358"/>
  <c r="D12" i="358" s="1"/>
  <c r="Z28" i="368"/>
  <c r="Y12" i="368"/>
  <c r="Y14" i="368" s="1"/>
  <c r="Y29" i="368"/>
  <c r="AA18" i="368"/>
  <c r="Z19" i="368"/>
  <c r="Z11" i="368"/>
  <c r="C11" i="358"/>
  <c r="C22" i="358"/>
  <c r="C19" i="358"/>
  <c r="D14" i="358" l="1"/>
  <c r="D34" i="358" s="1"/>
  <c r="D24" i="358"/>
  <c r="AA19" i="368"/>
  <c r="AB18" i="368"/>
  <c r="AA11" i="368"/>
  <c r="AA28" i="368"/>
  <c r="Z12" i="368"/>
  <c r="Z14" i="368" s="1"/>
  <c r="Z29" i="368"/>
  <c r="C24" i="358"/>
  <c r="C12" i="358"/>
  <c r="F12" i="358" s="1"/>
  <c r="C14" i="358"/>
  <c r="F11" i="358"/>
  <c r="M118" i="6" s="1"/>
  <c r="F14" i="358" l="1"/>
  <c r="C34" i="358"/>
  <c r="AB28" i="368"/>
  <c r="AA12" i="368"/>
  <c r="AA14" i="368" s="1"/>
  <c r="AA29" i="368"/>
  <c r="AC18" i="368"/>
  <c r="AB11" i="368"/>
  <c r="AB19" i="368"/>
  <c r="H120" i="6"/>
  <c r="L120" i="6"/>
  <c r="O120" i="6"/>
  <c r="I10" i="357"/>
  <c r="E34" i="356"/>
  <c r="D12" i="356"/>
  <c r="C34" i="356"/>
  <c r="C29" i="356"/>
  <c r="N29" i="356"/>
  <c r="L29" i="356"/>
  <c r="F29" i="356"/>
  <c r="E29" i="356"/>
  <c r="D28" i="356"/>
  <c r="D29" i="356" s="1"/>
  <c r="N27" i="356"/>
  <c r="M27" i="356"/>
  <c r="L27" i="356"/>
  <c r="D24" i="356"/>
  <c r="C24" i="356"/>
  <c r="F19" i="356"/>
  <c r="D19" i="356"/>
  <c r="C19" i="356"/>
  <c r="N11" i="356"/>
  <c r="M19" i="356"/>
  <c r="L11" i="356"/>
  <c r="K17" i="356"/>
  <c r="K27" i="356" s="1"/>
  <c r="F11" i="356"/>
  <c r="E19" i="356"/>
  <c r="C12" i="356"/>
  <c r="D11" i="356"/>
  <c r="E11" i="356" l="1"/>
  <c r="F12" i="356"/>
  <c r="F14" i="356" s="1"/>
  <c r="E24" i="356"/>
  <c r="F24" i="356"/>
  <c r="D34" i="356"/>
  <c r="F34" i="356"/>
  <c r="C11" i="356"/>
  <c r="M29" i="356"/>
  <c r="D14" i="356"/>
  <c r="M11" i="356"/>
  <c r="L19" i="356"/>
  <c r="L12" i="356"/>
  <c r="L14" i="356" s="1"/>
  <c r="N12" i="356"/>
  <c r="N14" i="356"/>
  <c r="AC11" i="368"/>
  <c r="AD18" i="368"/>
  <c r="AC19" i="368"/>
  <c r="AC28" i="368"/>
  <c r="AB12" i="368"/>
  <c r="AB14" i="368" s="1"/>
  <c r="AB29" i="368"/>
  <c r="K19" i="356"/>
  <c r="H11" i="356"/>
  <c r="C14" i="356"/>
  <c r="K12" i="356"/>
  <c r="K29" i="356"/>
  <c r="E12" i="356"/>
  <c r="E14" i="356" s="1"/>
  <c r="K11" i="356"/>
  <c r="M12" i="356"/>
  <c r="N19" i="356"/>
  <c r="M14" i="356" l="1"/>
  <c r="AC29" i="368"/>
  <c r="AD28" i="368"/>
  <c r="AC12" i="368"/>
  <c r="AC14" i="368" s="1"/>
  <c r="AD11" i="368"/>
  <c r="AE18" i="368"/>
  <c r="AD19" i="368"/>
  <c r="P11" i="356"/>
  <c r="M119" i="6" s="1"/>
  <c r="M120" i="6" s="1"/>
  <c r="K14" i="356"/>
  <c r="P14" i="356" s="1"/>
  <c r="H14" i="356"/>
  <c r="P12" i="356"/>
  <c r="H12" i="356"/>
  <c r="AE11" i="368" l="1"/>
  <c r="AF18" i="368"/>
  <c r="AE19" i="368"/>
  <c r="AE28" i="368"/>
  <c r="AD12" i="368"/>
  <c r="AD14" i="368" s="1"/>
  <c r="AD29" i="368"/>
  <c r="F34" i="354"/>
  <c r="E34" i="354"/>
  <c r="D34" i="354"/>
  <c r="C34" i="354"/>
  <c r="F29" i="354"/>
  <c r="N12" i="354"/>
  <c r="M12" i="354"/>
  <c r="E29" i="354"/>
  <c r="D28" i="354"/>
  <c r="N27" i="354"/>
  <c r="M27" i="354"/>
  <c r="L27" i="354"/>
  <c r="L12" i="354" s="1"/>
  <c r="K27" i="354"/>
  <c r="K12" i="354" s="1"/>
  <c r="C27" i="354"/>
  <c r="D24" i="354"/>
  <c r="C24" i="354"/>
  <c r="D19" i="354"/>
  <c r="N19" i="354"/>
  <c r="M19" i="354"/>
  <c r="L19" i="354"/>
  <c r="K19" i="354"/>
  <c r="C19" i="354"/>
  <c r="E19" i="354"/>
  <c r="C17" i="354"/>
  <c r="L11" i="354"/>
  <c r="L14" i="354" s="1"/>
  <c r="M11" i="354" l="1"/>
  <c r="M14" i="354" s="1"/>
  <c r="E24" i="354"/>
  <c r="F24" i="354"/>
  <c r="N11" i="354"/>
  <c r="N14" i="354" s="1"/>
  <c r="N29" i="354"/>
  <c r="P12" i="354"/>
  <c r="M29" i="354"/>
  <c r="F11" i="354"/>
  <c r="E11" i="354"/>
  <c r="E14" i="354" s="1"/>
  <c r="C11" i="354"/>
  <c r="K11" i="354"/>
  <c r="P11" i="354" s="1"/>
  <c r="C29" i="354"/>
  <c r="AF28" i="368"/>
  <c r="AE29" i="368"/>
  <c r="AE12" i="368"/>
  <c r="AE14" i="368" s="1"/>
  <c r="AG18" i="368"/>
  <c r="AF11" i="368"/>
  <c r="AF19" i="368"/>
  <c r="P119" i="6"/>
  <c r="D29" i="354"/>
  <c r="D12" i="354"/>
  <c r="K29" i="354"/>
  <c r="D11" i="354"/>
  <c r="F12" i="354"/>
  <c r="F14" i="354" s="1"/>
  <c r="L29" i="354"/>
  <c r="E12" i="354"/>
  <c r="F19" i="354"/>
  <c r="C12" i="354"/>
  <c r="K14" i="354" l="1"/>
  <c r="P14" i="354" s="1"/>
  <c r="I119" i="6"/>
  <c r="R119" i="6" s="1"/>
  <c r="AJ119" i="6" s="1"/>
  <c r="AH18" i="368"/>
  <c r="AG11" i="368"/>
  <c r="AG19" i="368"/>
  <c r="AG28" i="368"/>
  <c r="AF12" i="368"/>
  <c r="AF14" i="368" s="1"/>
  <c r="AF29" i="368"/>
  <c r="C14" i="354"/>
  <c r="H12" i="354"/>
  <c r="G61" i="6" s="1"/>
  <c r="D14" i="354"/>
  <c r="H11" i="354"/>
  <c r="F61" i="6" s="1"/>
  <c r="H14" i="354" l="1"/>
  <c r="AI18" i="368"/>
  <c r="AH11" i="368"/>
  <c r="AH19" i="368"/>
  <c r="AH28" i="368"/>
  <c r="AG12" i="368"/>
  <c r="AG14" i="368" s="1"/>
  <c r="AG29" i="368"/>
  <c r="F34" i="352"/>
  <c r="E34" i="352"/>
  <c r="D34" i="352"/>
  <c r="C34" i="352"/>
  <c r="N12" i="352"/>
  <c r="M12" i="352"/>
  <c r="F29" i="352"/>
  <c r="E29" i="352"/>
  <c r="D28" i="352"/>
  <c r="N27" i="352"/>
  <c r="M27" i="352"/>
  <c r="L27" i="352"/>
  <c r="L12" i="352" s="1"/>
  <c r="K27" i="352"/>
  <c r="C27" i="352"/>
  <c r="C24" i="352"/>
  <c r="D19" i="352"/>
  <c r="N11" i="352"/>
  <c r="M19" i="352"/>
  <c r="L19" i="352"/>
  <c r="K19" i="352"/>
  <c r="F19" i="352"/>
  <c r="C17" i="352"/>
  <c r="C19" i="352" l="1"/>
  <c r="N14" i="352"/>
  <c r="E24" i="352"/>
  <c r="N29" i="352"/>
  <c r="M11" i="352"/>
  <c r="M14" i="352" s="1"/>
  <c r="M29" i="352"/>
  <c r="F24" i="352"/>
  <c r="N19" i="352"/>
  <c r="E19" i="352"/>
  <c r="C11" i="352"/>
  <c r="K11" i="352"/>
  <c r="K14" i="352" s="1"/>
  <c r="P14" i="352" s="1"/>
  <c r="F11" i="352"/>
  <c r="C12" i="352"/>
  <c r="L11" i="352"/>
  <c r="L14" i="352" s="1"/>
  <c r="D24" i="352"/>
  <c r="K12" i="352"/>
  <c r="P12" i="352" s="1"/>
  <c r="AI28" i="368"/>
  <c r="AH29" i="368"/>
  <c r="AH12" i="368"/>
  <c r="AH14" i="368" s="1"/>
  <c r="AI11" i="368"/>
  <c r="AI19" i="368"/>
  <c r="D29" i="352"/>
  <c r="D12" i="352"/>
  <c r="E11" i="352"/>
  <c r="E12" i="352"/>
  <c r="K29" i="352"/>
  <c r="D11" i="352"/>
  <c r="L29" i="352"/>
  <c r="F12" i="352"/>
  <c r="C29" i="352"/>
  <c r="C14" i="352" l="1"/>
  <c r="F14" i="352"/>
  <c r="D14" i="352"/>
  <c r="H12" i="352"/>
  <c r="G37" i="6" s="1"/>
  <c r="P11" i="352"/>
  <c r="AK11" i="368"/>
  <c r="M67" i="6" s="1"/>
  <c r="AI12" i="368"/>
  <c r="AK12" i="368" s="1"/>
  <c r="N67" i="6" s="1"/>
  <c r="AI29" i="368"/>
  <c r="H11" i="352"/>
  <c r="F37" i="6" s="1"/>
  <c r="E14" i="352"/>
  <c r="H14" i="352" l="1"/>
  <c r="AI14" i="368"/>
  <c r="AK14" i="368" s="1"/>
  <c r="T92" i="351"/>
  <c r="S92" i="351"/>
  <c r="R92" i="351"/>
  <c r="N92" i="351"/>
  <c r="G92" i="351"/>
  <c r="D92" i="351"/>
  <c r="U92" i="351" s="1"/>
  <c r="T90" i="351"/>
  <c r="S90" i="351"/>
  <c r="R90" i="351"/>
  <c r="U90" i="351" s="1"/>
  <c r="N90" i="351"/>
  <c r="G90" i="351"/>
  <c r="D90" i="351"/>
  <c r="R87" i="351"/>
  <c r="N87" i="351"/>
  <c r="G87" i="351"/>
  <c r="D87" i="351"/>
  <c r="U86" i="351"/>
  <c r="T86" i="351"/>
  <c r="S86" i="351"/>
  <c r="R86" i="351"/>
  <c r="N86" i="351"/>
  <c r="G86" i="351"/>
  <c r="D86" i="351"/>
  <c r="C77" i="351"/>
  <c r="T71" i="351"/>
  <c r="S71" i="351"/>
  <c r="R71" i="351"/>
  <c r="N71" i="351"/>
  <c r="G71" i="351"/>
  <c r="D71" i="351"/>
  <c r="U71" i="351" s="1"/>
  <c r="T69" i="351"/>
  <c r="G69" i="351"/>
  <c r="D69" i="351"/>
  <c r="S63" i="351"/>
  <c r="S69" i="351" s="1"/>
  <c r="S70" i="351" s="1"/>
  <c r="R63" i="351"/>
  <c r="R69" i="351" s="1"/>
  <c r="R70" i="351" s="1"/>
  <c r="N63" i="351"/>
  <c r="N69" i="351" s="1"/>
  <c r="N70" i="351" s="1"/>
  <c r="U61" i="351"/>
  <c r="U62" i="351" s="1"/>
  <c r="R83" i="351"/>
  <c r="T40" i="351"/>
  <c r="D40" i="351"/>
  <c r="T39" i="351"/>
  <c r="D39" i="351"/>
  <c r="G29" i="351"/>
  <c r="D29" i="351"/>
  <c r="D38" i="351" s="1"/>
  <c r="G28" i="351"/>
  <c r="G27" i="351"/>
  <c r="G26" i="351"/>
  <c r="G25" i="351"/>
  <c r="G24" i="351"/>
  <c r="G23" i="351"/>
  <c r="C24" i="350"/>
  <c r="C26" i="350" s="1"/>
  <c r="C21" i="350"/>
  <c r="C11" i="350" l="1"/>
  <c r="E11" i="350" s="1"/>
  <c r="F116" i="6" s="1"/>
  <c r="S83" i="351"/>
  <c r="T83" i="351"/>
  <c r="D41" i="351"/>
  <c r="D42" i="351" s="1"/>
  <c r="T38" i="351"/>
  <c r="T41" i="351" s="1"/>
  <c r="T42" i="351" s="1"/>
  <c r="S88" i="351"/>
  <c r="T88" i="351"/>
  <c r="R88" i="351"/>
  <c r="N88" i="351"/>
  <c r="G88" i="351"/>
  <c r="D88" i="351"/>
  <c r="U88" i="351" s="1"/>
  <c r="G30" i="351"/>
  <c r="U58" i="351"/>
  <c r="S87" i="351"/>
  <c r="U87" i="351" s="1"/>
  <c r="T87" i="351"/>
  <c r="D83" i="351"/>
  <c r="G83" i="351"/>
  <c r="C12" i="350"/>
  <c r="E12" i="350" s="1"/>
  <c r="G116" i="6" s="1"/>
  <c r="N83" i="351"/>
  <c r="U83" i="351" l="1"/>
  <c r="U63" i="351"/>
  <c r="D84" i="351"/>
  <c r="T84" i="351"/>
  <c r="S84" i="351"/>
  <c r="R84" i="351"/>
  <c r="N84" i="351"/>
  <c r="U59" i="351"/>
  <c r="G84" i="351"/>
  <c r="C14" i="350"/>
  <c r="E14" i="350" l="1"/>
  <c r="C36" i="350"/>
  <c r="U84" i="351"/>
  <c r="D89" i="351"/>
  <c r="T89" i="351"/>
  <c r="G89" i="351"/>
  <c r="N89" i="351"/>
  <c r="S89" i="351"/>
  <c r="R89" i="351"/>
  <c r="R95" i="351"/>
  <c r="D95" i="351"/>
  <c r="G85" i="351"/>
  <c r="G95" i="351" s="1"/>
  <c r="U67" i="351"/>
  <c r="D85" i="351"/>
  <c r="T85" i="351"/>
  <c r="T95" i="351" s="1"/>
  <c r="S85" i="351"/>
  <c r="S95" i="351" s="1"/>
  <c r="R85" i="351"/>
  <c r="N85" i="351"/>
  <c r="N95" i="351" s="1"/>
  <c r="U89" i="351" l="1"/>
  <c r="U85" i="351"/>
  <c r="U95" i="351" s="1"/>
  <c r="V95" i="351" s="1"/>
  <c r="T93" i="351"/>
  <c r="S93" i="351"/>
  <c r="U68" i="351"/>
  <c r="R93" i="351"/>
  <c r="N93" i="351"/>
  <c r="G93" i="351"/>
  <c r="D93" i="351"/>
  <c r="U93" i="351" s="1"/>
  <c r="U65" i="351"/>
  <c r="T91" i="351" l="1"/>
  <c r="S91" i="351"/>
  <c r="R91" i="351"/>
  <c r="N91" i="351"/>
  <c r="G91" i="351"/>
  <c r="D91" i="351"/>
  <c r="U91" i="351" s="1"/>
  <c r="G94" i="351"/>
  <c r="D94" i="351"/>
  <c r="T94" i="351"/>
  <c r="S94" i="351"/>
  <c r="R94" i="351"/>
  <c r="N94" i="351"/>
  <c r="U94" i="351" l="1"/>
  <c r="J36" i="349" l="1"/>
  <c r="I36" i="349"/>
  <c r="H17" i="348" s="1"/>
  <c r="J17" i="349"/>
  <c r="I17" i="349"/>
  <c r="I16" i="349"/>
  <c r="J15" i="349"/>
  <c r="I15" i="349"/>
  <c r="U11" i="349"/>
  <c r="T11" i="349"/>
  <c r="S11" i="349"/>
  <c r="R11" i="349"/>
  <c r="Q11" i="349"/>
  <c r="P11" i="349"/>
  <c r="O11" i="349"/>
  <c r="N11" i="349"/>
  <c r="M11" i="349"/>
  <c r="L11" i="349"/>
  <c r="K11" i="349"/>
  <c r="J11" i="349"/>
  <c r="J12" i="349" s="1"/>
  <c r="J13" i="349" s="1"/>
  <c r="I11" i="349"/>
  <c r="C24" i="348" s="1"/>
  <c r="C26" i="348" l="1"/>
  <c r="C12" i="348"/>
  <c r="E12" i="348" s="1"/>
  <c r="G115" i="6" s="1"/>
  <c r="G120" i="6" s="1"/>
  <c r="H24" i="348"/>
  <c r="H21" i="348"/>
  <c r="H11" i="348"/>
  <c r="C17" i="348"/>
  <c r="H26" i="348" l="1"/>
  <c r="H12" i="348"/>
  <c r="J12" i="348" s="1"/>
  <c r="N115" i="6" s="1"/>
  <c r="N120" i="6" s="1"/>
  <c r="H14" i="348"/>
  <c r="J14" i="348" s="1"/>
  <c r="J11" i="348"/>
  <c r="C11" i="348"/>
  <c r="C21" i="348"/>
  <c r="C14" i="348" l="1"/>
  <c r="E11" i="348"/>
  <c r="F115" i="6" s="1"/>
  <c r="F120" i="6" s="1"/>
  <c r="E14" i="348" l="1"/>
  <c r="C34" i="348"/>
  <c r="C58" i="347"/>
  <c r="C59" i="347" s="1"/>
  <c r="C61" i="347" s="1"/>
  <c r="C48" i="347"/>
  <c r="C49" i="347" s="1"/>
  <c r="C51" i="347" s="1"/>
  <c r="C38" i="347"/>
  <c r="C39" i="347" s="1"/>
  <c r="C41" i="347" s="1"/>
  <c r="J11" i="347"/>
  <c r="C37" i="346"/>
  <c r="C32" i="346"/>
  <c r="C39" i="346" l="1"/>
  <c r="C12" i="346"/>
  <c r="E12" i="346" s="1"/>
  <c r="G109" i="6" s="1"/>
  <c r="C34" i="346"/>
  <c r="C43" i="347"/>
  <c r="E27" i="347" s="1"/>
  <c r="F27" i="347"/>
  <c r="I14" i="347"/>
  <c r="C27" i="346" s="1"/>
  <c r="C29" i="346" s="1"/>
  <c r="I12" i="347"/>
  <c r="C17" i="346" s="1"/>
  <c r="C53" i="347"/>
  <c r="E28" i="347" s="1"/>
  <c r="F28" i="347" s="1"/>
  <c r="I13" i="347"/>
  <c r="C22" i="346" s="1"/>
  <c r="C24" i="346" s="1"/>
  <c r="C63" i="347"/>
  <c r="E29" i="347" s="1"/>
  <c r="F29" i="347" s="1"/>
  <c r="C19" i="346" l="1"/>
  <c r="C11" i="346"/>
  <c r="F30" i="347"/>
  <c r="C14" i="346" l="1"/>
  <c r="E14" i="346" s="1"/>
  <c r="E11" i="346"/>
  <c r="F109" i="6" s="1"/>
  <c r="I109" i="6" s="1"/>
  <c r="C22" i="344" l="1"/>
  <c r="C24" i="344" s="1"/>
  <c r="I17" i="344"/>
  <c r="I22" i="344" s="1"/>
  <c r="H17" i="344"/>
  <c r="H22" i="344" s="1"/>
  <c r="C17" i="344"/>
  <c r="I11" i="344"/>
  <c r="H11" i="344"/>
  <c r="N106" i="6"/>
  <c r="J14" i="343"/>
  <c r="I14" i="343"/>
  <c r="D22" i="342"/>
  <c r="D12" i="342" s="1"/>
  <c r="F19" i="342"/>
  <c r="G17" i="342"/>
  <c r="G19" i="342" s="1"/>
  <c r="F17" i="342"/>
  <c r="F11" i="342" s="1"/>
  <c r="E17" i="342"/>
  <c r="E19" i="342" s="1"/>
  <c r="D17" i="342"/>
  <c r="D19" i="342" s="1"/>
  <c r="C17" i="342"/>
  <c r="C22" i="342" s="1"/>
  <c r="C11" i="344" l="1"/>
  <c r="E11" i="344" s="1"/>
  <c r="F108" i="6" s="1"/>
  <c r="H24" i="344"/>
  <c r="H12" i="344"/>
  <c r="H14" i="344" s="1"/>
  <c r="I24" i="344"/>
  <c r="I12" i="344"/>
  <c r="I14" i="344" s="1"/>
  <c r="H19" i="344"/>
  <c r="I19" i="344"/>
  <c r="K11" i="344"/>
  <c r="M108" i="6" s="1"/>
  <c r="C12" i="344"/>
  <c r="E12" i="344" s="1"/>
  <c r="G108" i="6" s="1"/>
  <c r="C19" i="344"/>
  <c r="C12" i="342"/>
  <c r="C24" i="342"/>
  <c r="E22" i="342"/>
  <c r="C11" i="342"/>
  <c r="F22" i="342"/>
  <c r="D14" i="342"/>
  <c r="G22" i="342"/>
  <c r="E11" i="342"/>
  <c r="C19" i="342"/>
  <c r="D24" i="342"/>
  <c r="G11" i="342"/>
  <c r="I108" i="6" l="1"/>
  <c r="K14" i="344"/>
  <c r="K12" i="344"/>
  <c r="N108" i="6" s="1"/>
  <c r="C14" i="344"/>
  <c r="E14" i="344" s="1"/>
  <c r="G12" i="342"/>
  <c r="G14" i="342" s="1"/>
  <c r="G24" i="342"/>
  <c r="F12" i="342"/>
  <c r="F14" i="342" s="1"/>
  <c r="F24" i="342"/>
  <c r="E24" i="342"/>
  <c r="E12" i="342"/>
  <c r="E14" i="342" s="1"/>
  <c r="I11" i="342"/>
  <c r="M106" i="6" s="1"/>
  <c r="C14" i="342"/>
  <c r="I12" i="342" l="1"/>
  <c r="I14" i="342"/>
  <c r="I16" i="341" l="1"/>
  <c r="I13" i="341"/>
  <c r="C17" i="340" s="1"/>
  <c r="E17" i="340"/>
  <c r="E19" i="340" s="1"/>
  <c r="D17" i="340"/>
  <c r="D19" i="340" s="1"/>
  <c r="E11" i="340"/>
  <c r="C19" i="340" l="1"/>
  <c r="C11" i="340"/>
  <c r="C22" i="340"/>
  <c r="D11" i="340"/>
  <c r="D22" i="340"/>
  <c r="E22" i="340"/>
  <c r="E12" i="340" l="1"/>
  <c r="E14" i="340" s="1"/>
  <c r="E24" i="340"/>
  <c r="D12" i="340"/>
  <c r="D24" i="340"/>
  <c r="D14" i="340"/>
  <c r="C12" i="340"/>
  <c r="C24" i="340"/>
  <c r="C14" i="340"/>
  <c r="G11" i="340"/>
  <c r="M105" i="6" s="1"/>
  <c r="G14" i="340" l="1"/>
  <c r="G12" i="340"/>
  <c r="N105" i="6" s="1"/>
  <c r="I34" i="339" l="1"/>
  <c r="I32" i="339"/>
  <c r="H32" i="339"/>
  <c r="H34" i="339" s="1"/>
  <c r="K17" i="338" s="1"/>
  <c r="H31" i="339"/>
  <c r="J17" i="338" s="1"/>
  <c r="C37" i="338"/>
  <c r="C32" i="338"/>
  <c r="C27" i="338"/>
  <c r="C22" i="338"/>
  <c r="C24" i="338" s="1"/>
  <c r="I19" i="338"/>
  <c r="C19" i="338"/>
  <c r="H19" i="338"/>
  <c r="I17" i="338"/>
  <c r="I11" i="338" s="1"/>
  <c r="H17" i="338"/>
  <c r="C17" i="338"/>
  <c r="C34" i="338" l="1"/>
  <c r="H11" i="338"/>
  <c r="C11" i="338"/>
  <c r="E11" i="338" s="1"/>
  <c r="F104" i="6" s="1"/>
  <c r="C29" i="338"/>
  <c r="C39" i="338"/>
  <c r="C12" i="338"/>
  <c r="E12" i="338" s="1"/>
  <c r="G104" i="6" s="1"/>
  <c r="J19" i="338"/>
  <c r="J22" i="338"/>
  <c r="J11" i="338"/>
  <c r="K11" i="338"/>
  <c r="K19" i="338"/>
  <c r="K22" i="338"/>
  <c r="H22" i="338"/>
  <c r="I22" i="338"/>
  <c r="I104" i="6" l="1"/>
  <c r="C14" i="338"/>
  <c r="E14" i="338" s="1"/>
  <c r="J12" i="338"/>
  <c r="J14" i="338" s="1"/>
  <c r="J24" i="338"/>
  <c r="K24" i="338"/>
  <c r="K12" i="338"/>
  <c r="K14" i="338" s="1"/>
  <c r="I24" i="338"/>
  <c r="I12" i="338"/>
  <c r="I14" i="338" s="1"/>
  <c r="I34" i="338" s="1"/>
  <c r="M11" i="338"/>
  <c r="M104" i="6" s="1"/>
  <c r="M114" i="6" s="1"/>
  <c r="H24" i="338"/>
  <c r="H12" i="338"/>
  <c r="M12" i="338" l="1"/>
  <c r="N104" i="6" s="1"/>
  <c r="H14" i="338"/>
  <c r="M14" i="338" l="1"/>
  <c r="H34" i="338"/>
  <c r="I21" i="337"/>
  <c r="I22" i="337" s="1"/>
  <c r="I19" i="337"/>
  <c r="I13" i="337"/>
  <c r="I14" i="337" s="1"/>
  <c r="I11" i="337"/>
  <c r="D34" i="336"/>
  <c r="C34" i="336"/>
  <c r="D32" i="336"/>
  <c r="C32" i="336"/>
  <c r="C24" i="336"/>
  <c r="D24" i="336"/>
  <c r="C22" i="336"/>
  <c r="C27" i="336" l="1"/>
  <c r="C17" i="336"/>
  <c r="D17" i="336"/>
  <c r="D27" i="336"/>
  <c r="D19" i="336" l="1"/>
  <c r="D11" i="336"/>
  <c r="C19" i="336"/>
  <c r="C11" i="336"/>
  <c r="D29" i="336"/>
  <c r="D12" i="336"/>
  <c r="C12" i="336"/>
  <c r="C29" i="336"/>
  <c r="F12" i="336" l="1"/>
  <c r="G103" i="6" s="1"/>
  <c r="D14" i="336"/>
  <c r="C14" i="336"/>
  <c r="C44" i="336" s="1"/>
  <c r="F11" i="336"/>
  <c r="F103" i="6" s="1"/>
  <c r="I103" i="6" l="1"/>
  <c r="F14" i="336"/>
  <c r="O36" i="335" l="1"/>
  <c r="Z31" i="335"/>
  <c r="N36" i="335"/>
  <c r="D28" i="335"/>
  <c r="D18" i="334" s="1"/>
  <c r="I15" i="335"/>
  <c r="D17" i="334" s="1"/>
  <c r="I13" i="335"/>
  <c r="C17" i="334" s="1"/>
  <c r="I11" i="335"/>
  <c r="C23" i="334"/>
  <c r="C22" i="334"/>
  <c r="C24" i="334" s="1"/>
  <c r="C18" i="334"/>
  <c r="C12" i="334"/>
  <c r="I14" i="335" l="1"/>
  <c r="I17" i="335"/>
  <c r="D11" i="334"/>
  <c r="D19" i="334"/>
  <c r="C19" i="334"/>
  <c r="C11" i="334"/>
  <c r="D22" i="334"/>
  <c r="D24" i="334" l="1"/>
  <c r="D12" i="334"/>
  <c r="F12" i="334" s="1"/>
  <c r="G102" i="6" s="1"/>
  <c r="F11" i="334"/>
  <c r="F102" i="6" s="1"/>
  <c r="C14" i="334"/>
  <c r="I102" i="6" l="1"/>
  <c r="D14" i="334"/>
  <c r="F14" i="334"/>
  <c r="J56" i="333" l="1"/>
  <c r="J59" i="333" s="1"/>
  <c r="J14" i="333" s="1"/>
  <c r="J55" i="333"/>
  <c r="J54" i="333"/>
  <c r="J53" i="333"/>
  <c r="J57" i="333" s="1"/>
  <c r="J16" i="333" s="1"/>
  <c r="J17" i="333" s="1"/>
  <c r="I49" i="333"/>
  <c r="I48" i="333"/>
  <c r="I47" i="333"/>
  <c r="I46" i="333"/>
  <c r="J32" i="333"/>
  <c r="I32" i="333"/>
  <c r="I17" i="332" s="1"/>
  <c r="I18" i="333"/>
  <c r="J15" i="333"/>
  <c r="J13" i="333"/>
  <c r="I13" i="333"/>
  <c r="D32" i="332" s="1"/>
  <c r="D42" i="332"/>
  <c r="D39" i="332"/>
  <c r="C39" i="332"/>
  <c r="D37" i="332"/>
  <c r="C32" i="332"/>
  <c r="D27" i="332"/>
  <c r="D29" i="332" s="1"/>
  <c r="D22" i="332"/>
  <c r="C11" i="332"/>
  <c r="C17" i="332"/>
  <c r="D24" i="332" l="1"/>
  <c r="D44" i="332"/>
  <c r="C12" i="332"/>
  <c r="C14" i="332" s="1"/>
  <c r="D34" i="332"/>
  <c r="D12" i="332"/>
  <c r="I57" i="333"/>
  <c r="I14" i="333" s="1"/>
  <c r="D17" i="332" s="1"/>
  <c r="I16" i="333"/>
  <c r="I17" i="333" s="1"/>
  <c r="I19" i="332"/>
  <c r="I11" i="332"/>
  <c r="I22" i="332"/>
  <c r="C19" i="332"/>
  <c r="C34" i="332"/>
  <c r="F12" i="332" l="1"/>
  <c r="G99" i="6" s="1"/>
  <c r="I24" i="332"/>
  <c r="I12" i="332"/>
  <c r="K12" i="332" s="1"/>
  <c r="N99" i="6" s="1"/>
  <c r="K11" i="332"/>
  <c r="D19" i="332"/>
  <c r="D11" i="332"/>
  <c r="D14" i="332" l="1"/>
  <c r="F14" i="332" s="1"/>
  <c r="F11" i="332"/>
  <c r="F99" i="6" s="1"/>
  <c r="I14" i="332"/>
  <c r="K14" i="332" s="1"/>
  <c r="F114" i="6" l="1"/>
  <c r="H20" i="5" s="1"/>
  <c r="I99" i="6"/>
  <c r="AG81" i="6"/>
  <c r="J17" i="330"/>
  <c r="J11" i="330" s="1"/>
  <c r="I17" i="330"/>
  <c r="I19" i="330" s="1"/>
  <c r="H17" i="330"/>
  <c r="H19" i="330" s="1"/>
  <c r="I15" i="331"/>
  <c r="I14" i="331"/>
  <c r="I13" i="331" s="1"/>
  <c r="C23" i="330"/>
  <c r="I41" i="311"/>
  <c r="I16" i="331" l="1"/>
  <c r="J19" i="330"/>
  <c r="C24" i="330"/>
  <c r="C12" i="330"/>
  <c r="I12" i="331"/>
  <c r="C17" i="330" s="1"/>
  <c r="H22" i="330"/>
  <c r="H11" i="330"/>
  <c r="J22" i="330"/>
  <c r="I11" i="330"/>
  <c r="E12" i="330"/>
  <c r="G81" i="6" s="1"/>
  <c r="I22" i="330"/>
  <c r="C21" i="328"/>
  <c r="C11" i="328"/>
  <c r="D41" i="329"/>
  <c r="I11" i="329" s="1"/>
  <c r="T39" i="329"/>
  <c r="S39" i="329"/>
  <c r="R39" i="329"/>
  <c r="Q39" i="329"/>
  <c r="P39" i="329"/>
  <c r="O39" i="329"/>
  <c r="N39" i="329"/>
  <c r="M39" i="329"/>
  <c r="L39" i="329"/>
  <c r="D25" i="328"/>
  <c r="E25" i="328" s="1"/>
  <c r="F25" i="328" s="1"/>
  <c r="G25" i="328" s="1"/>
  <c r="H25" i="328" s="1"/>
  <c r="I25" i="328" s="1"/>
  <c r="J25" i="328" s="1"/>
  <c r="K25" i="328" s="1"/>
  <c r="L25" i="328" s="1"/>
  <c r="M25" i="328" s="1"/>
  <c r="T24" i="328"/>
  <c r="S24" i="328"/>
  <c r="R24" i="328"/>
  <c r="N24" i="328"/>
  <c r="M24" i="328"/>
  <c r="H24" i="328"/>
  <c r="G24" i="328"/>
  <c r="F24" i="328"/>
  <c r="W17" i="328"/>
  <c r="V17" i="328"/>
  <c r="U17" i="328"/>
  <c r="U24" i="328" s="1"/>
  <c r="T17" i="328"/>
  <c r="S17" i="328"/>
  <c r="R17" i="328"/>
  <c r="Q17" i="328"/>
  <c r="Q24" i="328" s="1"/>
  <c r="P17" i="328"/>
  <c r="P24" i="328" s="1"/>
  <c r="O17" i="328"/>
  <c r="O24" i="328" s="1"/>
  <c r="N17" i="328"/>
  <c r="M17" i="328"/>
  <c r="L17" i="328"/>
  <c r="K17" i="328"/>
  <c r="J17" i="328"/>
  <c r="I17" i="328"/>
  <c r="I24" i="328" s="1"/>
  <c r="H17" i="328"/>
  <c r="G17" i="328"/>
  <c r="F17" i="328"/>
  <c r="E17" i="328"/>
  <c r="E24" i="328" s="1"/>
  <c r="C17" i="328"/>
  <c r="C24" i="328" s="1"/>
  <c r="I58" i="327"/>
  <c r="K39" i="329" l="1"/>
  <c r="J39" i="329"/>
  <c r="I24" i="330"/>
  <c r="I12" i="330"/>
  <c r="I14" i="330" s="1"/>
  <c r="I34" i="330" s="1"/>
  <c r="J12" i="330"/>
  <c r="J14" i="330" s="1"/>
  <c r="J34" i="330" s="1"/>
  <c r="J24" i="330"/>
  <c r="L11" i="330"/>
  <c r="M81" i="6" s="1"/>
  <c r="H12" i="330"/>
  <c r="H24" i="330"/>
  <c r="C19" i="330"/>
  <c r="C11" i="330"/>
  <c r="C14" i="330" s="1"/>
  <c r="D20" i="328"/>
  <c r="E20" i="328" s="1"/>
  <c r="E11" i="328" s="1"/>
  <c r="G12" i="328"/>
  <c r="M12" i="328"/>
  <c r="E12" i="328"/>
  <c r="E26" i="328"/>
  <c r="H12" i="328"/>
  <c r="I26" i="328"/>
  <c r="I12" i="328"/>
  <c r="N25" i="328"/>
  <c r="M26" i="328"/>
  <c r="F12" i="328"/>
  <c r="C26" i="328"/>
  <c r="C12" i="328"/>
  <c r="D17" i="328"/>
  <c r="I39" i="329"/>
  <c r="J24" i="328"/>
  <c r="K24" i="328"/>
  <c r="W24" i="328"/>
  <c r="V24" i="328"/>
  <c r="L24" i="328"/>
  <c r="F26" i="328"/>
  <c r="G26" i="328"/>
  <c r="H26" i="328"/>
  <c r="Z58" i="327"/>
  <c r="Z56" i="327" s="1"/>
  <c r="E42" i="327"/>
  <c r="I36" i="327"/>
  <c r="K17" i="327" s="1"/>
  <c r="E32" i="327"/>
  <c r="G27" i="327"/>
  <c r="I12" i="327" s="1"/>
  <c r="C27" i="326" s="1"/>
  <c r="J17" i="327"/>
  <c r="I17" i="327"/>
  <c r="C32" i="326" s="1"/>
  <c r="C34" i="326" s="1"/>
  <c r="I15" i="327"/>
  <c r="C22" i="326" s="1"/>
  <c r="O13" i="327"/>
  <c r="N13" i="327"/>
  <c r="M13" i="327"/>
  <c r="L13" i="327"/>
  <c r="K13" i="327"/>
  <c r="J13" i="327"/>
  <c r="I14" i="327" s="1"/>
  <c r="C17" i="326" s="1"/>
  <c r="I13" i="327"/>
  <c r="I16" i="325"/>
  <c r="I14" i="325"/>
  <c r="C34" i="324"/>
  <c r="D32" i="324"/>
  <c r="D34" i="324" s="1"/>
  <c r="D12" i="324"/>
  <c r="C12" i="324"/>
  <c r="D27" i="324"/>
  <c r="C27" i="324"/>
  <c r="D22" i="324"/>
  <c r="D24" i="324" s="1"/>
  <c r="D17" i="324"/>
  <c r="C17" i="324"/>
  <c r="F12" i="324" l="1"/>
  <c r="G89" i="6" s="1"/>
  <c r="C24" i="324"/>
  <c r="C24" i="326"/>
  <c r="C11" i="326"/>
  <c r="C11" i="324"/>
  <c r="C14" i="324" s="1"/>
  <c r="D11" i="324"/>
  <c r="D14" i="324" s="1"/>
  <c r="L12" i="330"/>
  <c r="N81" i="6" s="1"/>
  <c r="H14" i="330"/>
  <c r="E11" i="330"/>
  <c r="F81" i="6" s="1"/>
  <c r="E14" i="330"/>
  <c r="E14" i="328"/>
  <c r="E21" i="328"/>
  <c r="F20" i="328"/>
  <c r="F21" i="328" s="1"/>
  <c r="L12" i="328"/>
  <c r="L26" i="328"/>
  <c r="D24" i="328"/>
  <c r="D21" i="328"/>
  <c r="D11" i="328"/>
  <c r="N26" i="328"/>
  <c r="O25" i="328"/>
  <c r="K26" i="328"/>
  <c r="K12" i="328"/>
  <c r="J26" i="328"/>
  <c r="J12" i="328"/>
  <c r="C14" i="328"/>
  <c r="N12" i="328"/>
  <c r="I53" i="327"/>
  <c r="Z53" i="327" s="1"/>
  <c r="Z54" i="327"/>
  <c r="C12" i="326"/>
  <c r="E12" i="326" s="1"/>
  <c r="G53" i="6" s="1"/>
  <c r="C29" i="326"/>
  <c r="C19" i="326"/>
  <c r="I50" i="327"/>
  <c r="H17" i="326" s="1"/>
  <c r="Z51" i="327"/>
  <c r="Z52" i="327"/>
  <c r="Z55" i="327"/>
  <c r="D19" i="324"/>
  <c r="D29" i="324"/>
  <c r="C19" i="324"/>
  <c r="C29" i="324"/>
  <c r="F11" i="324" l="1"/>
  <c r="F89" i="6" s="1"/>
  <c r="L14" i="330"/>
  <c r="H34" i="330"/>
  <c r="G20" i="328"/>
  <c r="H20" i="328" s="1"/>
  <c r="F11" i="328"/>
  <c r="F14" i="328" s="1"/>
  <c r="P25" i="328"/>
  <c r="O26" i="328"/>
  <c r="O12" i="328"/>
  <c r="D12" i="328"/>
  <c r="D26" i="328"/>
  <c r="H19" i="326"/>
  <c r="H11" i="326"/>
  <c r="H27" i="326"/>
  <c r="C14" i="326"/>
  <c r="E14" i="326" s="1"/>
  <c r="E11" i="326"/>
  <c r="F53" i="6" s="1"/>
  <c r="F14" i="324"/>
  <c r="G21" i="328" l="1"/>
  <c r="G11" i="328"/>
  <c r="G14" i="328" s="1"/>
  <c r="I20" i="328"/>
  <c r="H21" i="328"/>
  <c r="H11" i="328"/>
  <c r="D14" i="328"/>
  <c r="S25" i="328"/>
  <c r="Q25" i="328"/>
  <c r="P26" i="328"/>
  <c r="P12" i="328"/>
  <c r="J11" i="326"/>
  <c r="M53" i="6" s="1"/>
  <c r="H12" i="326"/>
  <c r="J12" i="326" s="1"/>
  <c r="N53" i="6" s="1"/>
  <c r="H29" i="326"/>
  <c r="I30" i="323"/>
  <c r="H32" i="322" s="1"/>
  <c r="I28" i="323"/>
  <c r="H27" i="322" s="1"/>
  <c r="I27" i="323"/>
  <c r="I24" i="323"/>
  <c r="I29" i="323" s="1"/>
  <c r="H22" i="322" s="1"/>
  <c r="I13" i="323"/>
  <c r="I14" i="323" s="1"/>
  <c r="I15" i="323" s="1"/>
  <c r="C17" i="322" s="1"/>
  <c r="I12" i="323"/>
  <c r="I17" i="323" s="1"/>
  <c r="I11" i="323"/>
  <c r="C27" i="322" s="1"/>
  <c r="I34" i="322"/>
  <c r="G34" i="322"/>
  <c r="F34" i="322"/>
  <c r="E34" i="322"/>
  <c r="D34" i="322"/>
  <c r="C34" i="322"/>
  <c r="I29" i="322"/>
  <c r="I27" i="322"/>
  <c r="I12" i="322" s="1"/>
  <c r="F27" i="322"/>
  <c r="F29" i="322" s="1"/>
  <c r="E27" i="322"/>
  <c r="E24" i="322"/>
  <c r="I24" i="322"/>
  <c r="G24" i="322"/>
  <c r="D19" i="322"/>
  <c r="I17" i="322"/>
  <c r="D12" i="322" l="1"/>
  <c r="D11" i="322"/>
  <c r="F12" i="322"/>
  <c r="H24" i="322"/>
  <c r="H34" i="322"/>
  <c r="I11" i="322"/>
  <c r="I14" i="322" s="1"/>
  <c r="C24" i="322"/>
  <c r="D24" i="322"/>
  <c r="I19" i="322"/>
  <c r="F24" i="322"/>
  <c r="E12" i="322"/>
  <c r="T25" i="328"/>
  <c r="R25" i="328"/>
  <c r="Q12" i="328"/>
  <c r="Q26" i="328"/>
  <c r="S26" i="328"/>
  <c r="S12" i="328"/>
  <c r="H14" i="328"/>
  <c r="J20" i="328"/>
  <c r="I11" i="328"/>
  <c r="I14" i="328" s="1"/>
  <c r="I21" i="328"/>
  <c r="H14" i="326"/>
  <c r="H44" i="326"/>
  <c r="J14" i="326"/>
  <c r="C12" i="322"/>
  <c r="C29" i="322"/>
  <c r="C11" i="322"/>
  <c r="C19" i="322"/>
  <c r="I22" i="323"/>
  <c r="F17" i="322" s="1"/>
  <c r="I20" i="323"/>
  <c r="E17" i="322" s="1"/>
  <c r="I18" i="323"/>
  <c r="H29" i="322"/>
  <c r="H12" i="322"/>
  <c r="I31" i="323"/>
  <c r="I32" i="323" s="1"/>
  <c r="I33" i="323" s="1"/>
  <c r="H17" i="322" s="1"/>
  <c r="D29" i="322"/>
  <c r="E29" i="322"/>
  <c r="I25" i="323"/>
  <c r="G17" i="322" s="1"/>
  <c r="I26" i="323"/>
  <c r="G27" i="322" s="1"/>
  <c r="D14" i="322" l="1"/>
  <c r="K20" i="328"/>
  <c r="J21" i="328"/>
  <c r="J11" i="328"/>
  <c r="J14" i="328" s="1"/>
  <c r="U25" i="328"/>
  <c r="R12" i="328"/>
  <c r="R26" i="328"/>
  <c r="T12" i="328"/>
  <c r="T26" i="328"/>
  <c r="H19" i="322"/>
  <c r="H11" i="322"/>
  <c r="H14" i="322" s="1"/>
  <c r="E19" i="322"/>
  <c r="E11" i="322"/>
  <c r="E14" i="322" s="1"/>
  <c r="F11" i="322"/>
  <c r="F14" i="322" s="1"/>
  <c r="F19" i="322"/>
  <c r="G12" i="322"/>
  <c r="K12" i="322" s="1"/>
  <c r="G88" i="6" s="1"/>
  <c r="G29" i="322"/>
  <c r="C14" i="322"/>
  <c r="G11" i="322"/>
  <c r="G19" i="322"/>
  <c r="G14" i="322" l="1"/>
  <c r="K14" i="322"/>
  <c r="V25" i="328"/>
  <c r="U26" i="328"/>
  <c r="U12" i="328"/>
  <c r="L20" i="328"/>
  <c r="K11" i="328"/>
  <c r="K21" i="328"/>
  <c r="K11" i="322"/>
  <c r="F88" i="6" s="1"/>
  <c r="K14" i="328" l="1"/>
  <c r="L11" i="328"/>
  <c r="L14" i="328" s="1"/>
  <c r="M20" i="328"/>
  <c r="L21" i="328"/>
  <c r="W25" i="328"/>
  <c r="V12" i="328"/>
  <c r="V26" i="328"/>
  <c r="D30" i="321"/>
  <c r="D33" i="321" s="1"/>
  <c r="I12" i="321" s="1"/>
  <c r="C22" i="320" s="1"/>
  <c r="D29" i="321"/>
  <c r="I11" i="321" s="1"/>
  <c r="C17" i="320" s="1"/>
  <c r="D28" i="321"/>
  <c r="D27" i="321"/>
  <c r="D26" i="321"/>
  <c r="E27" i="320"/>
  <c r="D27" i="320"/>
  <c r="C32" i="320"/>
  <c r="C27" i="320"/>
  <c r="C29" i="320" s="1"/>
  <c r="E34" i="320"/>
  <c r="D34" i="320"/>
  <c r="E24" i="320"/>
  <c r="D24" i="320"/>
  <c r="E11" i="320"/>
  <c r="E17" i="320"/>
  <c r="D17" i="320"/>
  <c r="C24" i="320" l="1"/>
  <c r="D11" i="320"/>
  <c r="W26" i="328"/>
  <c r="W12" i="328"/>
  <c r="Y12" i="328" s="1"/>
  <c r="N55" i="6" s="1"/>
  <c r="N20" i="328"/>
  <c r="M11" i="328"/>
  <c r="M14" i="328" s="1"/>
  <c r="M21" i="328"/>
  <c r="E29" i="320"/>
  <c r="E12" i="320"/>
  <c r="E14" i="320" s="1"/>
  <c r="C34" i="320"/>
  <c r="C12" i="320"/>
  <c r="D29" i="320"/>
  <c r="D12" i="320"/>
  <c r="C11" i="320"/>
  <c r="C19" i="320"/>
  <c r="D19" i="320"/>
  <c r="D31" i="321"/>
  <c r="E19" i="320"/>
  <c r="D32" i="321"/>
  <c r="D14" i="320" l="1"/>
  <c r="G12" i="320"/>
  <c r="G87" i="6" s="1"/>
  <c r="O20" i="328"/>
  <c r="N21" i="328"/>
  <c r="N11" i="328"/>
  <c r="N14" i="328" s="1"/>
  <c r="C14" i="320"/>
  <c r="G14" i="320" s="1"/>
  <c r="G11" i="320"/>
  <c r="F87" i="6" s="1"/>
  <c r="O11" i="328" l="1"/>
  <c r="O14" i="328" s="1"/>
  <c r="P20" i="328"/>
  <c r="O21" i="328"/>
  <c r="I22" i="319"/>
  <c r="E22" i="318" s="1"/>
  <c r="J21" i="319"/>
  <c r="I21" i="319"/>
  <c r="I16" i="319"/>
  <c r="I17" i="319" s="1"/>
  <c r="I18" i="319" s="1"/>
  <c r="I15" i="319"/>
  <c r="D27" i="318" s="1"/>
  <c r="E12" i="318"/>
  <c r="D19" i="318"/>
  <c r="C17" i="318"/>
  <c r="E24" i="318" l="1"/>
  <c r="E29" i="318"/>
  <c r="C19" i="318"/>
  <c r="E19" i="318"/>
  <c r="P21" i="328"/>
  <c r="P11" i="328"/>
  <c r="P14" i="328" s="1"/>
  <c r="S20" i="328"/>
  <c r="Q20" i="328"/>
  <c r="D29" i="318"/>
  <c r="D12" i="318"/>
  <c r="I20" i="319"/>
  <c r="D22" i="318" s="1"/>
  <c r="I19" i="319"/>
  <c r="C22" i="318" s="1"/>
  <c r="E11" i="318"/>
  <c r="E14" i="318" s="1"/>
  <c r="I14" i="319"/>
  <c r="C27" i="318" s="1"/>
  <c r="Q21" i="328" l="1"/>
  <c r="Q11" i="328"/>
  <c r="Q14" i="328" s="1"/>
  <c r="T20" i="328"/>
  <c r="R20" i="328"/>
  <c r="S21" i="328"/>
  <c r="S11" i="328"/>
  <c r="S14" i="328" s="1"/>
  <c r="C29" i="318"/>
  <c r="C12" i="318"/>
  <c r="G12" i="318" s="1"/>
  <c r="G86" i="6" s="1"/>
  <c r="C24" i="318"/>
  <c r="C11" i="318"/>
  <c r="D24" i="318"/>
  <c r="D11" i="318"/>
  <c r="D14" i="318" s="1"/>
  <c r="R11" i="328" l="1"/>
  <c r="R14" i="328" s="1"/>
  <c r="U20" i="328"/>
  <c r="R21" i="328"/>
  <c r="T21" i="328"/>
  <c r="T11" i="328"/>
  <c r="T14" i="328" s="1"/>
  <c r="C14" i="318"/>
  <c r="G14" i="318" s="1"/>
  <c r="G11" i="318"/>
  <c r="F86" i="6" s="1"/>
  <c r="V20" i="328" l="1"/>
  <c r="U11" i="328"/>
  <c r="U14" i="328" s="1"/>
  <c r="U21" i="328"/>
  <c r="H53" i="317"/>
  <c r="H52" i="317"/>
  <c r="H51" i="317"/>
  <c r="H50" i="317"/>
  <c r="H49" i="317"/>
  <c r="H17" i="317"/>
  <c r="H18" i="317" s="1"/>
  <c r="H19" i="317" s="1"/>
  <c r="E17" i="316" s="1"/>
  <c r="H15" i="317"/>
  <c r="H12" i="317"/>
  <c r="C22" i="316" s="1"/>
  <c r="H11" i="317"/>
  <c r="H10" i="317"/>
  <c r="E12" i="316"/>
  <c r="J22" i="316"/>
  <c r="J24" i="316" s="1"/>
  <c r="D19" i="316"/>
  <c r="J17" i="316"/>
  <c r="J19" i="316" s="1"/>
  <c r="D17" i="316"/>
  <c r="W20" i="328" l="1"/>
  <c r="V11" i="328"/>
  <c r="V14" i="328" s="1"/>
  <c r="V21" i="328"/>
  <c r="C12" i="316"/>
  <c r="C24" i="316"/>
  <c r="E19" i="316"/>
  <c r="E11" i="316"/>
  <c r="E14" i="316" s="1"/>
  <c r="D12" i="316"/>
  <c r="D24" i="316"/>
  <c r="J12" i="316"/>
  <c r="L12" i="316" s="1"/>
  <c r="N85" i="6" s="1"/>
  <c r="N92" i="6" s="1"/>
  <c r="C17" i="316"/>
  <c r="D11" i="316"/>
  <c r="J11" i="316"/>
  <c r="E24" i="316"/>
  <c r="D14" i="316" l="1"/>
  <c r="W21" i="328"/>
  <c r="W11" i="328"/>
  <c r="L11" i="316"/>
  <c r="J14" i="316"/>
  <c r="L14" i="316" s="1"/>
  <c r="C19" i="316"/>
  <c r="C11" i="316"/>
  <c r="G12" i="316"/>
  <c r="G85" i="6" s="1"/>
  <c r="G92" i="6" s="1"/>
  <c r="W14" i="328" l="1"/>
  <c r="Y14" i="328" s="1"/>
  <c r="Y11" i="328"/>
  <c r="M55" i="6" s="1"/>
  <c r="G11" i="316"/>
  <c r="F85" i="6" s="1"/>
  <c r="F92" i="6" s="1"/>
  <c r="C14" i="316"/>
  <c r="G14" i="316" s="1"/>
  <c r="J15" i="315" l="1"/>
  <c r="I15" i="315"/>
  <c r="J13" i="315"/>
  <c r="I13" i="315"/>
  <c r="I12" i="315"/>
  <c r="C27" i="314" s="1"/>
  <c r="J11" i="315"/>
  <c r="I11" i="315"/>
  <c r="C22" i="314" s="1"/>
  <c r="C17" i="314"/>
  <c r="C11" i="314" s="1"/>
  <c r="C29" i="314" l="1"/>
  <c r="C24" i="314"/>
  <c r="C12" i="314"/>
  <c r="E12" i="314" s="1"/>
  <c r="G78" i="6" s="1"/>
  <c r="E11" i="314"/>
  <c r="F78" i="6" s="1"/>
  <c r="C19" i="314"/>
  <c r="C14" i="314" l="1"/>
  <c r="E14" i="314" s="1"/>
  <c r="C22" i="312" l="1"/>
  <c r="C12" i="312" s="1"/>
  <c r="E12" i="312" s="1"/>
  <c r="G71" i="6" s="1"/>
  <c r="C17" i="312"/>
  <c r="I40" i="311"/>
  <c r="C11" i="312" l="1"/>
  <c r="C14" i="312" s="1"/>
  <c r="E14" i="312" s="1"/>
  <c r="C24" i="312"/>
  <c r="C19" i="312"/>
  <c r="J40" i="311"/>
  <c r="M22" i="311"/>
  <c r="M23" i="311" s="1"/>
  <c r="L22" i="311"/>
  <c r="L23" i="311" s="1"/>
  <c r="K22" i="311"/>
  <c r="K23" i="311" s="1"/>
  <c r="K24" i="311" s="1"/>
  <c r="K19" i="311" s="1"/>
  <c r="J22" i="311"/>
  <c r="J23" i="311" s="1"/>
  <c r="J24" i="311" s="1"/>
  <c r="J19" i="311" s="1"/>
  <c r="M20" i="311"/>
  <c r="L20" i="311"/>
  <c r="K20" i="311"/>
  <c r="J20" i="311"/>
  <c r="J41" i="311" s="1"/>
  <c r="I20" i="311"/>
  <c r="L17" i="310" s="1"/>
  <c r="U16" i="311"/>
  <c r="T16" i="311"/>
  <c r="S16" i="311"/>
  <c r="R16" i="311"/>
  <c r="Q16" i="311"/>
  <c r="P16" i="311"/>
  <c r="O16" i="311"/>
  <c r="N16" i="311"/>
  <c r="M16" i="311"/>
  <c r="L16" i="311"/>
  <c r="K16" i="311"/>
  <c r="J16" i="311"/>
  <c r="I16" i="311"/>
  <c r="C22" i="310" s="1"/>
  <c r="J12" i="311"/>
  <c r="I12" i="311"/>
  <c r="G12" i="311"/>
  <c r="D12" i="311"/>
  <c r="C12" i="311"/>
  <c r="M11" i="311"/>
  <c r="L11" i="311"/>
  <c r="K11" i="311"/>
  <c r="J11" i="311"/>
  <c r="I11" i="311"/>
  <c r="E37" i="310"/>
  <c r="D37" i="310"/>
  <c r="C37" i="310"/>
  <c r="F34" i="310"/>
  <c r="E32" i="310"/>
  <c r="D32" i="310"/>
  <c r="C32" i="310"/>
  <c r="C34" i="310" s="1"/>
  <c r="E27" i="310"/>
  <c r="D27" i="310"/>
  <c r="C27" i="310"/>
  <c r="F23" i="310"/>
  <c r="E22" i="310"/>
  <c r="D22" i="310"/>
  <c r="F18" i="310"/>
  <c r="K17" i="310"/>
  <c r="K11" i="310" s="1"/>
  <c r="E17" i="310"/>
  <c r="D17" i="310"/>
  <c r="C17" i="310"/>
  <c r="C19" i="310" s="1"/>
  <c r="U80" i="6"/>
  <c r="U82" i="6" s="1"/>
  <c r="I81" i="6"/>
  <c r="P81" i="6"/>
  <c r="I9" i="309"/>
  <c r="C17" i="308"/>
  <c r="E11" i="312" l="1"/>
  <c r="F71" i="6" s="1"/>
  <c r="F24" i="310"/>
  <c r="D24" i="310"/>
  <c r="E24" i="310"/>
  <c r="C11" i="308"/>
  <c r="E11" i="308" s="1"/>
  <c r="M66" i="6" s="1"/>
  <c r="C39" i="310"/>
  <c r="D12" i="310"/>
  <c r="C12" i="310"/>
  <c r="F29" i="310"/>
  <c r="R81" i="6"/>
  <c r="AJ81" i="6" s="1"/>
  <c r="D34" i="310"/>
  <c r="E34" i="310"/>
  <c r="D19" i="310"/>
  <c r="E19" i="310"/>
  <c r="C29" i="310"/>
  <c r="K22" i="310"/>
  <c r="K24" i="310" s="1"/>
  <c r="K12" i="310"/>
  <c r="K14" i="310" s="1"/>
  <c r="D39" i="310"/>
  <c r="D11" i="310"/>
  <c r="C24" i="310"/>
  <c r="C11" i="310"/>
  <c r="L11" i="310"/>
  <c r="L19" i="310"/>
  <c r="L22" i="310"/>
  <c r="I24" i="311"/>
  <c r="E11" i="310"/>
  <c r="K19" i="310"/>
  <c r="C19" i="308"/>
  <c r="C22" i="308"/>
  <c r="D14" i="310" l="1"/>
  <c r="D29" i="310"/>
  <c r="E12" i="310"/>
  <c r="N11" i="310"/>
  <c r="M80" i="6" s="1"/>
  <c r="M82" i="6" s="1"/>
  <c r="L12" i="310"/>
  <c r="N12" i="310" s="1"/>
  <c r="N80" i="6" s="1"/>
  <c r="N82" i="6" s="1"/>
  <c r="L24" i="310"/>
  <c r="E29" i="310"/>
  <c r="K34" i="310"/>
  <c r="C14" i="310"/>
  <c r="I19" i="311"/>
  <c r="E39" i="310"/>
  <c r="F12" i="310"/>
  <c r="C24" i="308"/>
  <c r="C12" i="308"/>
  <c r="H12" i="310" l="1"/>
  <c r="E14" i="310"/>
  <c r="F19" i="310"/>
  <c r="F11" i="310"/>
  <c r="G80" i="6"/>
  <c r="G82" i="6" s="1"/>
  <c r="F39" i="310"/>
  <c r="L14" i="310"/>
  <c r="E12" i="308"/>
  <c r="N66" i="6" s="1"/>
  <c r="C14" i="308"/>
  <c r="E14" i="308" s="1"/>
  <c r="L34" i="310" l="1"/>
  <c r="N14" i="310"/>
  <c r="F14" i="310"/>
  <c r="H11" i="310"/>
  <c r="F80" i="6" s="1"/>
  <c r="F82" i="6" s="1"/>
  <c r="I37" i="307"/>
  <c r="J17" i="306" s="1"/>
  <c r="I35" i="307"/>
  <c r="I17" i="306" s="1"/>
  <c r="I33" i="307"/>
  <c r="H17" i="306" s="1"/>
  <c r="I15" i="307"/>
  <c r="C17" i="306" s="1"/>
  <c r="I14" i="307"/>
  <c r="I10" i="307"/>
  <c r="I12" i="307" s="1"/>
  <c r="C22" i="306"/>
  <c r="C12" i="306" l="1"/>
  <c r="E12" i="306" s="1"/>
  <c r="G65" i="6" s="1"/>
  <c r="G70" i="6" s="1"/>
  <c r="F32" i="311"/>
  <c r="H14" i="310"/>
  <c r="C11" i="306"/>
  <c r="C19" i="306"/>
  <c r="H11" i="306"/>
  <c r="H22" i="306"/>
  <c r="H19" i="306"/>
  <c r="I19" i="306"/>
  <c r="I22" i="306"/>
  <c r="I11" i="306"/>
  <c r="J22" i="306"/>
  <c r="J19" i="306"/>
  <c r="J11" i="306"/>
  <c r="C24" i="306"/>
  <c r="J12" i="306" l="1"/>
  <c r="J14" i="306" s="1"/>
  <c r="J24" i="306"/>
  <c r="I24" i="306"/>
  <c r="I12" i="306"/>
  <c r="I14" i="306" s="1"/>
  <c r="H12" i="306"/>
  <c r="H24" i="306"/>
  <c r="L11" i="306"/>
  <c r="M65" i="6" s="1"/>
  <c r="H14" i="306"/>
  <c r="C14" i="306"/>
  <c r="E14" i="306" s="1"/>
  <c r="E11" i="306"/>
  <c r="F65" i="6" s="1"/>
  <c r="F70" i="6" s="1"/>
  <c r="L12" i="306" l="1"/>
  <c r="N65" i="6" s="1"/>
  <c r="L14" i="306"/>
  <c r="I9" i="305" l="1"/>
  <c r="C17" i="304" s="1"/>
  <c r="C11" i="304" s="1"/>
  <c r="D17" i="304"/>
  <c r="D11" i="304" s="1"/>
  <c r="D19" i="304" l="1"/>
  <c r="C19" i="304"/>
  <c r="C22" i="304"/>
  <c r="D22" i="304"/>
  <c r="F11" i="304"/>
  <c r="M60" i="6" s="1"/>
  <c r="M70" i="6" l="1"/>
  <c r="D24" i="304"/>
  <c r="D12" i="304"/>
  <c r="D14" i="304" s="1"/>
  <c r="C24" i="304"/>
  <c r="C12" i="304"/>
  <c r="I40" i="303"/>
  <c r="K19" i="303"/>
  <c r="R14" i="303"/>
  <c r="Q14" i="303" s="1"/>
  <c r="O14" i="303"/>
  <c r="N14" i="303"/>
  <c r="N15" i="303" s="1"/>
  <c r="M14" i="303"/>
  <c r="M15" i="303" s="1"/>
  <c r="L14" i="303"/>
  <c r="L15" i="303" s="1"/>
  <c r="I12" i="303"/>
  <c r="I13" i="303" s="1"/>
  <c r="C22" i="302" s="1"/>
  <c r="J17" i="302"/>
  <c r="J22" i="302" s="1"/>
  <c r="I17" i="302"/>
  <c r="I11" i="302" s="1"/>
  <c r="I15" i="301"/>
  <c r="I11" i="301"/>
  <c r="I13" i="301" s="1"/>
  <c r="I10" i="301" s="1"/>
  <c r="C17" i="300" s="1"/>
  <c r="C22" i="300"/>
  <c r="C14" i="304" l="1"/>
  <c r="F14" i="304" s="1"/>
  <c r="F12" i="304"/>
  <c r="N60" i="6" s="1"/>
  <c r="O15" i="303"/>
  <c r="J15" i="303"/>
  <c r="Q15" i="303"/>
  <c r="K15" i="303"/>
  <c r="I19" i="302"/>
  <c r="C24" i="300"/>
  <c r="J19" i="302"/>
  <c r="C12" i="302"/>
  <c r="C24" i="302"/>
  <c r="J20" i="303"/>
  <c r="J22" i="303" s="1"/>
  <c r="I20" i="303"/>
  <c r="J19" i="303"/>
  <c r="I19" i="303" s="1"/>
  <c r="J12" i="302"/>
  <c r="J24" i="302"/>
  <c r="I22" i="302"/>
  <c r="K22" i="303"/>
  <c r="J11" i="302"/>
  <c r="J14" i="302" s="1"/>
  <c r="I15" i="303"/>
  <c r="I16" i="303" s="1"/>
  <c r="C17" i="302" s="1"/>
  <c r="C11" i="302" s="1"/>
  <c r="C19" i="300"/>
  <c r="C11" i="300"/>
  <c r="C12" i="300"/>
  <c r="E12" i="300" s="1"/>
  <c r="G50" i="6" s="1"/>
  <c r="N70" i="6" l="1"/>
  <c r="P60" i="6"/>
  <c r="L11" i="302"/>
  <c r="M42" i="6" s="1"/>
  <c r="I24" i="302"/>
  <c r="I12" i="302"/>
  <c r="I22" i="303"/>
  <c r="D17" i="302" s="1"/>
  <c r="D22" i="302"/>
  <c r="C14" i="302"/>
  <c r="E11" i="300"/>
  <c r="F50" i="6" s="1"/>
  <c r="C14" i="300"/>
  <c r="E14" i="300" s="1"/>
  <c r="D24" i="302" l="1"/>
  <c r="D12" i="302"/>
  <c r="F12" i="302" s="1"/>
  <c r="G42" i="6" s="1"/>
  <c r="D11" i="302"/>
  <c r="D19" i="302"/>
  <c r="L12" i="302"/>
  <c r="N42" i="6" s="1"/>
  <c r="I14" i="302"/>
  <c r="L14" i="302" s="1"/>
  <c r="C22" i="298"/>
  <c r="C12" i="298" s="1"/>
  <c r="E12" i="298" s="1"/>
  <c r="G47" i="6" s="1"/>
  <c r="H17" i="298"/>
  <c r="H19" i="298" s="1"/>
  <c r="C17" i="298"/>
  <c r="H22" i="298" l="1"/>
  <c r="H24" i="298" s="1"/>
  <c r="C11" i="298"/>
  <c r="C14" i="298" s="1"/>
  <c r="E14" i="298" s="1"/>
  <c r="C24" i="298"/>
  <c r="H11" i="298"/>
  <c r="J11" i="298" s="1"/>
  <c r="M47" i="6" s="1"/>
  <c r="C19" i="298"/>
  <c r="D14" i="302"/>
  <c r="F14" i="302" s="1"/>
  <c r="F11" i="302"/>
  <c r="F42" i="6" s="1"/>
  <c r="H12" i="298"/>
  <c r="E11" i="298"/>
  <c r="F47" i="6" s="1"/>
  <c r="J12" i="298" l="1"/>
  <c r="N47" i="6" s="1"/>
  <c r="H14" i="298"/>
  <c r="J14" i="298" s="1"/>
  <c r="D47" i="297" l="1"/>
  <c r="I34" i="297"/>
  <c r="I33" i="297" s="1"/>
  <c r="H17" i="296" s="1"/>
  <c r="C24" i="297"/>
  <c r="I13" i="297"/>
  <c r="C17" i="296" s="1"/>
  <c r="C24" i="296"/>
  <c r="C12" i="296" l="1"/>
  <c r="H19" i="296"/>
  <c r="H22" i="296"/>
  <c r="H11" i="296"/>
  <c r="M44" i="6" s="1"/>
  <c r="C11" i="296"/>
  <c r="F44" i="6" s="1"/>
  <c r="C19" i="296"/>
  <c r="E12" i="296" l="1"/>
  <c r="G44" i="6"/>
  <c r="C14" i="296"/>
  <c r="E14" i="296" s="1"/>
  <c r="E11" i="296"/>
  <c r="J11" i="296"/>
  <c r="H24" i="296"/>
  <c r="H12" i="296"/>
  <c r="J12" i="296" s="1"/>
  <c r="N44" i="6" s="1"/>
  <c r="H14" i="296" l="1"/>
  <c r="J14" i="296" s="1"/>
  <c r="H14" i="295" l="1"/>
  <c r="D35" i="294"/>
  <c r="E12" i="294"/>
  <c r="C12" i="294"/>
  <c r="N22" i="294"/>
  <c r="N12" i="294" s="1"/>
  <c r="H22" i="294"/>
  <c r="H24" i="294" s="1"/>
  <c r="E22" i="294"/>
  <c r="C22" i="294"/>
  <c r="C19" i="294"/>
  <c r="H11" i="294"/>
  <c r="G11" i="294"/>
  <c r="E19" i="294"/>
  <c r="N17" i="294"/>
  <c r="N19" i="294" s="1"/>
  <c r="H17" i="294"/>
  <c r="G17" i="294"/>
  <c r="G22" i="294" s="1"/>
  <c r="J14" i="294"/>
  <c r="M12" i="294"/>
  <c r="L12" i="294"/>
  <c r="K12" i="294"/>
  <c r="K14" i="294" s="1"/>
  <c r="J12" i="294"/>
  <c r="I12" i="294"/>
  <c r="F12" i="294"/>
  <c r="N11" i="294"/>
  <c r="M11" i="294"/>
  <c r="M14" i="294" s="1"/>
  <c r="L11" i="294"/>
  <c r="L14" i="294" s="1"/>
  <c r="K11" i="294"/>
  <c r="J11" i="294"/>
  <c r="I11" i="294"/>
  <c r="I14" i="294" s="1"/>
  <c r="F11" i="294"/>
  <c r="F14" i="294" s="1"/>
  <c r="C11" i="294"/>
  <c r="C24" i="294" l="1"/>
  <c r="C14" i="294"/>
  <c r="G24" i="294"/>
  <c r="G12" i="294"/>
  <c r="G14" i="294" s="1"/>
  <c r="G34" i="294" s="1"/>
  <c r="N14" i="294"/>
  <c r="N34" i="294" s="1"/>
  <c r="H15" i="295"/>
  <c r="H16" i="295" s="1"/>
  <c r="E32" i="295" s="1"/>
  <c r="D17" i="294"/>
  <c r="N24" i="294"/>
  <c r="E11" i="294"/>
  <c r="E14" i="294" s="1"/>
  <c r="H12" i="294"/>
  <c r="H14" i="294" s="1"/>
  <c r="H34" i="294" s="1"/>
  <c r="E24" i="294"/>
  <c r="D22" i="294" l="1"/>
  <c r="D12" i="294" s="1"/>
  <c r="P12" i="294" s="1"/>
  <c r="N40" i="6" s="1"/>
  <c r="D19" i="294"/>
  <c r="D11" i="294"/>
  <c r="P11" i="294" l="1"/>
  <c r="M40" i="6" s="1"/>
  <c r="D14" i="294"/>
  <c r="D34" i="294" l="1"/>
  <c r="P14" i="294"/>
  <c r="I56" i="293" l="1"/>
  <c r="I51" i="293"/>
  <c r="I54" i="293" s="1"/>
  <c r="J27" i="292" s="1"/>
  <c r="I46" i="293"/>
  <c r="L12" i="292"/>
  <c r="Q18" i="292"/>
  <c r="L11" i="292"/>
  <c r="L29" i="292" l="1"/>
  <c r="I26" i="293"/>
  <c r="L19" i="292"/>
  <c r="I21" i="293"/>
  <c r="I24" i="293" s="1"/>
  <c r="L24" i="292"/>
  <c r="I68" i="293"/>
  <c r="I36" i="293"/>
  <c r="I39" i="293" s="1"/>
  <c r="G27" i="292" s="1"/>
  <c r="L14" i="292"/>
  <c r="I16" i="293"/>
  <c r="I18" i="293" s="1"/>
  <c r="D22" i="292" s="1"/>
  <c r="D24" i="292" s="1"/>
  <c r="I31" i="293"/>
  <c r="I32" i="293" s="1"/>
  <c r="F17" i="292" s="1"/>
  <c r="I41" i="293"/>
  <c r="I42" i="293" s="1"/>
  <c r="H17" i="292" s="1"/>
  <c r="I34" i="293"/>
  <c r="F27" i="292" s="1"/>
  <c r="J29" i="292"/>
  <c r="J12" i="292"/>
  <c r="I29" i="293"/>
  <c r="E27" i="292" s="1"/>
  <c r="I28" i="293"/>
  <c r="E22" i="292" s="1"/>
  <c r="E24" i="292" s="1"/>
  <c r="I27" i="293"/>
  <c r="E17" i="292" s="1"/>
  <c r="I37" i="293"/>
  <c r="G17" i="292" s="1"/>
  <c r="I49" i="293"/>
  <c r="I27" i="292" s="1"/>
  <c r="I48" i="293"/>
  <c r="I22" i="292" s="1"/>
  <c r="I24" i="292" s="1"/>
  <c r="I47" i="293"/>
  <c r="I17" i="292" s="1"/>
  <c r="I59" i="293"/>
  <c r="K27" i="292" s="1"/>
  <c r="I58" i="293"/>
  <c r="K22" i="292" s="1"/>
  <c r="K24" i="292" s="1"/>
  <c r="I57" i="293"/>
  <c r="K17" i="292" s="1"/>
  <c r="I22" i="293"/>
  <c r="I52" i="293"/>
  <c r="J17" i="292" s="1"/>
  <c r="I53" i="293"/>
  <c r="J22" i="292" s="1"/>
  <c r="J24" i="292" s="1"/>
  <c r="I11" i="293"/>
  <c r="I61" i="293"/>
  <c r="I81" i="293"/>
  <c r="Q17" i="292" s="1"/>
  <c r="I38" i="293" l="1"/>
  <c r="G22" i="292" s="1"/>
  <c r="G24" i="292" s="1"/>
  <c r="I23" i="293"/>
  <c r="I33" i="293"/>
  <c r="F22" i="292" s="1"/>
  <c r="F24" i="292" s="1"/>
  <c r="I44" i="293"/>
  <c r="H27" i="292" s="1"/>
  <c r="H12" i="292" s="1"/>
  <c r="I17" i="293"/>
  <c r="D17" i="292" s="1"/>
  <c r="I43" i="293"/>
  <c r="H22" i="292" s="1"/>
  <c r="H24" i="292" s="1"/>
  <c r="I19" i="293"/>
  <c r="D27" i="292" s="1"/>
  <c r="D12" i="292" s="1"/>
  <c r="E29" i="292"/>
  <c r="E12" i="292"/>
  <c r="K19" i="292"/>
  <c r="K11" i="292"/>
  <c r="K29" i="292"/>
  <c r="K12" i="292"/>
  <c r="H19" i="292"/>
  <c r="I12" i="292"/>
  <c r="I29" i="292"/>
  <c r="D11" i="292"/>
  <c r="D19" i="292"/>
  <c r="F19" i="292"/>
  <c r="F11" i="292"/>
  <c r="F14" i="292" s="1"/>
  <c r="I19" i="292"/>
  <c r="I11" i="292"/>
  <c r="Q11" i="292"/>
  <c r="Q27" i="292"/>
  <c r="Q19" i="292"/>
  <c r="I64" i="293"/>
  <c r="I63" i="293"/>
  <c r="I62" i="293"/>
  <c r="I14" i="293"/>
  <c r="C27" i="292" s="1"/>
  <c r="I13" i="293"/>
  <c r="C22" i="292" s="1"/>
  <c r="C24" i="292" s="1"/>
  <c r="I12" i="293"/>
  <c r="C17" i="292" s="1"/>
  <c r="G29" i="292"/>
  <c r="G12" i="292"/>
  <c r="G19" i="292"/>
  <c r="G11" i="292"/>
  <c r="J19" i="292"/>
  <c r="J11" i="292"/>
  <c r="J14" i="292" s="1"/>
  <c r="E11" i="292"/>
  <c r="E19" i="292"/>
  <c r="F29" i="292"/>
  <c r="F12" i="292"/>
  <c r="D29" i="292" l="1"/>
  <c r="H29" i="292"/>
  <c r="E14" i="292"/>
  <c r="G14" i="292"/>
  <c r="H11" i="292"/>
  <c r="H14" i="292" s="1"/>
  <c r="C19" i="292"/>
  <c r="C11" i="292"/>
  <c r="I14" i="292"/>
  <c r="Q29" i="292"/>
  <c r="Q12" i="292"/>
  <c r="S12" i="292" s="1"/>
  <c r="N39" i="6" s="1"/>
  <c r="C29" i="292"/>
  <c r="C12" i="292"/>
  <c r="N12" i="292" s="1"/>
  <c r="G39" i="6" s="1"/>
  <c r="K14" i="292"/>
  <c r="S11" i="292"/>
  <c r="M39" i="6" s="1"/>
  <c r="D14" i="292"/>
  <c r="Q14" i="292" l="1"/>
  <c r="S14" i="292" s="1"/>
  <c r="N11" i="292"/>
  <c r="F39" i="6" s="1"/>
  <c r="C14" i="292"/>
  <c r="N14" i="292" s="1"/>
  <c r="I9" i="291" l="1"/>
  <c r="D17" i="290" s="1"/>
  <c r="D11" i="290" l="1"/>
  <c r="D22" i="290"/>
  <c r="D24" i="290" s="1"/>
  <c r="F11" i="290"/>
  <c r="M31" i="6" s="1"/>
  <c r="D12" i="290"/>
  <c r="F12" i="290" s="1"/>
  <c r="N31" i="6" s="1"/>
  <c r="D19" i="290"/>
  <c r="D14" i="290" l="1"/>
  <c r="F14" i="290" s="1"/>
  <c r="J11" i="289" l="1"/>
  <c r="I11" i="289"/>
  <c r="D17" i="288"/>
  <c r="D11" i="288" s="1"/>
  <c r="F11" i="288" l="1"/>
  <c r="M30" i="6" s="1"/>
  <c r="D22" i="288"/>
  <c r="D19" i="288"/>
  <c r="D24" i="288" l="1"/>
  <c r="D12" i="288"/>
  <c r="F12" i="288" l="1"/>
  <c r="N30" i="6" s="1"/>
  <c r="D14" i="288"/>
  <c r="F14" i="288" s="1"/>
  <c r="AG21" i="287" l="1"/>
  <c r="AI21" i="287" s="1"/>
  <c r="AI20" i="287"/>
  <c r="AG20" i="287"/>
  <c r="AI19" i="287"/>
  <c r="AG19" i="287"/>
  <c r="AI18" i="287"/>
  <c r="AG18" i="287"/>
  <c r="AI17" i="287"/>
  <c r="AG17" i="287"/>
  <c r="AI16" i="287"/>
  <c r="AG16" i="287"/>
  <c r="AI15" i="287"/>
  <c r="AG15" i="287"/>
  <c r="AI14" i="287"/>
  <c r="AG14" i="287"/>
  <c r="AI13" i="287"/>
  <c r="AG13" i="287"/>
  <c r="AI12" i="287"/>
  <c r="AG12" i="287"/>
  <c r="AI11" i="287"/>
  <c r="AG11" i="287"/>
  <c r="AI10" i="287"/>
  <c r="AG10" i="287"/>
  <c r="C17" i="286"/>
  <c r="C11" i="286" l="1"/>
  <c r="E11" i="286" s="1"/>
  <c r="F29" i="6" s="1"/>
  <c r="AI22" i="287"/>
  <c r="I12" i="287" s="1"/>
  <c r="C22" i="286" s="1"/>
  <c r="C19" i="286"/>
  <c r="C12" i="286" l="1"/>
  <c r="C24" i="286"/>
  <c r="E12" i="286" l="1"/>
  <c r="G29" i="6" s="1"/>
  <c r="C14" i="286"/>
  <c r="E14" i="286" s="1"/>
  <c r="I13" i="285" l="1"/>
  <c r="C27" i="284"/>
  <c r="C29" i="284" l="1"/>
  <c r="I15" i="285"/>
  <c r="C17" i="284" s="1"/>
  <c r="C19" i="284" s="1"/>
  <c r="C22" i="284"/>
  <c r="C11" i="284" l="1"/>
  <c r="E11" i="284"/>
  <c r="F28" i="6" s="1"/>
  <c r="C12" i="284"/>
  <c r="E12" i="284" s="1"/>
  <c r="G28" i="6" s="1"/>
  <c r="C24" i="284"/>
  <c r="C14" i="284" l="1"/>
  <c r="E14" i="284" s="1"/>
  <c r="U15" i="283" l="1"/>
  <c r="T15" i="283"/>
  <c r="S15" i="283"/>
  <c r="R15" i="283"/>
  <c r="Q15" i="283"/>
  <c r="P15" i="283"/>
  <c r="O15" i="283"/>
  <c r="N15" i="283"/>
  <c r="M15" i="283"/>
  <c r="L15" i="283"/>
  <c r="K15" i="283"/>
  <c r="J15" i="283"/>
  <c r="I15" i="283"/>
  <c r="C22" i="282"/>
  <c r="I11" i="283"/>
  <c r="C27" i="282"/>
  <c r="C29" i="282" s="1"/>
  <c r="C11" i="282"/>
  <c r="E11" i="282" s="1"/>
  <c r="F25" i="6" s="1"/>
  <c r="C17" i="282"/>
  <c r="C19" i="282" s="1"/>
  <c r="C12" i="282" l="1"/>
  <c r="E12" i="282" s="1"/>
  <c r="G25" i="6" s="1"/>
  <c r="C24" i="282"/>
  <c r="C14" i="282" l="1"/>
  <c r="E14" i="282" s="1"/>
  <c r="I33" i="281" l="1"/>
  <c r="I32" i="281"/>
  <c r="H17" i="280"/>
  <c r="C12" i="280"/>
  <c r="E12" i="280" s="1"/>
  <c r="G24" i="6" s="1"/>
  <c r="L22" i="280"/>
  <c r="L24" i="280" s="1"/>
  <c r="K22" i="280"/>
  <c r="K12" i="280" s="1"/>
  <c r="J22" i="280"/>
  <c r="J12" i="280" s="1"/>
  <c r="C22" i="280"/>
  <c r="C24" i="280" s="1"/>
  <c r="I19" i="280"/>
  <c r="C19" i="280"/>
  <c r="O17" i="280"/>
  <c r="O19" i="280" s="1"/>
  <c r="N17" i="280"/>
  <c r="N19" i="280" s="1"/>
  <c r="M17" i="280"/>
  <c r="M19" i="280" s="1"/>
  <c r="L17" i="280"/>
  <c r="L19" i="280" s="1"/>
  <c r="K17" i="280"/>
  <c r="K19" i="280" s="1"/>
  <c r="J17" i="280"/>
  <c r="J11" i="280" s="1"/>
  <c r="J14" i="280" s="1"/>
  <c r="I17" i="280"/>
  <c r="I22" i="280" s="1"/>
  <c r="C17" i="280"/>
  <c r="L12" i="280"/>
  <c r="M11" i="280"/>
  <c r="L11" i="280"/>
  <c r="L14" i="280" s="1"/>
  <c r="K11" i="280"/>
  <c r="C11" i="280" l="1"/>
  <c r="E11" i="280" s="1"/>
  <c r="F24" i="6" s="1"/>
  <c r="K14" i="280"/>
  <c r="I12" i="280"/>
  <c r="I24" i="280"/>
  <c r="H22" i="280"/>
  <c r="H11" i="280"/>
  <c r="H19" i="280"/>
  <c r="O11" i="280"/>
  <c r="N22" i="280"/>
  <c r="J19" i="280"/>
  <c r="N11" i="280"/>
  <c r="M22" i="280"/>
  <c r="C14" i="280"/>
  <c r="E14" i="280" s="1"/>
  <c r="O22" i="280"/>
  <c r="J24" i="280"/>
  <c r="K24" i="280"/>
  <c r="I11" i="280"/>
  <c r="I14" i="280" l="1"/>
  <c r="N24" i="280"/>
  <c r="N12" i="280"/>
  <c r="M24" i="280"/>
  <c r="M12" i="280"/>
  <c r="M14" i="280" s="1"/>
  <c r="N14" i="280"/>
  <c r="Q11" i="280"/>
  <c r="M24" i="6" s="1"/>
  <c r="H12" i="280"/>
  <c r="H24" i="280"/>
  <c r="O24" i="280"/>
  <c r="O12" i="280"/>
  <c r="O14" i="280" s="1"/>
  <c r="Q12" i="280" l="1"/>
  <c r="H14" i="280"/>
  <c r="Q14" i="280" s="1"/>
  <c r="I12" i="279" l="1"/>
  <c r="C22" i="278" s="1"/>
  <c r="C27" i="278"/>
  <c r="C29" i="278" s="1"/>
  <c r="C19" i="278"/>
  <c r="C17" i="278"/>
  <c r="C11" i="278"/>
  <c r="E11" i="278" s="1"/>
  <c r="F22" i="6" s="1"/>
  <c r="I33" i="277"/>
  <c r="I31" i="277"/>
  <c r="K17" i="276" s="1"/>
  <c r="F17" i="276"/>
  <c r="C22" i="276"/>
  <c r="F29" i="276"/>
  <c r="E29" i="276"/>
  <c r="D29" i="276"/>
  <c r="C29" i="276"/>
  <c r="C27" i="276"/>
  <c r="L12" i="276"/>
  <c r="F12" i="276"/>
  <c r="L22" i="276"/>
  <c r="F22" i="276"/>
  <c r="E22" i="276"/>
  <c r="D22" i="276"/>
  <c r="L19" i="276"/>
  <c r="E11" i="276"/>
  <c r="D11" i="276"/>
  <c r="C11" i="276"/>
  <c r="M17" i="276"/>
  <c r="M19" i="276" s="1"/>
  <c r="E17" i="276"/>
  <c r="E19" i="276" s="1"/>
  <c r="D17" i="276"/>
  <c r="C17" i="276"/>
  <c r="L24" i="276" l="1"/>
  <c r="E12" i="276"/>
  <c r="E14" i="276" s="1"/>
  <c r="C19" i="276"/>
  <c r="D19" i="276"/>
  <c r="F24" i="276"/>
  <c r="C12" i="276"/>
  <c r="C14" i="276" s="1"/>
  <c r="D12" i="276"/>
  <c r="D14" i="276" s="1"/>
  <c r="C24" i="278"/>
  <c r="C12" i="278"/>
  <c r="F19" i="276"/>
  <c r="F11" i="276"/>
  <c r="F14" i="276" s="1"/>
  <c r="K19" i="276"/>
  <c r="K11" i="276"/>
  <c r="K22" i="276"/>
  <c r="E24" i="276"/>
  <c r="L11" i="276"/>
  <c r="L14" i="276" s="1"/>
  <c r="M11" i="276"/>
  <c r="M22" i="276"/>
  <c r="C24" i="276"/>
  <c r="D24" i="276"/>
  <c r="H14" i="276" l="1"/>
  <c r="H11" i="276"/>
  <c r="F20" i="6" s="1"/>
  <c r="H12" i="276"/>
  <c r="G20" i="6" s="1"/>
  <c r="C14" i="278"/>
  <c r="E14" i="278" s="1"/>
  <c r="E12" i="278"/>
  <c r="G22" i="6" s="1"/>
  <c r="M24" i="276"/>
  <c r="M12" i="276"/>
  <c r="M14" i="276" s="1"/>
  <c r="K12" i="276"/>
  <c r="O12" i="276" s="1"/>
  <c r="K24" i="276"/>
  <c r="O11" i="276"/>
  <c r="M20" i="6" s="1"/>
  <c r="K14" i="276" l="1"/>
  <c r="O14" i="276"/>
  <c r="K31" i="275" l="1"/>
  <c r="I12" i="275"/>
  <c r="C27" i="274"/>
  <c r="C29" i="274" s="1"/>
  <c r="H17" i="274"/>
  <c r="H19" i="274" s="1"/>
  <c r="C17" i="274"/>
  <c r="C11" i="274" l="1"/>
  <c r="E11" i="274" s="1"/>
  <c r="F17" i="6" s="1"/>
  <c r="C12" i="274"/>
  <c r="E12" i="274" s="1"/>
  <c r="G17" i="6" s="1"/>
  <c r="C19" i="274"/>
  <c r="C24" i="274"/>
  <c r="H22" i="274"/>
  <c r="H11" i="274"/>
  <c r="C14" i="274" l="1"/>
  <c r="E14" i="274" s="1"/>
  <c r="H24" i="274"/>
  <c r="H12" i="274"/>
  <c r="J12" i="274" s="1"/>
  <c r="J11" i="274"/>
  <c r="M17" i="6" s="1"/>
  <c r="H14" i="274" l="1"/>
  <c r="J14" i="274" s="1"/>
  <c r="I17" i="273"/>
  <c r="C22" i="272" s="1"/>
  <c r="C27" i="272"/>
  <c r="C29" i="272" s="1"/>
  <c r="C24" i="272" l="1"/>
  <c r="C12" i="272"/>
  <c r="E12" i="272" s="1"/>
  <c r="G15" i="6" s="1"/>
  <c r="I19" i="273"/>
  <c r="C17" i="272" s="1"/>
  <c r="C11" i="272" l="1"/>
  <c r="C19" i="272"/>
  <c r="C14" i="272" l="1"/>
  <c r="E14" i="272" s="1"/>
  <c r="E11" i="272"/>
  <c r="F15" i="6" s="1"/>
  <c r="C27" i="270" l="1"/>
  <c r="C22" i="270"/>
  <c r="C17" i="270"/>
  <c r="C11" i="270" l="1"/>
  <c r="C29" i="270"/>
  <c r="C12" i="270"/>
  <c r="E12" i="270" s="1"/>
  <c r="G14" i="6" s="1"/>
  <c r="C19" i="270"/>
  <c r="C24" i="270"/>
  <c r="C14" i="270" l="1"/>
  <c r="E14" i="270" s="1"/>
  <c r="E11" i="270"/>
  <c r="F14" i="6" s="1"/>
  <c r="C27" i="266"/>
  <c r="C22" i="266"/>
  <c r="C17" i="266"/>
  <c r="C12" i="266" l="1"/>
  <c r="E12" i="266" s="1"/>
  <c r="G13" i="6" s="1"/>
  <c r="C29" i="266"/>
  <c r="C19" i="266"/>
  <c r="C11" i="266"/>
  <c r="C24" i="266"/>
  <c r="C14" i="266" l="1"/>
  <c r="E14" i="266" s="1"/>
  <c r="E11" i="266"/>
  <c r="F13" i="6" s="1"/>
  <c r="F33" i="6" s="1"/>
  <c r="B8" i="8" l="1"/>
  <c r="R10" i="6"/>
  <c r="K10" i="6"/>
  <c r="D10" i="6"/>
  <c r="J2" i="5"/>
  <c r="A18" i="3"/>
  <c r="B4" i="5"/>
  <c r="C78" i="8" l="1"/>
  <c r="F45" i="5" l="1"/>
  <c r="E45" i="5"/>
  <c r="F43" i="5"/>
  <c r="E43" i="5"/>
  <c r="F38" i="5"/>
  <c r="E38" i="5"/>
  <c r="F36" i="5"/>
  <c r="E36" i="5"/>
  <c r="F34" i="5"/>
  <c r="E34" i="5"/>
  <c r="D44" i="5"/>
  <c r="D43" i="5"/>
  <c r="D42" i="5"/>
  <c r="D40" i="5"/>
  <c r="D38" i="5"/>
  <c r="D36" i="5"/>
  <c r="D35" i="5"/>
  <c r="D34" i="5"/>
  <c r="C75" i="8"/>
  <c r="C57" i="8"/>
  <c r="I86" i="8" l="1"/>
  <c r="I85" i="8"/>
  <c r="K91" i="10" l="1"/>
  <c r="C27" i="2"/>
  <c r="D27" i="2"/>
  <c r="F22" i="2"/>
  <c r="F37" i="5" l="1"/>
  <c r="E37" i="5"/>
  <c r="AI33" i="6" l="1"/>
  <c r="AJ84" i="6" l="1"/>
  <c r="AI84" i="6"/>
  <c r="AI56" i="6"/>
  <c r="AI48" i="6"/>
  <c r="L56" i="6"/>
  <c r="O56" i="6"/>
  <c r="K56" i="6"/>
  <c r="E56" i="6"/>
  <c r="H56" i="6"/>
  <c r="D56" i="6"/>
  <c r="E48" i="6"/>
  <c r="H48" i="6"/>
  <c r="D48" i="6"/>
  <c r="L33" i="6"/>
  <c r="O33" i="6"/>
  <c r="K33" i="6"/>
  <c r="E33" i="6"/>
  <c r="H33" i="6"/>
  <c r="D33" i="6"/>
  <c r="L48" i="6"/>
  <c r="K48" i="6"/>
  <c r="D123" i="6" l="1"/>
  <c r="K123" i="6"/>
  <c r="I83" i="6"/>
  <c r="I84" i="6" s="1"/>
  <c r="AG83" i="6"/>
  <c r="AG84" i="6" s="1"/>
  <c r="U84" i="6"/>
  <c r="V84" i="6"/>
  <c r="W84" i="6"/>
  <c r="X84" i="6"/>
  <c r="Y84" i="6"/>
  <c r="Z84" i="6"/>
  <c r="AA84" i="6"/>
  <c r="AB84" i="6"/>
  <c r="AC84" i="6"/>
  <c r="AD84" i="6"/>
  <c r="AE84" i="6"/>
  <c r="AF84" i="6"/>
  <c r="T84" i="6"/>
  <c r="O84" i="6"/>
  <c r="L84" i="6"/>
  <c r="F16" i="5"/>
  <c r="H84" i="6"/>
  <c r="G84" i="6"/>
  <c r="E84" i="6"/>
  <c r="E16" i="5" s="1"/>
  <c r="G16" i="5" l="1"/>
  <c r="H16" i="5"/>
  <c r="N84" i="6" l="1"/>
  <c r="I16" i="5" s="1"/>
  <c r="P83" i="6" l="1"/>
  <c r="R83" i="6" s="1"/>
  <c r="R84" i="6" s="1"/>
  <c r="K16" i="5"/>
  <c r="P84" i="6" l="1"/>
  <c r="M56" i="6" l="1"/>
  <c r="G56" i="6" l="1"/>
  <c r="F56" i="6" l="1"/>
  <c r="I47" i="6" l="1"/>
  <c r="P47" i="6"/>
  <c r="AG47" i="6"/>
  <c r="R47" i="6" l="1"/>
  <c r="AJ47" i="6" s="1"/>
  <c r="M48" i="6" l="1"/>
  <c r="G48" i="6" l="1"/>
  <c r="F48" i="6"/>
  <c r="AG32" i="6" l="1"/>
  <c r="I32" i="6"/>
  <c r="P32" i="6" l="1"/>
  <c r="R32" i="6" s="1"/>
  <c r="AJ32" i="6" s="1"/>
  <c r="M33" i="6" l="1"/>
  <c r="M123" i="6" s="1"/>
  <c r="B4" i="6" l="1"/>
  <c r="AF122" i="6" l="1"/>
  <c r="AF98" i="6"/>
  <c r="AF123" i="6" s="1"/>
  <c r="B55" i="10" l="1"/>
  <c r="B44" i="10"/>
  <c r="B7" i="10"/>
  <c r="C65" i="8"/>
  <c r="C61" i="8"/>
  <c r="C59" i="8"/>
  <c r="C51" i="8"/>
  <c r="C45" i="8"/>
  <c r="C43" i="8"/>
  <c r="C36" i="8"/>
  <c r="C13" i="8"/>
  <c r="A5" i="8"/>
  <c r="D138" i="6"/>
  <c r="AI122" i="6"/>
  <c r="AE122" i="6"/>
  <c r="AD122" i="6"/>
  <c r="AC122" i="6"/>
  <c r="AB122" i="6"/>
  <c r="AA122" i="6"/>
  <c r="Z122" i="6"/>
  <c r="Y122" i="6"/>
  <c r="X122" i="6"/>
  <c r="W122" i="6"/>
  <c r="V122" i="6"/>
  <c r="U122" i="6"/>
  <c r="T122" i="6"/>
  <c r="O122" i="6"/>
  <c r="L122" i="6"/>
  <c r="H122" i="6"/>
  <c r="E122" i="6"/>
  <c r="N122" i="6"/>
  <c r="G122" i="6"/>
  <c r="P118" i="6"/>
  <c r="I118" i="6"/>
  <c r="P117" i="6"/>
  <c r="P116" i="6"/>
  <c r="O114" i="6"/>
  <c r="L114" i="6"/>
  <c r="H114" i="6"/>
  <c r="P113" i="6"/>
  <c r="P112" i="6"/>
  <c r="P111" i="6"/>
  <c r="P110" i="6"/>
  <c r="R110" i="6" s="1"/>
  <c r="P109" i="6"/>
  <c r="R109" i="6" s="1"/>
  <c r="P103" i="6"/>
  <c r="R103" i="6" s="1"/>
  <c r="P102" i="6"/>
  <c r="R102" i="6" s="1"/>
  <c r="P101" i="6"/>
  <c r="P100" i="6"/>
  <c r="R100" i="6" s="1"/>
  <c r="AI98" i="6"/>
  <c r="AE98" i="6"/>
  <c r="AE123" i="6" s="1"/>
  <c r="AD98" i="6"/>
  <c r="AC98" i="6"/>
  <c r="AB98" i="6"/>
  <c r="AB123" i="6" s="1"/>
  <c r="AA98" i="6"/>
  <c r="Z98" i="6"/>
  <c r="Z123" i="6" s="1"/>
  <c r="Y98" i="6"/>
  <c r="Y123" i="6" s="1"/>
  <c r="X98" i="6"/>
  <c r="W98" i="6"/>
  <c r="W123" i="6" s="1"/>
  <c r="V98" i="6"/>
  <c r="U98" i="6"/>
  <c r="U123" i="6" s="1"/>
  <c r="T98" i="6"/>
  <c r="T123" i="6" s="1"/>
  <c r="O98" i="6"/>
  <c r="N98" i="6"/>
  <c r="L98" i="6"/>
  <c r="I98" i="6"/>
  <c r="H98" i="6"/>
  <c r="G98" i="6"/>
  <c r="E98" i="6"/>
  <c r="P97" i="6"/>
  <c r="R97" i="6" s="1"/>
  <c r="AJ97" i="6" s="1"/>
  <c r="P96" i="6"/>
  <c r="R95" i="6"/>
  <c r="AG90" i="6"/>
  <c r="P90" i="6"/>
  <c r="R90" i="6" s="1"/>
  <c r="AJ90" i="6" s="1"/>
  <c r="AG89" i="6"/>
  <c r="P89" i="6"/>
  <c r="AG88" i="6"/>
  <c r="P88" i="6"/>
  <c r="AG87" i="6"/>
  <c r="P87" i="6"/>
  <c r="AG86" i="6"/>
  <c r="P86" i="6"/>
  <c r="AG85" i="6"/>
  <c r="AG80" i="6"/>
  <c r="AI79" i="6"/>
  <c r="O79" i="6"/>
  <c r="L79" i="6"/>
  <c r="H79" i="6"/>
  <c r="E79" i="6"/>
  <c r="AG78" i="6"/>
  <c r="P78" i="6"/>
  <c r="AG77" i="6"/>
  <c r="P77" i="6"/>
  <c r="AG76" i="6"/>
  <c r="P76" i="6"/>
  <c r="I76" i="6"/>
  <c r="AG75" i="6"/>
  <c r="N79" i="6"/>
  <c r="I75" i="6"/>
  <c r="AG74" i="6"/>
  <c r="P74" i="6"/>
  <c r="I74" i="6"/>
  <c r="AG73" i="6"/>
  <c r="P73" i="6"/>
  <c r="AG72" i="6"/>
  <c r="P72" i="6"/>
  <c r="I72" i="6"/>
  <c r="AG71" i="6"/>
  <c r="P71" i="6"/>
  <c r="AG68" i="6"/>
  <c r="P68" i="6"/>
  <c r="I68" i="6"/>
  <c r="AG66" i="6"/>
  <c r="I66" i="6"/>
  <c r="AG65" i="6"/>
  <c r="AG64" i="6"/>
  <c r="P64" i="6"/>
  <c r="I64" i="6"/>
  <c r="AG63" i="6"/>
  <c r="P63" i="6"/>
  <c r="AG62" i="6"/>
  <c r="I62" i="6"/>
  <c r="AG61" i="6"/>
  <c r="P61" i="6"/>
  <c r="AG60" i="6"/>
  <c r="AG57" i="6"/>
  <c r="P57" i="6"/>
  <c r="P59" i="6" s="1"/>
  <c r="I57" i="6"/>
  <c r="I59" i="6" s="1"/>
  <c r="I55" i="6"/>
  <c r="AG54" i="6"/>
  <c r="I54" i="6"/>
  <c r="AG53" i="6"/>
  <c r="I53" i="6"/>
  <c r="AG52" i="6"/>
  <c r="P52" i="6"/>
  <c r="AG51" i="6"/>
  <c r="P51" i="6"/>
  <c r="R51" i="6" s="1"/>
  <c r="AJ51" i="6" s="1"/>
  <c r="AG50" i="6"/>
  <c r="P50" i="6"/>
  <c r="AG49" i="6"/>
  <c r="P49" i="6"/>
  <c r="O48" i="6"/>
  <c r="O123" i="6" s="1"/>
  <c r="AG46" i="6"/>
  <c r="P46" i="6"/>
  <c r="I46" i="6"/>
  <c r="AG45" i="6"/>
  <c r="P45" i="6"/>
  <c r="I45" i="6"/>
  <c r="AG44" i="6"/>
  <c r="AG43" i="6"/>
  <c r="P43" i="6"/>
  <c r="I43" i="6"/>
  <c r="AG42" i="6"/>
  <c r="AG41" i="6"/>
  <c r="P41" i="6"/>
  <c r="I41" i="6"/>
  <c r="AG40" i="6"/>
  <c r="I40" i="6"/>
  <c r="AG39" i="6"/>
  <c r="AG38" i="6"/>
  <c r="P38" i="6"/>
  <c r="I38" i="6"/>
  <c r="AG37" i="6"/>
  <c r="P37" i="6"/>
  <c r="AG36" i="6"/>
  <c r="P36" i="6"/>
  <c r="I36" i="6"/>
  <c r="AG35" i="6"/>
  <c r="P35" i="6"/>
  <c r="AG34" i="6"/>
  <c r="P34" i="6"/>
  <c r="AG31" i="6"/>
  <c r="I31" i="6"/>
  <c r="AG30" i="6"/>
  <c r="I30" i="6"/>
  <c r="AG29" i="6"/>
  <c r="P29" i="6"/>
  <c r="AG28" i="6"/>
  <c r="P28" i="6"/>
  <c r="AG27" i="6"/>
  <c r="P27" i="6"/>
  <c r="I27" i="6"/>
  <c r="AG26" i="6"/>
  <c r="P26" i="6"/>
  <c r="I26" i="6"/>
  <c r="AG25" i="6"/>
  <c r="P25" i="6"/>
  <c r="AG24" i="6"/>
  <c r="AG23" i="6"/>
  <c r="P23" i="6"/>
  <c r="AG22" i="6"/>
  <c r="P22" i="6"/>
  <c r="AG21" i="6"/>
  <c r="P21" i="6"/>
  <c r="I21" i="6"/>
  <c r="AG20" i="6"/>
  <c r="P20" i="6"/>
  <c r="AG19" i="6"/>
  <c r="P19" i="6"/>
  <c r="AG18" i="6"/>
  <c r="P18" i="6"/>
  <c r="AG17" i="6"/>
  <c r="P17" i="6"/>
  <c r="AG16" i="6"/>
  <c r="P16" i="6"/>
  <c r="I16" i="6"/>
  <c r="AG15" i="6"/>
  <c r="P15" i="6"/>
  <c r="AG14" i="6"/>
  <c r="P14" i="6"/>
  <c r="AG13" i="6"/>
  <c r="P13" i="6"/>
  <c r="B5" i="6"/>
  <c r="G45" i="5"/>
  <c r="G44" i="5"/>
  <c r="F42" i="5"/>
  <c r="E42" i="5"/>
  <c r="F40" i="5"/>
  <c r="E40" i="5"/>
  <c r="G38" i="5"/>
  <c r="F35" i="5"/>
  <c r="E35" i="5"/>
  <c r="J23" i="5"/>
  <c r="D23" i="5"/>
  <c r="B18" i="3" s="1"/>
  <c r="B6" i="5"/>
  <c r="C19" i="3"/>
  <c r="D19" i="3" s="1"/>
  <c r="E19" i="3" s="1"/>
  <c r="A7" i="3"/>
  <c r="A5" i="3"/>
  <c r="F26" i="2"/>
  <c r="F25" i="2"/>
  <c r="F24" i="2"/>
  <c r="V123" i="6" l="1"/>
  <c r="X123" i="6"/>
  <c r="AA123" i="6"/>
  <c r="AC123" i="6"/>
  <c r="E123" i="6"/>
  <c r="F136" i="6" s="1"/>
  <c r="H123" i="6"/>
  <c r="AD123" i="6"/>
  <c r="L123" i="6"/>
  <c r="G136" i="6" s="1"/>
  <c r="AI123" i="6"/>
  <c r="R112" i="6"/>
  <c r="AJ112" i="6" s="1"/>
  <c r="R111" i="6"/>
  <c r="AJ111" i="6" s="1"/>
  <c r="AG122" i="6"/>
  <c r="R113" i="6"/>
  <c r="AJ113" i="6" s="1"/>
  <c r="AG98" i="6"/>
  <c r="R101" i="6"/>
  <c r="AJ101" i="6" s="1"/>
  <c r="AG114" i="6"/>
  <c r="H19" i="5"/>
  <c r="N56" i="6"/>
  <c r="G43" i="5"/>
  <c r="G34" i="5"/>
  <c r="G36" i="5"/>
  <c r="G33" i="5"/>
  <c r="N33" i="6"/>
  <c r="N123" i="6" s="1"/>
  <c r="R49" i="6"/>
  <c r="N48" i="6"/>
  <c r="R19" i="6"/>
  <c r="AJ19" i="6" s="1"/>
  <c r="G33" i="6"/>
  <c r="F17" i="5"/>
  <c r="AG82" i="6"/>
  <c r="AG79" i="6"/>
  <c r="AG48" i="6"/>
  <c r="AG59" i="6"/>
  <c r="E20" i="5"/>
  <c r="AG33" i="6"/>
  <c r="F9" i="5"/>
  <c r="E10" i="5"/>
  <c r="AJ100" i="6"/>
  <c r="G37" i="5"/>
  <c r="G40" i="5"/>
  <c r="E133" i="6"/>
  <c r="G42" i="5"/>
  <c r="G35" i="5"/>
  <c r="AJ110" i="6"/>
  <c r="R27" i="6"/>
  <c r="AJ27" i="6" s="1"/>
  <c r="R36" i="6"/>
  <c r="AJ36" i="6" s="1"/>
  <c r="F15" i="5"/>
  <c r="R45" i="6"/>
  <c r="AJ45" i="6" s="1"/>
  <c r="E15" i="5"/>
  <c r="E11" i="5"/>
  <c r="F19" i="5"/>
  <c r="R72" i="6"/>
  <c r="AJ72" i="6" s="1"/>
  <c r="E17" i="5"/>
  <c r="R74" i="6"/>
  <c r="AJ74" i="6" s="1"/>
  <c r="F22" i="5"/>
  <c r="P66" i="6"/>
  <c r="R66" i="6" s="1"/>
  <c r="AJ66" i="6" s="1"/>
  <c r="E22" i="5"/>
  <c r="E9" i="5"/>
  <c r="E21" i="5"/>
  <c r="P44" i="6"/>
  <c r="I13" i="6"/>
  <c r="I34" i="6"/>
  <c r="F11" i="5"/>
  <c r="P115" i="6"/>
  <c r="P120" i="6" s="1"/>
  <c r="F13" i="5"/>
  <c r="I77" i="6"/>
  <c r="R77" i="6" s="1"/>
  <c r="AJ77" i="6" s="1"/>
  <c r="I88" i="6"/>
  <c r="R88" i="6" s="1"/>
  <c r="AJ88" i="6" s="1"/>
  <c r="P24" i="6"/>
  <c r="P53" i="6"/>
  <c r="R53" i="6" s="1"/>
  <c r="AJ53" i="6" s="1"/>
  <c r="P85" i="6"/>
  <c r="P92" i="6" s="1"/>
  <c r="R16" i="6"/>
  <c r="AJ16" i="6" s="1"/>
  <c r="R46" i="6"/>
  <c r="AJ46" i="6" s="1"/>
  <c r="F12" i="5"/>
  <c r="P54" i="6"/>
  <c r="R54" i="6" s="1"/>
  <c r="AJ54" i="6" s="1"/>
  <c r="I44" i="6"/>
  <c r="E13" i="5"/>
  <c r="R76" i="6"/>
  <c r="AJ76" i="6" s="1"/>
  <c r="R38" i="6"/>
  <c r="AJ38" i="6" s="1"/>
  <c r="R41" i="6"/>
  <c r="AJ41" i="6" s="1"/>
  <c r="H12" i="5"/>
  <c r="P98" i="6"/>
  <c r="R21" i="6"/>
  <c r="AJ21" i="6" s="1"/>
  <c r="F10" i="5"/>
  <c r="I52" i="6"/>
  <c r="R52" i="6" s="1"/>
  <c r="AJ52" i="6" s="1"/>
  <c r="F14" i="5"/>
  <c r="I19" i="5"/>
  <c r="P105" i="6"/>
  <c r="F20" i="5"/>
  <c r="AG67" i="6"/>
  <c r="R96" i="6"/>
  <c r="AJ96" i="6" s="1"/>
  <c r="R26" i="6"/>
  <c r="AJ26" i="6" s="1"/>
  <c r="R68" i="6"/>
  <c r="AJ68" i="6" s="1"/>
  <c r="I78" i="6"/>
  <c r="R78" i="6" s="1"/>
  <c r="AJ78" i="6" s="1"/>
  <c r="P42" i="6"/>
  <c r="E12" i="5"/>
  <c r="F79" i="6"/>
  <c r="F123" i="6" s="1"/>
  <c r="E14" i="5"/>
  <c r="E19" i="5"/>
  <c r="F21" i="5"/>
  <c r="I42" i="6"/>
  <c r="I24" i="6"/>
  <c r="R43" i="6"/>
  <c r="AJ43" i="6" s="1"/>
  <c r="I61" i="6"/>
  <c r="R61" i="6" s="1"/>
  <c r="AJ61" i="6" s="1"/>
  <c r="R64" i="6"/>
  <c r="AJ64" i="6" s="1"/>
  <c r="P99" i="6"/>
  <c r="R99" i="6" s="1"/>
  <c r="P75" i="6"/>
  <c r="R75" i="6" s="1"/>
  <c r="P31" i="6"/>
  <c r="R31" i="6" s="1"/>
  <c r="AJ31" i="6" s="1"/>
  <c r="I63" i="6"/>
  <c r="R63" i="6" s="1"/>
  <c r="AJ63" i="6" s="1"/>
  <c r="I22" i="5"/>
  <c r="I35" i="6"/>
  <c r="R35" i="6" s="1"/>
  <c r="AJ35" i="6" s="1"/>
  <c r="P108" i="6"/>
  <c r="R108" i="6" s="1"/>
  <c r="P30" i="6"/>
  <c r="R30" i="6" s="1"/>
  <c r="AJ30" i="6" s="1"/>
  <c r="I65" i="6"/>
  <c r="I20" i="6"/>
  <c r="R20" i="6" s="1"/>
  <c r="AJ20" i="6" s="1"/>
  <c r="I22" i="6"/>
  <c r="R22" i="6" s="1"/>
  <c r="AJ22" i="6" s="1"/>
  <c r="P62" i="6"/>
  <c r="R62" i="6" s="1"/>
  <c r="AJ62" i="6" s="1"/>
  <c r="AJ103" i="6"/>
  <c r="AJ109" i="6"/>
  <c r="I14" i="6"/>
  <c r="R14" i="6" s="1"/>
  <c r="AJ14" i="6" s="1"/>
  <c r="I17" i="6"/>
  <c r="R17" i="6" s="1"/>
  <c r="AJ17" i="6" s="1"/>
  <c r="I28" i="6"/>
  <c r="R28" i="6" s="1"/>
  <c r="AJ28" i="6" s="1"/>
  <c r="I85" i="6"/>
  <c r="P106" i="6"/>
  <c r="I12" i="5"/>
  <c r="G79" i="6"/>
  <c r="I15" i="6"/>
  <c r="R15" i="6" s="1"/>
  <c r="AJ15" i="6" s="1"/>
  <c r="I25" i="6"/>
  <c r="R25" i="6" s="1"/>
  <c r="AJ25" i="6" s="1"/>
  <c r="I39" i="6"/>
  <c r="I23" i="6"/>
  <c r="R23" i="6" s="1"/>
  <c r="AJ23" i="6" s="1"/>
  <c r="I37" i="6"/>
  <c r="R37" i="6" s="1"/>
  <c r="AJ37" i="6" s="1"/>
  <c r="I29" i="6"/>
  <c r="R29" i="6" s="1"/>
  <c r="I89" i="6"/>
  <c r="R89" i="6" s="1"/>
  <c r="AJ89" i="6" s="1"/>
  <c r="R73" i="6"/>
  <c r="I60" i="6"/>
  <c r="R60" i="6" s="1"/>
  <c r="I87" i="6"/>
  <c r="R87" i="6" s="1"/>
  <c r="AJ87" i="6" s="1"/>
  <c r="I116" i="6"/>
  <c r="R116" i="6" s="1"/>
  <c r="AJ116" i="6" s="1"/>
  <c r="R57" i="6"/>
  <c r="R59" i="6" s="1"/>
  <c r="N114" i="6"/>
  <c r="P107" i="6"/>
  <c r="R107" i="6" s="1"/>
  <c r="I50" i="6"/>
  <c r="P39" i="6"/>
  <c r="R118" i="6"/>
  <c r="AJ49" i="6"/>
  <c r="F46" i="5"/>
  <c r="AG55" i="6"/>
  <c r="AJ95" i="6"/>
  <c r="E46" i="5"/>
  <c r="G32" i="5"/>
  <c r="P121" i="6"/>
  <c r="P122" i="6" s="1"/>
  <c r="I71" i="6"/>
  <c r="I121" i="6"/>
  <c r="P65" i="6"/>
  <c r="H14" i="5" l="1"/>
  <c r="R105" i="6"/>
  <c r="AJ105" i="6" s="1"/>
  <c r="R106" i="6"/>
  <c r="AJ106" i="6" s="1"/>
  <c r="AJ75" i="6"/>
  <c r="AJ118" i="6"/>
  <c r="I14" i="5"/>
  <c r="K14" i="5" s="1"/>
  <c r="C52" i="5"/>
  <c r="G17" i="5"/>
  <c r="G46" i="5"/>
  <c r="P33" i="6"/>
  <c r="D15" i="2"/>
  <c r="I56" i="6"/>
  <c r="AJ29" i="6"/>
  <c r="R34" i="6"/>
  <c r="AJ34" i="6" s="1"/>
  <c r="I48" i="6"/>
  <c r="H22" i="5"/>
  <c r="K22" i="5" s="1"/>
  <c r="R13" i="6"/>
  <c r="AJ13" i="6" s="1"/>
  <c r="G9" i="5"/>
  <c r="G20" i="5"/>
  <c r="G15" i="5"/>
  <c r="AG56" i="6"/>
  <c r="AG123" i="6" s="1"/>
  <c r="G10" i="5"/>
  <c r="AJ99" i="6"/>
  <c r="G22" i="5"/>
  <c r="G19" i="5"/>
  <c r="R24" i="6"/>
  <c r="AJ24" i="6" s="1"/>
  <c r="G11" i="5"/>
  <c r="I17" i="5"/>
  <c r="G21" i="5"/>
  <c r="K19" i="5"/>
  <c r="R44" i="6"/>
  <c r="AJ44" i="6" s="1"/>
  <c r="F23" i="5"/>
  <c r="I10" i="5"/>
  <c r="R98" i="6"/>
  <c r="AJ108" i="6"/>
  <c r="G12" i="5"/>
  <c r="AJ107" i="6"/>
  <c r="G13" i="5"/>
  <c r="R85" i="6"/>
  <c r="R42" i="6"/>
  <c r="AJ42" i="6" s="1"/>
  <c r="AJ98" i="6"/>
  <c r="U125" i="6"/>
  <c r="AG126" i="6" s="1"/>
  <c r="G14" i="5"/>
  <c r="P79" i="6"/>
  <c r="E23" i="5"/>
  <c r="E136" i="6"/>
  <c r="K12" i="5"/>
  <c r="I11" i="5"/>
  <c r="I21" i="5"/>
  <c r="R39" i="6"/>
  <c r="AJ39" i="6" s="1"/>
  <c r="G114" i="6"/>
  <c r="I20" i="5" s="1"/>
  <c r="K20" i="5" s="1"/>
  <c r="I9" i="5"/>
  <c r="R121" i="6"/>
  <c r="I122" i="6"/>
  <c r="AJ57" i="6"/>
  <c r="AJ59" i="6" s="1"/>
  <c r="I79" i="6"/>
  <c r="R71" i="6"/>
  <c r="R79" i="6" s="1"/>
  <c r="D18" i="3"/>
  <c r="E26" i="3" s="1"/>
  <c r="G131" i="6"/>
  <c r="R50" i="6"/>
  <c r="R65" i="6"/>
  <c r="AJ65" i="6" s="1"/>
  <c r="C18" i="3"/>
  <c r="F131" i="6"/>
  <c r="E130" i="6"/>
  <c r="G123" i="6" l="1"/>
  <c r="AJ85" i="6"/>
  <c r="B17" i="10"/>
  <c r="AJ60" i="6"/>
  <c r="G23" i="5"/>
  <c r="E52" i="5" s="1"/>
  <c r="P104" i="6"/>
  <c r="R104" i="6" s="1"/>
  <c r="AG125" i="6"/>
  <c r="AH125" i="6" s="1"/>
  <c r="P40" i="6"/>
  <c r="P48" i="6" s="1"/>
  <c r="H10" i="5"/>
  <c r="I117" i="6"/>
  <c r="I15" i="5"/>
  <c r="P80" i="6"/>
  <c r="P82" i="6" s="1"/>
  <c r="I115" i="6"/>
  <c r="D26" i="3"/>
  <c r="F26" i="3" s="1"/>
  <c r="E18" i="3"/>
  <c r="AJ71" i="6"/>
  <c r="AJ79" i="6" s="1"/>
  <c r="R122" i="6"/>
  <c r="AJ121" i="6"/>
  <c r="AJ122" i="6" s="1"/>
  <c r="E138" i="6"/>
  <c r="B35" i="10"/>
  <c r="F138" i="6"/>
  <c r="AJ50" i="6"/>
  <c r="AH126" i="6"/>
  <c r="R115" i="6" l="1"/>
  <c r="AJ115" i="6" s="1"/>
  <c r="I120" i="6"/>
  <c r="C15" i="2"/>
  <c r="F15" i="2" s="1"/>
  <c r="E27" i="3" s="1"/>
  <c r="I18" i="6"/>
  <c r="I33" i="6" s="1"/>
  <c r="H9" i="5"/>
  <c r="I114" i="6"/>
  <c r="AJ104" i="6"/>
  <c r="P114" i="6"/>
  <c r="K10" i="5"/>
  <c r="R40" i="6"/>
  <c r="R48" i="6" s="1"/>
  <c r="H21" i="5"/>
  <c r="K21" i="5" s="1"/>
  <c r="R117" i="6"/>
  <c r="R120" i="6" l="1"/>
  <c r="K9" i="5"/>
  <c r="R18" i="6"/>
  <c r="R33" i="6" s="1"/>
  <c r="AJ102" i="6"/>
  <c r="AJ114" i="6" s="1"/>
  <c r="R114" i="6"/>
  <c r="I86" i="6"/>
  <c r="I92" i="6" s="1"/>
  <c r="AJ40" i="6"/>
  <c r="AJ48" i="6" s="1"/>
  <c r="AJ117" i="6"/>
  <c r="AJ120" i="6" s="1"/>
  <c r="I80" i="6"/>
  <c r="I82" i="6" s="1"/>
  <c r="H17" i="5" l="1"/>
  <c r="K17" i="5" s="1"/>
  <c r="AJ18" i="6"/>
  <c r="R86" i="6"/>
  <c r="R92" i="6" s="1"/>
  <c r="H15" i="5"/>
  <c r="R80" i="6"/>
  <c r="R82" i="6" s="1"/>
  <c r="AJ33" i="6" l="1"/>
  <c r="AJ86" i="6"/>
  <c r="AJ92" i="6" s="1"/>
  <c r="AJ80" i="6"/>
  <c r="AJ82" i="6" s="1"/>
  <c r="K15" i="5"/>
  <c r="F23" i="2" l="1"/>
  <c r="F27" i="2" s="1"/>
  <c r="P67" i="6" l="1"/>
  <c r="P70" i="6" s="1"/>
  <c r="P55" i="6" l="1"/>
  <c r="P56" i="6" s="1"/>
  <c r="P123" i="6" s="1"/>
  <c r="H11" i="5" l="1"/>
  <c r="R55" i="6"/>
  <c r="R56" i="6" s="1"/>
  <c r="AJ55" i="6" l="1"/>
  <c r="AJ56" i="6" s="1"/>
  <c r="K11" i="5"/>
  <c r="D14" i="2" l="1"/>
  <c r="D16" i="2" s="1"/>
  <c r="I13" i="5" l="1"/>
  <c r="I23" i="5" l="1"/>
  <c r="I67" i="6"/>
  <c r="I70" i="6" s="1"/>
  <c r="I123" i="6" s="1"/>
  <c r="C14" i="2" l="1"/>
  <c r="H13" i="5"/>
  <c r="R67" i="6"/>
  <c r="R70" i="6" s="1"/>
  <c r="R123" i="6" s="1"/>
  <c r="F124" i="6"/>
  <c r="C16" i="2" l="1"/>
  <c r="F14" i="2"/>
  <c r="P125" i="6"/>
  <c r="AJ67" i="6"/>
  <c r="AJ70" i="6" s="1"/>
  <c r="AJ123" i="6" s="1"/>
  <c r="H23" i="5"/>
  <c r="K13" i="5"/>
  <c r="K23" i="5" s="1"/>
  <c r="D26" i="5" s="1"/>
  <c r="F16" i="2" l="1"/>
  <c r="F18" i="3" s="1"/>
  <c r="D27" i="3"/>
  <c r="E125" i="6"/>
  <c r="I125" i="6"/>
  <c r="R125" i="6" s="1"/>
  <c r="L23" i="5"/>
  <c r="K25" i="5"/>
  <c r="K102" i="10" l="1"/>
  <c r="K104" i="10" s="1"/>
  <c r="B66" i="10"/>
  <c r="F19" i="3"/>
  <c r="G18" i="3" s="1"/>
  <c r="G19" i="3" s="1"/>
  <c r="F27" i="3"/>
</calcChain>
</file>

<file path=xl/sharedStrings.xml><?xml version="1.0" encoding="utf-8"?>
<sst xmlns="http://schemas.openxmlformats.org/spreadsheetml/2006/main" count="12639" uniqueCount="2418">
  <si>
    <t>Annex B</t>
  </si>
  <si>
    <t>Quebec's Sustainable Community project  (ID929)</t>
  </si>
  <si>
    <t xml:space="preserve">Summation of the GHG emissions, baseline, projects and reduction quantification  </t>
  </si>
  <si>
    <t>Year</t>
  </si>
  <si>
    <r>
      <t xml:space="preserve">Baseline emissions  </t>
    </r>
    <r>
      <rPr>
        <sz val="11"/>
        <color theme="0"/>
        <rFont val="Aptos Narrow"/>
        <family val="2"/>
        <scheme val="minor"/>
      </rPr>
      <t>(tCO</t>
    </r>
    <r>
      <rPr>
        <vertAlign val="subscript"/>
        <sz val="11"/>
        <color theme="0"/>
        <rFont val="Aptos Narrow"/>
        <family val="2"/>
        <scheme val="minor"/>
      </rPr>
      <t>2</t>
    </r>
    <r>
      <rPr>
        <sz val="11"/>
        <color theme="0"/>
        <rFont val="Aptos Narrow"/>
        <family val="2"/>
        <scheme val="minor"/>
      </rPr>
      <t>e)</t>
    </r>
  </si>
  <si>
    <r>
      <t xml:space="preserve">Project emissions </t>
    </r>
    <r>
      <rPr>
        <sz val="11"/>
        <color theme="0"/>
        <rFont val="Aptos Narrow"/>
        <family val="2"/>
        <scheme val="minor"/>
      </rPr>
      <t>(tCO</t>
    </r>
    <r>
      <rPr>
        <vertAlign val="subscript"/>
        <sz val="11"/>
        <color theme="0"/>
        <rFont val="Aptos Narrow"/>
        <family val="2"/>
        <scheme val="minor"/>
      </rPr>
      <t>2</t>
    </r>
    <r>
      <rPr>
        <sz val="11"/>
        <color theme="0"/>
        <rFont val="Aptos Narrow"/>
        <family val="2"/>
        <scheme val="minor"/>
      </rPr>
      <t>e)</t>
    </r>
  </si>
  <si>
    <r>
      <t xml:space="preserve">Leakage emissions </t>
    </r>
    <r>
      <rPr>
        <sz val="11"/>
        <color theme="0"/>
        <rFont val="Aptos Narrow"/>
        <family val="2"/>
        <scheme val="minor"/>
      </rPr>
      <t>(tCO</t>
    </r>
    <r>
      <rPr>
        <vertAlign val="subscript"/>
        <sz val="11"/>
        <color theme="0"/>
        <rFont val="Aptos Narrow"/>
        <family val="2"/>
        <scheme val="minor"/>
      </rPr>
      <t>2</t>
    </r>
    <r>
      <rPr>
        <sz val="11"/>
        <color theme="0"/>
        <rFont val="Aptos Narrow"/>
        <family val="2"/>
        <scheme val="minor"/>
      </rPr>
      <t>e)</t>
    </r>
  </si>
  <si>
    <r>
      <t xml:space="preserve">Net GHG emission reductions  </t>
    </r>
    <r>
      <rPr>
        <sz val="11"/>
        <color theme="0"/>
        <rFont val="Aptos Narrow"/>
        <family val="2"/>
        <scheme val="minor"/>
      </rPr>
      <t>(tCO</t>
    </r>
    <r>
      <rPr>
        <vertAlign val="subscript"/>
        <sz val="11"/>
        <color theme="0"/>
        <rFont val="Aptos Narrow"/>
        <family val="2"/>
        <scheme val="minor"/>
      </rPr>
      <t>2</t>
    </r>
    <r>
      <rPr>
        <sz val="11"/>
        <color theme="0"/>
        <rFont val="Aptos Narrow"/>
        <family val="2"/>
        <scheme val="minor"/>
      </rPr>
      <t>e)</t>
    </r>
  </si>
  <si>
    <t>de minimus</t>
  </si>
  <si>
    <t>Total</t>
  </si>
  <si>
    <r>
      <t xml:space="preserve">Emission reduction results per vintage </t>
    </r>
    <r>
      <rPr>
        <b/>
        <sz val="11"/>
        <color rgb="FFF04E2A"/>
        <rFont val="Aptos Narrow"/>
        <family val="2"/>
        <scheme val="minor"/>
      </rPr>
      <t>excluded</t>
    </r>
    <r>
      <rPr>
        <b/>
        <sz val="11"/>
        <color theme="1"/>
        <rFont val="Aptos Narrow"/>
        <family val="2"/>
        <scheme val="minor"/>
      </rPr>
      <t xml:space="preserve"> from this monitoring period</t>
    </r>
  </si>
  <si>
    <t xml:space="preserve">Annex B </t>
  </si>
  <si>
    <t xml:space="preserve">Quebec's Sustainable Community project  </t>
  </si>
  <si>
    <t>PAI for verification</t>
  </si>
  <si>
    <t>Total members with data</t>
  </si>
  <si>
    <r>
      <rPr>
        <sz val="10"/>
        <color theme="1"/>
        <rFont val="Aptos Narrow"/>
        <family val="2"/>
        <scheme val="minor"/>
      </rPr>
      <t xml:space="preserve">Conversion and energy efficiency </t>
    </r>
    <r>
      <rPr>
        <b/>
        <sz val="10"/>
        <color theme="1"/>
        <rFont val="Aptos Narrow"/>
        <family val="2"/>
        <scheme val="minor"/>
      </rPr>
      <t>(sectoral scope 3)</t>
    </r>
  </si>
  <si>
    <r>
      <rPr>
        <sz val="10"/>
        <color theme="1"/>
        <rFont val="Aptos Narrow"/>
        <family val="2"/>
        <scheme val="minor"/>
      </rPr>
      <t xml:space="preserve">Methane avoidance </t>
    </r>
    <r>
      <rPr>
        <b/>
        <sz val="10"/>
        <color theme="1"/>
        <rFont val="Aptos Narrow"/>
        <family val="2"/>
        <scheme val="minor"/>
      </rPr>
      <t>(sectoral scope 13)</t>
    </r>
  </si>
  <si>
    <t>Total PAI</t>
  </si>
  <si>
    <r>
      <t>Net GHG reductions  (tCO</t>
    </r>
    <r>
      <rPr>
        <b/>
        <vertAlign val="subscript"/>
        <sz val="11"/>
        <color theme="1"/>
        <rFont val="Aptos Narrow"/>
        <family val="2"/>
        <scheme val="minor"/>
      </rPr>
      <t>2</t>
    </r>
    <r>
      <rPr>
        <b/>
        <sz val="11"/>
        <color theme="1"/>
        <rFont val="Aptos Narrow"/>
        <family val="2"/>
        <scheme val="minor"/>
      </rPr>
      <t>e)</t>
    </r>
  </si>
  <si>
    <r>
      <rPr>
        <b/>
        <sz val="12"/>
        <color theme="1"/>
        <rFont val="Aptos Narrow"/>
        <family val="2"/>
        <scheme val="minor"/>
      </rPr>
      <t>%</t>
    </r>
    <r>
      <rPr>
        <b/>
        <sz val="11"/>
        <color theme="1"/>
        <rFont val="Aptos Narrow"/>
        <family val="2"/>
        <scheme val="minor"/>
      </rPr>
      <t xml:space="preserve"> </t>
    </r>
    <r>
      <rPr>
        <sz val="10"/>
        <color theme="1"/>
        <rFont val="Aptos Narrow"/>
        <family val="2"/>
        <scheme val="minor"/>
      </rPr>
      <t>of the total net GHG reductions</t>
    </r>
  </si>
  <si>
    <t>n.a.</t>
  </si>
  <si>
    <r>
      <t xml:space="preserve">Statistics validation for the verification process </t>
    </r>
    <r>
      <rPr>
        <sz val="12"/>
        <color theme="1"/>
        <rFont val="Aptos Narrow"/>
        <family val="2"/>
        <scheme val="minor"/>
      </rPr>
      <t>(in accordance with VM0018)</t>
    </r>
  </si>
  <si>
    <t>Scope 3</t>
  </si>
  <si>
    <t>Scope 13</t>
  </si>
  <si>
    <t>Total PAI to be verified</t>
  </si>
  <si>
    <t>√ n</t>
  </si>
  <si>
    <r>
      <t>Average GHG /PAI/year (in tCO</t>
    </r>
    <r>
      <rPr>
        <i/>
        <vertAlign val="subscript"/>
        <sz val="11"/>
        <color theme="1"/>
        <rFont val="Aptos Narrow"/>
        <family val="2"/>
        <scheme val="minor"/>
      </rPr>
      <t>2</t>
    </r>
    <r>
      <rPr>
        <i/>
        <sz val="11"/>
        <color theme="1"/>
        <rFont val="Aptos Narrow"/>
        <family val="2"/>
        <scheme val="minor"/>
      </rPr>
      <t>e)</t>
    </r>
  </si>
  <si>
    <r>
      <t xml:space="preserve">Net GHG emission reductions </t>
    </r>
    <r>
      <rPr>
        <sz val="10"/>
        <color theme="0"/>
        <rFont val="Aptos Narrow"/>
        <family val="2"/>
        <scheme val="minor"/>
      </rPr>
      <t>(tCO2e)</t>
    </r>
  </si>
  <si>
    <t>01-Bas-Saint-Laurent</t>
  </si>
  <si>
    <t xml:space="preserve"> </t>
  </si>
  <si>
    <t>02-Saguenay Lac-Saint-Jean</t>
  </si>
  <si>
    <t>04-Mauricie</t>
  </si>
  <si>
    <t>06-Montréal</t>
  </si>
  <si>
    <t>07-Outaouais</t>
  </si>
  <si>
    <t>08-Abitibi-Témiscamingue</t>
  </si>
  <si>
    <t>09-Côte-Nord</t>
  </si>
  <si>
    <t>12- Chaudière-Appalaches</t>
  </si>
  <si>
    <t>14- Lanaudière</t>
  </si>
  <si>
    <t>15- Laurentides</t>
  </si>
  <si>
    <t>16- Montérégie</t>
  </si>
  <si>
    <t>17-Centre du Québec</t>
  </si>
  <si>
    <t xml:space="preserve">Summation fo the GHG emissions, baseline, projects and reduction quantification  </t>
  </si>
  <si>
    <t>GHG emissions in  (tCO2e)</t>
  </si>
  <si>
    <t>Group of members (Region)</t>
  </si>
  <si>
    <t>NBR MEMBRE COMMUNAUTÉ DURABLE</t>
  </si>
  <si>
    <t>Nbr of PAI, Scope 3</t>
  </si>
  <si>
    <t>Nbr of PAI, scope 13</t>
  </si>
  <si>
    <r>
      <t xml:space="preserve">Baseline  emissions </t>
    </r>
    <r>
      <rPr>
        <sz val="10"/>
        <color theme="0"/>
        <rFont val="Aptos Narrow"/>
        <family val="2"/>
        <scheme val="minor"/>
      </rPr>
      <t>(tCO2e)</t>
    </r>
  </si>
  <si>
    <r>
      <t xml:space="preserve">Project emissions </t>
    </r>
    <r>
      <rPr>
        <sz val="10"/>
        <color theme="0"/>
        <rFont val="Aptos Narrow"/>
        <family val="2"/>
        <scheme val="minor"/>
      </rPr>
      <t>(tCO2e)</t>
    </r>
  </si>
  <si>
    <r>
      <t xml:space="preserve">Leakage emissions </t>
    </r>
    <r>
      <rPr>
        <sz val="10"/>
        <color theme="0"/>
        <rFont val="Aptos Narrow"/>
        <family val="2"/>
        <scheme val="minor"/>
      </rPr>
      <t>(tCO</t>
    </r>
    <r>
      <rPr>
        <vertAlign val="subscript"/>
        <sz val="10"/>
        <color theme="0"/>
        <rFont val="Aptos Narrow"/>
        <family val="2"/>
        <scheme val="minor"/>
      </rPr>
      <t>2</t>
    </r>
    <r>
      <rPr>
        <sz val="10"/>
        <color theme="0"/>
        <rFont val="Aptos Narrow"/>
        <family val="2"/>
        <scheme val="minor"/>
      </rPr>
      <t>e)</t>
    </r>
  </si>
  <si>
    <r>
      <t xml:space="preserve">Consolidation of client facilities excluded from this monitoring period due to </t>
    </r>
    <r>
      <rPr>
        <b/>
        <sz val="14"/>
        <color rgb="FFF04E2A"/>
        <rFont val="Aptos Narrow"/>
        <family val="2"/>
        <scheme val="minor"/>
      </rPr>
      <t>non-participation</t>
    </r>
  </si>
  <si>
    <t>See the "Non-participation" sheet for details of the reason for non-participation.</t>
  </si>
  <si>
    <t>Number of Client Facility per group</t>
  </si>
  <si>
    <t>Number of PAI Scope 3</t>
  </si>
  <si>
    <t>Number of PAI Scope 13</t>
  </si>
  <si>
    <t>N/A</t>
  </si>
  <si>
    <t>Quebec territory; all members and group located inside.</t>
  </si>
  <si>
    <t>Legend</t>
  </si>
  <si>
    <t>SCOPE 3</t>
  </si>
  <si>
    <t>SCOPE 13</t>
  </si>
  <si>
    <r>
      <rPr>
        <b/>
        <sz val="11"/>
        <color theme="1"/>
        <rFont val="Aptos Narrow"/>
        <family val="2"/>
        <scheme val="minor"/>
      </rPr>
      <t xml:space="preserve">Client Facilities in </t>
    </r>
    <r>
      <rPr>
        <b/>
        <sz val="11"/>
        <color rgb="FF00B050"/>
        <rFont val="Aptos Narrow"/>
        <family val="2"/>
        <scheme val="minor"/>
      </rPr>
      <t>green</t>
    </r>
    <r>
      <rPr>
        <sz val="11"/>
        <color theme="1"/>
        <rFont val="Aptos Narrow"/>
        <family val="2"/>
        <scheme val="minor"/>
      </rPr>
      <t>: new CF included in this MR/period</t>
    </r>
  </si>
  <si>
    <t>GHG emissions in (tCO2e) - round down</t>
  </si>
  <si>
    <t>Total Scope 3 &amp; 13</t>
  </si>
  <si>
    <t>PAI I</t>
  </si>
  <si>
    <r>
      <t xml:space="preserve">PAI II: </t>
    </r>
    <r>
      <rPr>
        <sz val="12"/>
        <color theme="1"/>
        <rFont val="Aptos Narrow"/>
        <family val="2"/>
        <scheme val="minor"/>
      </rPr>
      <t>Methane emission avoidance</t>
    </r>
  </si>
  <si>
    <t>PAI III</t>
  </si>
  <si>
    <t>PAI IV</t>
  </si>
  <si>
    <t>PAI V</t>
  </si>
  <si>
    <t>PAI VI</t>
  </si>
  <si>
    <t>PAI VII</t>
  </si>
  <si>
    <t>PAI VIII</t>
  </si>
  <si>
    <t>PAI IX</t>
  </si>
  <si>
    <t>PAI X</t>
  </si>
  <si>
    <t>Number of Buildings</t>
  </si>
  <si>
    <t>Members (1= has provided evidence and is included in this MR; 0 = is excluded from MR)</t>
  </si>
  <si>
    <t>Client Facility ID#</t>
  </si>
  <si>
    <t>Region</t>
  </si>
  <si>
    <r>
      <rPr>
        <sz val="11"/>
        <color theme="1"/>
        <rFont val="Aptos Narrow"/>
        <family val="2"/>
        <scheme val="minor"/>
      </rPr>
      <t>Number of PAI</t>
    </r>
    <r>
      <rPr>
        <b/>
        <sz val="11"/>
        <color theme="1"/>
        <rFont val="Aptos Narrow"/>
        <family val="2"/>
        <scheme val="minor"/>
      </rPr>
      <t>, Scope 3</t>
    </r>
  </si>
  <si>
    <t>New PAI</t>
  </si>
  <si>
    <r>
      <t xml:space="preserve">Baseline  emissions </t>
    </r>
    <r>
      <rPr>
        <sz val="11"/>
        <color theme="1"/>
        <rFont val="Aptos Narrow"/>
        <family val="2"/>
        <scheme val="minor"/>
      </rPr>
      <t>(tCO2e)</t>
    </r>
  </si>
  <si>
    <r>
      <t xml:space="preserve">Project emissions </t>
    </r>
    <r>
      <rPr>
        <sz val="11"/>
        <color theme="1"/>
        <rFont val="Aptos Narrow"/>
        <family val="2"/>
        <scheme val="minor"/>
      </rPr>
      <t>(tCO2e)</t>
    </r>
  </si>
  <si>
    <r>
      <t xml:space="preserve">Leakage emissions </t>
    </r>
    <r>
      <rPr>
        <sz val="11"/>
        <color theme="1"/>
        <rFont val="Aptos Narrow"/>
        <family val="2"/>
        <scheme val="minor"/>
      </rPr>
      <t>(tCO</t>
    </r>
    <r>
      <rPr>
        <vertAlign val="subscript"/>
        <sz val="11"/>
        <color theme="1"/>
        <rFont val="Aptos Narrow"/>
        <family val="2"/>
        <scheme val="minor"/>
      </rPr>
      <t>2</t>
    </r>
    <r>
      <rPr>
        <sz val="11"/>
        <color theme="1"/>
        <rFont val="Aptos Narrow"/>
        <family val="2"/>
        <scheme val="minor"/>
      </rPr>
      <t>e)</t>
    </r>
  </si>
  <si>
    <r>
      <t xml:space="preserve">Net GHG emission reductions </t>
    </r>
    <r>
      <rPr>
        <sz val="11"/>
        <color theme="1"/>
        <rFont val="Aptos Narrow"/>
        <family val="2"/>
        <scheme val="minor"/>
      </rPr>
      <t>(tCO2e)</t>
    </r>
  </si>
  <si>
    <r>
      <rPr>
        <sz val="11"/>
        <color theme="1"/>
        <rFont val="Aptos Narrow"/>
        <family val="2"/>
        <scheme val="minor"/>
      </rPr>
      <t>Number of PAI</t>
    </r>
    <r>
      <rPr>
        <b/>
        <sz val="11"/>
        <color theme="1"/>
        <rFont val="Aptos Narrow"/>
        <family val="2"/>
        <scheme val="minor"/>
      </rPr>
      <t>, Scope 13</t>
    </r>
  </si>
  <si>
    <t>Biomass project</t>
  </si>
  <si>
    <t>Torrified Biomass combustible</t>
  </si>
  <si>
    <t>Saving Energy on Recycling Activity</t>
  </si>
  <si>
    <t>Heat Recovery</t>
  </si>
  <si>
    <t>-</t>
  </si>
  <si>
    <t>EE - Demand side</t>
  </si>
  <si>
    <t>Energy conversion</t>
  </si>
  <si>
    <t>Energy Conservation</t>
  </si>
  <si>
    <t>EE - New building/ Renovation</t>
  </si>
  <si>
    <t>Client Facility 0101</t>
  </si>
  <si>
    <t>Client Facility 0102</t>
  </si>
  <si>
    <t>Client Facility 0103</t>
  </si>
  <si>
    <t>Client Facility 0104</t>
  </si>
  <si>
    <t>Client Facility 0105</t>
  </si>
  <si>
    <t>Client Facility 0106</t>
  </si>
  <si>
    <t>Client Facility 0107</t>
  </si>
  <si>
    <t>Client Facility 0108</t>
  </si>
  <si>
    <t>Client Facility 0109</t>
  </si>
  <si>
    <t>Client Facility 0112</t>
  </si>
  <si>
    <t>Client Facility 0113</t>
  </si>
  <si>
    <t>Client Facility 0114</t>
  </si>
  <si>
    <t>Client Facility 0115</t>
  </si>
  <si>
    <t>Client Facility 0116</t>
  </si>
  <si>
    <t>Client Facility 0117</t>
  </si>
  <si>
    <t>Client Facility 0118</t>
  </si>
  <si>
    <t>Client Facility 0119</t>
  </si>
  <si>
    <t>Client Facility 0120</t>
  </si>
  <si>
    <t>Client Facility 0121</t>
  </si>
  <si>
    <t>Sub-total</t>
  </si>
  <si>
    <t>Client Facility 0201</t>
  </si>
  <si>
    <t>Client Facility 0202</t>
  </si>
  <si>
    <t>Client Facility 0203</t>
  </si>
  <si>
    <t>Client Facility 0204</t>
  </si>
  <si>
    <t>Client Facility 0205</t>
  </si>
  <si>
    <t>Client Facility 0206</t>
  </si>
  <si>
    <t>Client Facility 0207</t>
  </si>
  <si>
    <t>Client Facility 0210</t>
  </si>
  <si>
    <t>Client Facility 0211</t>
  </si>
  <si>
    <t>Client Facility 0212</t>
  </si>
  <si>
    <t>Client Facility 0213</t>
  </si>
  <si>
    <t>Client Facility 0214</t>
  </si>
  <si>
    <t>Client Facility 0215</t>
  </si>
  <si>
    <t>Client Facility 0401</t>
  </si>
  <si>
    <t>Client Facility 0402</t>
  </si>
  <si>
    <t>Client Facility 0403</t>
  </si>
  <si>
    <t>Client Facility 0404</t>
  </si>
  <si>
    <t>Client Facility 0405</t>
  </si>
  <si>
    <t>Client Facility 0406</t>
  </si>
  <si>
    <t>Client Facility 0408</t>
  </si>
  <si>
    <t>Client Facility 0601</t>
  </si>
  <si>
    <t>Client Facility 0701</t>
  </si>
  <si>
    <t>Client Facility 0702</t>
  </si>
  <si>
    <t>Client Facility 0703</t>
  </si>
  <si>
    <t>Client Facility 0704</t>
  </si>
  <si>
    <t>Client Facility 0705</t>
  </si>
  <si>
    <t>Client Facility 0706</t>
  </si>
  <si>
    <t>Client Facility 0707</t>
  </si>
  <si>
    <t>Client Facility 0708</t>
  </si>
  <si>
    <t>Client Facility 0709</t>
  </si>
  <si>
    <t>Client Facility 0801</t>
  </si>
  <si>
    <t>Client Facility 0804</t>
  </si>
  <si>
    <t>Client Facility 0805</t>
  </si>
  <si>
    <t>Client Facility 0806</t>
  </si>
  <si>
    <t>Client Facility 0807</t>
  </si>
  <si>
    <t>Client Facility 0808</t>
  </si>
  <si>
    <t>Client Facility 0809</t>
  </si>
  <si>
    <t>Client Facility 0810</t>
  </si>
  <si>
    <t>Client Facility 0901</t>
  </si>
  <si>
    <t>Client Facility 1201</t>
  </si>
  <si>
    <t>Client Facility 1202</t>
  </si>
  <si>
    <t>Client Facility 1203</t>
  </si>
  <si>
    <t>Client Facility 1204</t>
  </si>
  <si>
    <t>Client Facility 1205</t>
  </si>
  <si>
    <t>Client Facility 1206</t>
  </si>
  <si>
    <t>Client Facility 1401</t>
  </si>
  <si>
    <t>Client Facility 1402</t>
  </si>
  <si>
    <t>Client Facility 1403</t>
  </si>
  <si>
    <t>Client Facility 1501</t>
  </si>
  <si>
    <t>Client Facility 1502</t>
  </si>
  <si>
    <t>Client Facility 1503</t>
  </si>
  <si>
    <t>Client Facility 1504</t>
  </si>
  <si>
    <t>Client Facility 1505</t>
  </si>
  <si>
    <t>Client Facility 1506</t>
  </si>
  <si>
    <t>Client Facility 1507</t>
  </si>
  <si>
    <t>Client Facility 1508</t>
  </si>
  <si>
    <t>Client Facility 1509</t>
  </si>
  <si>
    <t>Client Facility 1510</t>
  </si>
  <si>
    <t>Client Facility 1511</t>
  </si>
  <si>
    <t>Client Facility 1512</t>
  </si>
  <si>
    <t>Client Facility 1514</t>
  </si>
  <si>
    <t>Client Facility 1515</t>
  </si>
  <si>
    <t>Client Facility 1516</t>
  </si>
  <si>
    <t>Client Facility 1601</t>
  </si>
  <si>
    <t>Client Facility 1602</t>
  </si>
  <si>
    <t>Client Facility 1603</t>
  </si>
  <si>
    <t>Client Facility 1604</t>
  </si>
  <si>
    <t>Client Facility 1701</t>
  </si>
  <si>
    <t>Scope3</t>
  </si>
  <si>
    <t>Data set</t>
  </si>
  <si>
    <t>Description</t>
  </si>
  <si>
    <t>Number of Client Facilities</t>
  </si>
  <si>
    <t>Number of PAIs</t>
  </si>
  <si>
    <t>Scope 3 PAIs</t>
  </si>
  <si>
    <t>Scope 13 PAIs</t>
  </si>
  <si>
    <t>Global Data from 2010-2020 compiled (exclusions included)</t>
  </si>
  <si>
    <t xml:space="preserve">Sustainable Community Quebec's project  </t>
  </si>
  <si>
    <t>Member</t>
  </si>
  <si>
    <t>PAI Scope 3</t>
  </si>
  <si>
    <t>PAI Scope 13</t>
  </si>
  <si>
    <t>Company Sale</t>
  </si>
  <si>
    <t>Asset Sale</t>
  </si>
  <si>
    <t>Closing</t>
  </si>
  <si>
    <t>Bankruptcy</t>
  </si>
  <si>
    <t>Other</t>
  </si>
  <si>
    <t>Details</t>
  </si>
  <si>
    <r>
      <t xml:space="preserve"> </t>
    </r>
    <r>
      <rPr>
        <sz val="11"/>
        <color theme="1"/>
        <rFont val="Agency FB"/>
        <family val="2"/>
      </rPr>
      <t>√</t>
    </r>
  </si>
  <si>
    <t>Withdrawal</t>
  </si>
  <si>
    <t>Failed to submit data on time</t>
  </si>
  <si>
    <r>
      <t xml:space="preserve">Asset sold, therefore -1 PAI, </t>
    </r>
    <r>
      <rPr>
        <i/>
        <sz val="9"/>
        <color rgb="FF00B050"/>
        <rFont val="Aptos Narrow"/>
        <family val="2"/>
        <scheme val="minor"/>
      </rPr>
      <t>CF still participating</t>
    </r>
  </si>
  <si>
    <t>Bankruptcy in 2019</t>
  </si>
  <si>
    <t>Closing of the Sorting Center</t>
  </si>
  <si>
    <t>Sale of the building</t>
  </si>
  <si>
    <t>Closed in 2018</t>
  </si>
  <si>
    <t>Exclusions due to non-participation</t>
  </si>
  <si>
    <t>Excluded PAI</t>
  </si>
  <si>
    <t>Excluded Client Facilties</t>
  </si>
  <si>
    <t>Annex B (related to Appendix 5 of the MR)</t>
  </si>
  <si>
    <t>Contribution of the Sustainable Community to the Sustainable Development Goals (SDGs)</t>
  </si>
  <si>
    <t>Evidence for SDG 9.3</t>
  </si>
  <si>
    <t>Quebec's population in 2021:</t>
  </si>
  <si>
    <t>Estimated population impacted in the SC:</t>
  </si>
  <si>
    <t xml:space="preserve">GHG micro-projects (project activity instances) realized by over 150 SMEs majority located in remote areas on 13 of the 17 administrative regions of Quebec. </t>
  </si>
  <si>
    <t>out of the 17 administrative regions of Quebec where the micro-projects are carried out.</t>
  </si>
  <si>
    <t>(01) Bas-Saint-Laurent</t>
  </si>
  <si>
    <t>(06) Montréal</t>
  </si>
  <si>
    <t>(16) Montérégie</t>
  </si>
  <si>
    <t>(02) Saguenay-Lac Saint-Jean</t>
  </si>
  <si>
    <t>(07) Outaouais</t>
  </si>
  <si>
    <t>(12) Chaudière-Appalaches</t>
  </si>
  <si>
    <t>(17) Centre-du-Québec</t>
  </si>
  <si>
    <t>(04) Mauricie</t>
  </si>
  <si>
    <t>(08) Abitibi-Témiscamingue</t>
  </si>
  <si>
    <t>(14) Lanaudière</t>
  </si>
  <si>
    <t>(09) Côte-Nord</t>
  </si>
  <si>
    <t>(15) Laurentides</t>
  </si>
  <si>
    <t>SDG Target</t>
  </si>
  <si>
    <t>SDG Indicator</t>
  </si>
  <si>
    <t>Net impact on SDG Indicator</t>
  </si>
  <si>
    <t>Current project contributions</t>
  </si>
  <si>
    <t>Contributions over Project Lifetime</t>
  </si>
  <si>
    <t>Number of client facilities (SMEs) with access to financial services</t>
  </si>
  <si>
    <t>Implemented activities to increase</t>
  </si>
  <si>
    <t>The contributions during this monitoring period includes:</t>
  </si>
  <si>
    <t xml:space="preserve"> - 2 M CAD$ paid up to December 2021 to Sustainable Community SMEs to implement GHG reduction projects.</t>
  </si>
  <si>
    <t>2 M CAD$ paid up to December 2021 to Sustainable Community SMEs to implement GHG reduction projects.</t>
  </si>
  <si>
    <t>Evidence for SDG 10.2</t>
  </si>
  <si>
    <t>of the Quebec’s population territory, located mainly in remote areas, has participated through their organizations (SME, municipalities, and NGOs), to the group project.</t>
  </si>
  <si>
    <t>By 2030, empower and promote the social, economic, and political inclusion of all, irrespective of age, sex, disability, race, ethnicity, origin, religion or economic or other status.</t>
  </si>
  <si>
    <t xml:space="preserve">Implemented activities to increase </t>
  </si>
  <si>
    <r>
      <t>The renewal of our group project by VCS in May 2021 for another 10-year period (starting January 1</t>
    </r>
    <r>
      <rPr>
        <vertAlign val="superscript"/>
        <sz val="9.5"/>
        <color theme="1"/>
        <rFont val="Franklin Gothic Book"/>
        <family val="2"/>
      </rPr>
      <t>st</t>
    </r>
    <r>
      <rPr>
        <sz val="9.5"/>
        <color theme="1"/>
        <rFont val="Franklin Gothic Book"/>
        <family val="2"/>
      </rPr>
      <t>, 2020, to December 31, 2029), combined with driving climate action allow higher inclusion inside the Quebec’s territory.</t>
    </r>
  </si>
  <si>
    <t>Evidence for SDG 11.A</t>
  </si>
  <si>
    <t>Municipalities involved in the SC:</t>
  </si>
  <si>
    <t>Total municipalities in Quebec:</t>
  </si>
  <si>
    <t>https://www.mamh.gouv.qc.ca/fileadmin/publications/organisation_municipale/organisation_territoriale/BRO_OrganisationMunicipale_2020.pdf</t>
  </si>
  <si>
    <t>11.A</t>
  </si>
  <si>
    <t>Support positive economic, social, and environemental links between urban and peri-urban and rural areas by strengthening national and regional development planning.</t>
  </si>
  <si>
    <t>Increase efficient use of natural resources.</t>
  </si>
  <si>
    <t>Evidence for SDG 13.0</t>
  </si>
  <si>
    <r>
      <t>Number of tCO</t>
    </r>
    <r>
      <rPr>
        <vertAlign val="subscript"/>
        <sz val="11"/>
        <color theme="1" tint="0.14996795556505021"/>
        <rFont val="Aptos Narrow"/>
        <family val="2"/>
        <scheme val="minor"/>
      </rPr>
      <t>2</t>
    </r>
    <r>
      <rPr>
        <sz val="11"/>
        <color theme="1" tint="0.14999847407452621"/>
        <rFont val="Aptos Narrow"/>
        <family val="2"/>
        <scheme val="minor"/>
      </rPr>
      <t>e of greenhouse gas emissions (GHG) avoided and reduced are declared in our Monitoring Report. The data and calculation method have been duly verified by a recognized VVB under the VCS program.</t>
    </r>
  </si>
  <si>
    <t xml:space="preserve">Number of tCO2e of greenhouse gas emissions (GHG) avoided and reduced. </t>
  </si>
  <si>
    <t>Evidence for SDG 17.17</t>
  </si>
  <si>
    <t>Creation/collaboration of one vortex with the Reseau SADC and CAE of Quebec and 14 NGOs (local SADC) directly associated to the vortex. This information is public; see link to the press release below:</t>
  </si>
  <si>
    <t>https://www.newswire.ca/news-releases/will-announces-3-million-tons-of-greenhouse-gas-offsets-released-for-sale-870212697.html</t>
  </si>
  <si>
    <t>Number of contributing NGO and partnership to the sustainability movement.</t>
  </si>
  <si>
    <t>14 NGOs directly associated to the Sustainability movement.</t>
  </si>
  <si>
    <t>PAI XV</t>
  </si>
  <si>
    <t>Land Application of Biosolids</t>
  </si>
  <si>
    <t>Real 2023 data</t>
  </si>
  <si>
    <t>Client Facility 0122</t>
  </si>
  <si>
    <t>Composting</t>
  </si>
  <si>
    <t>Client Facility 0216</t>
  </si>
  <si>
    <t>Recycling</t>
  </si>
  <si>
    <t>n/a</t>
  </si>
  <si>
    <t>Client Facility 0710</t>
  </si>
  <si>
    <t>10-Nord-du-Québec</t>
  </si>
  <si>
    <t>Client Facility 1002</t>
  </si>
  <si>
    <t>Total PAIs across monitoring periods (2010-2019; 2020-2023);</t>
  </si>
  <si>
    <t xml:space="preserve">Total CF's across monitoring periods (2010-2019; 2020-2023); </t>
  </si>
  <si>
    <t>Non-participating members in the 8th cohort</t>
  </si>
  <si>
    <t>(10) Nord-du-Québec</t>
  </si>
  <si>
    <t>https://solutionswill.com/wp-content/uploads/2024/09/Registre-interne-WILL-22-Aout-2024-1.pdf</t>
  </si>
  <si>
    <t>Client Facility 1207</t>
  </si>
  <si>
    <t>Client Facility 0603</t>
  </si>
  <si>
    <t>Client Facility 1605</t>
  </si>
  <si>
    <t>Client Facility 0902</t>
  </si>
  <si>
    <t xml:space="preserve">In accordance with the VM0018 methodology (version 1.0) section 8.3, the size of the sample is the square root of the number of PAIs, for each sectoral scope, participating to the group project, rounded to the upper whole number. </t>
  </si>
  <si>
    <t>For this monitoring period, the minimum sampling size for the VVB audit was calculated as indicated in the tables below.</t>
  </si>
  <si>
    <r>
      <t xml:space="preserve">Minus 1 PAI as of MP5, </t>
    </r>
    <r>
      <rPr>
        <i/>
        <sz val="9"/>
        <color rgb="FF00B050"/>
        <rFont val="Aptos Narrow"/>
        <family val="2"/>
        <scheme val="minor"/>
      </rPr>
      <t>CF still participating</t>
    </r>
  </si>
  <si>
    <r>
      <t xml:space="preserve">Minus 1 PAI as of MP7, </t>
    </r>
    <r>
      <rPr>
        <i/>
        <sz val="9"/>
        <color rgb="FF00B050"/>
        <rFont val="Aptos Narrow"/>
        <family val="2"/>
        <scheme val="minor"/>
      </rPr>
      <t>CF still participating</t>
    </r>
  </si>
  <si>
    <r>
      <t xml:space="preserve"> -2 PAI; stopped the PAI; </t>
    </r>
    <r>
      <rPr>
        <i/>
        <sz val="9"/>
        <color rgb="FF00B050"/>
        <rFont val="Aptos Narrow"/>
        <family val="2"/>
        <scheme val="minor"/>
      </rPr>
      <t>CF still participating</t>
    </r>
  </si>
  <si>
    <t>Reason for non-participation of CF</t>
  </si>
  <si>
    <r>
      <t xml:space="preserve">Minus 1 PAI as of MP8, </t>
    </r>
    <r>
      <rPr>
        <i/>
        <sz val="9"/>
        <color rgb="FF00B050"/>
        <rFont val="Aptos Narrow"/>
        <family val="2"/>
        <scheme val="minor"/>
      </rPr>
      <t>CF still participating</t>
    </r>
  </si>
  <si>
    <r>
      <t xml:space="preserve">Minus 8 PAIs as of MP7, </t>
    </r>
    <r>
      <rPr>
        <i/>
        <sz val="9"/>
        <color rgb="FF00B050"/>
        <rFont val="Aptos Narrow"/>
        <family val="2"/>
        <scheme val="minor"/>
      </rPr>
      <t>CF still participating</t>
    </r>
  </si>
  <si>
    <r>
      <t xml:space="preserve">Minus 5 PAIs as of MP8, </t>
    </r>
    <r>
      <rPr>
        <i/>
        <sz val="9"/>
        <color rgb="FF00B050"/>
        <rFont val="Aptos Narrow"/>
        <family val="2"/>
        <scheme val="minor"/>
      </rPr>
      <t>CF still participating</t>
    </r>
  </si>
  <si>
    <r>
      <t xml:space="preserve">Minus 2 PAI as of MP7, </t>
    </r>
    <r>
      <rPr>
        <i/>
        <sz val="9"/>
        <color rgb="FF00B050"/>
        <rFont val="Aptos Narrow"/>
        <family val="2"/>
        <scheme val="minor"/>
      </rPr>
      <t>CF still participating</t>
    </r>
  </si>
  <si>
    <r>
      <t xml:space="preserve">Minus 5 PAI as of MP7, </t>
    </r>
    <r>
      <rPr>
        <i/>
        <sz val="9"/>
        <color rgb="FF00B050"/>
        <rFont val="Aptos Narrow"/>
        <family val="2"/>
        <scheme val="minor"/>
      </rPr>
      <t>CF still participating</t>
    </r>
  </si>
  <si>
    <r>
      <rPr>
        <b/>
        <sz val="14"/>
        <rFont val="Aptos Narrow"/>
        <family val="2"/>
        <scheme val="minor"/>
      </rPr>
      <t>Group</t>
    </r>
    <r>
      <rPr>
        <b/>
        <sz val="14"/>
        <color theme="1"/>
        <rFont val="Aptos Narrow"/>
        <family val="2"/>
        <scheme val="minor"/>
      </rPr>
      <t xml:space="preserve"> of client facilities</t>
    </r>
  </si>
  <si>
    <r>
      <t>Yearly average of tCO</t>
    </r>
    <r>
      <rPr>
        <vertAlign val="subscript"/>
        <sz val="11"/>
        <color theme="1"/>
        <rFont val="Aptos Narrow"/>
        <family val="2"/>
        <scheme val="minor"/>
      </rPr>
      <t>2</t>
    </r>
    <r>
      <rPr>
        <sz val="11"/>
        <color theme="1"/>
        <rFont val="Aptos Narrow"/>
        <family val="2"/>
        <scheme val="minor"/>
      </rPr>
      <t xml:space="preserve">e per PAI for this MP: </t>
    </r>
  </si>
  <si>
    <t>Emission reduction results included in this monitoring period</t>
  </si>
  <si>
    <t>Reduction/  Reuse</t>
  </si>
  <si>
    <t>Observations et notes</t>
  </si>
  <si>
    <r>
      <rPr>
        <b/>
        <sz val="11"/>
        <color theme="1"/>
        <rFont val="Aptos Narrow"/>
        <family val="2"/>
        <scheme val="minor"/>
      </rPr>
      <t xml:space="preserve">Client Facilities in </t>
    </r>
    <r>
      <rPr>
        <b/>
        <sz val="11"/>
        <color rgb="FFD13319"/>
        <rFont val="Aptos Narrow"/>
        <family val="2"/>
        <scheme val="minor"/>
      </rPr>
      <t>red</t>
    </r>
    <r>
      <rPr>
        <sz val="11"/>
        <color theme="1"/>
        <rFont val="Aptos Narrow"/>
        <family val="2"/>
        <scheme val="minor"/>
      </rPr>
      <t>: CF that did not participate to this MR/period; see "Non-participation " sheet for details of non-participation.</t>
    </r>
  </si>
  <si>
    <r>
      <t>The 9</t>
    </r>
    <r>
      <rPr>
        <i/>
        <vertAlign val="superscript"/>
        <sz val="11"/>
        <color theme="1"/>
        <rFont val="Aptos Narrow"/>
        <family val="2"/>
        <scheme val="minor"/>
      </rPr>
      <t xml:space="preserve">th </t>
    </r>
    <r>
      <rPr>
        <i/>
        <sz val="11"/>
        <color theme="1"/>
        <rFont val="Aptos Narrow"/>
        <family val="2"/>
        <scheme val="minor"/>
      </rPr>
      <t>Monitoring Report to be submitted to the VCS program covering the period of 01-January-2024 to 31-December-2024</t>
    </r>
  </si>
  <si>
    <t>2024 - Scope 3</t>
  </si>
  <si>
    <t>2024 - Scope 13</t>
  </si>
  <si>
    <t>Yearly emission reduction quantification</t>
  </si>
  <si>
    <t>Sous-total</t>
  </si>
  <si>
    <t>PAI</t>
  </si>
  <si>
    <t>Inputs (english)</t>
  </si>
  <si>
    <t>Oil consumption reduction by installing the control on the bi-energy electric-oil boiler</t>
  </si>
  <si>
    <r>
      <rPr>
        <sz val="11"/>
        <color rgb="FF262626"/>
        <rFont val="Calibri"/>
        <family val="2"/>
      </rPr>
      <t>Inputs (</t>
    </r>
    <r>
      <rPr>
        <i/>
        <sz val="11"/>
        <color rgb="FF262626"/>
        <rFont val="Calibri"/>
        <family val="2"/>
      </rPr>
      <t>original name in french</t>
    </r>
    <r>
      <rPr>
        <sz val="11"/>
        <color rgb="FF262626"/>
        <rFont val="Calibri"/>
        <family val="2"/>
      </rPr>
      <t>)</t>
    </r>
  </si>
  <si>
    <t>Réduction de la consommation du mazout par l'installation du contrôle sur la chaudière bi-énergie électricité-huile</t>
  </si>
  <si>
    <r>
      <rPr>
        <sz val="11"/>
        <color theme="1"/>
        <rFont val="Calibri"/>
        <family val="2"/>
      </rPr>
      <t>Baseline emissions (tCO</t>
    </r>
    <r>
      <rPr>
        <vertAlign val="subscript"/>
        <sz val="11"/>
        <color theme="1"/>
        <rFont val="Calibri"/>
        <family val="2"/>
      </rPr>
      <t>2</t>
    </r>
    <r>
      <rPr>
        <sz val="11"/>
        <color theme="1"/>
        <rFont val="Calibri"/>
        <family val="2"/>
      </rPr>
      <t>e)</t>
    </r>
  </si>
  <si>
    <r>
      <rPr>
        <sz val="11"/>
        <color theme="1"/>
        <rFont val="Calibri"/>
        <family val="2"/>
      </rPr>
      <t>Project emissions (tCO</t>
    </r>
    <r>
      <rPr>
        <vertAlign val="subscript"/>
        <sz val="11"/>
        <color theme="1"/>
        <rFont val="Calibri"/>
        <family val="2"/>
      </rPr>
      <t>2</t>
    </r>
    <r>
      <rPr>
        <sz val="11"/>
        <color theme="1"/>
        <rFont val="Calibri"/>
        <family val="2"/>
      </rPr>
      <t>e)</t>
    </r>
  </si>
  <si>
    <r>
      <rPr>
        <sz val="11"/>
        <color theme="1"/>
        <rFont val="Calibri"/>
        <family val="2"/>
      </rPr>
      <t>Leakage emissions (tCO</t>
    </r>
    <r>
      <rPr>
        <vertAlign val="subscript"/>
        <sz val="11"/>
        <color theme="1"/>
        <rFont val="Calibri"/>
        <family val="2"/>
      </rPr>
      <t>2</t>
    </r>
    <r>
      <rPr>
        <sz val="11"/>
        <color theme="1"/>
        <rFont val="Calibri"/>
        <family val="2"/>
      </rPr>
      <t>e)</t>
    </r>
  </si>
  <si>
    <r>
      <rPr>
        <sz val="11"/>
        <color theme="1"/>
        <rFont val="Calibri"/>
        <family val="2"/>
      </rPr>
      <t>Net GHG emission reductions (tCO</t>
    </r>
    <r>
      <rPr>
        <vertAlign val="subscript"/>
        <sz val="11"/>
        <color theme="1"/>
        <rFont val="Calibri"/>
        <family val="2"/>
      </rPr>
      <t>2</t>
    </r>
    <r>
      <rPr>
        <sz val="11"/>
        <color theme="1"/>
        <rFont val="Calibri"/>
        <family val="2"/>
      </rPr>
      <t>e)</t>
    </r>
  </si>
  <si>
    <r>
      <rPr>
        <b/>
        <sz val="12"/>
        <color rgb="FF3F3F3F"/>
        <rFont val="Calibri"/>
        <family val="2"/>
      </rPr>
      <t>Baseline emissions (tCO</t>
    </r>
    <r>
      <rPr>
        <b/>
        <vertAlign val="subscript"/>
        <sz val="12"/>
        <color rgb="FF3F3F3F"/>
        <rFont val="Calibri"/>
        <family val="2"/>
      </rPr>
      <t>2</t>
    </r>
    <r>
      <rPr>
        <b/>
        <sz val="12"/>
        <color rgb="FF3F3F3F"/>
        <rFont val="Calibri"/>
        <family val="2"/>
      </rPr>
      <t>e)</t>
    </r>
  </si>
  <si>
    <t>Baseline scenario description</t>
  </si>
  <si>
    <t>Baseline Oil n.2 Consumption</t>
  </si>
  <si>
    <t>Data in Liters (L)</t>
  </si>
  <si>
    <r>
      <rPr>
        <b/>
        <sz val="11"/>
        <color rgb="FF3F3F3F"/>
        <rFont val="Calibri"/>
        <family val="2"/>
      </rPr>
      <t>EF</t>
    </r>
    <r>
      <rPr>
        <sz val="11"/>
        <color rgb="FF3F3F3F"/>
        <rFont val="Calibri"/>
        <family val="2"/>
      </rPr>
      <t xml:space="preserve"> (tCO2e/Metric tons)</t>
    </r>
  </si>
  <si>
    <r>
      <rPr>
        <sz val="11"/>
        <color rgb="FF3F3F3F"/>
        <rFont val="Calibri"/>
        <family val="2"/>
      </rPr>
      <t>Equation: result in tCO</t>
    </r>
    <r>
      <rPr>
        <vertAlign val="subscript"/>
        <sz val="11"/>
        <color rgb="FF3F3F3F"/>
        <rFont val="Calibri"/>
        <family val="2"/>
      </rPr>
      <t>2</t>
    </r>
    <r>
      <rPr>
        <sz val="11"/>
        <color rgb="FF3F3F3F"/>
        <rFont val="Calibri"/>
        <family val="2"/>
      </rPr>
      <t>e</t>
    </r>
  </si>
  <si>
    <r>
      <rPr>
        <b/>
        <sz val="12"/>
        <color rgb="FF3F3F3F"/>
        <rFont val="Calibri"/>
        <family val="2"/>
      </rPr>
      <t>Projects emissions (tCO</t>
    </r>
    <r>
      <rPr>
        <b/>
        <vertAlign val="subscript"/>
        <sz val="12"/>
        <color rgb="FF3F3F3F"/>
        <rFont val="Calibri"/>
        <family val="2"/>
      </rPr>
      <t>2</t>
    </r>
    <r>
      <rPr>
        <b/>
        <sz val="12"/>
        <color rgb="FF3F3F3F"/>
        <rFont val="Calibri"/>
        <family val="2"/>
      </rPr>
      <t>e)</t>
    </r>
  </si>
  <si>
    <t>Oil n.2 consumption after PAI</t>
  </si>
  <si>
    <t>Electricity Consumption</t>
  </si>
  <si>
    <t>Data in kWh</t>
  </si>
  <si>
    <t>Source of Emission Factor (EF)</t>
  </si>
  <si>
    <t>RDOCECA/MELCCFP 2024</t>
  </si>
  <si>
    <t>Sectoral scope</t>
  </si>
  <si>
    <r>
      <t>Additionnality</t>
    </r>
    <r>
      <rPr>
        <i/>
        <sz val="9"/>
        <color rgb="FFEF541D"/>
        <rFont val="Calibri"/>
        <family val="2"/>
      </rPr>
      <t xml:space="preserve"> (refer to the Project Document)</t>
    </r>
  </si>
  <si>
    <t>Yes</t>
  </si>
  <si>
    <r>
      <t xml:space="preserve">Common practice </t>
    </r>
    <r>
      <rPr>
        <i/>
        <sz val="9"/>
        <color rgb="FFEF541D"/>
        <rFont val="Calibri"/>
        <family val="2"/>
      </rPr>
      <t>(refer to the Project Document)</t>
    </r>
  </si>
  <si>
    <t>No</t>
  </si>
  <si>
    <r>
      <t xml:space="preserve">Association to a generic PAI </t>
    </r>
    <r>
      <rPr>
        <i/>
        <sz val="9"/>
        <color rgb="FFEF541D"/>
        <rFont val="Calibri"/>
        <family val="2"/>
      </rPr>
      <t>(refer to 'Generic PAI' sheet)</t>
    </r>
  </si>
  <si>
    <t>VII</t>
  </si>
  <si>
    <t>Number of PAI attributed</t>
  </si>
  <si>
    <t>Ownership</t>
  </si>
  <si>
    <t>Chain of custody</t>
  </si>
  <si>
    <t>Others</t>
  </si>
  <si>
    <t>N.a.</t>
  </si>
  <si>
    <r>
      <rPr>
        <sz val="10"/>
        <color theme="0"/>
        <rFont val="Calibri"/>
        <family val="2"/>
      </rPr>
      <t>Data in</t>
    </r>
    <r>
      <rPr>
        <b/>
        <sz val="10"/>
        <color theme="0"/>
        <rFont val="Calibri"/>
        <family val="2"/>
      </rPr>
      <t xml:space="preserve"> </t>
    </r>
  </si>
  <si>
    <r>
      <rPr>
        <sz val="10"/>
        <color theme="0"/>
        <rFont val="Calibri"/>
        <family val="2"/>
      </rPr>
      <t>Data in</t>
    </r>
    <r>
      <rPr>
        <b/>
        <sz val="10"/>
        <color theme="0"/>
        <rFont val="Calibri"/>
        <family val="2"/>
      </rPr>
      <t xml:space="preserve"> Liters (L)</t>
    </r>
  </si>
  <si>
    <r>
      <rPr>
        <sz val="10"/>
        <color theme="0"/>
        <rFont val="Calibri"/>
        <family val="2"/>
      </rPr>
      <t>Data in</t>
    </r>
    <r>
      <rPr>
        <b/>
        <sz val="10"/>
        <color theme="0"/>
        <rFont val="Calibri"/>
        <family val="2"/>
      </rPr>
      <t xml:space="preserve"> cubic meters (m3)</t>
    </r>
  </si>
  <si>
    <r>
      <rPr>
        <sz val="10"/>
        <color theme="0"/>
        <rFont val="Calibri"/>
        <family val="2"/>
      </rPr>
      <t>Data in</t>
    </r>
    <r>
      <rPr>
        <b/>
        <sz val="10"/>
        <color theme="0"/>
        <rFont val="Calibri"/>
        <family val="2"/>
      </rPr>
      <t xml:space="preserve"> Metric tons (Mt)</t>
    </r>
  </si>
  <si>
    <r>
      <rPr>
        <sz val="10"/>
        <color theme="0"/>
        <rFont val="Calibri"/>
        <family val="2"/>
      </rPr>
      <t>Data in</t>
    </r>
    <r>
      <rPr>
        <b/>
        <sz val="10"/>
        <color theme="0"/>
        <rFont val="Calibri"/>
        <family val="2"/>
      </rPr>
      <t xml:space="preserve"> kWh</t>
    </r>
  </si>
  <si>
    <r>
      <rPr>
        <sz val="10"/>
        <color theme="0"/>
        <rFont val="Calibri"/>
        <family val="2"/>
      </rPr>
      <t>Data in</t>
    </r>
    <r>
      <rPr>
        <b/>
        <sz val="10"/>
        <color theme="0"/>
        <rFont val="Calibri"/>
        <family val="2"/>
      </rPr>
      <t xml:space="preserve"> kilograms (kg)</t>
    </r>
  </si>
  <si>
    <t>Ground Data Supply</t>
  </si>
  <si>
    <r>
      <t xml:space="preserve">Data used in this monitoring period for project emissions </t>
    </r>
    <r>
      <rPr>
        <b/>
        <sz val="10"/>
        <color rgb="FFF04E2A"/>
        <rFont val="Calibri"/>
        <family val="2"/>
      </rPr>
      <t>is in bold red</t>
    </r>
  </si>
  <si>
    <r>
      <rPr>
        <b/>
        <sz val="12"/>
        <color rgb="FF3F3F3F"/>
        <rFont val="Georgia"/>
        <family val="1"/>
      </rPr>
      <t>SCOPE 3</t>
    </r>
    <r>
      <rPr>
        <b/>
        <sz val="12"/>
        <color rgb="FF595959"/>
        <rFont val="Georgia"/>
        <family val="1"/>
      </rPr>
      <t>: Energy Efficiency</t>
    </r>
  </si>
  <si>
    <t>Data Source*</t>
  </si>
  <si>
    <t xml:space="preserve">Data Description </t>
  </si>
  <si>
    <t>Unit</t>
  </si>
  <si>
    <t>Comments</t>
  </si>
  <si>
    <t>Baseline</t>
  </si>
  <si>
    <t>Evidence provided by client facility</t>
  </si>
  <si>
    <t>Fuel oil consumption</t>
  </si>
  <si>
    <t>L</t>
  </si>
  <si>
    <t>Baseline and Project Scenario</t>
  </si>
  <si>
    <t>Electricity consumption</t>
  </si>
  <si>
    <t>kWh</t>
  </si>
  <si>
    <t>Project Scenario</t>
  </si>
  <si>
    <t>*</t>
  </si>
  <si>
    <t>The evidence provided by the client's facility was further assessed and confirmed by Will's audit, on a sample size basis to ascertain reduction claims.</t>
  </si>
  <si>
    <t>Assumptions/notes on each PAI's:</t>
  </si>
  <si>
    <t>Switch oil n.2 to biomass</t>
  </si>
  <si>
    <t>Conversion du mazout à la biomasse</t>
  </si>
  <si>
    <t>Oil n.2 consumption</t>
  </si>
  <si>
    <t>Biomass consumption</t>
  </si>
  <si>
    <t>Baseline scenario and residual consumption</t>
  </si>
  <si>
    <t>Mt</t>
  </si>
  <si>
    <t>2023 and before: data was converted from kg to Mt. From 2024 and on: data is in kg</t>
  </si>
  <si>
    <t>PAI 1</t>
  </si>
  <si>
    <t>The increase in oil n.2 consumption in 2024 is due to the fact that the biomass boiler was inactive from June 10 to July 15, 2024</t>
  </si>
  <si>
    <t>Conversion from oil n.2 to biomass</t>
  </si>
  <si>
    <t>Conversion du chauffage au mazout (n.2) vers la biomasse</t>
  </si>
  <si>
    <t>Data in kilograms (kg)</t>
  </si>
  <si>
    <t>Yearly cost of oil consumption</t>
  </si>
  <si>
    <t>$</t>
  </si>
  <si>
    <t>Average unit price per liters of oil</t>
  </si>
  <si>
    <t>$/L</t>
  </si>
  <si>
    <t>Will's calculations</t>
  </si>
  <si>
    <t>Yearly oil consumption</t>
  </si>
  <si>
    <t>Since 2018, data is provided by client facility</t>
  </si>
  <si>
    <t>Calorific value of oil consumption</t>
  </si>
  <si>
    <t>Mj</t>
  </si>
  <si>
    <t>Yearly cost of biomass</t>
  </si>
  <si>
    <t>average unit price per MT of biomass (wet biomass)</t>
  </si>
  <si>
    <t>$/MT</t>
  </si>
  <si>
    <t>Yearly biomass consumption</t>
  </si>
  <si>
    <t>MT</t>
  </si>
  <si>
    <t>Convert to kg</t>
  </si>
  <si>
    <t>kg</t>
  </si>
  <si>
    <t>Calorific value of biomass consumption</t>
  </si>
  <si>
    <t>Total calorific value</t>
  </si>
  <si>
    <t>Equivalent oil consumption</t>
  </si>
  <si>
    <t>3 BUILDINGS UP TO SEVEN</t>
  </si>
  <si>
    <t>from 2011 and 2012 heating 3 buildings.  Beyond that 7 buildings are connected and heated with the heat network</t>
  </si>
  <si>
    <t>Conversion propane to biomass</t>
  </si>
  <si>
    <t>Landfill avoidance of organic waste</t>
  </si>
  <si>
    <t>Conversion propane vers biomasse</t>
  </si>
  <si>
    <t>Revalorisation des matières organiques</t>
  </si>
  <si>
    <r>
      <rPr>
        <b/>
        <sz val="12"/>
        <color theme="1"/>
        <rFont val="Calibri"/>
        <family val="2"/>
      </rPr>
      <t>Baseline emissions (tCO</t>
    </r>
    <r>
      <rPr>
        <b/>
        <vertAlign val="subscript"/>
        <sz val="12"/>
        <color theme="1"/>
        <rFont val="Calibri"/>
        <family val="2"/>
      </rPr>
      <t>2</t>
    </r>
    <r>
      <rPr>
        <b/>
        <sz val="12"/>
        <color theme="1"/>
        <rFont val="Calibri"/>
        <family val="2"/>
      </rPr>
      <t>e)</t>
    </r>
  </si>
  <si>
    <t>Baseline propane consumption</t>
  </si>
  <si>
    <t>Landfill Scenario</t>
  </si>
  <si>
    <t>Data in Metric tons</t>
  </si>
  <si>
    <t>Organic matter reuse and composting</t>
  </si>
  <si>
    <t>Propane consumption after PAI</t>
  </si>
  <si>
    <t>EPA WARM v.16, Dec 2023</t>
  </si>
  <si>
    <t>II</t>
  </si>
  <si>
    <t>Propane consumption</t>
  </si>
  <si>
    <t>Biomass consumption (Mt)</t>
  </si>
  <si>
    <t>Biomass consumption (kg)</t>
  </si>
  <si>
    <t>Conversion of the propane dryer to a biomass dryer in 2017.</t>
  </si>
  <si>
    <t>As a conservative approach, propane consumption for 2016 and 2017 is equivalent to 2015 (despite the decreasing tendency).</t>
  </si>
  <si>
    <t>Compiled biomass data according to 2022 register and weight ticket provided by CF:</t>
  </si>
  <si>
    <r>
      <rPr>
        <b/>
        <sz val="12"/>
        <color rgb="FF3F3F3F"/>
        <rFont val="Georgia"/>
        <family val="1"/>
      </rPr>
      <t>SCOPE 13</t>
    </r>
    <r>
      <rPr>
        <b/>
        <sz val="12"/>
        <color rgb="FF595959"/>
        <rFont val="Georgia"/>
        <family val="1"/>
      </rPr>
      <t>: Methane Avoidance/Waste</t>
    </r>
  </si>
  <si>
    <r>
      <t xml:space="preserve">Data used in this monitoring period for baseline/project emissions </t>
    </r>
    <r>
      <rPr>
        <b/>
        <sz val="10"/>
        <color rgb="FFF04E2A"/>
        <rFont val="Calibri"/>
        <family val="2"/>
      </rPr>
      <t>is in bold red</t>
    </r>
  </si>
  <si>
    <t>Delivered biomass</t>
  </si>
  <si>
    <t>Food valorization</t>
  </si>
  <si>
    <t>The biomass dryer could not be used in 2023-2024 due to a change in drying equipment.</t>
  </si>
  <si>
    <t>Switch fuel oil to electricity (City Hall)</t>
  </si>
  <si>
    <t>Switch fuel oil to heat pumps (old arena)</t>
  </si>
  <si>
    <t>Switch fuel oil to propane (Fire Station)</t>
  </si>
  <si>
    <t>New design with heat recovery and electricity (new arena)</t>
  </si>
  <si>
    <t>Recycling paper/cardboard from select. Collection</t>
  </si>
  <si>
    <t>Conversion chauffage huile vers électricité (Hotel de Ville)</t>
  </si>
  <si>
    <t>Conversion chauffage huile vers thermopompes (Vieil Aréna)</t>
  </si>
  <si>
    <t>Conversion chauffage huile no. 2 vers propane (Caserne)</t>
  </si>
  <si>
    <t>Nouveau design récupération de chaleur et électricité (Nouvel Aréna)</t>
  </si>
  <si>
    <t>Recyclage de papier/carton de la collecte sélective</t>
  </si>
  <si>
    <t>Compostage municipal des matières organiques</t>
  </si>
  <si>
    <t>Compostage des matières organiques à la SEMER</t>
  </si>
  <si>
    <t>consumption oil no.2</t>
  </si>
  <si>
    <t>equivalent oil consumption</t>
  </si>
  <si>
    <t>Paper/cardboard sent to landfill</t>
  </si>
  <si>
    <t>Organic waste sent to landfill</t>
  </si>
  <si>
    <t>propane consumption</t>
  </si>
  <si>
    <t>landfill avoidance</t>
  </si>
  <si>
    <t>Consumption of oil after PAI</t>
  </si>
  <si>
    <t>VIII</t>
  </si>
  <si>
    <t>X</t>
  </si>
  <si>
    <t>Evidence provided by the client facility</t>
  </si>
  <si>
    <t>City Hall oil consumption</t>
  </si>
  <si>
    <t>City Hall Electricity consumption</t>
  </si>
  <si>
    <t>Old arena oil consumption</t>
  </si>
  <si>
    <t>Old Arena electricity consumption</t>
  </si>
  <si>
    <t>Fire station propane consumption</t>
  </si>
  <si>
    <t>New arena electricity consumption</t>
  </si>
  <si>
    <t>New arena energy used equivalent oil</t>
  </si>
  <si>
    <t>MJ</t>
  </si>
  <si>
    <t>New arena equivalent oil consumption</t>
  </si>
  <si>
    <t xml:space="preserve">In 2023, exact oil &amp; propane consumption is unknown. Quantities indicated are volumes of oil and propane bought during the year. </t>
  </si>
  <si>
    <t>PAI 4</t>
  </si>
  <si>
    <t xml:space="preserve">Estimate of heating volume following the extension of the fire station. </t>
  </si>
  <si>
    <t>Paper/cardboard sent to recycling</t>
  </si>
  <si>
    <t>From Municipal report (recyc-Quebec)</t>
  </si>
  <si>
    <t>Organic waste composted at the City platform</t>
  </si>
  <si>
    <t>Recyc-Québec GMR report</t>
  </si>
  <si>
    <t>Municipal collection recycling rate</t>
  </si>
  <si>
    <t>%</t>
  </si>
  <si>
    <t>page 9 of the 2021 report</t>
  </si>
  <si>
    <r>
      <rPr>
        <sz val="11"/>
        <color rgb="FF262626"/>
        <rFont val="Calibri"/>
        <family val="2"/>
      </rPr>
      <t>Inputs (</t>
    </r>
    <r>
      <rPr>
        <i/>
        <sz val="11"/>
        <color rgb="FF262626"/>
        <rFont val="Calibri"/>
        <family val="2"/>
      </rPr>
      <t>original name in french</t>
    </r>
    <r>
      <rPr>
        <sz val="11"/>
        <color rgb="FF262626"/>
        <rFont val="Calibri"/>
        <family val="2"/>
      </rPr>
      <t>)</t>
    </r>
  </si>
  <si>
    <r>
      <rPr>
        <sz val="11"/>
        <color theme="1"/>
        <rFont val="Calibri"/>
        <family val="2"/>
      </rPr>
      <t>Baseline emissions (tCO</t>
    </r>
    <r>
      <rPr>
        <vertAlign val="subscript"/>
        <sz val="11"/>
        <color theme="1"/>
        <rFont val="Calibri"/>
        <family val="2"/>
      </rPr>
      <t>2</t>
    </r>
    <r>
      <rPr>
        <sz val="11"/>
        <color theme="1"/>
        <rFont val="Calibri"/>
        <family val="2"/>
      </rPr>
      <t>e)</t>
    </r>
  </si>
  <si>
    <r>
      <rPr>
        <sz val="11"/>
        <color theme="1"/>
        <rFont val="Calibri"/>
        <family val="2"/>
      </rPr>
      <t>Project emissions (tCO</t>
    </r>
    <r>
      <rPr>
        <vertAlign val="subscript"/>
        <sz val="11"/>
        <color theme="1"/>
        <rFont val="Calibri"/>
        <family val="2"/>
      </rPr>
      <t>2</t>
    </r>
    <r>
      <rPr>
        <sz val="11"/>
        <color theme="1"/>
        <rFont val="Calibri"/>
        <family val="2"/>
      </rPr>
      <t>e)</t>
    </r>
  </si>
  <si>
    <r>
      <rPr>
        <sz val="11"/>
        <color theme="1"/>
        <rFont val="Calibri"/>
        <family val="2"/>
      </rPr>
      <t>Leakage emissions (tCO</t>
    </r>
    <r>
      <rPr>
        <vertAlign val="subscript"/>
        <sz val="11"/>
        <color theme="1"/>
        <rFont val="Calibri"/>
        <family val="2"/>
      </rPr>
      <t>2</t>
    </r>
    <r>
      <rPr>
        <sz val="11"/>
        <color theme="1"/>
        <rFont val="Calibri"/>
        <family val="2"/>
      </rPr>
      <t>e)</t>
    </r>
  </si>
  <si>
    <r>
      <rPr>
        <sz val="11"/>
        <color theme="1"/>
        <rFont val="Calibri"/>
        <family val="2"/>
      </rPr>
      <t>Net GHG emission reductions (tCO</t>
    </r>
    <r>
      <rPr>
        <vertAlign val="subscript"/>
        <sz val="11"/>
        <color theme="1"/>
        <rFont val="Calibri"/>
        <family val="2"/>
      </rPr>
      <t>2</t>
    </r>
    <r>
      <rPr>
        <sz val="11"/>
        <color theme="1"/>
        <rFont val="Calibri"/>
        <family val="2"/>
      </rPr>
      <t>e)</t>
    </r>
  </si>
  <si>
    <r>
      <rPr>
        <b/>
        <sz val="12"/>
        <color rgb="FF3F3F3F"/>
        <rFont val="Calibri"/>
        <family val="2"/>
      </rPr>
      <t>Baseline emissions (tCO</t>
    </r>
    <r>
      <rPr>
        <b/>
        <vertAlign val="subscript"/>
        <sz val="12"/>
        <color rgb="FF3F3F3F"/>
        <rFont val="Calibri"/>
        <family val="2"/>
      </rPr>
      <t>2</t>
    </r>
    <r>
      <rPr>
        <b/>
        <sz val="12"/>
        <color rgb="FF3F3F3F"/>
        <rFont val="Calibri"/>
        <family val="2"/>
      </rPr>
      <t>e)</t>
    </r>
  </si>
  <si>
    <r>
      <rPr>
        <b/>
        <sz val="11"/>
        <color rgb="FF3F3F3F"/>
        <rFont val="Calibri"/>
        <family val="2"/>
      </rPr>
      <t>EF</t>
    </r>
    <r>
      <rPr>
        <sz val="11"/>
        <color rgb="FF3F3F3F"/>
        <rFont val="Calibri"/>
        <family val="2"/>
      </rPr>
      <t xml:space="preserve"> (tCO2e/Metric tons)</t>
    </r>
  </si>
  <si>
    <r>
      <rPr>
        <sz val="11"/>
        <color rgb="FF3F3F3F"/>
        <rFont val="Calibri"/>
        <family val="2"/>
      </rPr>
      <t>Equation: result in tCO</t>
    </r>
    <r>
      <rPr>
        <vertAlign val="subscript"/>
        <sz val="11"/>
        <color rgb="FF3F3F3F"/>
        <rFont val="Calibri"/>
        <family val="2"/>
      </rPr>
      <t>2</t>
    </r>
    <r>
      <rPr>
        <sz val="11"/>
        <color rgb="FF3F3F3F"/>
        <rFont val="Calibri"/>
        <family val="2"/>
      </rPr>
      <t>e</t>
    </r>
  </si>
  <si>
    <r>
      <rPr>
        <b/>
        <sz val="12"/>
        <color rgb="FF3F3F3F"/>
        <rFont val="Calibri"/>
        <family val="2"/>
      </rPr>
      <t>Projects emissions (tCO</t>
    </r>
    <r>
      <rPr>
        <b/>
        <vertAlign val="subscript"/>
        <sz val="12"/>
        <color rgb="FF3F3F3F"/>
        <rFont val="Calibri"/>
        <family val="2"/>
      </rPr>
      <t>2</t>
    </r>
    <r>
      <rPr>
        <b/>
        <sz val="12"/>
        <color rgb="FF3F3F3F"/>
        <rFont val="Calibri"/>
        <family val="2"/>
      </rPr>
      <t>e)</t>
    </r>
  </si>
  <si>
    <r>
      <t>Additionnality</t>
    </r>
    <r>
      <rPr>
        <i/>
        <sz val="9"/>
        <color rgb="FFEF541D"/>
        <rFont val="Calibri"/>
        <family val="2"/>
      </rPr>
      <t xml:space="preserve"> (refer to the Project Document)</t>
    </r>
  </si>
  <si>
    <r>
      <t xml:space="preserve">Common practice </t>
    </r>
    <r>
      <rPr>
        <i/>
        <sz val="9"/>
        <color rgb="FFEF541D"/>
        <rFont val="Calibri"/>
        <family val="2"/>
      </rPr>
      <t>(refer to the Project Document)</t>
    </r>
  </si>
  <si>
    <r>
      <t xml:space="preserve">Association to a generic PAI </t>
    </r>
    <r>
      <rPr>
        <i/>
        <sz val="9"/>
        <color rgb="FFEF541D"/>
        <rFont val="Calibri"/>
        <family val="2"/>
      </rPr>
      <t>(refer to 'Generic PAI' sheet)</t>
    </r>
  </si>
  <si>
    <r>
      <rPr>
        <sz val="10"/>
        <color theme="0"/>
        <rFont val="Calibri"/>
        <family val="2"/>
      </rPr>
      <t>Data in</t>
    </r>
    <r>
      <rPr>
        <b/>
        <sz val="10"/>
        <color theme="0"/>
        <rFont val="Calibri"/>
        <family val="2"/>
      </rPr>
      <t xml:space="preserve"> </t>
    </r>
  </si>
  <si>
    <r>
      <rPr>
        <sz val="10"/>
        <color theme="0"/>
        <rFont val="Calibri"/>
        <family val="2"/>
      </rPr>
      <t>Data in</t>
    </r>
    <r>
      <rPr>
        <b/>
        <sz val="10"/>
        <color theme="0"/>
        <rFont val="Calibri"/>
        <family val="2"/>
      </rPr>
      <t xml:space="preserve"> Liters (L)</t>
    </r>
  </si>
  <si>
    <r>
      <rPr>
        <sz val="10"/>
        <color theme="0"/>
        <rFont val="Calibri"/>
        <family val="2"/>
      </rPr>
      <t>Data in</t>
    </r>
    <r>
      <rPr>
        <b/>
        <sz val="10"/>
        <color theme="0"/>
        <rFont val="Calibri"/>
        <family val="2"/>
      </rPr>
      <t xml:space="preserve"> cubic meters (m3)</t>
    </r>
  </si>
  <si>
    <r>
      <rPr>
        <sz val="10"/>
        <color theme="0"/>
        <rFont val="Calibri"/>
        <family val="2"/>
      </rPr>
      <t>Data in</t>
    </r>
    <r>
      <rPr>
        <b/>
        <sz val="10"/>
        <color theme="0"/>
        <rFont val="Calibri"/>
        <family val="2"/>
      </rPr>
      <t xml:space="preserve"> Metric tons (Mt)</t>
    </r>
  </si>
  <si>
    <r>
      <rPr>
        <sz val="10"/>
        <color theme="0"/>
        <rFont val="Calibri"/>
        <family val="2"/>
      </rPr>
      <t>Data in</t>
    </r>
    <r>
      <rPr>
        <b/>
        <sz val="10"/>
        <color theme="0"/>
        <rFont val="Calibri"/>
        <family val="2"/>
      </rPr>
      <t xml:space="preserve"> kWh</t>
    </r>
  </si>
  <si>
    <r>
      <rPr>
        <sz val="10"/>
        <color theme="0"/>
        <rFont val="Calibri"/>
        <family val="2"/>
      </rPr>
      <t>Data in</t>
    </r>
    <r>
      <rPr>
        <b/>
        <sz val="10"/>
        <color theme="0"/>
        <rFont val="Calibri"/>
        <family val="2"/>
      </rPr>
      <t xml:space="preserve"> kilograms (kg)</t>
    </r>
  </si>
  <si>
    <r>
      <rPr>
        <b/>
        <sz val="12"/>
        <color rgb="FF3F3F3F"/>
        <rFont val="Georgia"/>
        <family val="1"/>
      </rPr>
      <t>SCOPE 3</t>
    </r>
    <r>
      <rPr>
        <b/>
        <sz val="12"/>
        <color rgb="FF595959"/>
        <rFont val="Georgia"/>
        <family val="1"/>
      </rPr>
      <t>: Energy Efficiency</t>
    </r>
  </si>
  <si>
    <t>Evidence provided by client's facility</t>
  </si>
  <si>
    <t>Oil no. 2 annual consumption</t>
  </si>
  <si>
    <t>Biomass annual consumption</t>
  </si>
  <si>
    <t>tonnes métriques anhydres (2023)</t>
  </si>
  <si>
    <t>Will's calculation</t>
  </si>
  <si>
    <t>Energy used from biomass</t>
  </si>
  <si>
    <t>With biomass consumption</t>
  </si>
  <si>
    <t>Energy equivalent oil consumption from 2015 (biomass)</t>
  </si>
  <si>
    <t>With an EE of an oil boiler at 75%</t>
  </si>
  <si>
    <t>Baseline oil consumption</t>
  </si>
  <si>
    <t>for year 2013</t>
  </si>
  <si>
    <t>Energy used in Mjoules; with biomass consumption of 2016 , which is a full year operation beyond all operation adjustment.</t>
  </si>
  <si>
    <t>The estimated oil consumption was established (for the pre quantification) at 71 312 liters for the 2013 year operations and without accounted 2 new buidldings (building for the elderly and a building for low-income families).</t>
  </si>
  <si>
    <t>The slight increase in oil no. 2 consumption in 2017 is due to the biomass boiler temporarily being out of order.</t>
  </si>
  <si>
    <t>The increase in oil n.2 consumption in 2024 is due to the biomass boiler being temporarily out of order</t>
  </si>
  <si>
    <t>Switch fuel oil to geothermal system</t>
  </si>
  <si>
    <t>Urban biomass reused</t>
  </si>
  <si>
    <t>Organic wastes from a group of 7 Municipalities</t>
  </si>
  <si>
    <t>Organic wastes from a group of 4 Municipalities</t>
  </si>
  <si>
    <t>Organic wastes from 1 municipality</t>
  </si>
  <si>
    <t>Conversion huile vers la géothermie</t>
  </si>
  <si>
    <t>Biomasse urbaine récupérée et déchiquettée</t>
  </si>
  <si>
    <t>Landfill scenario</t>
  </si>
  <si>
    <t>Reused</t>
  </si>
  <si>
    <t>Composted</t>
  </si>
  <si>
    <t>EF&amp;RV, ECCC, v2.0, May 2024; RDOCECA/MELCCFP, 2024</t>
  </si>
  <si>
    <t>oil comsumption reference</t>
  </si>
  <si>
    <t>% of energy reduction with the geothermal system</t>
  </si>
  <si>
    <t>PowerPoint slide 10</t>
  </si>
  <si>
    <t>Reduction Scenario</t>
  </si>
  <si>
    <t>Consommation énergétique de 5,6 KWh/p2 réduction de 65%  par rapport au CMNEB</t>
  </si>
  <si>
    <t>Before 2023, it had been assumed that electricity consumption had negligeable impacts, which is why is was not quantified. It still has negligeable impacts, but for increased transparency, electricity consumption will be disclosed as of 2023</t>
  </si>
  <si>
    <t>Urban biomass recuperated and reused - 3 ecocenters</t>
  </si>
  <si>
    <t>In 2024, CF noted a total of 299 MT in their answers, however evidence suggests a total of 291,1 MT from the collection invoices. 291,1 MT was kept as data for 2024 as it is more conservative and is justified by evidence</t>
  </si>
  <si>
    <t>PAI 3</t>
  </si>
  <si>
    <t>Conversion of propane to biomass</t>
  </si>
  <si>
    <t>Conversion du propane vers la biomasse</t>
  </si>
  <si>
    <t>Propane consumption before PAI</t>
  </si>
  <si>
    <t>Evidence provided client's facility</t>
  </si>
  <si>
    <t>Annual propane consumption</t>
  </si>
  <si>
    <t>Baseline propane consumption adjustments</t>
  </si>
  <si>
    <t>new adjusted baseline emission</t>
  </si>
  <si>
    <t>Annual electricity consumption</t>
  </si>
  <si>
    <t>Kwh</t>
  </si>
  <si>
    <t>Cheese production</t>
  </si>
  <si>
    <t>increase in operations/cheese production. 2012 = 100%</t>
  </si>
  <si>
    <t>For a better calculation efficiency, production increase calculation changed in 2024. The results are the same as prior calculation method</t>
  </si>
  <si>
    <t>Switch fuel from oil no.2 to biomass (8 buildings)</t>
  </si>
  <si>
    <t>Conversion chauffage du mazout vers la biomasse (8 bâtiments)</t>
  </si>
  <si>
    <t>Oil consumption</t>
  </si>
  <si>
    <t>Oil consumption after project</t>
  </si>
  <si>
    <t>8 buildings consumption</t>
  </si>
  <si>
    <t xml:space="preserve">Biomass annual consumption </t>
  </si>
  <si>
    <t>Equivalent Oil consumption</t>
  </si>
  <si>
    <t>Baseline Scenario</t>
  </si>
  <si>
    <t>Conversion of oil no. 2 to geothermal system</t>
  </si>
  <si>
    <t>Conversion de l'huile no. 2 ver la géothermie</t>
  </si>
  <si>
    <t>Church oil consumption</t>
  </si>
  <si>
    <t>RDOCECA/MELCCFP, 2024
EF&amp;RV, v.2.0, ECCC, 2024</t>
  </si>
  <si>
    <t>From</t>
  </si>
  <si>
    <t>To</t>
  </si>
  <si>
    <t>Nb of days</t>
  </si>
  <si>
    <t>Consumption</t>
  </si>
  <si>
    <t>Avg kWh/day</t>
  </si>
  <si>
    <t>Nb of days to add/remove to fit monitoring period</t>
  </si>
  <si>
    <t>Electricity consumption within monitoring period (jan 1st-dec 31, 2024)</t>
  </si>
  <si>
    <t>Evidence provided by the client's facility</t>
  </si>
  <si>
    <t>Annual oil no.2 consumption</t>
  </si>
  <si>
    <t>Church consumption only</t>
  </si>
  <si>
    <t>Presbytery consumption only</t>
  </si>
  <si>
    <t>Electricity of geothermal system</t>
  </si>
  <si>
    <t>There is no oil no.2 consumption for the church from 2010 onwards because the conversion to a geothermal system happened in 2010.</t>
  </si>
  <si>
    <t>PAI 2</t>
  </si>
  <si>
    <t>The presbytery was sold on 22 June 2021</t>
  </si>
  <si>
    <t>Note : Decrease in activities of 30% (2019) and 20% (2020)</t>
  </si>
  <si>
    <t>Client Facility's emission reduction quantification</t>
  </si>
  <si>
    <t>Composting of organic waste</t>
  </si>
  <si>
    <t>Collecte et compost des matières organiques</t>
  </si>
  <si>
    <t>Organic wastes diverted from landfill</t>
  </si>
  <si>
    <t>Collecte initiée en 2015</t>
  </si>
  <si>
    <t>Shredded paper for recycling</t>
  </si>
  <si>
    <t>Papiers déchiquetés pour recyclage</t>
  </si>
  <si>
    <t>Shredded paper sent to landfill</t>
  </si>
  <si>
    <t>Recycled shredded paper</t>
  </si>
  <si>
    <t>Paper collected for recycling</t>
  </si>
  <si>
    <t>Contaminated soil
Other</t>
  </si>
  <si>
    <t>Sols contaminés
Sanexen Sorel</t>
  </si>
  <si>
    <t>Sols contaminés
Autres</t>
  </si>
  <si>
    <t>Butane consumption</t>
  </si>
  <si>
    <t>RDOCECA/MELCCFP 2025</t>
  </si>
  <si>
    <t>RDOCECA/MELCCFP 2027</t>
  </si>
  <si>
    <t>RDOCECA/MELCCFP 2028</t>
  </si>
  <si>
    <t>RDOCECA/MELCCFP 2029</t>
  </si>
  <si>
    <t>RDOCECA/MELCCFP 2030</t>
  </si>
  <si>
    <t>RDOCECA/MELCCFP 2031</t>
  </si>
  <si>
    <t>RDOCECA/MELCCFP 2032</t>
  </si>
  <si>
    <t>RDOCECA/MELCCFP 2033</t>
  </si>
  <si>
    <t>RDOCECA/MELCCFP 2034</t>
  </si>
  <si>
    <t>Evidence provided by clients facility</t>
  </si>
  <si>
    <t>Volume of soil contaminated processed</t>
  </si>
  <si>
    <t>Proportion of total soil processed</t>
  </si>
  <si>
    <t>Baseline butane consumption adjusted for this PAI</t>
  </si>
  <si>
    <t>Baseline propane consumption adjusted for this PAI</t>
  </si>
  <si>
    <t>Propane consumption for this project</t>
  </si>
  <si>
    <t>Total:</t>
  </si>
  <si>
    <t>Excluded:</t>
  </si>
  <si>
    <t>PAI 1-11</t>
  </si>
  <si>
    <t>Baseline butane (L)</t>
  </si>
  <si>
    <t>Baseline Propane (L)</t>
  </si>
  <si>
    <t>Propane consumption in 2024</t>
  </si>
  <si>
    <t>Total of soil processed</t>
  </si>
  <si>
    <t xml:space="preserve"> tCO2e/ metric tonnes is the emission factor for hydrocarbon contaminated soils that have been diverted from landfill.</t>
  </si>
  <si>
    <t>Réf: WARM USEPA Version 16 (December 2023)</t>
  </si>
  <si>
    <t>Wastewater treatment sludge</t>
  </si>
  <si>
    <t>Septic tank sludge (STS)</t>
  </si>
  <si>
    <t>Municipal Biosolids</t>
  </si>
  <si>
    <t>Grease trap</t>
  </si>
  <si>
    <t>Putrescibles</t>
  </si>
  <si>
    <t>Green residues</t>
  </si>
  <si>
    <t>Pulp and Paper Sludge</t>
  </si>
  <si>
    <t>Ashes</t>
  </si>
  <si>
    <t>Water to be treated</t>
  </si>
  <si>
    <t>Channel Sand</t>
  </si>
  <si>
    <t>Lixiviat landfill (Lac St-Jean)</t>
  </si>
  <si>
    <t>Digestate</t>
  </si>
  <si>
    <t>Boues d'usines d'épurations</t>
  </si>
  <si>
    <t>Boues Fosses septiques</t>
  </si>
  <si>
    <t>Biosolides municipaux</t>
  </si>
  <si>
    <t>Trappe à graisse</t>
  </si>
  <si>
    <t>Résidus verts</t>
  </si>
  <si>
    <t>Boues de papetières</t>
  </si>
  <si>
    <t>Cendres</t>
  </si>
  <si>
    <t>Eaux à traiter</t>
  </si>
  <si>
    <t>Sable de caniveau</t>
  </si>
  <si>
    <t>Lixiviat LET (Lac St-Jean)</t>
  </si>
  <si>
    <t>Digestat</t>
  </si>
  <si>
    <t>CDM-AMS-III</t>
  </si>
  <si>
    <t>Capacity Limit 5,000/PAI</t>
  </si>
  <si>
    <t>Capacity Limit 20,000 (4 PAIs)</t>
  </si>
  <si>
    <t>Excluded (WCU)</t>
  </si>
  <si>
    <t>Waste stream composted</t>
  </si>
  <si>
    <t>Municipal wastewater treatment sewage sludge</t>
  </si>
  <si>
    <t>Septic tank sludge (STS) + Residues STS</t>
  </si>
  <si>
    <t>17,642.28</t>
  </si>
  <si>
    <t>tCO2e</t>
  </si>
  <si>
    <t>Eligible portion (VCU)</t>
  </si>
  <si>
    <t>Excluded portion (WCU)</t>
  </si>
  <si>
    <t>Municipal biosolids (ponds)</t>
  </si>
  <si>
    <t>337.15</t>
  </si>
  <si>
    <t>Putrescibles (food residues)</t>
  </si>
  <si>
    <t>2,522.43</t>
  </si>
  <si>
    <t>4,663.94</t>
  </si>
  <si>
    <t>Pulp &amp; Paper sludges</t>
  </si>
  <si>
    <t>Channel sand</t>
  </si>
  <si>
    <t>Lixiviat landfill and pigeon droppings</t>
  </si>
  <si>
    <t>Switch fuel from natural gas to geothermal system</t>
  </si>
  <si>
    <t>Recycling mixed paper and cardboard</t>
  </si>
  <si>
    <t>Conversion gaz naturel vers systéme géothermie</t>
  </si>
  <si>
    <t>Récupération et recyclage du papier et carton</t>
  </si>
  <si>
    <r>
      <rPr>
        <b/>
        <sz val="12"/>
        <color theme="1"/>
        <rFont val="Calibri"/>
        <family val="2"/>
      </rPr>
      <t>Baseline emissions (tCO</t>
    </r>
    <r>
      <rPr>
        <b/>
        <vertAlign val="subscript"/>
        <sz val="12"/>
        <color theme="1"/>
        <rFont val="Calibri"/>
        <family val="2"/>
      </rPr>
      <t>2</t>
    </r>
    <r>
      <rPr>
        <b/>
        <sz val="12"/>
        <color theme="1"/>
        <rFont val="Calibri"/>
        <family val="2"/>
      </rPr>
      <t>e)</t>
    </r>
  </si>
  <si>
    <t>Baseline natural gas consumption</t>
  </si>
  <si>
    <t>Paper and cardboard sent to landfill</t>
  </si>
  <si>
    <t>Data in cubic meters (m3)</t>
  </si>
  <si>
    <t>Natural gas consumption after PAI</t>
  </si>
  <si>
    <t>Paper and cardboard recycled</t>
  </si>
  <si>
    <t>RIN 1990-2022, 2024</t>
  </si>
  <si>
    <t>GHG emission for heating</t>
  </si>
  <si>
    <t>Natural gas consumption</t>
  </si>
  <si>
    <t>M3</t>
  </si>
  <si>
    <t>Heating with natural gas initial building</t>
  </si>
  <si>
    <r>
      <t>Equivalent NG consumption saved by the geothermal system (</t>
    </r>
    <r>
      <rPr>
        <b/>
        <sz val="11"/>
        <color rgb="FF00B0F0"/>
        <rFont val="Calibri"/>
        <family val="2"/>
      </rPr>
      <t>baseline</t>
    </r>
    <r>
      <rPr>
        <sz val="11"/>
        <color theme="1"/>
        <rFont val="Calibri"/>
        <family val="2"/>
      </rPr>
      <t>)</t>
    </r>
  </si>
  <si>
    <t>The annex is heated with a geothermal system.</t>
  </si>
  <si>
    <t>cubic feet representing the air volume of the new building heated with the geothermal system.</t>
  </si>
  <si>
    <t>cubic feet representing the air volume of the initial building heated with natural gas.</t>
  </si>
  <si>
    <t>% volume of the new volume/intial volume (volume de l'annexe chauffant à la géothermie).</t>
  </si>
  <si>
    <r>
      <rPr>
        <b/>
        <sz val="12"/>
        <color rgb="FF3F3F3F"/>
        <rFont val="Georgia"/>
        <family val="1"/>
      </rPr>
      <t>SCOPE 13</t>
    </r>
    <r>
      <rPr>
        <b/>
        <sz val="12"/>
        <color rgb="FF595959"/>
        <rFont val="Georgia"/>
        <family val="1"/>
      </rPr>
      <t>: Methane Avoidance/Waste</t>
    </r>
  </si>
  <si>
    <t>Volume of paper/cardboards collected and recycled</t>
  </si>
  <si>
    <t>cubic yard</t>
  </si>
  <si>
    <t>Volume in equivalent metric</t>
  </si>
  <si>
    <t>m3</t>
  </si>
  <si>
    <t>Quantity in metric ton</t>
  </si>
  <si>
    <t>lb to Mt</t>
  </si>
  <si>
    <t>Quantity in lb</t>
  </si>
  <si>
    <t>Lb</t>
  </si>
  <si>
    <t>cubic yard converted to lb</t>
  </si>
  <si>
    <t>2 container of 8 cubic yards collected once a week (100% full)</t>
  </si>
  <si>
    <t>1 m3 = 35.3 cubic feet or 1.3 cubic yards.</t>
  </si>
  <si>
    <t>for 52 weeks * 16 cubic yards</t>
  </si>
  <si>
    <t xml:space="preserve">https://www.metric-conversions.org/fr/volume/conversion-de-metres-cubes.htm </t>
  </si>
  <si>
    <t>density of cardboard</t>
  </si>
  <si>
    <t>lb/yard</t>
  </si>
  <si>
    <t>https://www.epa.gov/sites/default/files/2016-04/documents/volume_to_weight_conversion_factors_memorandum_04192016_508fnl.pdf</t>
  </si>
  <si>
    <t xml:space="preserve">Equivalent lb in ton  </t>
  </si>
  <si>
    <t>In 2024, the 2 containers were collected every other week, which means there were 26 collections in the year</t>
  </si>
  <si>
    <t>26 collections * 16 cubic yards =</t>
  </si>
  <si>
    <t xml:space="preserve">Replacement of a propane heating system to an electrical system.					</t>
  </si>
  <si>
    <t>Landfill avoidance through recovery of woods by-products</t>
  </si>
  <si>
    <t>Remplacement d'un chauffage au propane pour un système électrique</t>
  </si>
  <si>
    <t>Évitement de  l'enfouissement via la valorisation des sous-produits du bois</t>
  </si>
  <si>
    <t>Landfill diversion scenario</t>
  </si>
  <si>
    <t xml:space="preserve">PAI </t>
  </si>
  <si>
    <t>Average price of propane payed by CF for the year 2021 is based on 28 invoices from 04/01/2021 to  21/04/2021 provided by the CF:</t>
  </si>
  <si>
    <t>c/liter</t>
  </si>
  <si>
    <t xml:space="preserve">Baseline Propane consumption declared by CF, confirmed by supplier: </t>
  </si>
  <si>
    <t>Compilation of purchases of propane from the CF's 28 invoices from 04/01/2021 to  21/04/2021 provided by the CF:</t>
  </si>
  <si>
    <t>Liters</t>
  </si>
  <si>
    <t>Baseline Propane consumption from invoices and transaction list:</t>
  </si>
  <si>
    <t>Compilation of purchases of propane from the CF's accounting internal registry of the year 2021:</t>
  </si>
  <si>
    <t>Gap:</t>
  </si>
  <si>
    <t xml:space="preserve">Biomass </t>
  </si>
  <si>
    <t>TMV*</t>
  </si>
  <si>
    <t>PAI started in July 2020</t>
  </si>
  <si>
    <t>One PAI because of one client (hospital)</t>
  </si>
  <si>
    <t>*TMA was corrected to TMV in 2024, because the invoices say TMV</t>
  </si>
  <si>
    <t>Conversion propane to biomasse</t>
  </si>
  <si>
    <t>Conversion du propane à la biomasse</t>
  </si>
  <si>
    <t>baseline data (2009) and adjusted baseline data (2024)</t>
  </si>
  <si>
    <t xml:space="preserve">Chicken production </t>
  </si>
  <si>
    <t>unit</t>
  </si>
  <si>
    <t>Mass between 2,25 to 2,6 kg per unit</t>
  </si>
  <si>
    <t>Turkey production</t>
  </si>
  <si>
    <t>intensity production</t>
  </si>
  <si>
    <t>Project emission data</t>
  </si>
  <si>
    <t>Propane billing (5 buildings)</t>
  </si>
  <si>
    <t>Ferme avicole Lise Grenier</t>
  </si>
  <si>
    <t>Average unit price propane</t>
  </si>
  <si>
    <t>SCDN/L</t>
  </si>
  <si>
    <t xml:space="preserve">$0.34 </t>
  </si>
  <si>
    <t xml:space="preserve"> $0.34 </t>
  </si>
  <si>
    <t xml:space="preserve"> $0.49 </t>
  </si>
  <si>
    <t xml:space="preserve"> $0.42 </t>
  </si>
  <si>
    <t xml:space="preserve"> $0.37 </t>
  </si>
  <si>
    <t xml:space="preserve"> $0.385 </t>
  </si>
  <si>
    <t>Annual register by Ferme Tomchyrs</t>
  </si>
  <si>
    <t>Purchase of biomass</t>
  </si>
  <si>
    <t>SCDN</t>
  </si>
  <si>
    <t>Average price</t>
  </si>
  <si>
    <t>25800 kg/1500$</t>
  </si>
  <si>
    <r>
      <t xml:space="preserve">Biomass consumption confirmed by the client at </t>
    </r>
    <r>
      <rPr>
        <b/>
        <sz val="11"/>
        <color rgb="FF000000"/>
        <rFont val="Aptos Display"/>
        <family val="2"/>
        <scheme val="major"/>
      </rPr>
      <t>60$/tonne</t>
    </r>
    <r>
      <rPr>
        <sz val="11"/>
        <color rgb="FF000000"/>
        <rFont val="Aptos Display"/>
        <family val="2"/>
        <scheme val="major"/>
      </rPr>
      <t xml:space="preserve"> for 2019 and 2020.</t>
    </r>
  </si>
  <si>
    <r>
      <t xml:space="preserve">Number of Chickens in </t>
    </r>
    <r>
      <rPr>
        <b/>
        <sz val="11"/>
        <color rgb="FF000000"/>
        <rFont val="Aptos Display"/>
        <family val="2"/>
        <scheme val="major"/>
      </rPr>
      <t>2023</t>
    </r>
  </si>
  <si>
    <t>2500000 kg</t>
  </si>
  <si>
    <t>Weight of a chicken</t>
  </si>
  <si>
    <t>2,25 kg and 2,6 kg</t>
  </si>
  <si>
    <t>Since 2021, the Client Facility provides production in kg. The Client Facility provided an average of 2,25 to 2,6 kg per unit, so Will can perform the conversion from production mass to production units.</t>
  </si>
  <si>
    <t>Production of chickens in 2024 (kg)</t>
  </si>
  <si>
    <t>Conversion of oil no.6 boiler to biomass</t>
  </si>
  <si>
    <t>Electric dryer instead of propane dryer</t>
  </si>
  <si>
    <t>Cardboard recycled and avoided from landfill</t>
  </si>
  <si>
    <t>Bark Residues reuse and avoided from landfill</t>
  </si>
  <si>
    <t>Conversion mazout lourd vers biomasse</t>
  </si>
  <si>
    <t>Installation d'un séchoir électrique plutôt qu'au propane</t>
  </si>
  <si>
    <t>Oil no. 6 Consumption (L)</t>
  </si>
  <si>
    <t>Equivalent Propane consumption (L)</t>
  </si>
  <si>
    <t>Diversion from landfill</t>
  </si>
  <si>
    <t>Electricity consumption (kWh)</t>
  </si>
  <si>
    <t>I</t>
  </si>
  <si>
    <t>Oil no.6 consumption</t>
  </si>
  <si>
    <t>Project implemented mid-2017</t>
  </si>
  <si>
    <t>Biomass consumption for boiler</t>
  </si>
  <si>
    <t>TMV</t>
  </si>
  <si>
    <t>TMA (dry) - 60.79%</t>
  </si>
  <si>
    <t>Converted to kg</t>
  </si>
  <si>
    <t>Productivity indicator</t>
  </si>
  <si>
    <t>pmp</t>
  </si>
  <si>
    <t>Wood production. See notes &amp; assumptions for production in 2016</t>
  </si>
  <si>
    <t>n.d.</t>
  </si>
  <si>
    <t>Production change (increase/decrease)</t>
  </si>
  <si>
    <t>2016 = 100%</t>
  </si>
  <si>
    <t>Adjusted baseline oil consumption</t>
  </si>
  <si>
    <t>Electricity consumption (all facility)</t>
  </si>
  <si>
    <t>09-2021</t>
  </si>
  <si>
    <t>Portion consumed by electric dryer</t>
  </si>
  <si>
    <t>Electricity consumption of the electric dryer</t>
  </si>
  <si>
    <t>Estimate based on 2022 real consumption of electric dryer</t>
  </si>
  <si>
    <t>Equivalent propane consumption</t>
  </si>
  <si>
    <t>kWh/L</t>
  </si>
  <si>
    <t>Conversion factor: 7.031</t>
  </si>
  <si>
    <t>Equivalent propane consumption with 80% efficiency</t>
  </si>
  <si>
    <t>The switch in fuel started beyond the ending period of December 2016 of this verification. This should be included in the next verification.</t>
  </si>
  <si>
    <t>The oil no.6 boiler is removed in 2018.</t>
  </si>
  <si>
    <t>In 2024, activities decreased by 44% compared to 2023, due to closing of activities in June 23, 2024.</t>
  </si>
  <si>
    <t>Since 2016 is the baseline oil consumption, and since CF did not have data on wood production in 2016, the baseline wood production (2016) was estimated using data from 2015. This estimation was used to adjust the baseline in 2024</t>
  </si>
  <si>
    <t>Average dryness rate in 2024</t>
  </si>
  <si>
    <t xml:space="preserve">In the EcoPerformance report, the propane dryer is assumed to have a </t>
  </si>
  <si>
    <t>efficiency.</t>
  </si>
  <si>
    <t>Mixed paper</t>
  </si>
  <si>
    <t>Bark residues</t>
  </si>
  <si>
    <t>Bark residues (data omitted in 2019)</t>
  </si>
  <si>
    <t>Recuperation's program of mixed paper (with CODERR) began beyond the ending period of December 31st 2016 of this current verification.</t>
  </si>
  <si>
    <t>Bark residues have been managed differently since 2007 (see CA du MDDELCC), instead of being sent to landfill they are being recycled into the production process (for the energy valorisation).</t>
  </si>
  <si>
    <t>Recycling paper/cardboard</t>
  </si>
  <si>
    <t>Organic wastes composted</t>
  </si>
  <si>
    <t>Recyclage papier/carton collecte sélective</t>
  </si>
  <si>
    <t>Compostage de matières organiques</t>
  </si>
  <si>
    <t>Evidence provided by clients's facility</t>
  </si>
  <si>
    <t>CF-0701</t>
  </si>
  <si>
    <t>Recyling Scenario</t>
  </si>
  <si>
    <t>Composting Scenario</t>
  </si>
  <si>
    <t>Energy efficiency through greenhouse's thermal screen</t>
  </si>
  <si>
    <t>Reutilization of Cardboard</t>
  </si>
  <si>
    <t>Reuse of plastic boxes</t>
  </si>
  <si>
    <t>Recuperation and recycling of cardborad</t>
  </si>
  <si>
    <t>Efficacité énergétique par l'installation d'un écran thermique</t>
  </si>
  <si>
    <t>Réutilisation du carton</t>
  </si>
  <si>
    <t>Réutilisation des boîtes de plastique</t>
  </si>
  <si>
    <t>Recyclage du carton</t>
  </si>
  <si>
    <t>Propane consumption without thermal screen</t>
  </si>
  <si>
    <t>landfill scenario</t>
  </si>
  <si>
    <t>Propane consumption with thermal screen</t>
  </si>
  <si>
    <t>Reuse</t>
  </si>
  <si>
    <t xml:space="preserve">Reuse  </t>
  </si>
  <si>
    <t>Consumption of propane</t>
  </si>
  <si>
    <t>With thermal screens</t>
  </si>
  <si>
    <t>Provided by client's facility</t>
  </si>
  <si>
    <t>Sales revenue</t>
  </si>
  <si>
    <t>Energy Intensity</t>
  </si>
  <si>
    <t>L/$</t>
  </si>
  <si>
    <t>Heated surface area</t>
  </si>
  <si>
    <t>m2</t>
  </si>
  <si>
    <t>Energy efficiency</t>
  </si>
  <si>
    <t>L/m2</t>
  </si>
  <si>
    <t>Propane consumption without thermal screen (baseline)</t>
  </si>
  <si>
    <t>assuming 30% efficacy of thermal screen</t>
  </si>
  <si>
    <t>Number of greenhouses</t>
  </si>
  <si>
    <t>#</t>
  </si>
  <si>
    <t>The client has voluntarily increased the heating, and therefore its propane consumption, in its greenhouses in 2018, because of the planting of a new type of crop that required more heat. This was a test for the new crops, to see if an increase in heat would result in a crop production increase. The test failed, and based on the client's comments, propane consumption will have decreased for 2019.</t>
  </si>
  <si>
    <t>Thermal screens are estimated to reduce propane consumption by 30% each year - example 2018: 3002L*130%= 3903L</t>
  </si>
  <si>
    <t>Total weight of reused cardboard boxes</t>
  </si>
  <si>
    <t>from delivery</t>
  </si>
  <si>
    <t>Number of cardboard boxes</t>
  </si>
  <si>
    <t>Total weight of reused plastic boxes</t>
  </si>
  <si>
    <t>Number of reused plastic boxes per week</t>
  </si>
  <si>
    <t>Total weight of recycled cardboard boxes</t>
  </si>
  <si>
    <t>Carboard boxes from packaging</t>
  </si>
  <si>
    <t>2 bacs de 360 L / semaine dont 60% carton</t>
  </si>
  <si>
    <t>65kg/m3 soit 0,36 m3/bac donc 46,8 kg / semaine</t>
  </si>
  <si>
    <t>(utilisation du calculateur de Recyc-Qc)</t>
  </si>
  <si>
    <t>1 bac de 360 L / semaine rempli à 100%</t>
  </si>
  <si>
    <t>360L = 0,36 m3 par 2 semaines</t>
  </si>
  <si>
    <t>Collecte par semaine = 52 collectes</t>
  </si>
  <si>
    <t>0,36 m3/collecte * 52 collectes = 18,72 m3 par année</t>
  </si>
  <si>
    <t>65 kg/m3 (calculateur de déchet de Recyc-Québec)</t>
  </si>
  <si>
    <t xml:space="preserve">18,72 m3 * 65 kg/m3 = </t>
  </si>
  <si>
    <t>Composting septic tank sludge</t>
  </si>
  <si>
    <t>Compostage des boues de fosses septiques</t>
  </si>
  <si>
    <t>Volume of septic tank sludge processed and composted on site</t>
  </si>
  <si>
    <t>33 PAI</t>
  </si>
  <si>
    <t>2 500,00</t>
  </si>
  <si>
    <t>1 069,12</t>
  </si>
  <si>
    <t>2 355,89</t>
  </si>
  <si>
    <t>20 617,38</t>
  </si>
  <si>
    <t>3 442,22</t>
  </si>
  <si>
    <t>Treating and composting septic tank sludge</t>
  </si>
  <si>
    <t>Switch fuel to biomass dryer 1</t>
  </si>
  <si>
    <t>Switch fuel to biomass dryer 2</t>
  </si>
  <si>
    <t>Switch fuel to biomass dryer 3</t>
  </si>
  <si>
    <t>Switch fuel realized at to dry the woods pellets</t>
  </si>
  <si>
    <t>Using bark residus (instead to landfill) to the boiler for the 3 dryers</t>
  </si>
  <si>
    <t>Using bark residus (instead to landfill) to the production of pellets</t>
  </si>
  <si>
    <t>Conversion à biomasse séchoir 1</t>
  </si>
  <si>
    <t>Conversion à biomasse séchoir 2</t>
  </si>
  <si>
    <t>Conversion à biomasse séchoir 3</t>
  </si>
  <si>
    <t>Conversion vers biomasse clients domestiques biomasse torrifiée</t>
  </si>
  <si>
    <t>Détournement de l'enfouissement de copeaux pour le chauffage</t>
  </si>
  <si>
    <t>Détournement de l'enfouissement de copeaux pour la production de pastilles de bois</t>
  </si>
  <si>
    <t>butane consumption</t>
  </si>
  <si>
    <t>Capacity limit 5,000 tCO2e check</t>
  </si>
  <si>
    <t>biomass consumption</t>
  </si>
  <si>
    <t>1 &amp; 3</t>
  </si>
  <si>
    <t>In "04-06 Energy consumption 2024"</t>
  </si>
  <si>
    <t>TMA</t>
  </si>
  <si>
    <t>see bottom note</t>
  </si>
  <si>
    <t>Kg</t>
  </si>
  <si>
    <t>tons to kg</t>
  </si>
  <si>
    <t>Production intensity</t>
  </si>
  <si>
    <t>TMP</t>
  </si>
  <si>
    <t>Réf. 2008 year used in 1st MR (feb. 2014)</t>
  </si>
  <si>
    <t>Ref. year 2010</t>
  </si>
  <si>
    <r>
      <t xml:space="preserve">Total wood pellets prod. at </t>
    </r>
    <r>
      <rPr>
        <b/>
        <sz val="11"/>
        <color theme="1"/>
        <rFont val="Calibri"/>
        <family val="2"/>
      </rPr>
      <t>Granulco</t>
    </r>
  </si>
  <si>
    <t>100% of the output</t>
  </si>
  <si>
    <t>Biomass required (heat) for torrefaction</t>
  </si>
  <si>
    <t>direct data from Boisaco</t>
  </si>
  <si>
    <t>Biomass required (heat) for torrefaction (eligible portion)</t>
  </si>
  <si>
    <t>Biomass required (heat+pellets)</t>
  </si>
  <si>
    <t>total 110%</t>
  </si>
  <si>
    <t>Wood pellets production</t>
  </si>
  <si>
    <t>Year 2013-2015</t>
  </si>
  <si>
    <t>Equivalent energy</t>
  </si>
  <si>
    <t>19,200 Mj/ton of biomass</t>
  </si>
  <si>
    <t>Butane equivalent consumption</t>
  </si>
  <si>
    <t>28.44 Mj/liter (TOTAL)</t>
  </si>
  <si>
    <t>3 199 325,0</t>
  </si>
  <si>
    <t>2 330 464,0</t>
  </si>
  <si>
    <t>1 555 507.60</t>
  </si>
  <si>
    <t>28.44 Mj/liter (ELIGIBLE PORTION)</t>
  </si>
  <si>
    <t>PAI 1 &amp; 3</t>
  </si>
  <si>
    <t>ratio between TMA (dry) and TMV (green)</t>
  </si>
  <si>
    <t>ERs for total energy converted from butane to biomass</t>
  </si>
  <si>
    <t>PAI 5</t>
  </si>
  <si>
    <t>of tMA required for heating the pellets</t>
  </si>
  <si>
    <r>
      <t xml:space="preserve">ERs for energy converted from butane to biomass </t>
    </r>
    <r>
      <rPr>
        <b/>
        <sz val="12"/>
        <color rgb="FFF04E2A"/>
        <rFont val="Calibri"/>
        <family val="2"/>
      </rPr>
      <t>excluded</t>
    </r>
    <r>
      <rPr>
        <sz val="12"/>
        <color theme="1"/>
        <rFont val="Calibri"/>
        <family val="2"/>
      </rPr>
      <t xml:space="preserve"> from this MP (WCU)</t>
    </r>
  </si>
  <si>
    <t>Biomass used for dryers</t>
  </si>
  <si>
    <t>20 159,00</t>
  </si>
  <si>
    <t>10 282,00</t>
  </si>
  <si>
    <t>12 070,00</t>
  </si>
  <si>
    <t>20 978,00</t>
  </si>
  <si>
    <t>Torrefied biomass</t>
  </si>
  <si>
    <t>biomass required to the pellets (with drying)</t>
  </si>
  <si>
    <t>72 627,50</t>
  </si>
  <si>
    <t>46 765,00</t>
  </si>
  <si>
    <t>34 067,00</t>
  </si>
  <si>
    <t>57 716,00</t>
  </si>
  <si>
    <t>PAI 1&amp;3</t>
  </si>
  <si>
    <t>http://afpq03.ca/wp-content/uploads/2014/06/EQUIVAL.pdf</t>
  </si>
  <si>
    <t>Landfill diversion scenario (recycling)</t>
  </si>
  <si>
    <t>Switch from Oil 2 to electricity</t>
  </si>
  <si>
    <t>Conversion huile no2 vers électricité</t>
  </si>
  <si>
    <t>EF&amp;RV, ECCC, v2.0, May 2024; RDOCECEA/MELCCFP, 2024</t>
  </si>
  <si>
    <t>Oil no.2 annual consumption</t>
  </si>
  <si>
    <t>21 413,50</t>
  </si>
  <si>
    <t>39 853,10</t>
  </si>
  <si>
    <t>300 838</t>
  </si>
  <si>
    <t>333 165,00</t>
  </si>
  <si>
    <t>309 916,00</t>
  </si>
  <si>
    <t>94 540,00</t>
  </si>
  <si>
    <r>
      <t xml:space="preserve">Data used in this monitoring period for baseline emissions </t>
    </r>
    <r>
      <rPr>
        <b/>
        <sz val="10"/>
        <color rgb="FF0070C0"/>
        <rFont val="Calibri"/>
        <family val="2"/>
      </rPr>
      <t>is in bold blue</t>
    </r>
  </si>
  <si>
    <t>Conversion of used oil boiler to biomass boiler to heat greenhouses.</t>
  </si>
  <si>
    <t>Conversion du chauffage aux huiles usées vers la biomasse</t>
  </si>
  <si>
    <t>Used oil consumption</t>
  </si>
  <si>
    <t>Used oil consumption after PAI</t>
  </si>
  <si>
    <t>KWh</t>
  </si>
  <si>
    <t>Biomass consumption (wood chips and pellets)</t>
  </si>
  <si>
    <t>Mt converted to kg</t>
  </si>
  <si>
    <t>23 006,00</t>
  </si>
  <si>
    <t>New adjusted baseline of used oil consumption</t>
  </si>
  <si>
    <t>When annual production increases by more than 20%, baseline is adjsuted accordingly</t>
  </si>
  <si>
    <t>Annual production</t>
  </si>
  <si>
    <t>sq2</t>
  </si>
  <si>
    <t>Taux de variation selon la production annuelle</t>
  </si>
  <si>
    <t>Conversion of natural gas to biomass</t>
  </si>
  <si>
    <t xml:space="preserve">Converting propane to electricity </t>
  </si>
  <si>
    <t>Heat recovery from dust collector</t>
  </si>
  <si>
    <t>Diversion of wood residues and shavings from landfill</t>
  </si>
  <si>
    <t>Conversion du chauffage de 9 séchoirs du gaz naturel vers la biomasse</t>
  </si>
  <si>
    <t>Conversion des chariots du propane à l'électricité</t>
  </si>
  <si>
    <t>récupration de chaleur d'un dépoussiéreur</t>
  </si>
  <si>
    <t xml:space="preserve">Détournement des résidus (ripes) de l'enfouissement </t>
  </si>
  <si>
    <t>Natural gas consumption (m3)</t>
  </si>
  <si>
    <t>Propane consumption (L)</t>
  </si>
  <si>
    <t>Equivalence of electricity consumption (kwh)</t>
  </si>
  <si>
    <t>EF&amp;RV, ECCC, v2.0, May 2024</t>
  </si>
  <si>
    <t>V</t>
  </si>
  <si>
    <t>Annual Output</t>
  </si>
  <si>
    <t>1000sqft</t>
  </si>
  <si>
    <t>Intensity production factor</t>
  </si>
  <si>
    <t>see notes/assumptions. 
Converted metric tons to kg</t>
  </si>
  <si>
    <t>kg (average biomass used by boiler)</t>
  </si>
  <si>
    <t>Biomass calorific value</t>
  </si>
  <si>
    <t>Equivalent in natural gas</t>
  </si>
  <si>
    <t>Baseline data</t>
  </si>
  <si>
    <t>kWh/m3 (Net calorific value of natural gas)</t>
  </si>
  <si>
    <t>(see Sheet Energy E.F.)</t>
  </si>
  <si>
    <t>Adjusted Propane consumption</t>
  </si>
  <si>
    <t>Forklifts</t>
  </si>
  <si>
    <t>Heat recovered from the dust collector</t>
  </si>
  <si>
    <t>CFM</t>
  </si>
  <si>
    <t>Dust collector</t>
  </si>
  <si>
    <t>Energy equivalence</t>
  </si>
  <si>
    <t>BTU</t>
  </si>
  <si>
    <t>Equivalent in kW</t>
  </si>
  <si>
    <t>kW</t>
  </si>
  <si>
    <t>Equivalent in kWh</t>
  </si>
  <si>
    <t>We assume the same combustion efficiency of the equipement of natural gas and the biomass boiler at 85%. We did not adjust the intensity of production because it is reflected into the energy consumption (increase) used at the input.</t>
  </si>
  <si>
    <t>The yearly volume from 2010 to 2012 is then adjusted with intensity production factor of the 2010, 2011 and 2012 year.</t>
  </si>
  <si>
    <t>In 2024, calculations were adjusted to better reflect Client Facility's biomass consumption. Client Facility provided biomass consumption for 2024, hence an estimation based on 2013 data was not necessary</t>
  </si>
  <si>
    <t>ALL</t>
  </si>
  <si>
    <t>which is reflected in the intensity production factor and in the amount of wood shavings produced (scope 13)</t>
  </si>
  <si>
    <t>The conversion of forklifts occured on May 2016</t>
  </si>
  <si>
    <t>Electricity consumption (from hydroelectricity) is considered a negligeable source of emissions, and is therefore set at 0</t>
  </si>
  <si>
    <r>
      <t xml:space="preserve">BTU Output (Btu/h) = Temperature Rise (∆ T) x CFM x </t>
    </r>
    <r>
      <rPr>
        <b/>
        <sz val="12"/>
        <color theme="9" tint="-0.249977111117893"/>
        <rFont val="Calibri"/>
        <family val="2"/>
      </rPr>
      <t>1,08*</t>
    </r>
  </si>
  <si>
    <t xml:space="preserve">(∆ T) = 104 – 40 = </t>
  </si>
  <si>
    <t>E(kWh) = P(kW) * t(h)</t>
  </si>
  <si>
    <t xml:space="preserve">We know that 1 kW = </t>
  </si>
  <si>
    <t xml:space="preserve">We know that the dust collector operates 24 hours a day, 7 months a year (from October to April) for a total of 212 days and therefore a total of </t>
  </si>
  <si>
    <t xml:space="preserve"> hours</t>
  </si>
  <si>
    <t>Voir Guide interne d'aide au calcul:</t>
  </si>
  <si>
    <t>GuideQuantif-Comment-calculer-récupération-chaleur-Octobre2022-revCL.pdf</t>
  </si>
  <si>
    <t>References:</t>
  </si>
  <si>
    <t>https://www.ruppair.com/documents/white-papers/Actual%20Air%20Density%20BTU%20Calculation.pdf</t>
  </si>
  <si>
    <t>https://www.totalenergies.fr/particuliers/parlons-energie/dossiers-energie/comprendre-le-marche-de-l-energie/btu-qu-est-ce-que-le-british-thermal-unit#:~:text=En%20mati%C3%A8re%20de%20puissance%2C%20un,%C3%A9quivaut%20%C3%A0%203415%20BTU%2Fh</t>
  </si>
  <si>
    <t>is a constant that takes into account the specific heat of air, the specific density of air, and the number of minutes in an hour</t>
  </si>
  <si>
    <t>In 2024, calculations were adjusted to better reflect Client Facility's heat recovery. Client Facility provided data for heat recovery for 2024, hence an estimation based on 2013 data was not necessary</t>
  </si>
  <si>
    <t>Wood shavings (biomass residues)</t>
  </si>
  <si>
    <t xml:space="preserve">5 PAI = 4 clients + 1 boiler </t>
  </si>
  <si>
    <t>Client 1 (in 2024: 27.5%)</t>
  </si>
  <si>
    <t>Client 2 (in 2024: 43.75%)</t>
  </si>
  <si>
    <t>Client 3 (25%)</t>
  </si>
  <si>
    <t>Client 4 (3,75%)</t>
  </si>
  <si>
    <t>Boiler</t>
  </si>
  <si>
    <t xml:space="preserve">In 2024, the total amount of biomass that was recovered and sold is </t>
  </si>
  <si>
    <t>metric tons (dry) + 112 metric tons used in boiler. See evidence "04-05a Biomass destinations for litter..." and "05a-Summary Destinations Biomass"</t>
  </si>
  <si>
    <t>Client Facility provided the number of truck trips and proportion of total that was bought by clients. See Evidence "05a-Details Biomass 2024</t>
  </si>
  <si>
    <t>Reused/recycled scenario</t>
  </si>
  <si>
    <t>Switch fuel from oil to natural gaz (Plant 1)</t>
  </si>
  <si>
    <t>Heat recovery
(Plant 2)</t>
  </si>
  <si>
    <t>Energy conservation</t>
  </si>
  <si>
    <t>Conversion mazout vers gaz naturel</t>
  </si>
  <si>
    <t>Récupération de chaleur</t>
  </si>
  <si>
    <t>Récupération énergétique par le recyclage de résidus de verres</t>
  </si>
  <si>
    <t>Fuel Oil no. 2 consumption</t>
  </si>
  <si>
    <t>RDOCECA/MELCCFP, 2024; 
RIN 1990-2022, 2024</t>
  </si>
  <si>
    <t>RDOCECA/MELCCFP, 2024; 
RIN 1990-2022, 2025</t>
  </si>
  <si>
    <t>RDOCECA/MELCCFP, 2024; 
RIN 1990-2022, 2026</t>
  </si>
  <si>
    <t>IX</t>
  </si>
  <si>
    <t>oil no. 2 consumption</t>
  </si>
  <si>
    <t>year before start of project</t>
  </si>
  <si>
    <t>Régie de l'énergie du Québec   Document 1998-2018 (pricing for Quebec Capitale-nationale in january of each year)</t>
  </si>
  <si>
    <t>average unit price/liter</t>
  </si>
  <si>
    <t xml:space="preserve">http://www.regie-energie.qc.ca/energie/archives/graphiques/mazout_graph_historique2018.pdf  </t>
  </si>
  <si>
    <t>1 &amp; 2</t>
  </si>
  <si>
    <t>Total annual natural gas consumption</t>
  </si>
  <si>
    <t>This row was added for 2023 to improve clarity of calculations</t>
  </si>
  <si>
    <t>natural gas consumption</t>
  </si>
  <si>
    <t>plant 1</t>
  </si>
  <si>
    <t>plant 2</t>
  </si>
  <si>
    <t>production output</t>
  </si>
  <si>
    <t>lbs to Mt</t>
  </si>
  <si>
    <t>Intensity production</t>
  </si>
  <si>
    <t>rf. Year 2011 = 100%</t>
  </si>
  <si>
    <t>baseline natural gas consumption adjusted with production (TOTAL)</t>
  </si>
  <si>
    <t>baseline natural gas consumption adjusted with production (PLANT 1)</t>
  </si>
  <si>
    <t>baseline natural gas consumption adjusted with production (PLANT 2)</t>
  </si>
  <si>
    <t>residues of glass sent to recycling</t>
  </si>
  <si>
    <t>Energy saving in MJ</t>
  </si>
  <si>
    <t>With 4600 MJ/Mt (see notes/assumptions below)</t>
  </si>
  <si>
    <t>Equivalent natural gas saved by recycling the glass residues</t>
  </si>
  <si>
    <t>37,89MJ/M3 (ref MERN)</t>
  </si>
  <si>
    <t>Repartition of natural gas consumption is for 2010 up to 2015 between plant 1 and 2:</t>
  </si>
  <si>
    <t>Plant 1</t>
  </si>
  <si>
    <t>Plant 2</t>
  </si>
  <si>
    <t xml:space="preserve">Repartition (plant 1 and 2) on natural gas consumption is modified in 2016 ratio should be   </t>
  </si>
  <si>
    <t>Repartition on natural gas consumption ratio of 2020 is estimated by the client as</t>
  </si>
  <si>
    <t>Repartition on natural gas consumption ratio of 2021 is estimated by the client as</t>
  </si>
  <si>
    <t>Repartition on natural gas consumption ratio of 2022 is estimated by the client as</t>
  </si>
  <si>
    <t>Repartition on natural gas consumption ratio of 2023 is estimated by the client as</t>
  </si>
  <si>
    <t>Repartition on natural gas consumption ratio of 2024 is estimated by the client as</t>
  </si>
  <si>
    <t xml:space="preserve">Energy saving by using waste glass post production in a new production (recycling). Using </t>
  </si>
  <si>
    <t xml:space="preserve">MegaJoules/Mt of galss residues Page 4 : </t>
  </si>
  <si>
    <t xml:space="preserve">https://www.astm.org/CERTIFICATION/DOCS/374.EPD_for_2017015_Vitro_EPD_Flat_9.28.17.pdf    </t>
  </si>
  <si>
    <t>ALL PAIs</t>
  </si>
  <si>
    <t xml:space="preserve">We used </t>
  </si>
  <si>
    <t xml:space="preserve"> pounds per metric ton as unit conversion</t>
  </si>
  <si>
    <r>
      <t>Data used in this monitoring period for baseline emissions</t>
    </r>
    <r>
      <rPr>
        <sz val="10"/>
        <color rgb="FF0070C0"/>
        <rFont val="Calibri"/>
        <family val="2"/>
      </rPr>
      <t xml:space="preserve"> </t>
    </r>
    <r>
      <rPr>
        <b/>
        <sz val="10"/>
        <color rgb="FF0070C0"/>
        <rFont val="Calibri"/>
        <family val="2"/>
      </rPr>
      <t>is in bold blue</t>
    </r>
  </si>
  <si>
    <t>Heat recovery at arena</t>
  </si>
  <si>
    <t>Switch fuel from oil to electricity (Town Hall)</t>
  </si>
  <si>
    <t>Energy Efficiency at the municipal garage</t>
  </si>
  <si>
    <t>Récupération de chaleur à l'Aréna</t>
  </si>
  <si>
    <t>Conversion du chauffage à la mairie</t>
  </si>
  <si>
    <t>Efficcacité énergétique au garage municipal</t>
  </si>
  <si>
    <t>RDOCECA/MELCCFP, 2024
EF&amp;RV, ECCC, v2.0,  2024</t>
  </si>
  <si>
    <t>Arena</t>
  </si>
  <si>
    <t>Already verified in First Monitorin report Feb. 2014</t>
  </si>
  <si>
    <t>Propane consumption adjusted baseline</t>
  </si>
  <si>
    <t>Arena closed for 2 months in 2022 and 4 months in 2023 and 2024</t>
  </si>
  <si>
    <t>Electricity consumption adjusted baseline</t>
  </si>
  <si>
    <t>Already verified in First Monitoring report Feb. 2014</t>
  </si>
  <si>
    <t>Town Hall</t>
  </si>
  <si>
    <t>Municipal garage</t>
  </si>
  <si>
    <t>In 2022, since the CF declared that the Arena closed for 2 months, and there was no propane purchase during thos 2 months, the baseline was adjusted for 2022 only. We assumed 52 weeks of operation for the baseline propane consumption of 2009, and removed ≈2 months to adjsut to 2 months closure in 2022.</t>
  </si>
  <si>
    <t>In 2023, since the CF declared that the arena closed from mid-April to September, and there was no propane purchase during those 2 months, the baseline was adjusted for 2023. We assumed 52 weeks of operation for the baseline propane consumption of 2009 and removed 4 months to adjust to 4 months closure in 2023</t>
  </si>
  <si>
    <t>Baseline propane consumption (2009)</t>
  </si>
  <si>
    <t>liters/month approximately</t>
  </si>
  <si>
    <t>Adjusted baseline propane consump. (2022)</t>
  </si>
  <si>
    <t>liters for 10 months of the arena being open and using propane</t>
  </si>
  <si>
    <t>Adjusted baseline propane consump (2023)</t>
  </si>
  <si>
    <t>liters for 8 months of the arena being open and using propane</t>
  </si>
  <si>
    <t>Ajusted baseline propane consump (2024)</t>
  </si>
  <si>
    <t>Baseline electricity consumption (2009)</t>
  </si>
  <si>
    <t>kWh/month approximately</t>
  </si>
  <si>
    <t>Adjusted baseline electricity consump. (2022)</t>
  </si>
  <si>
    <t>kWh for 10 months of the arena being open and using electricity.</t>
  </si>
  <si>
    <t>Adjusted baseline electricity consump. (2023)</t>
  </si>
  <si>
    <t>kwh for 8 months of the arena being open and using propane</t>
  </si>
  <si>
    <t>Adjusted baseline electricity consump. (2024)</t>
  </si>
  <si>
    <t>Coke consumption (kg)</t>
  </si>
  <si>
    <t>Natural gas adjusted consumption (m3)</t>
  </si>
  <si>
    <t>Oil consumption (L)</t>
  </si>
  <si>
    <t xml:space="preserve">Propane consumption </t>
  </si>
  <si>
    <t>Propane consumption (L) after project</t>
  </si>
  <si>
    <t>Convert Mt to kg</t>
  </si>
  <si>
    <t>Production (output) casting</t>
  </si>
  <si>
    <t>Production increase</t>
  </si>
  <si>
    <t>Adjusted Baseline for coke consumption</t>
  </si>
  <si>
    <t>Dehumidifier natural gaz consumption</t>
  </si>
  <si>
    <t>Production increase. This row was added in 2024 to better reflect the natural gas baseline consumption</t>
  </si>
  <si>
    <t>Baseline adjusted with production</t>
  </si>
  <si>
    <t>Cupola natural gaz consumption (cubilot)</t>
  </si>
  <si>
    <t>Noyau casting natural gaz consumption</t>
  </si>
  <si>
    <t>5 &amp; 6</t>
  </si>
  <si>
    <t>2014=100%</t>
  </si>
  <si>
    <t>Adjusted baseline consumption of oil n.2</t>
  </si>
  <si>
    <t>Adjusted propane consumption</t>
  </si>
  <si>
    <t>Equivalent propane consumption (PROJECT)</t>
  </si>
  <si>
    <t>Equivalent propane consumption (BASELINE)</t>
  </si>
  <si>
    <t>Calorific value of electricty consumed</t>
  </si>
  <si>
    <t>Equivalent volume of coke</t>
  </si>
  <si>
    <t>Forklifts propane consumption</t>
  </si>
  <si>
    <t>Convert Lbs to L</t>
  </si>
  <si>
    <t>We assume that the anode and cathode residues are used in replacement of coke. Since these residues were processes for their disposal at a thermal destruction facility or they are landfill (with methane emission) , there is no additional GHG emitted from their use at the customer's facility (as projet emission).</t>
  </si>
  <si>
    <t xml:space="preserve">Ref 1:   https://en.wikipedia.org/wiki/Prebaked_Consumable_Carbon_Anodes </t>
  </si>
  <si>
    <t>Ref 2:   https://books.google.ca/books?id=t-Jg-i0XlpcC&amp;pg=PA79&amp;lpg=PA79&amp;dq=Disposal+sites+for+anodes+aluminium+residues&amp;source=bl&amp;ots=dBG4xZbKBw&amp;sig=oqTylnbNF3YdRkIghzwb2ITVGW4&amp;hl=fr&amp;sa=X&amp;ved=2ahUKEwjl9uSWl7neAhXIz1MKHY5RAcs4ChDoATACegQICBAB#v=onepage&amp;q=Disposal%20sites%20for%20anodes%20aluminium%20residues&amp;f=false</t>
  </si>
  <si>
    <t>Ref 3: https://www.rd-carbon.com/data/documents/publications/raw-materials-carbon-products/anode_plants_for_tomorrow_smelters.pdf</t>
  </si>
  <si>
    <t>Ref 4 http://www.bape.gouv.qc.ca/sections/mandats/alcan-brasque/documents/DA6.pdf  ( enfouisseemnt ou destruction thermique)</t>
  </si>
  <si>
    <t xml:space="preserve">Ref 5 https://www.lesaffaires.com/secteurs-d-activite/general/des-dechets-dangereux-recycles-pour-fabriquer-du-ciment/525178 </t>
  </si>
  <si>
    <t xml:space="preserve">Ref 6 http://collections.banq.qc.ca/ark:/52327/bs37754 </t>
  </si>
  <si>
    <t>Mt / tonne net</t>
  </si>
  <si>
    <t>Mj/kg coke de charbon</t>
  </si>
  <si>
    <t>Mj/M3 natural gas</t>
  </si>
  <si>
    <t>Mj/KWh</t>
  </si>
  <si>
    <t>MJ/liters of oil</t>
  </si>
  <si>
    <t>Mj/liters of propane</t>
  </si>
  <si>
    <t>PAI 5 &amp; 6</t>
  </si>
  <si>
    <t>PAI 5 &amp;7</t>
  </si>
  <si>
    <t>Propane pound-to-liters converter:</t>
  </si>
  <si>
    <t>https://www.aqua-calc.com/calculate/weight-to-volume/substance/propane</t>
  </si>
  <si>
    <t>In 2024, propane consumption was of 4290 Lbs, which is 3 947.08 L according to the converter</t>
  </si>
  <si>
    <t>PAI 7</t>
  </si>
  <si>
    <t>Year prior to project implementation is 2020, but year 2019 was chosen as baseline year due to COVID-19 in 2020.</t>
  </si>
  <si>
    <t>In 2024, propane consumption was of 44 979 lbs, which is 41 383.63 L according to the converter</t>
  </si>
  <si>
    <t>Energy efficiency on demand side heating</t>
  </si>
  <si>
    <t>Energy efficiency on demand side equipments</t>
  </si>
  <si>
    <t>Optimisation (EE) chauffage au mazout</t>
  </si>
  <si>
    <t>Optimisation (EE) essence et diesel</t>
  </si>
  <si>
    <t>Gasoline consumption</t>
  </si>
  <si>
    <t>Diesel consumption</t>
  </si>
  <si>
    <t>Oil no.2 consumption after project</t>
  </si>
  <si>
    <t>Gasoline consumption after project</t>
  </si>
  <si>
    <t>Diesel consumption after project</t>
  </si>
  <si>
    <t>Oil no.2 consumption</t>
  </si>
  <si>
    <t>Equipment consumption</t>
  </si>
  <si>
    <t>Area of greenhouses</t>
  </si>
  <si>
    <t>M2</t>
  </si>
  <si>
    <t>Reference year 2009</t>
  </si>
  <si>
    <t>Number of vehicles (pick-up trucks)</t>
  </si>
  <si>
    <t>Baseline adjustment</t>
  </si>
  <si>
    <t>For equipment gasoline and diesel consumption</t>
  </si>
  <si>
    <t>Production decreased by 24 to 26% in 2023 due to poor weather</t>
  </si>
  <si>
    <t>Energy efficiency through optimization of process</t>
  </si>
  <si>
    <t>Urban biomass diverted from landfill</t>
  </si>
  <si>
    <t>Efficacité énergétique en optimisant les processus en place</t>
  </si>
  <si>
    <t>Détournement de biomasse urbaine</t>
  </si>
  <si>
    <t>Baseline Electricity consumption</t>
  </si>
  <si>
    <t>Project natural gas consumption</t>
  </si>
  <si>
    <t>Biomass diverted from landfill</t>
  </si>
  <si>
    <t>Capacity limit of 5,000 tCO2e check</t>
  </si>
  <si>
    <t>Production (thousands square foot - millier de pieds carrés (MPC))</t>
  </si>
  <si>
    <t>MPC</t>
  </si>
  <si>
    <t>09-2024</t>
  </si>
  <si>
    <t>Full facility</t>
  </si>
  <si>
    <t>Dryer 1 and 2 only (61.5%)</t>
  </si>
  <si>
    <t>Unit of productivity</t>
  </si>
  <si>
    <t>m3/MPC</t>
  </si>
  <si>
    <t>Consumption of natural gas per production</t>
  </si>
  <si>
    <t>Baseline electricity consumption</t>
  </si>
  <si>
    <t>Electricity consumption involved with dryers (18%)</t>
  </si>
  <si>
    <t xml:space="preserve">The PAI was implemented by the end of october 2024, which means there are only 2 months GHG reductions </t>
  </si>
  <si>
    <t>An engineering report provided by the client facility confirmed that the project increased electricity consumption by</t>
  </si>
  <si>
    <t>kWh per year, which result in a minor increase of</t>
  </si>
  <si>
    <t>tCO2e/year</t>
  </si>
  <si>
    <t xml:space="preserve">Source: </t>
  </si>
  <si>
    <t>08-Engineering report (GAAMA)</t>
  </si>
  <si>
    <t>Section 5.2, p.17</t>
  </si>
  <si>
    <t>GAAMA Energy assessment (16-feb-2024)</t>
  </si>
  <si>
    <t xml:space="preserve">Natural gas usage balance (%): </t>
  </si>
  <si>
    <t>NG Dryer 1 (gaz four 1)</t>
  </si>
  <si>
    <t>Both NG dryers consume</t>
  </si>
  <si>
    <t>of natural gas</t>
  </si>
  <si>
    <t>NG Dryer 2 (gaz four 2)</t>
  </si>
  <si>
    <t>NG Boiler 1 (gaz chaudière 1)</t>
  </si>
  <si>
    <t>NG Boiler 2 (gaz chaudière 2)</t>
  </si>
  <si>
    <t>NG UAA (UAA-Chauffage d'appoint)</t>
  </si>
  <si>
    <t>Rapport V3_signé</t>
  </si>
  <si>
    <t>Section 4.3, p. 39</t>
  </si>
  <si>
    <t xml:space="preserve">Electricity usage (%): </t>
  </si>
  <si>
    <t>EB pump (Pompe EB)</t>
  </si>
  <si>
    <t>Electricity consumption involved with dryers</t>
  </si>
  <si>
    <t>Dryer ventilators (Ventilateurs four)</t>
  </si>
  <si>
    <t>PaV</t>
  </si>
  <si>
    <t>Primary refiner (Raffineur primaire)</t>
  </si>
  <si>
    <t>Twinflow refiner (Raffineur twinflow)</t>
  </si>
  <si>
    <t>Rest of the plant</t>
  </si>
  <si>
    <t>Section 4.4, p. 43</t>
  </si>
  <si>
    <t>Evidence provided by the cient's facility</t>
  </si>
  <si>
    <t>Urban biomass (bois de démolition, bobine de fils, palette)</t>
  </si>
  <si>
    <t>5 PAIs for 5 suppliers in 2024</t>
  </si>
  <si>
    <t>Supplier 1</t>
  </si>
  <si>
    <t>Supplier 2</t>
  </si>
  <si>
    <t>Supplier 2 (capped 5,000 tCO2e limit)</t>
  </si>
  <si>
    <t>Supplier 3</t>
  </si>
  <si>
    <t>Supplier 4</t>
  </si>
  <si>
    <t>Supplier 5</t>
  </si>
  <si>
    <t>Excluded WCU</t>
  </si>
  <si>
    <t>Urban biomass is not sent to landfill and is instead used in the production of msl fibre in replacement of virgin materials.</t>
  </si>
  <si>
    <t>Residual/Post-production  Biomass</t>
  </si>
  <si>
    <t>Additionnality</t>
  </si>
  <si>
    <t>Common practice</t>
  </si>
  <si>
    <t>WARM V.16</t>
  </si>
  <si>
    <r>
      <rPr>
        <sz val="11"/>
        <color theme="1"/>
        <rFont val="Calibri"/>
        <family val="2"/>
      </rPr>
      <t xml:space="preserve">Additionnality </t>
    </r>
    <r>
      <rPr>
        <i/>
        <sz val="9"/>
        <color rgb="FFEF541D"/>
        <rFont val="Calibri"/>
        <family val="2"/>
      </rPr>
      <t>(refer to section 2.3 of the Monitoring Report)</t>
    </r>
  </si>
  <si>
    <r>
      <rPr>
        <sz val="11"/>
        <color theme="1"/>
        <rFont val="Calibri"/>
        <family val="2"/>
      </rPr>
      <t xml:space="preserve">Common practice </t>
    </r>
    <r>
      <rPr>
        <i/>
        <sz val="9"/>
        <color rgb="FFEF541D"/>
        <rFont val="Calibri"/>
        <family val="2"/>
      </rPr>
      <t>(refer to section 2.3 of the Monitoring Report)</t>
    </r>
  </si>
  <si>
    <r>
      <rPr>
        <sz val="11"/>
        <color theme="1"/>
        <rFont val="Calibri"/>
        <family val="2"/>
      </rPr>
      <t xml:space="preserve">Association to a generic PAI </t>
    </r>
    <r>
      <rPr>
        <i/>
        <sz val="9"/>
        <color rgb="FFEF541D"/>
        <rFont val="Calibri"/>
        <family val="2"/>
      </rPr>
      <t>(refer to section 2.3 of the Monitoring Report)</t>
    </r>
  </si>
  <si>
    <r>
      <rPr>
        <sz val="10"/>
        <color rgb="FF000000"/>
        <rFont val="Calibri"/>
        <family val="2"/>
      </rPr>
      <t xml:space="preserve">Data used in this monitoring period for baseline/project emissions </t>
    </r>
    <r>
      <rPr>
        <b/>
        <sz val="10"/>
        <color rgb="FFF04E2A"/>
        <rFont val="Calibri"/>
        <family val="2"/>
      </rPr>
      <t>is in bold red</t>
    </r>
  </si>
  <si>
    <t>SCOPE 13: Methane Avoidance/Waste</t>
  </si>
  <si>
    <t>see compilation client facility sheet</t>
  </si>
  <si>
    <t>Capped</t>
  </si>
  <si>
    <t>Reduction of diesel consumption of the loader by changes in production method</t>
  </si>
  <si>
    <t>Landfill avoidance of biomass residues - Bark reused in boiler</t>
  </si>
  <si>
    <t>Landfill avoidance of biomass residues - Shavings and sawdust from waste stream</t>
  </si>
  <si>
    <t>Landfill avoidance of biomass residues - wood chips from waste stream</t>
  </si>
  <si>
    <t>Modification de la méthode de production permettant la réduction de consommation du chargeur au diésel</t>
  </si>
  <si>
    <t>Évitement de l'enfouissement de résidus de biomass - Écorces réutilisé dans la bouilloire</t>
  </si>
  <si>
    <t>Évitement de l'enfouissement de résidus de biomass - Sciures et planures provenant de flux de déchets</t>
  </si>
  <si>
    <t>Évitement de l'enfouissement de résidus de biomass - wood chips provenant de flux de déchets</t>
  </si>
  <si>
    <t>Reuse/Recycling scenario</t>
  </si>
  <si>
    <t>02-2024</t>
  </si>
  <si>
    <t xml:space="preserve">Diesel consumption </t>
  </si>
  <si>
    <t>Total facility consumption</t>
  </si>
  <si>
    <t>01-2024</t>
  </si>
  <si>
    <t>Loaders consumption only</t>
  </si>
  <si>
    <t>Loader that moves bags only</t>
  </si>
  <si>
    <t>Total quantity of wood pellets produced</t>
  </si>
  <si>
    <t>Quantity of pellets in bags</t>
  </si>
  <si>
    <t>Number of bags x 18.1437 kg/pellet bag</t>
  </si>
  <si>
    <t>Quantity of pellets in bulk</t>
  </si>
  <si>
    <t>Percentage pellets in bulk</t>
  </si>
  <si>
    <t>In 2023, the Client Facility modernized their facility to increase wood pellet production which explains lower diesel consumption and wood pellet production in 2022 and 2023. Production of wood pellets - both in bags and in bulk - was stopped in late August to December 2023, due to modernization work. As of 2024, higher numbers are expected due to increase production capacity.</t>
  </si>
  <si>
    <t>Biomass residues - Bark residues</t>
  </si>
  <si>
    <t>Reused in the biomass boiler (1 PAI)</t>
  </si>
  <si>
    <t>Biomass residues - Sawdust and shavings</t>
  </si>
  <si>
    <t>Valorized into wood pellets (7 suppliers/PAIs)</t>
  </si>
  <si>
    <t>Biomass residues - Wood Chips</t>
  </si>
  <si>
    <t>Valorized into wood pellets (2 suppliers/PAIs)</t>
  </si>
  <si>
    <t>III</t>
  </si>
  <si>
    <t>Replacement of oil no.2 for used oil</t>
  </si>
  <si>
    <t>Conversion of oil to biomass boiler</t>
  </si>
  <si>
    <t>Landfill avoidance of biomass through reuse in boiler</t>
  </si>
  <si>
    <t>Remplacement du mazout pour les huiles usées</t>
  </si>
  <si>
    <t>Conversion de l'huile vers la biomasse</t>
  </si>
  <si>
    <t>Évitemment de l'enfouissement de la biomasse</t>
  </si>
  <si>
    <t>Oil no. 2 consumption</t>
  </si>
  <si>
    <t>Used oil and used oil equivalent consumption</t>
  </si>
  <si>
    <t>Landfill avoidance scenario</t>
  </si>
  <si>
    <t>Used oil consumption (L)</t>
  </si>
  <si>
    <t> </t>
  </si>
  <si>
    <t>1&amp;2</t>
  </si>
  <si>
    <t>Biomass</t>
  </si>
  <si>
    <t>Used oil equivalent</t>
  </si>
  <si>
    <t xml:space="preserve">Calculated base on calorific value (see below) - Baseline </t>
  </si>
  <si>
    <t>Propane</t>
  </si>
  <si>
    <t>Total energy used</t>
  </si>
  <si>
    <t>Area of production</t>
  </si>
  <si>
    <t>sq feet</t>
  </si>
  <si>
    <t>2012 = 100% (Greenhouses surface layout)</t>
  </si>
  <si>
    <t>CF confirmed no fuel oil no.2 was consumed in 2022 and 2024</t>
  </si>
  <si>
    <t>Landfill avoidance of biomass</t>
  </si>
  <si>
    <t>SPAP Énergie Report (Jan 2012, p. 6-11)</t>
  </si>
  <si>
    <t>Quantity</t>
  </si>
  <si>
    <t>Propane (liters)</t>
  </si>
  <si>
    <t>Used oils (liters)</t>
  </si>
  <si>
    <t>Virgin oil (liters)</t>
  </si>
  <si>
    <t>Biomass (Mt to kg)</t>
  </si>
  <si>
    <t>calorific value</t>
  </si>
  <si>
    <t>MJ/Unit</t>
  </si>
  <si>
    <t>Biomass (MJ/kg)</t>
  </si>
  <si>
    <t>equivalent used oil in litres (from biomass)</t>
  </si>
  <si>
    <t>Superficie (voir évidence Plan des serres)</t>
  </si>
  <si>
    <t>area in sq feet</t>
  </si>
  <si>
    <t>Augmentation depuis 2012 (%)</t>
  </si>
  <si>
    <t>Energy conservation (virgin hydrocarbon residues)</t>
  </si>
  <si>
    <t>Saving energy on recycling activities HDPE</t>
  </si>
  <si>
    <t>Utilisation des résidus hydrocarbone vierge à des fins énergétiques</t>
  </si>
  <si>
    <t>Économie d'énergie grâce au recyclage plastiques HDPE</t>
  </si>
  <si>
    <t>Purchase of new  virgin hydrocarbon product (L)</t>
  </si>
  <si>
    <t>Energy used with virgin material (Mt)</t>
  </si>
  <si>
    <t>Recovery of residues of virgin hydrocarbon product</t>
  </si>
  <si>
    <t>Energy used with recycled material</t>
  </si>
  <si>
    <t>Life Cycle Associated, Feb. 2009</t>
  </si>
  <si>
    <t>USEPA, WARM v.16 (2023)</t>
  </si>
  <si>
    <t>IV</t>
  </si>
  <si>
    <t>Residues of virgin hydrocarbon product, film from recovered containers</t>
  </si>
  <si>
    <t>Residues of virgin hydrocarbon product converted to liter</t>
  </si>
  <si>
    <t xml:space="preserve">Lubricants: 1 litre = 0.88 kilogram     </t>
  </si>
  <si>
    <t>Residues of virgin hydrocarbon product recycling taken into account (above the threshold)</t>
  </si>
  <si>
    <t>75% threshold Quebec regulation applied; therefore 25% eligible considered</t>
  </si>
  <si>
    <t>HDPE recycling</t>
  </si>
  <si>
    <t xml:space="preserve">Autres provinces </t>
  </si>
  <si>
    <t>Qc</t>
  </si>
  <si>
    <t>PVC recycling</t>
  </si>
  <si>
    <t xml:space="preserve">Excluded - Portion WCU </t>
  </si>
  <si>
    <t>La portion production, venting and flaring, transport, refining and heavy co-products:</t>
  </si>
  <si>
    <t>La portion consommation/combustion:</t>
  </si>
  <si>
    <t>Source of the 75% legal obligation: Quebec regulation</t>
  </si>
  <si>
    <t>Q-2, r. 40.1 - Règlement sur la récupération et la valorisation de produits par les entreprises (gouv.qc.ca)</t>
  </si>
  <si>
    <t>Baseline Emission Factor</t>
  </si>
  <si>
    <t xml:space="preserve">Reference for the conversion of fuel oil in kg to liters: </t>
  </si>
  <si>
    <t>www.cbs.nl/en-gb/onze-diensten/methods/definitions/weight-units-energy</t>
  </si>
  <si>
    <t>Reduction Scenario E.F</t>
  </si>
  <si>
    <t>Lubricants: 1 litre =</t>
  </si>
  <si>
    <t>0.88 kg</t>
  </si>
  <si>
    <t>Source:</t>
  </si>
  <si>
    <t>Assesment of direct and Indirect GHG emission Associated with Petroleum Fuels, Life Cycle Asociates, LLC. , February 2009 page 60-62</t>
  </si>
  <si>
    <t>Le rapport de la SOGHU (2023) indique 102,2% comme taux de récupération pour les contenants d'huile (voir cellule Y31).</t>
  </si>
  <si>
    <t>Emission Factor for Raw Material Process Energy (HDPE)</t>
  </si>
  <si>
    <t>Source: WARM 2023, Chapter on Containers, Packaging and Non-Durable Good Materials, Exhibit 5-8</t>
  </si>
  <si>
    <t>Quantity of HDPE collected per province</t>
  </si>
  <si>
    <t>Plastic HDPE</t>
  </si>
  <si>
    <t>Emission Factor for Recycled Input Credit Process Energy (HDPE)</t>
  </si>
  <si>
    <t>Source: WARM 2023, Chapter on Containers, Packaging and Non-Durable Good Materials, Exhibit 5-11</t>
  </si>
  <si>
    <t xml:space="preserve">Territoires </t>
  </si>
  <si>
    <t>Minimum Law</t>
  </si>
  <si>
    <t>Effectif SOGHU</t>
  </si>
  <si>
    <t>Balance BAU</t>
  </si>
  <si>
    <t>Québec</t>
  </si>
  <si>
    <t>Total Non-Energy Emissions for manufacturing of raw HDPE:</t>
  </si>
  <si>
    <t>Ontario</t>
  </si>
  <si>
    <t>Recycled Input Credit – Process Non_x0002_Energy (HDPE)</t>
  </si>
  <si>
    <t>Alberta</t>
  </si>
  <si>
    <t>IPE</t>
  </si>
  <si>
    <t>SOGHU Annual Report 2021:</t>
  </si>
  <si>
    <t>https://soghu.com/wp-content/uploads/SOGHU-Rapport-Annuel-2021.pdf</t>
  </si>
  <si>
    <t>New Brunswick</t>
  </si>
  <si>
    <t>SOGHU Annual Report 2023:</t>
  </si>
  <si>
    <t>Rapport annuel 2023 - SOGHU</t>
  </si>
  <si>
    <t xml:space="preserve">Emission Factor for Raw Material Process Energy (HDPE) </t>
  </si>
  <si>
    <t>https://www.epa.gov/system/files/documents/2023-12/warm_containers_packaging_and_non-durable_goods_materials_v16_dec.pdf</t>
  </si>
  <si>
    <t>Emission Factor for Recycled Input Credit Process Energy (HDPE) (page 5-8)</t>
  </si>
  <si>
    <t>Natural gas consumption after PAI (m3)</t>
  </si>
  <si>
    <t>Propane consumption after PAI (L)</t>
  </si>
  <si>
    <t>RDOCECA/MELCCFP, 2024; RIN 1990-2022, 2024</t>
  </si>
  <si>
    <t>RDOCECA/MELCCFP, 2024</t>
  </si>
  <si>
    <t>MMp</t>
  </si>
  <si>
    <t>Million en mesure planche</t>
  </si>
  <si>
    <t>% production increase</t>
  </si>
  <si>
    <t>ref 2011</t>
  </si>
  <si>
    <t>biomass (bark) used for drying</t>
  </si>
  <si>
    <t>base verte</t>
  </si>
  <si>
    <t>base sèche</t>
  </si>
  <si>
    <t>TMA converted to kg</t>
  </si>
  <si>
    <t>equivalent energy</t>
  </si>
  <si>
    <t>equivalent propane consumption</t>
  </si>
  <si>
    <t>25,31 Mj for 1 liters of propane</t>
  </si>
  <si>
    <t>natural gaz consumption</t>
  </si>
  <si>
    <t>ref 2010</t>
  </si>
  <si>
    <t>`TMV</t>
  </si>
  <si>
    <t>PAI 1 &amp; 2</t>
  </si>
  <si>
    <t>ratio between TMA (dry) and TMV (verte) résineux</t>
  </si>
  <si>
    <t xml:space="preserve">http://afpq03.ca/wp-content/uploads/2014/06/EQUIVAL.pdf </t>
  </si>
  <si>
    <r>
      <t xml:space="preserve">Data used in this monitoring period for baseline emissions </t>
    </r>
    <r>
      <rPr>
        <b/>
        <sz val="10"/>
        <color theme="3" tint="0.499984740745262"/>
        <rFont val="Calibri"/>
        <family val="2"/>
      </rPr>
      <t>is in bold blue</t>
    </r>
  </si>
  <si>
    <t>Organic wastes avoided from landfill</t>
  </si>
  <si>
    <t>Urban biomass avoided from landfill</t>
  </si>
  <si>
    <t>Mixed cardboard and paper recycled and avoided from landfill</t>
  </si>
  <si>
    <t>Remplacement du chauffage au propane pour un poêle à bois</t>
  </si>
  <si>
    <t>Boues organiques</t>
  </si>
  <si>
    <t>Biomasse urbaine</t>
  </si>
  <si>
    <t>Matières organiques</t>
  </si>
  <si>
    <t>Papier/carton mélangés</t>
  </si>
  <si>
    <t>Landfill diversion</t>
  </si>
  <si>
    <t>Propane purchases</t>
  </si>
  <si>
    <t>Electricty consumption</t>
  </si>
  <si>
    <t>Propane savings</t>
  </si>
  <si>
    <t>Equivalent biomass consumption</t>
  </si>
  <si>
    <t>MJ/L</t>
  </si>
  <si>
    <t>Project implementation date: 24/09/2024 (date of return of propane tank)</t>
  </si>
  <si>
    <t>Organic wastes (sludges)</t>
  </si>
  <si>
    <t>sludges from ICI sector (Boues)</t>
  </si>
  <si>
    <t>Urban biomass</t>
  </si>
  <si>
    <t>recuperated from the CRD sector</t>
  </si>
  <si>
    <t>Organic wastes (green residues and wood branches)</t>
  </si>
  <si>
    <t>from ICI + municipal sector</t>
  </si>
  <si>
    <t>Total wastes recycled</t>
  </si>
  <si>
    <t>from domestic + ICI sectors</t>
  </si>
  <si>
    <t>% of mixed cardboard paper</t>
  </si>
  <si>
    <t>Official report submited to the MDDELCC</t>
  </si>
  <si>
    <t>Mixed cardboard paper</t>
  </si>
  <si>
    <t>PAI 1 to 4</t>
  </si>
  <si>
    <t>Data supplied by the member and extracted from an official report submitted to the MDDELCC (mass balance).</t>
  </si>
  <si>
    <r>
      <t xml:space="preserve">The </t>
    </r>
    <r>
      <rPr>
        <sz val="10"/>
        <color rgb="FF333399"/>
        <rFont val="Calibri"/>
        <family val="2"/>
      </rPr>
      <t>% of recycling</t>
    </r>
    <r>
      <rPr>
        <sz val="10"/>
        <color rgb="FF000000"/>
        <rFont val="Calibri"/>
        <family val="2"/>
      </rPr>
      <t xml:space="preserve"> mixed cardboard paper from all volume recycled was from Recyc Quebec 2021 report (last report issued).</t>
    </r>
  </si>
  <si>
    <t>Ashes for spreading agricultural farms. At this time we do not have a specific EF for this project activity and we will do not attribute any GHG reductions.</t>
  </si>
  <si>
    <t>Sludges (biosolids) avoided from landfill</t>
  </si>
  <si>
    <t>Organic Wastes composted and avoided from landfill</t>
  </si>
  <si>
    <t>Paper/Cardboard recycled and avoided from landfill</t>
  </si>
  <si>
    <t>Boues d'étang</t>
  </si>
  <si>
    <t>Papier et carton</t>
  </si>
  <si>
    <t>Sludges (biosolids)</t>
  </si>
  <si>
    <t>kg converted to metric tons. See notes/assumptions 2024 below</t>
  </si>
  <si>
    <t>Selective collection, total recycling</t>
  </si>
  <si>
    <t>Statistics from Recyc Quebec</t>
  </si>
  <si>
    <t>% paper/cardboard</t>
  </si>
  <si>
    <t>paper/cardboard recycled</t>
  </si>
  <si>
    <t>Organic matter</t>
  </si>
  <si>
    <t xml:space="preserve">includes green residues, christmas trees and brown bins </t>
  </si>
  <si>
    <t>Drainage of the ponds occurs once every 10 years, which explains the fact that there is only data for 2016. The previous drainage was in 2006.</t>
  </si>
  <si>
    <t>Sludges in 2016 were revaluated as soil for agricultural land.</t>
  </si>
  <si>
    <t>In 2024, some of the sludges were sent to a treatment plant for compost. Since the treatment plant is already a member of the Sustainable Community, the amount of dry sludge sent to the treatment plant was subtracted from the total (to avoid double counting)</t>
  </si>
  <si>
    <t>The % of recycled mixed cardboard and paper from all volume recycled was from Recyc Quebec 2021 report (last report issued).</t>
  </si>
  <si>
    <t xml:space="preserve">https://www.recyc-quebec.gouv.qc.ca/sites/default/files/documents/bilan-gmr-2021-collecte-selective-english.pdf </t>
  </si>
  <si>
    <t xml:space="preserve">Urban biomass waste recovered and avoided from landfill </t>
  </si>
  <si>
    <t>Paper/cardboard recycled and avoided from landfill</t>
  </si>
  <si>
    <t>Food waste composted and avoided from landfill</t>
  </si>
  <si>
    <t>Résidus organiques</t>
  </si>
  <si>
    <t>papiers/cartons recyclés</t>
  </si>
  <si>
    <t>Biomass recovery scenario</t>
  </si>
  <si>
    <t>Organic waste composted scenario</t>
  </si>
  <si>
    <t>Paper and cardboard recycling scenario</t>
  </si>
  <si>
    <t>Food waste composting scenario</t>
  </si>
  <si>
    <t>Wood reuse scenario</t>
  </si>
  <si>
    <t>urban biomass</t>
  </si>
  <si>
    <t>Evidence "05c-Biomass 2024"</t>
  </si>
  <si>
    <t>Evidence "03-05-Waste collected in 2024"</t>
  </si>
  <si>
    <t>total wastes recycled</t>
  </si>
  <si>
    <t>Evidence "05a-Recyclables 2024"</t>
  </si>
  <si>
    <t>Recyc-Quebec 2018 report</t>
  </si>
  <si>
    <t>mixed cardboard paper</t>
  </si>
  <si>
    <t>Food waste</t>
  </si>
  <si>
    <t>09-2023</t>
  </si>
  <si>
    <t>The % of recycling mixed cardboard paper from all volume recycled was selected from Recyc Quebec 2021 report (last report issued)</t>
  </si>
  <si>
    <t>Electrification of the crusher</t>
  </si>
  <si>
    <t>Reuse of biomass instead of landfill</t>
  </si>
  <si>
    <t>Recycling cardboard</t>
  </si>
  <si>
    <t>Électrification du broyeur</t>
  </si>
  <si>
    <t>Recyclage biomasse au lieu de l'enfouissement</t>
  </si>
  <si>
    <t>Recyclage carton</t>
  </si>
  <si>
    <t>Equivalent diesel consumption</t>
  </si>
  <si>
    <t>Landfill scenario of biomass</t>
  </si>
  <si>
    <t>Landfill scenario of cardboard</t>
  </si>
  <si>
    <t>Reuse scenario</t>
  </si>
  <si>
    <t>Recycling scenario</t>
  </si>
  <si>
    <t>Equivalent liters of diesel</t>
  </si>
  <si>
    <t>10.64 KWh/liter</t>
  </si>
  <si>
    <t>Electrification of the crusher bought and implemented in May 2016: Power supply 112-298KW, working 40 hours/week for 7 months/year (June to December)</t>
  </si>
  <si>
    <t>Validation with yearly electricity (HQ) bills</t>
  </si>
  <si>
    <t>KWh for 12 months</t>
  </si>
  <si>
    <t>Real consumption for 2016</t>
  </si>
  <si>
    <t>KWh for 7 months</t>
  </si>
  <si>
    <t>extrants</t>
  </si>
  <si>
    <t>Cardboard recuperated and recycled</t>
  </si>
  <si>
    <t>extrants (outbound)</t>
  </si>
  <si>
    <t>Organic waste composted</t>
  </si>
  <si>
    <t>intrants</t>
  </si>
  <si>
    <t>Cardboard landfill avoidance project is removed as of 2024.</t>
  </si>
  <si>
    <t>Switch fuel to geothermal system</t>
  </si>
  <si>
    <t>Conversion énergétique vers la géothermie</t>
  </si>
  <si>
    <t>Energy basket - Propane</t>
  </si>
  <si>
    <t>Energy basket - Oil no.2</t>
  </si>
  <si>
    <t>Energy basket - Electricity</t>
  </si>
  <si>
    <r>
      <t>SCOPE 3</t>
    </r>
    <r>
      <rPr>
        <b/>
        <sz val="12"/>
        <color rgb="FF595959"/>
        <rFont val="Georgia"/>
        <family val="1"/>
      </rPr>
      <t>: Energy Efficiency</t>
    </r>
  </si>
  <si>
    <t>Evidence provided by Client facility</t>
  </si>
  <si>
    <t>Benchmark of commercial and institutionnal buildings (basket of electricity, propane and oil no. 2) see bottom line</t>
  </si>
  <si>
    <t>City Hall consumption</t>
  </si>
  <si>
    <t>Energy basket - Fuel oil n.2</t>
  </si>
  <si>
    <t>Pondération</t>
  </si>
  <si>
    <t>Source énergie</t>
  </si>
  <si>
    <t>% d'utilisation dans le parc bâtiments bureaux</t>
  </si>
  <si>
    <t>Réductions GES calculées/source d'énergie utilisée</t>
  </si>
  <si>
    <t>Pondération en tCO2e</t>
  </si>
  <si>
    <t>Électrique</t>
  </si>
  <si>
    <t>28/54 Pjoules</t>
  </si>
  <si>
    <t>(50-28/54</t>
  </si>
  <si>
    <t>huile no. 2</t>
  </si>
  <si>
    <t>4/54PJoules</t>
  </si>
  <si>
    <t>Réductions de GES pondérée (Baseline)</t>
  </si>
  <si>
    <t>Réf: État de l'énergie 20116 Pierre-Olivier Pinault</t>
  </si>
  <si>
    <t>page 34 : 48% des bureaux utilisent du fossile (gaz naturel, huile no 2 et propane)</t>
  </si>
  <si>
    <t>Année début de projet</t>
  </si>
  <si>
    <t>Économie en Mégajoules (valeur calorifique), page 6 du rapport</t>
  </si>
  <si>
    <t>Économie équivalent en Million de BTU</t>
  </si>
  <si>
    <t>BTU Quantité à considérer (avec unité) valeur calorifique</t>
  </si>
  <si>
    <t>BTU/kwh F. É utilisé électricité</t>
  </si>
  <si>
    <t>Kwh équivalent</t>
  </si>
  <si>
    <t>tCO2e/kwh</t>
  </si>
  <si>
    <t>(électricité) tonnes de GES pré admissibles</t>
  </si>
  <si>
    <t>1 BTU =</t>
  </si>
  <si>
    <t>Joules</t>
  </si>
  <si>
    <t>Réf</t>
  </si>
  <si>
    <t>https://www.google.ca/search?q=Conversion+BTU+en+Jouls&amp;rlz=1C1LDJZ_enCA499CA502&amp;oq=Conversion+BTU+en+Jouls&amp;aqs=chrome..69i57j0l2.11439j0j8&amp;sourceid=chrome&amp;ie=UTF-8</t>
  </si>
  <si>
    <t>Gaz Propane</t>
  </si>
  <si>
    <t>Année du début de propane: le gaz naturel pas disponible à St-Sauveur</t>
  </si>
  <si>
    <r>
      <t xml:space="preserve">Différentiel + chauffage +eau chaude en MBTU; </t>
    </r>
    <r>
      <rPr>
        <i/>
        <sz val="10"/>
        <color rgb="FF993300"/>
        <rFont val="Calibri"/>
        <family val="2"/>
      </rPr>
      <t>((526,3-345,3) + 271,1+ 34,5)</t>
    </r>
    <r>
      <rPr>
        <i/>
        <sz val="10"/>
        <color rgb="FF000000"/>
        <rFont val="Calibri"/>
        <family val="2"/>
      </rPr>
      <t xml:space="preserve"> à considérer pour la valeur calorifique. </t>
    </r>
  </si>
  <si>
    <t>BTU/litres et F.É. propane</t>
  </si>
  <si>
    <t>litre de propane équivalent</t>
  </si>
  <si>
    <t>tCO2e/M3 de gaz naturel</t>
  </si>
  <si>
    <t>(propane) tonnes de GES pré admissibles</t>
  </si>
  <si>
    <t>Huile no. 2</t>
  </si>
  <si>
    <t>Année du début de projet</t>
  </si>
  <si>
    <r>
      <t xml:space="preserve">Différentiel + chauffage +eau chaude en MBTU; </t>
    </r>
    <r>
      <rPr>
        <i/>
        <sz val="10"/>
        <color rgb="FF993300"/>
        <rFont val="Calibri"/>
        <family val="2"/>
      </rPr>
      <t>((2686,5-1581,2) + 1196,6+ 123,2)</t>
    </r>
    <r>
      <rPr>
        <sz val="10"/>
        <color rgb="FF000000"/>
        <rFont val="Calibri"/>
        <family val="2"/>
      </rPr>
      <t xml:space="preserve"> à considérer pour la valeur calorifique </t>
    </r>
  </si>
  <si>
    <t>BTU/litre et F.É. huile # 2</t>
  </si>
  <si>
    <t>Litres huile # 2 équivalent</t>
  </si>
  <si>
    <t>tCO2e/M3 de huile # 2</t>
  </si>
  <si>
    <t>(huile # 2) tonnes de GES pré admissibles</t>
  </si>
  <si>
    <t>CF-1511</t>
  </si>
  <si>
    <t>Switch fuel from propane to biomass</t>
  </si>
  <si>
    <t>Recycling biomass out of landfill</t>
  </si>
  <si>
    <t>Conversion chauffage des serres du propane vers la biomasse</t>
  </si>
  <si>
    <t>Valorisation de la biomasse</t>
  </si>
  <si>
    <t>WARM v.16 Dec. 2023</t>
  </si>
  <si>
    <t>Capacity limit 5,000 tCO2e</t>
  </si>
  <si>
    <t>Equivalent calorific value</t>
  </si>
  <si>
    <t>19,2 Mj/kg of biomass</t>
  </si>
  <si>
    <t>real consumption before switch boiler &amp; fuel</t>
  </si>
  <si>
    <t>1155756,0</t>
  </si>
  <si>
    <t>area of cultivated land</t>
  </si>
  <si>
    <t>area réf. 2010 = 100%</t>
  </si>
  <si>
    <t>production increased</t>
  </si>
  <si>
    <t>ref. 2012 = 100%</t>
  </si>
  <si>
    <t>Nombre de PAI</t>
  </si>
  <si>
    <t>référence déclaré en 4ième cohorte et validé par VVB</t>
  </si>
  <si>
    <t>Nombe d'équivalent de batiment</t>
  </si>
  <si>
    <t>Biomass diverted from landfillg and reused</t>
  </si>
  <si>
    <t>Traceability realized on each micro-project</t>
  </si>
  <si>
    <t>Evidence provided by clients's facilit</t>
  </si>
  <si>
    <t>Volume of recycled metal material</t>
  </si>
  <si>
    <t>FeTi (FerTitane)</t>
  </si>
  <si>
    <t>Life cycle; Page 11</t>
  </si>
  <si>
    <r>
      <rPr>
        <sz val="10"/>
        <color theme="1"/>
        <rFont val="Calibri"/>
        <family val="2"/>
      </rPr>
      <t>kg eCO</t>
    </r>
    <r>
      <rPr>
        <sz val="10"/>
        <color rgb="FF000000"/>
        <rFont val="Calibri"/>
        <family val="2"/>
      </rPr>
      <t>2/kg as baseline Emission factor</t>
    </r>
  </si>
  <si>
    <t>Life Cycle Carbon Benefits of Aerospace Alloy Recycling, Matthew J. Eckelmana, Luca Ciaccib, Goksin Kavlakc, Philip Nussb, Barbara K. Reckb, T.E. Graedelb page 11 (baseline) page 14 (projects émission)</t>
  </si>
  <si>
    <t>Life cycle; Page 14</t>
  </si>
  <si>
    <t>kg eCO2/kg as project Emission factor</t>
  </si>
  <si>
    <t>Taux de Titane dans le FeTi</t>
  </si>
  <si>
    <t xml:space="preserve">First calculated data for the year 2015  </t>
  </si>
  <si>
    <t>En tonnes métriques  ('tm)</t>
  </si>
  <si>
    <r>
      <rPr>
        <i/>
        <sz val="10"/>
        <color theme="1"/>
        <rFont val="Calibri"/>
        <family val="2"/>
      </rPr>
      <t>Intrant:</t>
    </r>
    <r>
      <rPr>
        <b/>
        <sz val="10"/>
        <color theme="1"/>
        <rFont val="Calibri"/>
        <family val="2"/>
      </rPr>
      <t xml:space="preserve"> Matières Reçues</t>
    </r>
  </si>
  <si>
    <r>
      <rPr>
        <b/>
        <sz val="10"/>
        <color theme="1"/>
        <rFont val="Calibri"/>
        <family val="2"/>
      </rPr>
      <t xml:space="preserve">Intrant </t>
    </r>
    <r>
      <rPr>
        <i/>
        <sz val="9"/>
        <color theme="1"/>
        <rFont val="Calibri"/>
        <family val="2"/>
      </rPr>
      <t>en tm</t>
    </r>
  </si>
  <si>
    <r>
      <rPr>
        <b/>
        <sz val="10"/>
        <color theme="1"/>
        <rFont val="Calibri"/>
        <family val="2"/>
      </rPr>
      <t xml:space="preserve">Total réduction de GES admissibles ous CD </t>
    </r>
    <r>
      <rPr>
        <i/>
        <sz val="10"/>
        <color theme="1"/>
        <rFont val="Calibri"/>
        <family val="2"/>
      </rPr>
      <t>(en tm de GES)</t>
    </r>
  </si>
  <si>
    <r>
      <rPr>
        <b/>
        <sz val="10"/>
        <color theme="1"/>
        <rFont val="Calibri"/>
        <family val="2"/>
      </rPr>
      <t xml:space="preserve">Compostage </t>
    </r>
    <r>
      <rPr>
        <sz val="10"/>
        <color theme="1"/>
        <rFont val="Calibri"/>
        <family val="2"/>
      </rPr>
      <t>plateforme 1</t>
    </r>
  </si>
  <si>
    <r>
      <rPr>
        <b/>
        <sz val="10"/>
        <color theme="1"/>
        <rFont val="Calibri"/>
        <family val="2"/>
      </rPr>
      <t xml:space="preserve">Compostage </t>
    </r>
    <r>
      <rPr>
        <sz val="10"/>
        <color theme="1"/>
        <rFont val="Calibri"/>
        <family val="2"/>
      </rPr>
      <t>plateforme 2</t>
    </r>
  </si>
  <si>
    <r>
      <rPr>
        <b/>
        <sz val="10"/>
        <color theme="1"/>
        <rFont val="Calibri"/>
        <family val="2"/>
      </rPr>
      <t xml:space="preserve">Compostage </t>
    </r>
    <r>
      <rPr>
        <sz val="10"/>
        <color theme="1"/>
        <rFont val="Calibri"/>
        <family val="2"/>
      </rPr>
      <t>plateforme 3</t>
    </r>
  </si>
  <si>
    <r>
      <rPr>
        <b/>
        <sz val="10"/>
        <color theme="1"/>
        <rFont val="Calibri"/>
        <family val="2"/>
      </rPr>
      <t xml:space="preserve">Épandage direct,                                 </t>
    </r>
    <r>
      <rPr>
        <sz val="10"/>
        <color theme="1"/>
        <rFont val="Calibri"/>
        <family val="2"/>
      </rPr>
      <t>sans compostage préalable</t>
    </r>
  </si>
  <si>
    <t>Commentaires</t>
  </si>
  <si>
    <r>
      <rPr>
        <i/>
        <sz val="9"/>
        <color theme="1"/>
        <rFont val="Calibri"/>
        <family val="2"/>
      </rPr>
      <t xml:space="preserve">L'épandage semble une partique courante dans la région depuis environ 20 ans.  Voir PGMR  révisé 2016-2020 page 96 </t>
    </r>
    <r>
      <rPr>
        <i/>
        <sz val="8"/>
        <color rgb="FF1F497D"/>
        <rFont val="Calibri"/>
        <family val="2"/>
      </rPr>
      <t xml:space="preserve">http://ville.saguenay.ca/fr/media/view/publications/50609_document_public_complet.pdf  </t>
    </r>
    <r>
      <rPr>
        <i/>
        <sz val="8"/>
        <color theme="1"/>
        <rFont val="Calibri"/>
        <family val="2"/>
      </rPr>
      <t xml:space="preserve"> </t>
    </r>
  </si>
  <si>
    <t>Idem que sur les boues d'usines d'épurations</t>
  </si>
  <si>
    <t>Résidus de boues de fosse septique</t>
  </si>
  <si>
    <t>C'est quoi au juste cette catégorie</t>
  </si>
  <si>
    <t>Pour le compostage ou le chauffage des bâtiments</t>
  </si>
  <si>
    <t>Putrescibles ICI (résidus alimentaires)</t>
  </si>
  <si>
    <t>Fruits et légumes périmées des IGA, Metro , restaurants et autres ICI.  Combien de ICI en 2015?</t>
  </si>
  <si>
    <t>Écart</t>
  </si>
  <si>
    <t>Définition:</t>
  </si>
  <si>
    <t>Selon Recyc Québec (RQ): les résidus verts sont des matières végétales produites par les citoyens ou les entreprises spécialisées dans le cadre d’activités de jardinage, d’horticulture ou d’aménagement paysager. Ils comprennent notamment les feuilles mortes, le gazon et autres herbes coupées ainsi que les retailles d’arbres ou d’arbustes.</t>
  </si>
  <si>
    <t>Résidus putrescibles (alimentaires)</t>
  </si>
  <si>
    <t>Selon Recyc Québec (RQ): les résidus alimentaires, quant à eux, se composent de matières végétales ou animales issues de la préparation et de la consommation d’aliments, comme les pelures, restes de tables, cœurs de pommes, etc. Ils sont générés par les citoyens à la maison ou au travail, de même que dans les secteurs institutionnel et commercial (restaurants, hôtels, cafétérias, etc.).</t>
  </si>
  <si>
    <t>Réf. Web:</t>
  </si>
  <si>
    <t xml:space="preserve">https://www.recyc-quebec.gouv.qc.ca/municipalites/matieres-organiques/residus-verts </t>
  </si>
  <si>
    <t>Intrants</t>
  </si>
  <si>
    <t>GES évitées</t>
  </si>
  <si>
    <t>food waste</t>
  </si>
  <si>
    <t>Fosse septique</t>
  </si>
  <si>
    <t>Boues</t>
  </si>
  <si>
    <t>2010 à 2015</t>
  </si>
  <si>
    <t>With data supplied in december 2016</t>
  </si>
  <si>
    <t>It is the total received (Metric tonnes)  input 2010 to 2015</t>
  </si>
  <si>
    <t>12 inputs (intrants)</t>
  </si>
  <si>
    <t>F.E.</t>
  </si>
  <si>
    <t>Biosolides municipaux (étangs)</t>
  </si>
  <si>
    <t>Boues de Papetières</t>
  </si>
  <si>
    <t xml:space="preserve">Cendres </t>
  </si>
  <si>
    <t>eaux à traiter</t>
  </si>
  <si>
    <t>Résidus BFS</t>
  </si>
  <si>
    <t>Lixiviat LET</t>
  </si>
  <si>
    <t>Sans boues papetières</t>
  </si>
  <si>
    <t>Estimation Nbr voyage (pesée)</t>
  </si>
  <si>
    <t>Référence rapport CRIQ, page iii (sur dimension 90m x 175mX 6m)</t>
  </si>
  <si>
    <t>density</t>
  </si>
  <si>
    <t xml:space="preserve"> Density of sludge references are from the Ministry of Environment of Quebec (MENV) </t>
  </si>
  <si>
    <t>Total en Tm</t>
  </si>
  <si>
    <r>
      <rPr>
        <b/>
        <sz val="12"/>
        <color theme="1"/>
        <rFont val="Calibri"/>
        <family val="2"/>
      </rPr>
      <t>GHG reductions  in tCO</t>
    </r>
    <r>
      <rPr>
        <b/>
        <vertAlign val="subscript"/>
        <sz val="12"/>
        <color theme="1"/>
        <rFont val="Calibri"/>
        <family val="2"/>
      </rPr>
      <t>2</t>
    </r>
    <r>
      <rPr>
        <b/>
        <sz val="12"/>
        <color theme="1"/>
        <rFont val="Calibri"/>
        <family val="2"/>
      </rPr>
      <t>e</t>
    </r>
  </si>
  <si>
    <t>Baseline entre 2006 et 2010, ionclusion de nouvelles technologies et SOP optimisants les résultats environnementaux , et l'évitement d'enfouissement (LET ou sauvage)</t>
  </si>
  <si>
    <t xml:space="preserve">By input detailled yearly (2010 to 2015)  </t>
  </si>
  <si>
    <t>Utilisation des eaux lixiviats du compostage (3 plateformes) pour les bactéries requises à l'optimisation des andins et leur récupération pour traitement biologique final</t>
  </si>
  <si>
    <t>Sable d ecaniveau</t>
  </si>
  <si>
    <r>
      <rPr>
        <b/>
        <sz val="12"/>
        <color rgb="FF3F3F3F"/>
        <rFont val="Georgia"/>
        <family val="1"/>
      </rPr>
      <t>SCOPE 7</t>
    </r>
    <r>
      <rPr>
        <b/>
        <sz val="12"/>
        <color rgb="FF595959"/>
        <rFont val="Georgia"/>
        <family val="1"/>
      </rPr>
      <t>: Transport</t>
    </r>
  </si>
  <si>
    <t>Switch fuel oil to electricity</t>
  </si>
  <si>
    <t>Conversion huile no. 2 vers l'électricité</t>
  </si>
  <si>
    <t>electricity consumption</t>
  </si>
  <si>
    <t>16 651</t>
  </si>
  <si>
    <t>222 169,00</t>
  </si>
  <si>
    <t>202 332</t>
  </si>
  <si>
    <t>50 380</t>
  </si>
  <si>
    <t>Landfill avoidance of wood waste through valorization</t>
  </si>
  <si>
    <r>
      <rPr>
        <sz val="11"/>
        <color rgb="FF262626"/>
        <rFont val="Calibri"/>
        <family val="2"/>
      </rPr>
      <t>Inputs (</t>
    </r>
    <r>
      <rPr>
        <i/>
        <sz val="11"/>
        <color rgb="FF262626"/>
        <rFont val="Calibri"/>
        <family val="2"/>
      </rPr>
      <t>original name in french</t>
    </r>
    <r>
      <rPr>
        <sz val="11"/>
        <color rgb="FF262626"/>
        <rFont val="Calibri"/>
        <family val="2"/>
      </rPr>
      <t>)</t>
    </r>
  </si>
  <si>
    <t>Évitement de l'enfouissement de bois par sa valorisation</t>
  </si>
  <si>
    <r>
      <rPr>
        <sz val="11"/>
        <color theme="1"/>
        <rFont val="Calibri"/>
        <family val="2"/>
      </rPr>
      <t>Baseline emissions (tCO</t>
    </r>
    <r>
      <rPr>
        <vertAlign val="subscript"/>
        <sz val="11"/>
        <color theme="1"/>
        <rFont val="Calibri"/>
        <family val="2"/>
      </rPr>
      <t>2</t>
    </r>
    <r>
      <rPr>
        <sz val="11"/>
        <color theme="1"/>
        <rFont val="Calibri"/>
        <family val="2"/>
      </rPr>
      <t>e)</t>
    </r>
  </si>
  <si>
    <r>
      <rPr>
        <sz val="11"/>
        <color theme="1"/>
        <rFont val="Calibri"/>
        <family val="2"/>
      </rPr>
      <t>Project emissions (tCO</t>
    </r>
    <r>
      <rPr>
        <vertAlign val="subscript"/>
        <sz val="11"/>
        <color theme="1"/>
        <rFont val="Calibri"/>
        <family val="2"/>
      </rPr>
      <t>2</t>
    </r>
    <r>
      <rPr>
        <sz val="11"/>
        <color theme="1"/>
        <rFont val="Calibri"/>
        <family val="2"/>
      </rPr>
      <t>e)</t>
    </r>
  </si>
  <si>
    <r>
      <rPr>
        <sz val="11"/>
        <color theme="1"/>
        <rFont val="Calibri"/>
        <family val="2"/>
      </rPr>
      <t>Leakage emissions (tCO</t>
    </r>
    <r>
      <rPr>
        <vertAlign val="subscript"/>
        <sz val="11"/>
        <color theme="1"/>
        <rFont val="Calibri"/>
        <family val="2"/>
      </rPr>
      <t>2</t>
    </r>
    <r>
      <rPr>
        <sz val="11"/>
        <color theme="1"/>
        <rFont val="Calibri"/>
        <family val="2"/>
      </rPr>
      <t>e)</t>
    </r>
  </si>
  <si>
    <r>
      <rPr>
        <sz val="11"/>
        <color theme="1"/>
        <rFont val="Calibri"/>
        <family val="2"/>
      </rPr>
      <t>Net GHG emission reductions (tCO</t>
    </r>
    <r>
      <rPr>
        <vertAlign val="subscript"/>
        <sz val="11"/>
        <color theme="1"/>
        <rFont val="Calibri"/>
        <family val="2"/>
      </rPr>
      <t>2</t>
    </r>
    <r>
      <rPr>
        <sz val="11"/>
        <color theme="1"/>
        <rFont val="Calibri"/>
        <family val="2"/>
      </rPr>
      <t>e)</t>
    </r>
  </si>
  <si>
    <r>
      <rPr>
        <b/>
        <sz val="12"/>
        <color rgb="FF3F3F3F"/>
        <rFont val="Calibri"/>
        <family val="2"/>
      </rPr>
      <t>Baseline emissions (tCO</t>
    </r>
    <r>
      <rPr>
        <b/>
        <vertAlign val="subscript"/>
        <sz val="12"/>
        <color rgb="FF3F3F3F"/>
        <rFont val="Calibri"/>
        <family val="2"/>
      </rPr>
      <t>2</t>
    </r>
    <r>
      <rPr>
        <b/>
        <sz val="12"/>
        <color rgb="FF3F3F3F"/>
        <rFont val="Calibri"/>
        <family val="2"/>
      </rPr>
      <t>e)</t>
    </r>
  </si>
  <si>
    <r>
      <rPr>
        <b/>
        <sz val="12"/>
        <color theme="1"/>
        <rFont val="Calibri"/>
        <family val="2"/>
      </rPr>
      <t>Baseline emissions (tCO</t>
    </r>
    <r>
      <rPr>
        <b/>
        <vertAlign val="subscript"/>
        <sz val="12"/>
        <color theme="1"/>
        <rFont val="Calibri"/>
        <family val="2"/>
      </rPr>
      <t>2</t>
    </r>
    <r>
      <rPr>
        <b/>
        <sz val="12"/>
        <color theme="1"/>
        <rFont val="Calibri"/>
        <family val="2"/>
      </rPr>
      <t>e)</t>
    </r>
  </si>
  <si>
    <t>Wood waste landfilled</t>
  </si>
  <si>
    <r>
      <rPr>
        <b/>
        <sz val="11"/>
        <color rgb="FF3F3F3F"/>
        <rFont val="Calibri"/>
        <family val="2"/>
      </rPr>
      <t>EF</t>
    </r>
    <r>
      <rPr>
        <sz val="11"/>
        <color rgb="FF3F3F3F"/>
        <rFont val="Calibri"/>
        <family val="2"/>
      </rPr>
      <t xml:space="preserve"> (tCO2e/Metric tons)</t>
    </r>
  </si>
  <si>
    <r>
      <rPr>
        <sz val="11"/>
        <color rgb="FF3F3F3F"/>
        <rFont val="Calibri"/>
        <family val="2"/>
      </rPr>
      <t>Equation: result in tCO</t>
    </r>
    <r>
      <rPr>
        <vertAlign val="subscript"/>
        <sz val="11"/>
        <color rgb="FF3F3F3F"/>
        <rFont val="Calibri"/>
        <family val="2"/>
      </rPr>
      <t>2</t>
    </r>
    <r>
      <rPr>
        <sz val="11"/>
        <color rgb="FF3F3F3F"/>
        <rFont val="Calibri"/>
        <family val="2"/>
      </rPr>
      <t>e</t>
    </r>
  </si>
  <si>
    <r>
      <rPr>
        <b/>
        <sz val="12"/>
        <color rgb="FF3F3F3F"/>
        <rFont val="Calibri"/>
        <family val="2"/>
      </rPr>
      <t>Projects emissions (tCO</t>
    </r>
    <r>
      <rPr>
        <b/>
        <vertAlign val="subscript"/>
        <sz val="12"/>
        <color rgb="FF3F3F3F"/>
        <rFont val="Calibri"/>
        <family val="2"/>
      </rPr>
      <t>2</t>
    </r>
    <r>
      <rPr>
        <b/>
        <sz val="12"/>
        <color rgb="FF3F3F3F"/>
        <rFont val="Calibri"/>
        <family val="2"/>
      </rPr>
      <t>e)</t>
    </r>
  </si>
  <si>
    <t>Recycled wood waste</t>
  </si>
  <si>
    <r>
      <t>Additionnality</t>
    </r>
    <r>
      <rPr>
        <i/>
        <sz val="9"/>
        <color rgb="FFEF541D"/>
        <rFont val="Calibri"/>
        <family val="2"/>
      </rPr>
      <t xml:space="preserve"> (refer to the Project Document)</t>
    </r>
  </si>
  <si>
    <r>
      <t xml:space="preserve">Common practice </t>
    </r>
    <r>
      <rPr>
        <i/>
        <sz val="9"/>
        <color rgb="FFEF541D"/>
        <rFont val="Calibri"/>
        <family val="2"/>
      </rPr>
      <t>(refer to the Project Document)</t>
    </r>
  </si>
  <si>
    <r>
      <t xml:space="preserve">Association to a generic PAI </t>
    </r>
    <r>
      <rPr>
        <i/>
        <sz val="9"/>
        <color rgb="FFEF541D"/>
        <rFont val="Calibri"/>
        <family val="2"/>
      </rPr>
      <t>(refer to 'Generic PAI' sheet)</t>
    </r>
  </si>
  <si>
    <r>
      <rPr>
        <sz val="10"/>
        <color theme="0"/>
        <rFont val="Calibri"/>
        <family val="2"/>
      </rPr>
      <t>Data in</t>
    </r>
    <r>
      <rPr>
        <b/>
        <sz val="10"/>
        <color theme="0"/>
        <rFont val="Calibri"/>
        <family val="2"/>
      </rPr>
      <t xml:space="preserve"> </t>
    </r>
  </si>
  <si>
    <r>
      <rPr>
        <sz val="10"/>
        <color theme="0"/>
        <rFont val="Calibri"/>
        <family val="2"/>
      </rPr>
      <t>Data in</t>
    </r>
    <r>
      <rPr>
        <b/>
        <sz val="10"/>
        <color theme="0"/>
        <rFont val="Calibri"/>
        <family val="2"/>
      </rPr>
      <t xml:space="preserve"> Liters (L)</t>
    </r>
  </si>
  <si>
    <r>
      <rPr>
        <sz val="10"/>
        <color theme="0"/>
        <rFont val="Calibri"/>
        <family val="2"/>
      </rPr>
      <t>Data in</t>
    </r>
    <r>
      <rPr>
        <b/>
        <sz val="10"/>
        <color theme="0"/>
        <rFont val="Calibri"/>
        <family val="2"/>
      </rPr>
      <t xml:space="preserve"> cubic meters (m3)</t>
    </r>
  </si>
  <si>
    <r>
      <rPr>
        <sz val="10"/>
        <color theme="0"/>
        <rFont val="Calibri"/>
        <family val="2"/>
      </rPr>
      <t>Data in</t>
    </r>
    <r>
      <rPr>
        <b/>
        <sz val="10"/>
        <color theme="0"/>
        <rFont val="Calibri"/>
        <family val="2"/>
      </rPr>
      <t xml:space="preserve"> Metric tons (Mt)</t>
    </r>
  </si>
  <si>
    <r>
      <rPr>
        <sz val="10"/>
        <color theme="0"/>
        <rFont val="Calibri"/>
        <family val="2"/>
      </rPr>
      <t>Data in</t>
    </r>
    <r>
      <rPr>
        <b/>
        <sz val="10"/>
        <color theme="0"/>
        <rFont val="Calibri"/>
        <family val="2"/>
      </rPr>
      <t xml:space="preserve"> kWh</t>
    </r>
  </si>
  <si>
    <r>
      <rPr>
        <sz val="10"/>
        <color theme="0"/>
        <rFont val="Calibri"/>
        <family val="2"/>
      </rPr>
      <t>Data in</t>
    </r>
    <r>
      <rPr>
        <b/>
        <sz val="10"/>
        <color theme="0"/>
        <rFont val="Calibri"/>
        <family val="2"/>
      </rPr>
      <t xml:space="preserve"> kilograms (kg)</t>
    </r>
  </si>
  <si>
    <r>
      <rPr>
        <b/>
        <sz val="12"/>
        <color rgb="FF3F3F3F"/>
        <rFont val="Georgia"/>
        <family val="1"/>
      </rPr>
      <t>SCOPE 13</t>
    </r>
    <r>
      <rPr>
        <b/>
        <sz val="12"/>
        <color rgb="FF595959"/>
        <rFont val="Georgia"/>
        <family val="1"/>
      </rPr>
      <t>: Methane Avoidance/Waste</t>
    </r>
  </si>
  <si>
    <t>kg converted to MT</t>
  </si>
  <si>
    <t>lbs converted to MT</t>
  </si>
  <si>
    <t>Organic waste anaerobically digested and avoided from landfill</t>
  </si>
  <si>
    <t>Avoidance of synthetic fertilizers use through biomethanization digestate applied to agricultural fields</t>
  </si>
  <si>
    <t>Digestion anaérobie des matières organiques</t>
  </si>
  <si>
    <t>Évitement de l'utilisation d'engrais par l'épandage agricole du digestat de biométhanisation</t>
  </si>
  <si>
    <t>Anaerobic digestion scenario</t>
  </si>
  <si>
    <t>Spreading on agricultural land</t>
  </si>
  <si>
    <t>BEAM 2022 (ECCC)</t>
  </si>
  <si>
    <t>Client's data</t>
  </si>
  <si>
    <t>Quantity of organic matter recovered from the municipalities</t>
  </si>
  <si>
    <t>mt</t>
  </si>
  <si>
    <t>Screening rejected waste</t>
  </si>
  <si>
    <t>Quantity of digestate applied in fields</t>
  </si>
  <si>
    <t>As described in annual report (PTMOBC)</t>
  </si>
  <si>
    <t>Number of PAIs is explained on "Summary" sheet, see note 8 (line 59).</t>
  </si>
  <si>
    <t>9 farms so 12 PAIs in 2019 and 2020, 17 farms in 2021, 13 farms in 2022 and 2023</t>
  </si>
  <si>
    <t>E.F. used for these PAI are</t>
  </si>
  <si>
    <t>Total GHG Emissions for biomethanation of digestate spread on farmland</t>
  </si>
  <si>
    <t>E.F. ref.: Method based on version BEAM 2022 (ECCC) Section B</t>
  </si>
  <si>
    <t>Urban Biomass Waste</t>
  </si>
  <si>
    <t>Organic Waste</t>
  </si>
  <si>
    <t>Paper/cardboard recycled</t>
  </si>
  <si>
    <t>Papiers/cartons recyclés</t>
  </si>
  <si>
    <t>Landfill diversion through reuse</t>
  </si>
  <si>
    <t>Landfill diversion through composting</t>
  </si>
  <si>
    <t>Landfill diversion through recycling</t>
  </si>
  <si>
    <t>Natural wood biomass waste</t>
  </si>
  <si>
    <t>Bilan GMR (natural wood only)</t>
  </si>
  <si>
    <t>The urban biomass sent to landfill as recovery material accounted fo 0 GHG reductions.</t>
  </si>
  <si>
    <t>The natural wood biomass was proceeded to the compost platform.</t>
  </si>
  <si>
    <t>% of recycled mixed cardboard and paper is from the Recyc Quebec 2021 report, Table 7 (last report issued)</t>
  </si>
  <si>
    <t xml:space="preserve">  Scope 13</t>
  </si>
  <si>
    <t>Conversion of fuel oil no. 6 to Biomass</t>
  </si>
  <si>
    <t>Biomass diverted from landfill (for the use of the on-site boiler)</t>
  </si>
  <si>
    <t>Conversion de Mazout no. 6 au biomasse</t>
  </si>
  <si>
    <t>Biomasse détournée de l'enfouissement (pour l'utilisation de la bouillore sur le site)</t>
  </si>
  <si>
    <t xml:space="preserve">Biomass landfilled </t>
  </si>
  <si>
    <t>Biomass landfilled</t>
  </si>
  <si>
    <t>Consumption of Biomass</t>
  </si>
  <si>
    <t>Biomass avoided from landfill through reuse</t>
  </si>
  <si>
    <t>EF Source</t>
  </si>
  <si>
    <t>WARM v.16 Dec. 2024</t>
  </si>
  <si>
    <t>Capacity limit check 5,000 tCO2e/PAI</t>
  </si>
  <si>
    <t>Use of biomass for the boiler</t>
  </si>
  <si>
    <t>Conversion TMA to kg</t>
  </si>
  <si>
    <t>Will's Calculation</t>
  </si>
  <si>
    <t>Energy equivalent</t>
  </si>
  <si>
    <t>Conversion kg to MJ</t>
  </si>
  <si>
    <t>Fuel oil no.6 equivalent</t>
  </si>
  <si>
    <t>Conversion MJ Tto L</t>
  </si>
  <si>
    <t xml:space="preserve"> It is considered as 3 PAI since there are 3 equipments involved: 2 wood dryers and 1 biomass boiler.</t>
  </si>
  <si>
    <t xml:space="preserve">Quantity of dry sawdust and wood shavings  </t>
  </si>
  <si>
    <t>TMA (Dry)</t>
  </si>
  <si>
    <t xml:space="preserve">Will's calculation </t>
  </si>
  <si>
    <t>Quantity of wet bark</t>
  </si>
  <si>
    <t>TMV (Wet)</t>
  </si>
  <si>
    <t>Quantity of dry bark</t>
  </si>
  <si>
    <t>Produits Forestiers Resolu Canada Inc. (SL) - Dry -capped</t>
  </si>
  <si>
    <t>Produits Forestiers Resolu Canada Inc. (LSR) - Dry</t>
  </si>
  <si>
    <t>Quantity of wet bark and wood shavings</t>
  </si>
  <si>
    <t>Quantity of dry bark and wood shavings</t>
  </si>
  <si>
    <t>AURELE DUROCHER (LSR)</t>
  </si>
  <si>
    <t>CISSSAT (LSR)</t>
  </si>
  <si>
    <t>Béarn (BER)</t>
  </si>
  <si>
    <t xml:space="preserve">Quantity of dry bark and wood shavings  </t>
  </si>
  <si>
    <t>ENTREPRISES CJE ROUILLARD (SL)</t>
  </si>
  <si>
    <t>FERME LUCANIE 2011 INC. (BER)</t>
  </si>
  <si>
    <t>FERME VALSY (BER)</t>
  </si>
  <si>
    <t>GESTION FORESTIERE ABITIBI INC. (LSR)</t>
  </si>
  <si>
    <t>LES ENTREPRISES FORESTIERES V. LABRANCHE (LSR)</t>
  </si>
  <si>
    <t>LES ENTREPRISES FORESTIERES V. LABRANCHE INC (BER)</t>
  </si>
  <si>
    <r>
      <t xml:space="preserve">Les Serres de Gallichan (LSR) - </t>
    </r>
    <r>
      <rPr>
        <b/>
        <sz val="11"/>
        <color rgb="FFF04E2A"/>
        <rFont val="Calibri"/>
        <family val="2"/>
      </rPr>
      <t>excluded</t>
    </r>
  </si>
  <si>
    <t>Melanie Bouchard (LSR)</t>
  </si>
  <si>
    <t>Municipalité Saint-Lambert (LSR)</t>
  </si>
  <si>
    <t>Transbois (CCL)</t>
  </si>
  <si>
    <t>TRANSPORT GELINAS (SL)</t>
  </si>
  <si>
    <t>TRANSPORT PATRICE AUGER (SL)</t>
  </si>
  <si>
    <t>TRANSPORT TFI 4 INC. (SL)</t>
  </si>
  <si>
    <t>Consumption of biomass</t>
  </si>
  <si>
    <t>Sawdust and bark for the biomass boiler on site</t>
  </si>
  <si>
    <t>PAI 3,6,8,11,13, 24 :</t>
  </si>
  <si>
    <t xml:space="preserve">Since the VM0018 methodology does not allow for more than 5000 tCO2e per PAI, the quantities of biomass considered are capped at </t>
  </si>
  <si>
    <t xml:space="preserve"> TMA</t>
  </si>
  <si>
    <t xml:space="preserve">PAI 13 to 25 and 44 to 46: </t>
  </si>
  <si>
    <t xml:space="preserve">The ratio between TMA (dry) and TMV (green) is : </t>
  </si>
  <si>
    <r>
      <rPr>
        <b/>
        <sz val="10"/>
        <color theme="1"/>
        <rFont val="Aptos Narrow"/>
        <family val="2"/>
        <scheme val="minor"/>
      </rPr>
      <t>Source :</t>
    </r>
    <r>
      <rPr>
        <sz val="10"/>
        <color theme="1"/>
        <rFont val="Aptos Narrow"/>
        <family val="2"/>
        <scheme val="minor"/>
      </rPr>
      <t xml:space="preserve"> http://afpq03.ca/wp-content/uploads/2014/06/EQUIVAL.pdf</t>
    </r>
  </si>
  <si>
    <t>ERs excluded and considered as WCU for MP8 :</t>
  </si>
  <si>
    <t>PAI 4 :</t>
  </si>
  <si>
    <t>Evidence provided by Client Facility</t>
  </si>
  <si>
    <t>Quantity of organic matter</t>
  </si>
  <si>
    <t>Urban and rural areas</t>
  </si>
  <si>
    <t>From 2020 to summer 2024, there are no brown bins in the rural area. However, there are 15 green waste collections (bags of leaves and bundles of branches), on Thursdays every 2 weeks from May to November. Green residues quantities are excluded from the rural.</t>
  </si>
  <si>
    <t>Average temperature</t>
  </si>
  <si>
    <t>°F</t>
  </si>
  <si>
    <t xml:space="preserve">From system SPECS </t>
  </si>
  <si>
    <t>12-2015</t>
  </si>
  <si>
    <t>Qty of heat recovered</t>
  </si>
  <si>
    <t>BTU Output</t>
  </si>
  <si>
    <t>Estimate provided by client facility</t>
  </si>
  <si>
    <t>Number of hours of heat recovered</t>
  </si>
  <si>
    <t>hr</t>
  </si>
  <si>
    <t>Conversion BTU to kW</t>
  </si>
  <si>
    <t>1 kW = 3412.14 BTU</t>
  </si>
  <si>
    <t>Conversion of kWh to m3 of natural gas</t>
  </si>
  <si>
    <t>The formula used for this PAI is:</t>
  </si>
  <si>
    <t>BTU/h = Temperature Rise (∆ T) x CFM x 1.08</t>
  </si>
  <si>
    <t xml:space="preserve">1.08 is used as the industry standard: https://www.ruppair.com/documents/white-papers/Actual%20Air%20Density%20BTU%20Calculation.pdf </t>
  </si>
  <si>
    <t>The customer specified that he had chosen compressed natural gas rather than natural gas. Due to a lack of appropriate E.F. for CNG specifically, and because these two types of energy have roughly the same carbon intensity, the E.F. of natural gas was used.</t>
  </si>
  <si>
    <t>Quebec top 10 salespoint - switch fuel to biomass</t>
  </si>
  <si>
    <t>Conversion énergétique- Québec</t>
  </si>
  <si>
    <t>Equivalent oil. No. 2</t>
  </si>
  <si>
    <t>Wood pellets consumption (kg)</t>
  </si>
  <si>
    <t>EPA WARM v.16, Dec 2024</t>
  </si>
  <si>
    <t>EPA WARM v.16, Dec 2025</t>
  </si>
  <si>
    <t>EPA WARM v.16, Dec 2026</t>
  </si>
  <si>
    <t>EPA WARM v.16, Dec 2027</t>
  </si>
  <si>
    <t>EPA WARM v.16, Dec 2028</t>
  </si>
  <si>
    <t>EPA WARM v.16, Dec 2029</t>
  </si>
  <si>
    <t>EPA WARM v.16, Dec 2030</t>
  </si>
  <si>
    <t>EPA WARM v.16, Dec 2031</t>
  </si>
  <si>
    <t>EPA WARM v.16, Dec 2032</t>
  </si>
  <si>
    <t>EPA WARM v.16, Dec 2033</t>
  </si>
  <si>
    <t>EPA WARM v.16, Dec 2034</t>
  </si>
  <si>
    <t>EPA WARM v.16, Dec 2035</t>
  </si>
  <si>
    <t>EPA WARM v.16, Dec 2036</t>
  </si>
  <si>
    <t>EPA WARM v.16, Dec 2037</t>
  </si>
  <si>
    <t>EPA WARM v.16, Dec 2038</t>
  </si>
  <si>
    <t>EPA WARM v.16, Dec 2039</t>
  </si>
  <si>
    <t>EPA WARM v.16, Dec 2040</t>
  </si>
  <si>
    <t>EPA WARM v.16, Dec 2041</t>
  </si>
  <si>
    <t>EPA WARM v.16, Dec 2042</t>
  </si>
  <si>
    <t>EPA WARM v.16, Dec 2043</t>
  </si>
  <si>
    <t>EPA WARM v.16, Dec 2044</t>
  </si>
  <si>
    <t>Quebec top 10 salespoint - wood pellets</t>
  </si>
  <si>
    <t xml:space="preserve">Equivalent oil consumption </t>
  </si>
  <si>
    <t>Ontario top 5 salespoint - wood pellets</t>
  </si>
  <si>
    <t>Equivalence of fuel oil to electricity</t>
  </si>
  <si>
    <t>US &amp; New England top 5 salespoint - wood pellets</t>
  </si>
  <si>
    <t>Mj/kg of dry wood Calorific value of wood pellets</t>
  </si>
  <si>
    <t>Mj/liter Calorific value of oil no.2</t>
  </si>
  <si>
    <t>Client Facility 1301</t>
  </si>
  <si>
    <t>12- Laval</t>
  </si>
  <si>
    <t>80% efficiency</t>
  </si>
  <si>
    <t>Wooden pallet reuse</t>
  </si>
  <si>
    <t>Plastic recycling</t>
  </si>
  <si>
    <t>Paper and cardboard recycling</t>
  </si>
  <si>
    <t>Energy savings on food recycling</t>
  </si>
  <si>
    <t>Landfill avoidance of food waste</t>
  </si>
  <si>
    <t>Réutilisation des palettes</t>
  </si>
  <si>
    <t>Recyclage du plastique</t>
  </si>
  <si>
    <t>Recyclage du papier et carton</t>
  </si>
  <si>
    <t>Raw food production (equivalent production of animal grains)</t>
  </si>
  <si>
    <t>Landfilled waste from food industry</t>
  </si>
  <si>
    <t>Data in Metric tons (Mt)</t>
  </si>
  <si>
    <r>
      <t>Baseline emissions (tCO</t>
    </r>
    <r>
      <rPr>
        <b/>
        <vertAlign val="subscript"/>
        <sz val="12"/>
        <color rgb="FF3F3F3F"/>
        <rFont val="Calibri"/>
        <family val="2"/>
      </rPr>
      <t>2</t>
    </r>
    <r>
      <rPr>
        <b/>
        <sz val="12"/>
        <color rgb="FF3F3F3F"/>
        <rFont val="Calibri"/>
        <family val="2"/>
      </rPr>
      <t>e)</t>
    </r>
  </si>
  <si>
    <t>Natural gas used during processes at Client Facility</t>
  </si>
  <si>
    <t>Methane avoidance (landfill diversion)</t>
  </si>
  <si>
    <t>Reuse of pallets</t>
  </si>
  <si>
    <t>Paper and carboard recycling</t>
  </si>
  <si>
    <t>Data in M3</t>
  </si>
  <si>
    <t>WARM EPA v.16 2023</t>
  </si>
  <si>
    <t>WARM EPA v.16 2022</t>
  </si>
  <si>
    <t>WARM EPA v.16 2024</t>
  </si>
  <si>
    <t>WARM EPA v.16 2025</t>
  </si>
  <si>
    <t>WARM EPA v.16 2026</t>
  </si>
  <si>
    <t>WARM EPA v.16 2027</t>
  </si>
  <si>
    <t>WARM EPA v.16 2028</t>
  </si>
  <si>
    <t>WARM EPA v.16 2029</t>
  </si>
  <si>
    <t>WARM EPA v.16 2030</t>
  </si>
  <si>
    <t>WARM EPA v.16 2031</t>
  </si>
  <si>
    <t>WARM v.16 Dec. 2026</t>
  </si>
  <si>
    <t>WARM v.16 Dec. 2027</t>
  </si>
  <si>
    <t>WARM v.16 Dec. 2028</t>
  </si>
  <si>
    <t>WARM v.16 Dec. 2029</t>
  </si>
  <si>
    <t>WARM v.16 Dec. 2030</t>
  </si>
  <si>
    <t>WARM v.16 Dec. 2031</t>
  </si>
  <si>
    <t>WARM v.16 Dec. 2032</t>
  </si>
  <si>
    <t>WARM v.16 Dec. 2033</t>
  </si>
  <si>
    <t>WARM v.16 Dec. 2034</t>
  </si>
  <si>
    <t>WARM v.16 Dec. 2035</t>
  </si>
  <si>
    <t>WARM v.16 Dec. 2036</t>
  </si>
  <si>
    <t>WARM v.16 Dec. 2037</t>
  </si>
  <si>
    <t>WARM v.16 Dec. 2038</t>
  </si>
  <si>
    <t>WARM v.16 Dec. 2039</t>
  </si>
  <si>
    <t>WARM v.16 Dec. 2040</t>
  </si>
  <si>
    <t>WARM v.16 Dec. 2041</t>
  </si>
  <si>
    <t>WARM v.16 Dec. 2042</t>
  </si>
  <si>
    <t>WARM v.16 Dec. 2043</t>
  </si>
  <si>
    <t>WARM v.16 Dec. 2047</t>
  </si>
  <si>
    <t>WARM v.16 Dec. 2048</t>
  </si>
  <si>
    <t>WARM v.16 Dec. 2049</t>
  </si>
  <si>
    <t>WARM v.16 Dec. 2050</t>
  </si>
  <si>
    <t>WARM v.16 Dec. 2051</t>
  </si>
  <si>
    <t>WARM v.16 Dec. 2052</t>
  </si>
  <si>
    <t>WARM v.16 Dec. 2044</t>
  </si>
  <si>
    <t>WARM v.16 Dec. 2045</t>
  </si>
  <si>
    <t>WARM v.16 Dec. 2046</t>
  </si>
  <si>
    <t>Evidence provided by CF</t>
  </si>
  <si>
    <t>Natural gas consumption for the food dryer</t>
  </si>
  <si>
    <t>Active clients</t>
  </si>
  <si>
    <t>Nbr</t>
  </si>
  <si>
    <t>Natural gas consumed per Mt of food waste treated</t>
  </si>
  <si>
    <t>Client's facility data</t>
  </si>
  <si>
    <t>pâtes</t>
  </si>
  <si>
    <t>huile</t>
  </si>
  <si>
    <t>pizza</t>
  </si>
  <si>
    <t>bonbons</t>
  </si>
  <si>
    <t>farine</t>
  </si>
  <si>
    <t>ARLA FOODS (ON)</t>
  </si>
  <si>
    <t>dairy</t>
  </si>
  <si>
    <t>BARRY CALLEBAUT ST-ALBANS (USA)</t>
  </si>
  <si>
    <t>chocolat</t>
  </si>
  <si>
    <t>BARRY CALLEBAUT PENSAULKEN (USA)</t>
  </si>
  <si>
    <t>BARRY CALLEBAUT CHATHAM (ON)</t>
  </si>
  <si>
    <t>BARRY CALLEBAUT CHICAGO (USA)</t>
  </si>
  <si>
    <t>bonbons (cornets)</t>
  </si>
  <si>
    <t>sucre</t>
  </si>
  <si>
    <t>cocoa shell</t>
  </si>
  <si>
    <t>Fil P. bretonne</t>
  </si>
  <si>
    <t>boulangerie</t>
  </si>
  <si>
    <t>CAVENDISH FARMS (N-B)</t>
  </si>
  <si>
    <t>frites</t>
  </si>
  <si>
    <t>mélange</t>
  </si>
  <si>
    <t>CANADA CANDY COMPANY (ON)</t>
  </si>
  <si>
    <t>sucre et confiseries</t>
  </si>
  <si>
    <t>CANADA ROYAL MILK (ON)</t>
  </si>
  <si>
    <t>produits laitiers</t>
  </si>
  <si>
    <t>fromage</t>
  </si>
  <si>
    <t>levure</t>
  </si>
  <si>
    <t>amidon</t>
  </si>
  <si>
    <t>pelures</t>
  </si>
  <si>
    <t>mais</t>
  </si>
  <si>
    <t>FRITOLAY OTTAWA - DESTRUCTION (ON)</t>
  </si>
  <si>
    <t>JOHN VINCE (ON)</t>
  </si>
  <si>
    <t>GANONG (N-B)</t>
  </si>
  <si>
    <t>GANONG REJETS (N-B)</t>
  </si>
  <si>
    <t>GOLDEN BOY  MARKHAM (ON)</t>
  </si>
  <si>
    <t>noix</t>
  </si>
  <si>
    <t>GOLDEN BOY BRAMPTON (ON)</t>
  </si>
  <si>
    <t>GOLDEN BOY DECHET (ON)</t>
  </si>
  <si>
    <t>GUMPERT'S (ON)</t>
  </si>
  <si>
    <t>chocolats</t>
  </si>
  <si>
    <t>INGLESIDE (ON)</t>
  </si>
  <si>
    <t>KARMA (ON)</t>
  </si>
  <si>
    <t>KARMA REJETS (ON)</t>
  </si>
  <si>
    <t>KLASSIK COCONUT (ON)</t>
  </si>
  <si>
    <t>sirop</t>
  </si>
  <si>
    <t>barres tendres</t>
  </si>
  <si>
    <t>LECLERC ONTARIO - CONTENEUR</t>
  </si>
  <si>
    <t>LECLERC ONTARIO - DESTRUCTION</t>
  </si>
  <si>
    <t>LECLERC BROCKVILLE</t>
  </si>
  <si>
    <t>LECLERC CORNWALL</t>
  </si>
  <si>
    <t>Patates</t>
  </si>
  <si>
    <t>MONDELEZ BRAMPTON (ON)</t>
  </si>
  <si>
    <t>MONDELEZ BRAMPTON REJETS (ON)</t>
  </si>
  <si>
    <t>MONDELEZ STONEY CREEK (ON)</t>
  </si>
  <si>
    <t>MONDELEZ STONEY CREEK REJETS (ON)</t>
  </si>
  <si>
    <t>MONDELEZ PÂTE</t>
  </si>
  <si>
    <t>pâte</t>
  </si>
  <si>
    <t>MONDELEZ BISCUIT 1</t>
  </si>
  <si>
    <t>biscuit</t>
  </si>
  <si>
    <t>MONDELEZ BISCUIT 2</t>
  </si>
  <si>
    <t>MONDELEZ REMORQUE DESTRUCTION</t>
  </si>
  <si>
    <t>MONDELEZ HUILE</t>
  </si>
  <si>
    <t>MONDELEZ FARINE</t>
  </si>
  <si>
    <t>moutarde</t>
  </si>
  <si>
    <t>OLD DUTCH (N-B)</t>
  </si>
  <si>
    <t>OLD DUTCH AMIDON (N-B)</t>
  </si>
  <si>
    <t>PARMALAT BELLEVILLE (ON)</t>
  </si>
  <si>
    <t>fromage solide</t>
  </si>
  <si>
    <t>PURATOS (ON)</t>
  </si>
  <si>
    <t>REDPATH TORONTO (ON)</t>
  </si>
  <si>
    <t>REDPATH BELLEVILLE (ON)</t>
  </si>
  <si>
    <t>RHINO FOODS (ON)</t>
  </si>
  <si>
    <t>grains</t>
  </si>
  <si>
    <t>WESTON ONTARIO</t>
  </si>
  <si>
    <t>NORTHSTAR DAWN (ON)</t>
  </si>
  <si>
    <t>INTERNATIONAL SUGAR (ON)</t>
  </si>
  <si>
    <t>SUNNY CRUNCH (ON)</t>
  </si>
  <si>
    <t>SONORA FOODS (ON)</t>
  </si>
  <si>
    <t>Bulk Barns (ON)</t>
  </si>
  <si>
    <t>FRUITION (ON)</t>
  </si>
  <si>
    <t>DEMPSEY (ON)</t>
  </si>
  <si>
    <t>épices</t>
  </si>
  <si>
    <t>Lactoserum</t>
  </si>
  <si>
    <t>Total in Mt</t>
  </si>
  <si>
    <t>Wooden pallets reuse</t>
  </si>
  <si>
    <t>Number sold</t>
  </si>
  <si>
    <t>Weight of the sold wooden pallets</t>
  </si>
  <si>
    <t>1 pallet = 20.48 kg</t>
  </si>
  <si>
    <t>PAI  3</t>
  </si>
  <si>
    <t>New partenariat with a plastic recycling facility since the end of 2024.</t>
  </si>
  <si>
    <t>Short initiative of waste revalorization to biomass energy.</t>
  </si>
  <si>
    <t>Date</t>
  </si>
  <si>
    <t>Quantity of paper (kg)</t>
  </si>
  <si>
    <t>Replacement of a diesel excavator for electric conveyor belts</t>
  </si>
  <si>
    <t>Landfill avoidance of wood residues from CRD waste streams</t>
  </si>
  <si>
    <t>Landfill avoidance of mixed recyclables through recycling</t>
  </si>
  <si>
    <t>Remplacement d'une pelle mécanique au diésel pour des convoyeurs électriques</t>
  </si>
  <si>
    <t>Évitement de l'enfouissement de résidus de bois provenant de flux de déchets CRD</t>
  </si>
  <si>
    <t>Évitement de l'enfouissement de matières recyclables mixtes via le recyclage</t>
  </si>
  <si>
    <t>Diesel consumption of the excavator</t>
  </si>
  <si>
    <t>Landfill scenario of biomass waste</t>
  </si>
  <si>
    <t>Equivalent electricity consumption</t>
  </si>
  <si>
    <t>Recycling scenario of cardboard</t>
  </si>
  <si>
    <t>Capacity limit 5,000 tCO2e/PAI check</t>
  </si>
  <si>
    <t>Diesel excavator; see notes</t>
  </si>
  <si>
    <t>Wills calculation</t>
  </si>
  <si>
    <t>All facility</t>
  </si>
  <si>
    <t>Diesel consumption (all facility)</t>
  </si>
  <si>
    <t>As provided by the Client Facility, the diesel excavator consumed 9 liters/hour of diesel. For both 2022 and 2023, diesel consumption is calculated according to 4160 hours of operations of the excavator.</t>
  </si>
  <si>
    <t>Biomass residues</t>
  </si>
  <si>
    <t>Output</t>
  </si>
  <si>
    <t>Carboard</t>
  </si>
  <si>
    <t>BOIS - Destination points</t>
  </si>
  <si>
    <t>NBR</t>
  </si>
  <si>
    <t>QTY</t>
  </si>
  <si>
    <t>Excluded</t>
  </si>
  <si>
    <t>PAI number is associated to the number of destination points of the recycled biomass. All indivividual destination points are below 5,000 tCO2e each.</t>
  </si>
  <si>
    <t>BOIS #1 - Destination points</t>
  </si>
  <si>
    <t>BOIS #2 - Destination points</t>
  </si>
  <si>
    <t>Sale of company</t>
  </si>
  <si>
    <t>Replacement of propane heating system to wood furnace</t>
  </si>
  <si>
    <r>
      <t xml:space="preserve">Minus 6 PAI as of MP9, </t>
    </r>
    <r>
      <rPr>
        <i/>
        <sz val="9"/>
        <color rgb="FF00B050"/>
        <rFont val="Aptos Narrow"/>
        <family val="2"/>
        <scheme val="minor"/>
      </rPr>
      <t>CF still participating</t>
    </r>
  </si>
  <si>
    <r>
      <t xml:space="preserve">Minus 4 PAI as of MP9, </t>
    </r>
    <r>
      <rPr>
        <i/>
        <sz val="9"/>
        <color rgb="FF00B050"/>
        <rFont val="Aptos Narrow"/>
        <family val="2"/>
        <scheme val="minor"/>
      </rPr>
      <t>CF still participating</t>
    </r>
  </si>
  <si>
    <r>
      <t xml:space="preserve">Minus 1 PAI as of MP7, </t>
    </r>
    <r>
      <rPr>
        <i/>
        <sz val="9"/>
        <rFont val="Aptos Narrow"/>
        <family val="2"/>
        <scheme val="minor"/>
      </rPr>
      <t>Failed to submit data on time</t>
    </r>
  </si>
  <si>
    <t>PAI generated negative ERs for more than 3 MPs</t>
  </si>
  <si>
    <r>
      <t xml:space="preserve">Minus 1 PAI as of MP3, </t>
    </r>
    <r>
      <rPr>
        <i/>
        <sz val="9"/>
        <rFont val="Aptos Narrow"/>
        <family val="2"/>
        <scheme val="minor"/>
      </rPr>
      <t>Failed to submit data on time</t>
    </r>
  </si>
  <si>
    <t>13-Laval</t>
  </si>
  <si>
    <t>04-2022</t>
  </si>
  <si>
    <t>Equivalent consumption of fuel oil no. 6</t>
  </si>
  <si>
    <t>Since the Client Facility site was operational as of March 2024, the baseline diesel consumption of the excavator was considered for 10 months for 2024.</t>
  </si>
  <si>
    <r>
      <t>9th Monitoring Report (MR) period covered</t>
    </r>
    <r>
      <rPr>
        <i/>
        <sz val="10"/>
        <color theme="1"/>
        <rFont val="Aptos Narrow"/>
        <family val="2"/>
        <scheme val="minor"/>
      </rPr>
      <t xml:space="preserve">: </t>
    </r>
    <r>
      <rPr>
        <b/>
        <i/>
        <sz val="11"/>
        <color theme="1"/>
        <rFont val="Aptos Narrow"/>
        <family val="2"/>
        <scheme val="minor"/>
      </rPr>
      <t>January 1, 2024 to December 31, 2024.</t>
    </r>
  </si>
  <si>
    <t>of Quebec's population, associated with innovative projects through their organizations (SMEs, municipalities, and NGOs). Below is the results, extracted from the 'Social impact' spreadsheet. The data and the calculation method have been duly verified by a recognized VVB.</t>
  </si>
  <si>
    <t>(13) Laval</t>
  </si>
  <si>
    <t>6.3% of Quebec’s population (near 800,000 people), associated to innovative projects through their organizations (SME, municipalities, and NGOs).</t>
  </si>
  <si>
    <t>6.3% of the Quebec’s population territory, located mainly in remote areas, has participated through their organizations (SME, municipalities, and NGOs), to the group project.</t>
  </si>
  <si>
    <t>of Quebec's municipalities (162 municipal organisations over 1,130 Quebec's municipalities), located mainly in remote areas, has participated to this group project which is in direct line to mitigate the climate risk). The total includes all municipalities, including those participating in intermunicipal waste management boards that are members of the Sustainable Community group project. This information has been duly verified by a recognized VVB under the VCS program.</t>
  </si>
  <si>
    <t>14.3% of Quebec’s municipalities (162 municipal organisations over 1,130 Quebec municipalities), located mainly in remote areas, have participated to this group project to pass in their business community the virtuous approaches.</t>
  </si>
  <si>
    <t>14.3% of Quebec’s municipalities (162 municipal organisations over 1,130 Quebec municipalities), located mainly in remote areas, have participated to this group project.</t>
  </si>
  <si>
    <r>
      <t>6,27</t>
    </r>
    <r>
      <rPr>
        <sz val="9.5"/>
        <color theme="1"/>
        <rFont val="Franklin Gothic Book"/>
        <family val="2"/>
      </rPr>
      <t xml:space="preserve"> million tCO</t>
    </r>
    <r>
      <rPr>
        <vertAlign val="subscript"/>
        <sz val="9.5"/>
        <color theme="1"/>
        <rFont val="Franklin Gothic Book"/>
        <family val="2"/>
      </rPr>
      <t>2</t>
    </r>
    <r>
      <rPr>
        <sz val="9.5"/>
        <color theme="1"/>
        <rFont val="Franklin Gothic Book"/>
        <family val="2"/>
      </rPr>
      <t>e of greenhouse gas emissions (GHG) avoided and/or reduced.</t>
    </r>
  </si>
  <si>
    <t>The contributions during the project lifetime includes:</t>
  </si>
  <si>
    <t>Total ERs (tCO2e)</t>
  </si>
  <si>
    <t xml:space="preserve">$ per MT anhydride (tonne de bois vert) reference from a Quebec expert about biomass and advisor for the client facility (on 3 nov. 2018) </t>
  </si>
  <si>
    <t>$ per ton of dry biomass; reference from a Quebec expert about biomass and advisor for the client facility (on 3 nov. 2018)</t>
  </si>
  <si>
    <t>Composting organic waste at the city platform</t>
  </si>
  <si>
    <t>Composting organic waste sent to biomethanization facility</t>
  </si>
  <si>
    <t>Organic waste composted at the biomethanization facility</t>
  </si>
  <si>
    <t>M.O. de 7 municipalités regroupées</t>
  </si>
  <si>
    <t xml:space="preserve">M.O. de 4 municipalités regroupées </t>
  </si>
  <si>
    <t>Matières Organiques d'une municipalité</t>
  </si>
  <si>
    <t>Organic wastes from a group of 4 municipalities</t>
  </si>
  <si>
    <t>In 2024, CF recieved green residues from a private company, which explains the sudden increse in organic waste between 2023 and 2024</t>
  </si>
  <si>
    <t>Contaminated soil
Supplier no 1</t>
  </si>
  <si>
    <t>Contaminated soil
Supplier no 2</t>
  </si>
  <si>
    <t>Contaminated soil
Supplier no 3</t>
  </si>
  <si>
    <t>Contaminated soil
Supplier no 4</t>
  </si>
  <si>
    <t>Contaminated soil
Supplier no 5</t>
  </si>
  <si>
    <t>Contaminated soil
Supplier no 6</t>
  </si>
  <si>
    <t>Contaminated soil
Supplier no 7</t>
  </si>
  <si>
    <t>Contaminated soil
Supplier no 8</t>
  </si>
  <si>
    <t>Contaminated soil
Supplier no 9</t>
  </si>
  <si>
    <t>Supplier no 1</t>
  </si>
  <si>
    <t>Supplier no 2</t>
  </si>
  <si>
    <t>Other supplier (excluded)</t>
  </si>
  <si>
    <t>Supplier no 3</t>
  </si>
  <si>
    <t>Supplier no 4</t>
  </si>
  <si>
    <t>Supplier no 5</t>
  </si>
  <si>
    <t>Supplier no 6</t>
  </si>
  <si>
    <t>Supplier no 7</t>
  </si>
  <si>
    <t>Supplier no 8</t>
  </si>
  <si>
    <t>Supplier no 9</t>
  </si>
  <si>
    <t>Carbon footprint prepared by external expert</t>
  </si>
  <si>
    <t xml:space="preserve">Residual biomass - supplier no 1 </t>
  </si>
  <si>
    <t>Residual biomass - supplier no 2</t>
  </si>
  <si>
    <t>Residual biomass - supplier no 3</t>
  </si>
  <si>
    <t>Residual biomass - supplier no 4</t>
  </si>
  <si>
    <t>Residual biomass - supplier no 5</t>
  </si>
  <si>
    <t>Residual biomass - supplier no 6</t>
  </si>
  <si>
    <t>Residual biomass - supplier no 7</t>
  </si>
  <si>
    <t>Residual biomass - supplier no 8</t>
  </si>
  <si>
    <t>Residual biomass - supplier no 9</t>
  </si>
  <si>
    <t>Residual biomass - supplier no 10</t>
  </si>
  <si>
    <t>Residual biomass - supplier no 11</t>
  </si>
  <si>
    <t>Residual biomass - supplier no 12</t>
  </si>
  <si>
    <t>Residual biomass - supplier no 13</t>
  </si>
  <si>
    <t>Residual biomass - supplier no 14</t>
  </si>
  <si>
    <t>Residual biomass - supplier no 15</t>
  </si>
  <si>
    <t>Residual biomass - supplier no 16</t>
  </si>
  <si>
    <t>Residual biomass - supplier no 17</t>
  </si>
  <si>
    <t>Residual biomass - supplier no 18</t>
  </si>
  <si>
    <t>Residual biomass - supplier no 19</t>
  </si>
  <si>
    <t>Residual biomass - supplier no 20</t>
  </si>
  <si>
    <t>Residual biomass - supplier no 21</t>
  </si>
  <si>
    <t>Residual biomass - Supplier no 1</t>
  </si>
  <si>
    <t>Residual biomass - Supplier no 2</t>
  </si>
  <si>
    <t>Residual biomass - Supplier no 3</t>
  </si>
  <si>
    <t>Residual biomass - Supplier no 4</t>
  </si>
  <si>
    <t>Residual biomass - Supplier no 5</t>
  </si>
  <si>
    <t>Residual biomass - Supplier no 6</t>
  </si>
  <si>
    <t>Residual biomass - Supplier no 7</t>
  </si>
  <si>
    <t>Residual biomass - Supplier no 8</t>
  </si>
  <si>
    <t>Residual biomass - Supplier no 9</t>
  </si>
  <si>
    <t>Residual biomass - Supplier no 10</t>
  </si>
  <si>
    <t>Residual biomass -Supplier no 11</t>
  </si>
  <si>
    <t>Residual biomass - supplier no 23</t>
  </si>
  <si>
    <t>Residual biomass - supplier no 22</t>
  </si>
  <si>
    <t>Residual biomass - suppliner no 24</t>
  </si>
  <si>
    <t>Residual biomass -supplier no 25</t>
  </si>
  <si>
    <t>Residual biomass - suppliner no 26</t>
  </si>
  <si>
    <t>Supplier no 10</t>
  </si>
  <si>
    <t>Supplier no 11</t>
  </si>
  <si>
    <t>Supplier no 12</t>
  </si>
  <si>
    <t>Supplier no 13</t>
  </si>
  <si>
    <t>Supplier no 14</t>
  </si>
  <si>
    <t>Supplier no 15</t>
  </si>
  <si>
    <t>Supplier no 16</t>
  </si>
  <si>
    <t>Supplier no 17</t>
  </si>
  <si>
    <t>Supplier no 18</t>
  </si>
  <si>
    <t>Supplier no 19</t>
  </si>
  <si>
    <t>Supplier no 20</t>
  </si>
  <si>
    <t>Supplier no 21</t>
  </si>
  <si>
    <t>Supplier no 22</t>
  </si>
  <si>
    <t>Supplier no 23</t>
  </si>
  <si>
    <t>Supplier no 24</t>
  </si>
  <si>
    <t>Supplier no 25</t>
  </si>
  <si>
    <t xml:space="preserve">Residual biomass -  usine XYZ </t>
  </si>
  <si>
    <t>Residual biomass -  Supplier no 1</t>
  </si>
  <si>
    <t>Residual biomass -  Supplier no 2</t>
  </si>
  <si>
    <t>Residual biomass -  Supplier no 4</t>
  </si>
  <si>
    <t>Residual biomass -  Supplier no 5</t>
  </si>
  <si>
    <t>Residual biomass -  Supplier no 6</t>
  </si>
  <si>
    <t>Residual biomass -  Supplier no 7</t>
  </si>
  <si>
    <t>Residual biomass -  Supplier no 8</t>
  </si>
  <si>
    <t>Residual biomass -  Supplier no 11</t>
  </si>
  <si>
    <t>Residual biomass -  Supplier no 12</t>
  </si>
  <si>
    <t>Residual biomass -  Supplier no 14</t>
  </si>
  <si>
    <t>Residual biomass -  Supplier no 18</t>
  </si>
  <si>
    <t>Residual biomass - Supplier no 19</t>
  </si>
  <si>
    <t>Biomass diverted from landfill (sawdust and wood shavings from facility 1 recycled by supplier 1)</t>
  </si>
  <si>
    <t>Residual biomass- Supplier no 9</t>
  </si>
  <si>
    <t>Residual biomass -  Supplier no 10</t>
  </si>
  <si>
    <t>Residual biomass -  Supplier in previous cohort</t>
  </si>
  <si>
    <t xml:space="preserve">Residual biomass -  Supplier in previous cohort </t>
  </si>
  <si>
    <t xml:space="preserve">Residual biomass -   supplier in preivous cohort </t>
  </si>
  <si>
    <t>Residual biomass -   Supplier no 13</t>
  </si>
  <si>
    <t>Residual biomass -  Supplier no 15</t>
  </si>
  <si>
    <t>Residual biomass -  Supplier no 15 - Capped</t>
  </si>
  <si>
    <t>Residual biomass - Supplier no 16</t>
  </si>
  <si>
    <t>Residual biomass -   Supplier in previous cohort</t>
  </si>
  <si>
    <t>Residual biomass - Supplier no 17</t>
  </si>
  <si>
    <t>Residual biomass - Supplier in previous cohort</t>
  </si>
  <si>
    <t>Residual biomass - Supplier no 20</t>
  </si>
  <si>
    <t>Residual biomass - Supplier no 21</t>
  </si>
  <si>
    <t>Biomass diverted from landfill (sawdust and wood shavings from facility 3 recycled by supplier 2)</t>
  </si>
  <si>
    <t>Biomass diverted from landfill (sawdust and wood shavings from facility 4 recycled by supplier 3)</t>
  </si>
  <si>
    <t>Biomass diverted from landfill (sawdust and wood shavings from facility 1 recycled by supplier 3)</t>
  </si>
  <si>
    <t>Biomass diverted from landfill (sawdust and wood shavings from facility 2 recycled by supplier 4)</t>
  </si>
  <si>
    <t>Biomass diverted from landfill (sawdust and wood shavings from facility 3 recycled by supplier 4.)</t>
  </si>
  <si>
    <t>Biomass diverted from landfill (sawdust and wood shavings from facility 4 recycled by supplier 4)</t>
  </si>
  <si>
    <t>Biomass diverted from landfill (sawdust and wood shavings from facility 1 recycled by supplier 4)</t>
  </si>
  <si>
    <t>Biomass diverted from landfill (sawdust and wood shavings from facility 2 recycled by supplier 5)</t>
  </si>
  <si>
    <t>Biomass diverted from landfill (sawdust and wood shavings from facility 3 recycled by supplier 5)</t>
  </si>
  <si>
    <t>Biomass diverted from landfill (bark from facility 2 recycled by supplier 6)</t>
  </si>
  <si>
    <t>Biomass diverted from landfill (bark from facility 3 recycled by supplier 7)</t>
  </si>
  <si>
    <t>Biomass diverted from landfill (bark  from facility 3 recycled by supplier 8)</t>
  </si>
  <si>
    <t>Biomass diverted from landfill (bark  from facility 1 recycled by supplier 8)</t>
  </si>
  <si>
    <t>Biomass diverted from landfill (bark  from facility 2 recycled by supplier 9)</t>
  </si>
  <si>
    <t>Biomass diverted from landfill (bark  from facility 4 recycled by supplier 10)</t>
  </si>
  <si>
    <t>Biomass diverted from landfill (bark from  facility 3 and facility 4 recycled by supplier 11)</t>
  </si>
  <si>
    <t>Biomass diverted from landfill (bark from facility 1 recycled by supplier 11)</t>
  </si>
  <si>
    <t>Biomass diverted from landfill (bark  from facility 3 recycled by supplier 12)</t>
  </si>
  <si>
    <t>Biomass diverted from landfill (bark  from facility 2 recycled by supplier 13)</t>
  </si>
  <si>
    <t>Biomass diverted from landfill (bark  from facility 3 and facility 4 recycled by supplier 13)</t>
  </si>
  <si>
    <t>Biomass diverted from landfill (bark  from facility 1 recycled by  supplier 13)</t>
  </si>
  <si>
    <t>Biomass diverted from landfill (bark  from facility 1 recycled by supplier 14)</t>
  </si>
  <si>
    <r>
      <t xml:space="preserve">Other supplier  - </t>
    </r>
    <r>
      <rPr>
        <b/>
        <sz val="11"/>
        <color theme="0" tint="-0.499984740745262"/>
        <rFont val="Calibri"/>
        <family val="2"/>
      </rPr>
      <t>Excluded</t>
    </r>
  </si>
  <si>
    <r>
      <t>Other supplier -</t>
    </r>
    <r>
      <rPr>
        <b/>
        <sz val="11"/>
        <color theme="0" tint="-0.499984740745262"/>
        <rFont val="Calibri"/>
        <family val="2"/>
      </rPr>
      <t xml:space="preserve"> Excluded</t>
    </r>
  </si>
  <si>
    <r>
      <t>Other supplier -</t>
    </r>
    <r>
      <rPr>
        <b/>
        <sz val="11"/>
        <color theme="0" tint="-0.499984740745262"/>
        <rFont val="Calibri"/>
        <family val="2"/>
      </rPr>
      <t>Excluded</t>
    </r>
  </si>
  <si>
    <t>Some suppliers are excluded because the destination (PAI) is located outside of the province of Quebec</t>
  </si>
  <si>
    <t>The CF only receives softfood.</t>
  </si>
  <si>
    <t>Biomass diverted from landfill (sawdust and wood shavings from facility 2 recycled by supplier 2)</t>
  </si>
  <si>
    <r>
      <t xml:space="preserve">Other supplier (facility 4) - </t>
    </r>
    <r>
      <rPr>
        <b/>
        <sz val="11"/>
        <color theme="0" tint="-0.499984740745262"/>
        <rFont val="Calibri"/>
        <family val="2"/>
      </rPr>
      <t>Excluded</t>
    </r>
  </si>
  <si>
    <t>Supplier 1 (facility 1)</t>
  </si>
  <si>
    <t>Supplier 2 (facility 2)</t>
  </si>
  <si>
    <t>Supplier 2 (facility 3)</t>
  </si>
  <si>
    <t>Supplier 2 (facility 3) - capped</t>
  </si>
  <si>
    <t xml:space="preserve">Supplier 3 (facility 4) </t>
  </si>
  <si>
    <t>Supplier 3 (facility 4) - capped</t>
  </si>
  <si>
    <t>Supplier 3 (facility 1)</t>
  </si>
  <si>
    <t>Supplier 3 (facility 1) - capped</t>
  </si>
  <si>
    <t>Supplier 4 (facility 2)</t>
  </si>
  <si>
    <t>Supplier 4 (facility 3)</t>
  </si>
  <si>
    <t>Supplier 4 (facility 3) - capped</t>
  </si>
  <si>
    <t>Supplier 4 (facility 4)</t>
  </si>
  <si>
    <t>Supplier 4 (facility 4) - capped</t>
  </si>
  <si>
    <t xml:space="preserve">Supplier 4 (facility 1) </t>
  </si>
  <si>
    <t>Supplier 5 (Facility 2)</t>
  </si>
  <si>
    <t>Supplier 4 (Facility 3)</t>
  </si>
  <si>
    <t>Supplier 3 (facility 4)</t>
  </si>
  <si>
    <t>Supplier 5 (facility 2)</t>
  </si>
  <si>
    <t>Supplier 5 (facility 2) - capped</t>
  </si>
  <si>
    <t>Suplier 5 (facility 3)</t>
  </si>
  <si>
    <t>Supplier 6 (facility 2) - Wet</t>
  </si>
  <si>
    <t>Supplier 6 (facility 2) - Dry</t>
  </si>
  <si>
    <t>Supplier 6 (facility 2) - Dry - capped</t>
  </si>
  <si>
    <t xml:space="preserve">Supplier 6 (Facility 2) </t>
  </si>
  <si>
    <t>Supplier 7 (facility 3) - Wet</t>
  </si>
  <si>
    <t>Supplier 7 (facility 3) - Dry</t>
  </si>
  <si>
    <t>Supplier 8 (facility 3) - Wet</t>
  </si>
  <si>
    <t>Supplier 8 (faciity 3) - Dry</t>
  </si>
  <si>
    <t>Supplier 8 (facility 1) - Wet</t>
  </si>
  <si>
    <t>Supplier 8 (facility 1) - Dry</t>
  </si>
  <si>
    <t>Supplier 9 (facility 2) - Wet</t>
  </si>
  <si>
    <t>Supplier 9 (facility 2) - Dry</t>
  </si>
  <si>
    <t>Supplier 10 (facility 4) - Wet</t>
  </si>
  <si>
    <t>Supplier 10 (facility 4) - Dry</t>
  </si>
  <si>
    <t>Supplier 10 (facility 4) - Dry - capped</t>
  </si>
  <si>
    <t>Supplier 11 (facility 3+facility 4) - Wet</t>
  </si>
  <si>
    <t>Supplier11 (facility 3+facility 4) - Dry</t>
  </si>
  <si>
    <t>Supplier 11 (facility 1) - Wet</t>
  </si>
  <si>
    <t>Supplier 11 (facility 1) - Dry</t>
  </si>
  <si>
    <t>Supplier 12 (facility 3) - Wet</t>
  </si>
  <si>
    <t>Supplier 12 (facility 3) - Dry</t>
  </si>
  <si>
    <t>Supplier 13 (facility 2) - Wet</t>
  </si>
  <si>
    <t>Supplier 13 (facility 2) - Dry</t>
  </si>
  <si>
    <t xml:space="preserve">Supplier 13 (facility 1) </t>
  </si>
  <si>
    <t>Supplier 13 (facility 3 +facility 4) - Wet</t>
  </si>
  <si>
    <t>Supplier 13 (facility 3 + facility 4) - Dry</t>
  </si>
  <si>
    <t>Supplier 13 (facility 3 +facility 4) - Dry - capped</t>
  </si>
  <si>
    <t>Supplier 13 (facility 1) - Wet</t>
  </si>
  <si>
    <t>Supplier 13 (facility 1) - Dry</t>
  </si>
  <si>
    <t xml:space="preserve">Supplier 13 (facility 1) - Dry - capped </t>
  </si>
  <si>
    <t>Supplier 14 - Wet</t>
  </si>
  <si>
    <t>Supplier 14 - Dry</t>
  </si>
  <si>
    <t>CF's choice to operate with biomass is not a common practice in the industry. Its competitors in the same region use natural gas to dry their wood.</t>
  </si>
  <si>
    <t>Average of biomass used by the boiler is 2 500 Mt (at 7% dry) and it is totally supplied by internal biomass residues from the CF's operations.</t>
  </si>
  <si>
    <t>In 2023, due to a difficult economic situation, CF reduced its activity by</t>
  </si>
  <si>
    <t>Switch fuel from coke to residues (Plant 1)</t>
  </si>
  <si>
    <r>
      <t xml:space="preserve">Energy Efficiency of dehumidifier (Plant 1) </t>
    </r>
    <r>
      <rPr>
        <b/>
        <sz val="9"/>
        <color rgb="FFFF0000"/>
        <rFont val="Calibri"/>
        <family val="2"/>
      </rPr>
      <t>EXCLUDED</t>
    </r>
  </si>
  <si>
    <t>Energy efficiency measures for cupola (Plant 1)</t>
  </si>
  <si>
    <t>Energy efficiency  measures for cupola (casting) (Plant 1)</t>
  </si>
  <si>
    <t>Switch fuel oil to propane (Plant 2)</t>
  </si>
  <si>
    <t>Switch fuel coke to electricity (Plant 2)</t>
  </si>
  <si>
    <t>Replacement of propane forklifts to electric ones (Plant 1)</t>
  </si>
  <si>
    <t>Conversion coke  vers résidus brasques à l'usine 1</t>
  </si>
  <si>
    <t>Nouveau déshumidificateur à l'usine 1</t>
  </si>
  <si>
    <t>Modification cubilot; mesures en EE à l'usine 1</t>
  </si>
  <si>
    <t>Modification noyau du casting; mesures en EE à l'usine 1</t>
  </si>
  <si>
    <t>Usine 2: conversion mazout vers propane (bâtiment)</t>
  </si>
  <si>
    <t>Usine 2: conversion du cubelo du coke vers électricité</t>
  </si>
  <si>
    <t>Usine 1: Remplacement des chariots au propane pour des chariots électriques</t>
  </si>
  <si>
    <t>Plant 1; tonnes nettes vers Mt</t>
  </si>
  <si>
    <t>Plant 1 ref for coke is 2008= 100%</t>
  </si>
  <si>
    <t>Plant 1; named "Antipollution - CUBILOT" by CF</t>
  </si>
  <si>
    <r>
      <t xml:space="preserve">Plant 1 ref for </t>
    </r>
    <r>
      <rPr>
        <b/>
        <sz val="10"/>
        <color theme="1"/>
        <rFont val="Calibri"/>
        <family val="2"/>
      </rPr>
      <t>natural gas</t>
    </r>
    <r>
      <rPr>
        <sz val="10"/>
        <color theme="1"/>
        <rFont val="Calibri"/>
        <family val="2"/>
      </rPr>
      <t xml:space="preserve"> is 2009= 100%</t>
    </r>
  </si>
  <si>
    <t>Plant 1; named under "Préchauffage ductile - CORELESS" by CF</t>
  </si>
  <si>
    <t>Plant 1; named under "Machine à noyaux (1@16) - NOYAUX) by CF</t>
  </si>
  <si>
    <t>Plant 2; Baseline adjusted with production (line 29)</t>
  </si>
  <si>
    <t>Plant 2 (Heating). Starting 2022, propane heating is adjusted with production increase</t>
  </si>
  <si>
    <t>Plant 2 (PRODUCTION)</t>
  </si>
  <si>
    <t>Plant 2; Equivalence baseline</t>
  </si>
  <si>
    <t>For entire forklifts fleet (Plant 1)</t>
  </si>
  <si>
    <t xml:space="preserve"> Plant 2 shut down in october 2024, which explains the lower production in 2024</t>
  </si>
  <si>
    <t>Coke consumption (Plant 1)</t>
  </si>
  <si>
    <t>Plant 2. See notes &amp; assumptions for conversion Lbs to L</t>
  </si>
  <si>
    <t>from transaction accounting of CF's log</t>
  </si>
  <si>
    <t>Facility  1 - 5 wood dryers (1, 2, 3, 4 and 5) - Use of biomass in replacement of propane</t>
  </si>
  <si>
    <t>Facility 2 - use of biomass in replacement to propane for 2 wood dryers</t>
  </si>
  <si>
    <t>5 Séchoir à l'usine 1</t>
  </si>
  <si>
    <t>2 séchoirs à l'usine 2</t>
  </si>
  <si>
    <r>
      <t>Production of wood</t>
    </r>
    <r>
      <rPr>
        <b/>
        <sz val="11"/>
        <color theme="1"/>
        <rFont val="Calibri"/>
        <family val="2"/>
      </rPr>
      <t xml:space="preserve"> Facility 1</t>
    </r>
  </si>
  <si>
    <r>
      <t xml:space="preserve">Production of wood </t>
    </r>
    <r>
      <rPr>
        <b/>
        <sz val="11"/>
        <color theme="1"/>
        <rFont val="Calibri"/>
        <family val="2"/>
      </rPr>
      <t>Facility 2</t>
    </r>
  </si>
  <si>
    <t>Acquisition of a new sawmill in 2009.</t>
  </si>
  <si>
    <t xml:space="preserve">Landfill Avoidance of wood through reuse center </t>
  </si>
  <si>
    <t>Évitement enfouissement du bois via centre de réemploi</t>
  </si>
  <si>
    <t>Quantity of wood reused at the center</t>
  </si>
  <si>
    <t>Due to sales transaction process of Client Facility in 2021-2022, new owner could only provide data for 2022 which includes the months of June to December.</t>
  </si>
  <si>
    <t>Because Natural Gas isn't delivered to Client Facility</t>
  </si>
  <si>
    <t>Biomasse détournée de l'enfouissement (sciure et copeaux de bois d'usine 1 recylcés par fournisseur 1)</t>
  </si>
  <si>
    <t>Biomasse détournée de l'enfouissement (sciure et copeaux de bois d'usine 2 recyclés par fournisseur 2)</t>
  </si>
  <si>
    <t>Biomasse détournée de l'enfouissement (sciure et copeaux de bois d'usine 3 recyclés par fournisseur 2)</t>
  </si>
  <si>
    <t>Biomasse détournée de l'enfouissement (sciure et copeaux de bois d'usine 4 recyclés par fournisseur 3)</t>
  </si>
  <si>
    <t>Biomasse détournée de l'enfouissement (sciure et copeaux de bois d'usine 1 recyclés par fournisseur 3)</t>
  </si>
  <si>
    <t>Biomasse détournée de l'enfouissement (sciure et copeaux de bois d'usine 2 recyclés par fournisseur 4)</t>
  </si>
  <si>
    <t>Biomasse détournée de l'enfouissement (sciure et copeaux de bois d'usine 3 recyclés par fournisseur 4)</t>
  </si>
  <si>
    <t>Biomasse détournée de l'enfouissement (sciure et copeaux de bois d'usine 3 recyclés par fournisseur 5)</t>
  </si>
  <si>
    <t>Biomasse détournée de l'enfouissement (sciure et copeaux de bois d'usine 4 recyclés par fournisseur 4)</t>
  </si>
  <si>
    <t>Biomasse détournée de l'enfouissement (sciure et copeaux de bois d'usine 1 recyclés par fournisseur 4)</t>
  </si>
  <si>
    <t>Biomasse détournée de l'enfouissement (sciure et copeaux de bois d'usine 2 recyclés par fournisseur 5)</t>
  </si>
  <si>
    <t>Biomasse détournée de l'enfouissement (écorces d'usine 2 recyclés par fournisseur 6)</t>
  </si>
  <si>
    <t>Biomasse détournée de l'enfouissement (écorces d'usine 3 recyclés par fournisseur 7)</t>
  </si>
  <si>
    <t>Biomasse détournée de l'enfouissement (écorces d'usine 3 recyclés par fournisseur 8)</t>
  </si>
  <si>
    <t>Biomasse détournée de l'enfouissement (écorces d'usine 1 recyclés par fournisseur 8)</t>
  </si>
  <si>
    <t>Biomasse détournée de l'enfouissement (écorces d'usine 2 recyclés par fournisseur 9)</t>
  </si>
  <si>
    <t>Biomasse détournée de l'enfouissement (écorces d'usine 4 recyclés par fournisseur 10)</t>
  </si>
  <si>
    <t>Biomasse détournée de l'enfouissement (écorces d'usine 3 et 4 recyclés par fournisseur 11)</t>
  </si>
  <si>
    <t>Biomasse détournée de l'enfouissement (écorces d'usine 1 recyclés par fournisseur 11.)</t>
  </si>
  <si>
    <t>Biomasse détournée de l'enfouissement (écorces d'usine 3 recyclés par fournisseur 12)</t>
  </si>
  <si>
    <t>Biomasse détournée de l'enfouissement (écorces d'usine 2 recyclés par fournisseur 13)</t>
  </si>
  <si>
    <t>Biomasse détournée de l'enfouissement (écorces d'usine 3 et 4 recyclés par fournisseur 13)</t>
  </si>
  <si>
    <t>Biomasse détournée de l'enfouissement (écorces d'usine 1 recyclés par fournisseur 13)</t>
  </si>
  <si>
    <t>Biomasse détournée de l'enfouissement (écorces d'usine 1 recyclés par fournisseur 14)</t>
  </si>
  <si>
    <t>nbr of PAIs = nbr of farms + Other</t>
  </si>
  <si>
    <t>Wood waste (Supplier 1)</t>
  </si>
  <si>
    <t>Wood waste (Supplier 2)</t>
  </si>
  <si>
    <t>Supplier 6</t>
  </si>
  <si>
    <t>Supplier 7</t>
  </si>
  <si>
    <t>Supplier 8</t>
  </si>
  <si>
    <t>Supplier 9</t>
  </si>
  <si>
    <t>Supplier 10</t>
  </si>
  <si>
    <t>Supplier 11</t>
  </si>
  <si>
    <t>Supplier 12</t>
  </si>
  <si>
    <t>Supplier 13</t>
  </si>
  <si>
    <t>Supplier 14</t>
  </si>
  <si>
    <t>Supplier 15</t>
  </si>
  <si>
    <t>Supplier 16</t>
  </si>
  <si>
    <t>Supplier 17</t>
  </si>
  <si>
    <t>Supplier 18</t>
  </si>
  <si>
    <t>Supplier 19</t>
  </si>
  <si>
    <t>Supplier 20</t>
  </si>
  <si>
    <t>Supplier 21</t>
  </si>
  <si>
    <t>Supplier 22</t>
  </si>
  <si>
    <t>Supplier 23</t>
  </si>
  <si>
    <t>Supplier 24</t>
  </si>
  <si>
    <t>Supplier 25</t>
  </si>
  <si>
    <t>Supplier 26</t>
  </si>
  <si>
    <t>Supplier 27</t>
  </si>
  <si>
    <t>Supplier 28</t>
  </si>
  <si>
    <t>Supplier 29</t>
  </si>
  <si>
    <t>Supplier 30</t>
  </si>
  <si>
    <t>Supplier 31</t>
  </si>
  <si>
    <t>Supplier 32</t>
  </si>
  <si>
    <t>Supplier 33</t>
  </si>
  <si>
    <t>Supplier 34</t>
  </si>
  <si>
    <t>Supplier 35</t>
  </si>
  <si>
    <t>Supplier 36</t>
  </si>
  <si>
    <t>Supplier 37</t>
  </si>
  <si>
    <t>Supplier 38</t>
  </si>
  <si>
    <t>Supplier 39</t>
  </si>
  <si>
    <t>Supplier 40</t>
  </si>
  <si>
    <t>Supplier 41</t>
  </si>
  <si>
    <t>Supplier 42</t>
  </si>
  <si>
    <t>Supplier 43</t>
  </si>
  <si>
    <t>Supplier 44</t>
  </si>
  <si>
    <t>Supplier 45</t>
  </si>
  <si>
    <t>Supplier 46</t>
  </si>
  <si>
    <t>Supplier 47</t>
  </si>
  <si>
    <t>Supplier 48</t>
  </si>
  <si>
    <t>Supplier 49</t>
  </si>
  <si>
    <t>Supplier 50</t>
  </si>
  <si>
    <t>Supplier 1 (pâtes)</t>
  </si>
  <si>
    <t>Supplier 1 (huile)</t>
  </si>
  <si>
    <t>Supplier 3 (bonbons)</t>
  </si>
  <si>
    <t>Supplier 3 DÉCHETS (bonbons)</t>
  </si>
  <si>
    <t>Supplier 04 DESTRUCTION</t>
  </si>
  <si>
    <t>Supplier 12 - Location 1</t>
  </si>
  <si>
    <t>Supplier 12 - Location 2</t>
  </si>
  <si>
    <t>Supplier 12 - Location 3</t>
  </si>
  <si>
    <t>Supplier 12 - Location 4</t>
  </si>
  <si>
    <t>Supplier 12 - Location 5</t>
  </si>
  <si>
    <t>Supplier 5 REJET</t>
  </si>
  <si>
    <t xml:space="preserve"> Supplier 5 Remorque Destruction</t>
  </si>
  <si>
    <t>Supplier 16 - Conteneur</t>
  </si>
  <si>
    <t>Supplier 16 - Chargement arrière</t>
  </si>
  <si>
    <t>Supplier 16 - Rejets</t>
  </si>
  <si>
    <t xml:space="preserve">Supplier 17 - Conteneur </t>
  </si>
  <si>
    <t>Supplier 17 - Chargement arrière</t>
  </si>
  <si>
    <t>Supplier 17 - Rejets</t>
  </si>
  <si>
    <t>Supplier 18 - NON VALORISABLE</t>
  </si>
  <si>
    <t xml:space="preserve">Supplier 18 - INCOMESTIBLE  </t>
  </si>
  <si>
    <t>Supplier 18 - FROMAGE</t>
  </si>
  <si>
    <t>Supplier 18 - LEVURE</t>
  </si>
  <si>
    <t>Supplier 18 - CHOCOLAT</t>
  </si>
  <si>
    <t>Supplier 18 - FARINE</t>
  </si>
  <si>
    <t>Supplier 18 - AMIDON SEC ADM</t>
  </si>
  <si>
    <t>Suplier 18 - AUTRES</t>
  </si>
  <si>
    <t>Supplier 18 RESIDUS MIX</t>
  </si>
  <si>
    <t xml:space="preserve">Supplier 20 DESTRUCTION </t>
  </si>
  <si>
    <t>Supplier 20 MAIS HUMIDE</t>
  </si>
  <si>
    <t>Supplier 20 DÉCHETS</t>
  </si>
  <si>
    <t>Supplier 20 CONTENEUR</t>
  </si>
  <si>
    <t>Supplier 20 HUILE</t>
  </si>
  <si>
    <t>Supplier 20 - Location 1</t>
  </si>
  <si>
    <t>Supplier 20 - Location 3</t>
  </si>
  <si>
    <t>Supplier 20 - Location 2</t>
  </si>
  <si>
    <t>Suplier 21</t>
  </si>
  <si>
    <t>Supplier 23 - CONTENEUR no 1</t>
  </si>
  <si>
    <t>Supplier 23 - DESTRUCTION no 1</t>
  </si>
  <si>
    <t>Supplier 23 - REJETS no 1</t>
  </si>
  <si>
    <t>Supplier 23 - DÉCHETS no 1</t>
  </si>
  <si>
    <t>Supplier 23 - CONTENEUR no 2</t>
  </si>
  <si>
    <t>Supplier 23 -  DESTRUCTION no 2</t>
  </si>
  <si>
    <t>Supplier 23 - REJETS no 2</t>
  </si>
  <si>
    <t>Supplier 28 BARRE TENDRE #1</t>
  </si>
  <si>
    <t>Supplier 28 EMBALLÉ #2</t>
  </si>
  <si>
    <t>Supplier 28 DESTRUCTION</t>
  </si>
  <si>
    <t>Supplier 28 REJETS</t>
  </si>
  <si>
    <t>Supplier 28 TOTES SIROP</t>
  </si>
  <si>
    <t>Supplier 28 SIROP LIQUIDE</t>
  </si>
  <si>
    <t>Supplier 28 FLUSH TÔTES À L'UNITÉ - SIROP - CONFITURE</t>
  </si>
  <si>
    <t>Supplier 28 AUTRES VALORISABLES REMORQUE - BARRE TENDRE - CHOCOLOAT</t>
  </si>
  <si>
    <t>Supplier 29 DESTRUCTION</t>
  </si>
  <si>
    <t>Supplier 30 RETAILLES</t>
  </si>
  <si>
    <t>Supplier 30  Other</t>
  </si>
  <si>
    <t>Supplier  33</t>
  </si>
  <si>
    <t>Supplier 35 - location 1 - other</t>
  </si>
  <si>
    <t>Supplier 35 - location 2 - other</t>
  </si>
  <si>
    <t>Supplier 35 - ECALES - location 2</t>
  </si>
  <si>
    <t>Supplier 35 ECALES - location 1</t>
  </si>
  <si>
    <t>Supplier 35 huile</t>
  </si>
  <si>
    <t>Supplier 39 - REMORQUE</t>
  </si>
  <si>
    <t>Supplier 41 - MAÏS - POP-CORN</t>
  </si>
  <si>
    <t>Supplier 37 - TOURTEAU DE CANOLA</t>
  </si>
  <si>
    <t>Supplier 37 - HUILE</t>
  </si>
  <si>
    <t>Supplier 37 -SPENT CLAY</t>
  </si>
  <si>
    <t>Supplier 37 - SPENT CLAY</t>
  </si>
  <si>
    <t>Supplier 37 - SPENT CLAY - RÉSIDUS D'HUILE</t>
  </si>
  <si>
    <t xml:space="preserve">Supplier 18 PELURES </t>
  </si>
  <si>
    <t>Supplier 44 - CONTENEUR</t>
  </si>
  <si>
    <t>Supplier 44 - DECHET</t>
  </si>
  <si>
    <t>Supplier 44 -REMORQUE</t>
  </si>
  <si>
    <t xml:space="preserve">Supplier 45- FROMAGE </t>
  </si>
  <si>
    <t>Supplier 46 - ÉPICES</t>
  </si>
  <si>
    <t>Supplier 47 - Lactoserum</t>
  </si>
  <si>
    <t>Supplier 48 - PAIN - PÂTE HUMIDE</t>
  </si>
  <si>
    <t>Suplier 49 - DESSERTS</t>
  </si>
  <si>
    <t>Supplier 50- PÂTE ET FARINE</t>
  </si>
  <si>
    <t>Supplier 04 - GROS</t>
  </si>
  <si>
    <t>Supplier 04 - PETIT</t>
  </si>
  <si>
    <t>Energy efficiency to reduce natural gas and electricity consumption</t>
  </si>
  <si>
    <t>n.a</t>
  </si>
  <si>
    <t>Building 1</t>
  </si>
  <si>
    <t>Building 2</t>
  </si>
  <si>
    <t>Building 3</t>
  </si>
  <si>
    <t>Building 4</t>
  </si>
  <si>
    <t>Building 5</t>
  </si>
  <si>
    <t>Building 6</t>
  </si>
  <si>
    <t>Building 7</t>
  </si>
  <si>
    <t>Capacity limit check 5,000 tCO2e/PAI:</t>
  </si>
  <si>
    <r>
      <t xml:space="preserve">Total </t>
    </r>
    <r>
      <rPr>
        <sz val="12"/>
        <color rgb="FFFF0000"/>
        <rFont val="Calibri"/>
        <family val="2"/>
      </rPr>
      <t>excluded</t>
    </r>
    <r>
      <rPr>
        <sz val="12"/>
        <color theme="1"/>
        <rFont val="Calibri"/>
        <family val="2"/>
      </rPr>
      <t>, for exceeding the 5,000 tCO2e capacity limit (for WCU) :</t>
    </r>
  </si>
  <si>
    <r>
      <t xml:space="preserve">Total </t>
    </r>
    <r>
      <rPr>
        <sz val="11"/>
        <color rgb="FFFF0000"/>
        <rFont val="Calibri"/>
        <family val="2"/>
      </rPr>
      <t>excluded</t>
    </r>
    <r>
      <rPr>
        <sz val="11"/>
        <color theme="1"/>
        <rFont val="Calibri"/>
        <family val="2"/>
      </rPr>
      <t>, for exceeding the 5,000 tCO2e capacity limit (for WCU) :</t>
    </r>
  </si>
  <si>
    <t xml:space="preserve"> - 2,399 GHG micro-projects (project activities instances) realized by over 150 SMEs mostly located in remote area on 14 of the 17 administrative regions of Quebec.</t>
  </si>
  <si>
    <t>2,682 GHG micro-projects (project activity instances) realized by over 150 SMEs with most located in remote areas, on 14 of the 17 administrative regions of Quebec.</t>
  </si>
  <si>
    <t>Evidence for SDG 12.5</t>
  </si>
  <si>
    <r>
      <t>578,468</t>
    </r>
    <r>
      <rPr>
        <sz val="9.5"/>
        <color theme="1"/>
        <rFont val="Franklin Gothic Book"/>
        <family val="2"/>
      </rPr>
      <t xml:space="preserve"> tCO</t>
    </r>
    <r>
      <rPr>
        <vertAlign val="subscript"/>
        <sz val="9.5"/>
        <color theme="1"/>
        <rFont val="Franklin Gothic Book"/>
        <family val="2"/>
      </rPr>
      <t>2</t>
    </r>
    <r>
      <rPr>
        <sz val="9.5"/>
        <color theme="1"/>
        <rFont val="Franklin Gothic Book"/>
        <family val="2"/>
      </rPr>
      <t>e of greenhouse gas emissions (GHG) avoided and/or reduced.</t>
    </r>
  </si>
  <si>
    <t>No changes</t>
  </si>
  <si>
    <t>Organic wastes from a group of 7 municipalities</t>
  </si>
  <si>
    <t>CF-0207</t>
  </si>
  <si>
    <t>10.525 kWh/m3</t>
  </si>
  <si>
    <t>Consumption from CF</t>
  </si>
  <si>
    <t>CF-0901</t>
  </si>
  <si>
    <t>CF-1602</t>
  </si>
  <si>
    <t xml:space="preserve">CF-1207 </t>
  </si>
  <si>
    <t xml:space="preserve">CF-1505 </t>
  </si>
  <si>
    <t xml:space="preserve">CF-1504 </t>
  </si>
  <si>
    <t xml:space="preserve">CF-0101 </t>
  </si>
  <si>
    <t xml:space="preserve">Data in </t>
  </si>
  <si>
    <t>CF-0102</t>
  </si>
  <si>
    <t xml:space="preserve">CF-0103 </t>
  </si>
  <si>
    <t xml:space="preserve">CF-0105 </t>
  </si>
  <si>
    <t xml:space="preserve">CF-0108 </t>
  </si>
  <si>
    <t>Switch fuel oil n.2 to biomass</t>
  </si>
  <si>
    <t>Conversion chauffage vers biomasse en réseau de chaleur</t>
  </si>
  <si>
    <t xml:space="preserve">CF-0112 </t>
  </si>
  <si>
    <t>CF-0114</t>
  </si>
  <si>
    <t xml:space="preserve">CF-0115 </t>
  </si>
  <si>
    <t xml:space="preserve">CF-0118 </t>
  </si>
  <si>
    <t>CF-0119</t>
  </si>
  <si>
    <t xml:space="preserve">CF-0120 </t>
  </si>
  <si>
    <t xml:space="preserve">CF-0121 </t>
  </si>
  <si>
    <t>PAI description</t>
  </si>
  <si>
    <t>Description du PAI</t>
  </si>
  <si>
    <t>Baseline scenario data description</t>
  </si>
  <si>
    <t>Project scenario description</t>
  </si>
  <si>
    <t>CF-0204</t>
  </si>
  <si>
    <t xml:space="preserve">CF-0206 </t>
  </si>
  <si>
    <t xml:space="preserve">CF-0211 </t>
  </si>
  <si>
    <t xml:space="preserve">CF-0213 </t>
  </si>
  <si>
    <t xml:space="preserve">CF-0216 </t>
  </si>
  <si>
    <t xml:space="preserve">CF-0402 </t>
  </si>
  <si>
    <t xml:space="preserve">CF-0405 </t>
  </si>
  <si>
    <t>CF-0408</t>
  </si>
  <si>
    <t>Institut de la statistique Québec, May 2025:  https://statistique.quebec.ca/en/produit/publication/evolution-mouvement-structure-age-population-bilan-demographique. (Donnée révisée pour 2024)</t>
  </si>
  <si>
    <t>CF-0603</t>
  </si>
  <si>
    <t>CF-0702</t>
  </si>
  <si>
    <t xml:space="preserve">CF-0706 </t>
  </si>
  <si>
    <t xml:space="preserve">CF-0707 </t>
  </si>
  <si>
    <t>CF-0708</t>
  </si>
  <si>
    <t>Installation of a heat recovery system to reduce compressed natural gas consumption</t>
  </si>
  <si>
    <t>Installation d'un système de récupération de chaleur pour réduire la consommation de gaz naturel compressé (GNC)</t>
  </si>
  <si>
    <t>Emissions from heat recovered</t>
  </si>
  <si>
    <t>CF-0710</t>
  </si>
  <si>
    <t xml:space="preserve">CF-0801 </t>
  </si>
  <si>
    <t xml:space="preserve">CF-0807 </t>
  </si>
  <si>
    <t xml:space="preserve">CF-0810 </t>
  </si>
  <si>
    <t>CF-0902</t>
  </si>
  <si>
    <t xml:space="preserve">CF-1002 </t>
  </si>
  <si>
    <t xml:space="preserve">CF-1201 </t>
  </si>
  <si>
    <t xml:space="preserve">CF-1202 </t>
  </si>
  <si>
    <t xml:space="preserve">CF-1203 </t>
  </si>
  <si>
    <t xml:space="preserve">CF-1204 </t>
  </si>
  <si>
    <t xml:space="preserve">CF-1205 </t>
  </si>
  <si>
    <t>Landfill avoidance of organic matter through composting</t>
  </si>
  <si>
    <t>Évitement de l'enfouissement des matières organiques par le compostage</t>
  </si>
  <si>
    <t>Landfill of organic matter</t>
  </si>
  <si>
    <t>Composting organic matter</t>
  </si>
  <si>
    <t>CF-1301</t>
  </si>
  <si>
    <t xml:space="preserve">CF-1501 </t>
  </si>
  <si>
    <t>CF-1506</t>
  </si>
  <si>
    <t xml:space="preserve">CF-1507 </t>
  </si>
  <si>
    <t xml:space="preserve">CF-1508 </t>
  </si>
  <si>
    <t xml:space="preserve">CF-1510 </t>
  </si>
  <si>
    <t xml:space="preserve">CF-1601 </t>
  </si>
  <si>
    <t>Metalliage Inc.</t>
  </si>
  <si>
    <t>Saving energy on recycling activities</t>
  </si>
  <si>
    <t>Énergie conservée dans les activités de recyclage</t>
  </si>
  <si>
    <t>VI</t>
  </si>
  <si>
    <t>Metal material</t>
  </si>
  <si>
    <t>Recycling of metal</t>
  </si>
  <si>
    <t>Eckalmana et al.</t>
  </si>
  <si>
    <t>CF-1603</t>
  </si>
  <si>
    <t>CF-1604</t>
  </si>
  <si>
    <t>CF-1605</t>
  </si>
  <si>
    <t>Green residues composted and avoided from landfill</t>
  </si>
  <si>
    <t>Organic wastes  composted</t>
  </si>
  <si>
    <t>Landfill avoidance of contaminated soil through recycling</t>
  </si>
  <si>
    <t>Détournement de l'enfouissement de sols contaminés par le recyclage</t>
  </si>
  <si>
    <t>Recycling Scenario</t>
  </si>
  <si>
    <t>Recycling scenario of wood waste</t>
  </si>
  <si>
    <t>Revalorisation des résidus écorces</t>
  </si>
  <si>
    <t>18 greenhouses in 2024; 85 000 sqft</t>
  </si>
  <si>
    <t>Last revised version: October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</si>
</sst>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0\ &quot;$&quot;_);[Red]\(#,##0\ &quot;$&quot;\)"/>
    <numFmt numFmtId="43" formatCode="_ * #,##0.00_)_ ;_ * \(#,##0.00\)_ ;_ * &quot;-&quot;??_)_ ;_ @_ "/>
    <numFmt numFmtId="164" formatCode="0.0%"/>
    <numFmt numFmtId="165" formatCode="#,##0.0"/>
    <numFmt numFmtId="166" formatCode="0.0"/>
    <numFmt numFmtId="167" formatCode="_-&quot;$&quot;* #,##0.00_-;\-&quot;$&quot;* #,##0.00_-;_-&quot;$&quot;* &quot;-&quot;??_-;_-@_-"/>
    <numFmt numFmtId="168" formatCode="_(* #,##0.00_);_(* \(#,##0.00\);_(* &quot;-&quot;??_);_(@_)"/>
    <numFmt numFmtId="169" formatCode="0;\-0;\-"/>
    <numFmt numFmtId="170" formatCode="0.0000"/>
    <numFmt numFmtId="171" formatCode="0.000000"/>
    <numFmt numFmtId="172" formatCode="#,##0.000"/>
    <numFmt numFmtId="173" formatCode="0.0000000"/>
    <numFmt numFmtId="174" formatCode="d/m/yyyy"/>
    <numFmt numFmtId="175" formatCode="#,##0.000000"/>
    <numFmt numFmtId="176" formatCode="0.00000"/>
    <numFmt numFmtId="177" formatCode="_ * #,##0_)_ ;_ * \(#,##0\)_ ;_ * &quot;-&quot;??_)_ ;_ @_ "/>
    <numFmt numFmtId="178" formatCode="_ * #,##0.00_)\ _$_ ;_ * \(#,##0.00\)\ _$_ ;_ * &quot;-&quot;??_)\ _$_ ;_ @_ "/>
    <numFmt numFmtId="179" formatCode="0.000"/>
    <numFmt numFmtId="180" formatCode="0.00000000000000000"/>
    <numFmt numFmtId="181" formatCode="0.000000000"/>
  </numFmts>
  <fonts count="393"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8"/>
      <color theme="1"/>
      <name val="Aptos Narrow"/>
      <family val="2"/>
      <scheme val="minor"/>
    </font>
    <font>
      <b/>
      <sz val="14"/>
      <color rgb="FFF04E2A"/>
      <name val="Aptos Narrow"/>
      <family val="2"/>
      <scheme val="minor"/>
    </font>
    <font>
      <b/>
      <sz val="12"/>
      <color theme="1"/>
      <name val="Aptos Narrow"/>
      <family val="2"/>
      <scheme val="minor"/>
    </font>
    <font>
      <i/>
      <sz val="11"/>
      <color rgb="FFC00000"/>
      <name val="Aptos Narrow"/>
      <family val="2"/>
      <scheme val="minor"/>
    </font>
    <font>
      <b/>
      <sz val="12"/>
      <color theme="1" tint="0.14999847407452621"/>
      <name val="Aptos Narrow"/>
      <family val="2"/>
      <scheme val="minor"/>
    </font>
    <font>
      <i/>
      <sz val="11"/>
      <color theme="1"/>
      <name val="Aptos Narrow"/>
      <family val="2"/>
      <scheme val="minor"/>
    </font>
    <font>
      <i/>
      <vertAlign val="superscript"/>
      <sz val="11"/>
      <color theme="1"/>
      <name val="Aptos Narrow"/>
      <family val="2"/>
      <scheme val="minor"/>
    </font>
    <font>
      <i/>
      <sz val="11"/>
      <color rgb="FFF04E2A"/>
      <name val="Aptos Narrow"/>
      <family val="2"/>
      <scheme val="minor"/>
    </font>
    <font>
      <vertAlign val="subscript"/>
      <sz val="11"/>
      <color theme="0"/>
      <name val="Aptos Narrow"/>
      <family val="2"/>
      <scheme val="minor"/>
    </font>
    <font>
      <b/>
      <sz val="10"/>
      <color theme="1"/>
      <name val="Calibri"/>
      <family val="2"/>
    </font>
    <font>
      <sz val="10"/>
      <color theme="1"/>
      <name val="Calibri"/>
      <family val="2"/>
    </font>
    <font>
      <i/>
      <sz val="9"/>
      <color theme="1"/>
      <name val="Calibri"/>
      <family val="2"/>
    </font>
    <font>
      <b/>
      <i/>
      <sz val="9"/>
      <color theme="1"/>
      <name val="Arial"/>
      <family val="2"/>
    </font>
    <font>
      <i/>
      <sz val="9"/>
      <color theme="1"/>
      <name val="Arial"/>
      <family val="2"/>
    </font>
    <font>
      <sz val="9"/>
      <color rgb="FFC00000"/>
      <name val="Aptos Narrow"/>
      <family val="2"/>
      <scheme val="minor"/>
    </font>
    <font>
      <b/>
      <sz val="11"/>
      <color rgb="FFF04E2A"/>
      <name val="Aptos Narrow"/>
      <family val="2"/>
      <scheme val="minor"/>
    </font>
    <font>
      <b/>
      <sz val="10"/>
      <color theme="1"/>
      <name val="Aptos Narrow"/>
      <family val="2"/>
      <scheme val="minor"/>
    </font>
    <font>
      <sz val="10"/>
      <color theme="1"/>
      <name val="Aptos Narrow"/>
      <family val="2"/>
      <scheme val="minor"/>
    </font>
    <font>
      <i/>
      <sz val="9"/>
      <color theme="1"/>
      <name val="Aptos Narrow"/>
      <family val="2"/>
      <scheme val="minor"/>
    </font>
    <font>
      <b/>
      <i/>
      <sz val="9"/>
      <color theme="1"/>
      <name val="Aptos Narrow"/>
      <family val="2"/>
      <scheme val="minor"/>
    </font>
    <font>
      <b/>
      <vertAlign val="subscript"/>
      <sz val="11"/>
      <color theme="1"/>
      <name val="Aptos Narrow"/>
      <family val="2"/>
      <scheme val="minor"/>
    </font>
    <font>
      <sz val="12"/>
      <color theme="1"/>
      <name val="Aptos Narrow"/>
      <family val="2"/>
      <scheme val="minor"/>
    </font>
    <font>
      <sz val="11"/>
      <color theme="1"/>
      <name val="Calibri"/>
      <family val="2"/>
    </font>
    <font>
      <i/>
      <vertAlign val="subscript"/>
      <sz val="11"/>
      <color theme="1"/>
      <name val="Aptos Narrow"/>
      <family val="2"/>
      <scheme val="minor"/>
    </font>
    <font>
      <i/>
      <sz val="10"/>
      <color theme="1"/>
      <name val="Aptos Narrow"/>
      <family val="2"/>
      <scheme val="minor"/>
    </font>
    <font>
      <b/>
      <sz val="14"/>
      <color theme="0"/>
      <name val="Aptos Narrow"/>
      <family val="2"/>
      <scheme val="minor"/>
    </font>
    <font>
      <b/>
      <sz val="10"/>
      <color theme="0"/>
      <name val="Aptos Narrow"/>
      <family val="2"/>
      <scheme val="minor"/>
    </font>
    <font>
      <sz val="10"/>
      <color theme="0"/>
      <name val="Aptos Narrow"/>
      <family val="2"/>
      <scheme val="minor"/>
    </font>
    <font>
      <b/>
      <sz val="12"/>
      <color theme="0"/>
      <name val="Aptos Narrow"/>
      <family val="2"/>
      <scheme val="minor"/>
    </font>
    <font>
      <b/>
      <sz val="11"/>
      <color theme="1" tint="0.249977111117893"/>
      <name val="Aptos Narrow"/>
      <family val="2"/>
      <scheme val="minor"/>
    </font>
    <font>
      <i/>
      <sz val="9"/>
      <color theme="0"/>
      <name val="Aptos Narrow"/>
      <family val="2"/>
      <scheme val="minor"/>
    </font>
    <font>
      <b/>
      <sz val="20"/>
      <color theme="0"/>
      <name val="Aptos Narrow"/>
      <family val="2"/>
      <scheme val="minor"/>
    </font>
    <font>
      <i/>
      <sz val="12"/>
      <color theme="1"/>
      <name val="Aptos Narrow"/>
      <family val="2"/>
      <scheme val="minor"/>
    </font>
    <font>
      <b/>
      <i/>
      <sz val="11"/>
      <color theme="1"/>
      <name val="Aptos Narrow"/>
      <family val="2"/>
      <scheme val="minor"/>
    </font>
    <font>
      <vertAlign val="subscript"/>
      <sz val="10"/>
      <color theme="0"/>
      <name val="Aptos Narrow"/>
      <family val="2"/>
      <scheme val="minor"/>
    </font>
    <font>
      <b/>
      <sz val="16"/>
      <color theme="1"/>
      <name val="Aptos Narrow"/>
      <family val="2"/>
      <scheme val="minor"/>
    </font>
    <font>
      <b/>
      <sz val="14"/>
      <color theme="1"/>
      <name val="Aptos Narrow"/>
      <family val="2"/>
      <scheme val="minor"/>
    </font>
    <font>
      <sz val="14"/>
      <color theme="1"/>
      <name val="Aptos Narrow"/>
      <family val="2"/>
      <scheme val="minor"/>
    </font>
    <font>
      <u/>
      <sz val="11"/>
      <color theme="10"/>
      <name val="Aptos Narrow"/>
      <family val="2"/>
      <scheme val="minor"/>
    </font>
    <font>
      <b/>
      <sz val="11"/>
      <color rgb="FF00B050"/>
      <name val="Aptos Narrow"/>
      <family val="2"/>
      <scheme val="minor"/>
    </font>
    <font>
      <b/>
      <sz val="24"/>
      <color theme="1" tint="0.249977111117893"/>
      <name val="Aptos Narrow"/>
      <family val="2"/>
      <scheme val="minor"/>
    </font>
    <font>
      <b/>
      <sz val="11"/>
      <color rgb="FFD13319"/>
      <name val="Aptos Narrow"/>
      <family val="2"/>
      <scheme val="minor"/>
    </font>
    <font>
      <sz val="10"/>
      <color theme="1" tint="4.9989318521683403E-2"/>
      <name val="Calibri"/>
      <family val="2"/>
    </font>
    <font>
      <i/>
      <sz val="10"/>
      <color theme="1" tint="4.9989318521683403E-2"/>
      <name val="Aptos Narrow"/>
      <family val="2"/>
      <scheme val="minor"/>
    </font>
    <font>
      <b/>
      <sz val="15"/>
      <color theme="1" tint="4.9989318521683403E-2"/>
      <name val="Aptos Narrow"/>
      <family val="2"/>
      <scheme val="minor"/>
    </font>
    <font>
      <vertAlign val="subscript"/>
      <sz val="11"/>
      <color theme="1"/>
      <name val="Aptos Narrow"/>
      <family val="2"/>
      <scheme val="minor"/>
    </font>
    <font>
      <sz val="12"/>
      <color theme="1" tint="4.9989318521683403E-2"/>
      <name val="Aptos Narrow"/>
      <family val="2"/>
      <scheme val="minor"/>
    </font>
    <font>
      <sz val="11"/>
      <name val="Aptos Narrow"/>
      <family val="2"/>
      <scheme val="minor"/>
    </font>
    <font>
      <sz val="12"/>
      <color theme="1" tint="0.14999847407452621"/>
      <name val="Aptos Narrow"/>
      <family val="2"/>
      <scheme val="minor"/>
    </font>
    <font>
      <sz val="11"/>
      <color theme="1" tint="0.14999847407452621"/>
      <name val="Aptos Narrow"/>
      <family val="2"/>
      <scheme val="minor"/>
    </font>
    <font>
      <sz val="11"/>
      <color theme="1" tint="0.249977111117893"/>
      <name val="Aptos Narrow"/>
      <family val="2"/>
      <scheme val="minor"/>
    </font>
    <font>
      <sz val="12"/>
      <name val="Aptos Narrow"/>
      <family val="2"/>
      <scheme val="minor"/>
    </font>
    <font>
      <sz val="11"/>
      <color theme="1" tint="4.9989318521683403E-2"/>
      <name val="Aptos Narrow"/>
      <family val="2"/>
      <scheme val="minor"/>
    </font>
    <font>
      <b/>
      <sz val="12"/>
      <name val="Aptos Narrow"/>
      <family val="2"/>
      <scheme val="minor"/>
    </font>
    <font>
      <b/>
      <sz val="14"/>
      <color theme="1" tint="4.9989318521683403E-2"/>
      <name val="Aptos Narrow"/>
      <family val="2"/>
      <scheme val="minor"/>
    </font>
    <font>
      <b/>
      <sz val="16"/>
      <color theme="0"/>
      <name val="Aptos Narrow"/>
      <family val="2"/>
      <scheme val="minor"/>
    </font>
    <font>
      <i/>
      <sz val="14"/>
      <color theme="0"/>
      <name val="Aptos Narrow"/>
      <family val="2"/>
      <scheme val="minor"/>
    </font>
    <font>
      <i/>
      <sz val="11"/>
      <color theme="0"/>
      <name val="Aptos Narrow"/>
      <family val="2"/>
      <scheme val="minor"/>
    </font>
    <font>
      <sz val="20"/>
      <color theme="1"/>
      <name val="Aptos Narrow"/>
      <family val="2"/>
      <scheme val="minor"/>
    </font>
    <font>
      <sz val="8"/>
      <color theme="1"/>
      <name val="Aptos Narrow"/>
      <family val="2"/>
      <scheme val="minor"/>
    </font>
    <font>
      <sz val="11"/>
      <color rgb="FF002060"/>
      <name val="Aptos Narrow"/>
      <family val="2"/>
      <scheme val="minor"/>
    </font>
    <font>
      <sz val="11"/>
      <color theme="5"/>
      <name val="Aptos Narrow"/>
      <family val="2"/>
      <scheme val="minor"/>
    </font>
    <font>
      <sz val="11"/>
      <color rgb="FF00B050"/>
      <name val="Aptos Narrow"/>
      <family val="2"/>
      <scheme val="minor"/>
    </font>
    <font>
      <sz val="9"/>
      <color theme="1" tint="4.9989318521683403E-2"/>
      <name val="Aptos Narrow"/>
      <family val="2"/>
      <scheme val="minor"/>
    </font>
    <font>
      <sz val="9"/>
      <color theme="1"/>
      <name val="Aptos Narrow"/>
      <family val="2"/>
      <scheme val="minor"/>
    </font>
    <font>
      <b/>
      <sz val="10"/>
      <name val="Aptos Narrow"/>
      <family val="2"/>
      <scheme val="minor"/>
    </font>
    <font>
      <b/>
      <sz val="9"/>
      <name val="Aptos Narrow"/>
      <family val="2"/>
      <scheme val="minor"/>
    </font>
    <font>
      <sz val="9"/>
      <color theme="0"/>
      <name val="Aptos Narrow"/>
      <family val="2"/>
      <scheme val="minor"/>
    </font>
    <font>
      <sz val="11"/>
      <color theme="1"/>
      <name val="Agency FB"/>
      <family val="2"/>
    </font>
    <font>
      <i/>
      <sz val="9"/>
      <color rgb="FF00B050"/>
      <name val="Aptos Narrow"/>
      <family val="2"/>
      <scheme val="minor"/>
    </font>
    <font>
      <sz val="12"/>
      <color theme="0"/>
      <name val="Aptos Narrow"/>
      <family val="2"/>
      <scheme val="minor"/>
    </font>
    <font>
      <i/>
      <sz val="12"/>
      <color theme="0"/>
      <name val="Aptos Narrow"/>
      <family val="2"/>
      <scheme val="minor"/>
    </font>
    <font>
      <sz val="10"/>
      <name val="Arial"/>
      <family val="2"/>
    </font>
    <font>
      <u/>
      <sz val="10"/>
      <color theme="10"/>
      <name val="Aptos Narrow"/>
      <family val="2"/>
      <scheme val="minor"/>
    </font>
    <font>
      <sz val="10"/>
      <name val="Aptos Narrow"/>
      <family val="2"/>
      <scheme val="minor"/>
    </font>
    <font>
      <b/>
      <sz val="11"/>
      <color rgb="FFFF0000"/>
      <name val="Aptos Narrow"/>
      <family val="2"/>
      <scheme val="minor"/>
    </font>
    <font>
      <sz val="10"/>
      <color theme="1" tint="0.14999847407452621"/>
      <name val="Aptos Narrow"/>
      <family val="2"/>
      <scheme val="minor"/>
    </font>
    <font>
      <sz val="9.5"/>
      <color theme="1"/>
      <name val="Franklin Gothic Book"/>
      <family val="2"/>
    </font>
    <font>
      <vertAlign val="superscript"/>
      <sz val="9.5"/>
      <color theme="1"/>
      <name val="Franklin Gothic Book"/>
      <family val="2"/>
    </font>
    <font>
      <b/>
      <sz val="11"/>
      <color theme="1" tint="0.14999847407452621"/>
      <name val="Aptos Narrow"/>
      <family val="2"/>
      <scheme val="minor"/>
    </font>
    <font>
      <vertAlign val="subscript"/>
      <sz val="11"/>
      <color theme="1" tint="0.14996795556505021"/>
      <name val="Aptos Narrow"/>
      <family val="2"/>
      <scheme val="minor"/>
    </font>
    <font>
      <sz val="9.5"/>
      <color rgb="FF000000"/>
      <name val="Franklin Gothic Book"/>
      <family val="2"/>
    </font>
    <font>
      <vertAlign val="subscript"/>
      <sz val="9.5"/>
      <color theme="1"/>
      <name val="Franklin Gothic Book"/>
      <family val="2"/>
    </font>
    <font>
      <sz val="12"/>
      <color theme="1"/>
      <name val="Arial"/>
      <family val="2"/>
    </font>
    <font>
      <u/>
      <sz val="12"/>
      <color theme="10"/>
      <name val="Arial"/>
      <family val="2"/>
    </font>
    <font>
      <u/>
      <sz val="12"/>
      <color theme="10"/>
      <name val="Aptos Narrow"/>
      <family val="2"/>
      <scheme val="minor"/>
    </font>
    <font>
      <sz val="11"/>
      <color rgb="FFC00000"/>
      <name val="Aptos Narrow"/>
      <family val="2"/>
      <scheme val="minor"/>
    </font>
    <font>
      <sz val="12"/>
      <color theme="1"/>
      <name val="Aptos Narrow"/>
      <family val="2"/>
      <scheme val="minor"/>
    </font>
    <font>
      <sz val="11"/>
      <color theme="1"/>
      <name val="Aptos Narrow"/>
      <family val="2"/>
      <scheme val="minor"/>
    </font>
    <font>
      <sz val="8"/>
      <name val="Aptos Narrow"/>
      <family val="2"/>
      <scheme val="minor"/>
    </font>
    <font>
      <sz val="10"/>
      <color rgb="FF000000"/>
      <name val="Aptos Narrow"/>
      <family val="2"/>
      <scheme val="minor"/>
    </font>
    <font>
      <b/>
      <sz val="12"/>
      <color rgb="FFF04E2A"/>
      <name val="Aptos Narrow"/>
      <family val="2"/>
      <scheme val="minor"/>
    </font>
    <font>
      <sz val="12"/>
      <color theme="1"/>
      <name val="Aptos Narrow"/>
      <family val="2"/>
      <scheme val="minor"/>
    </font>
    <font>
      <sz val="11"/>
      <color rgb="FF000000"/>
      <name val="Aptos Narrow"/>
      <family val="2"/>
    </font>
    <font>
      <b/>
      <sz val="14"/>
      <name val="Aptos Narrow"/>
      <family val="2"/>
      <scheme val="minor"/>
    </font>
    <font>
      <sz val="9"/>
      <name val="Aptos Narrow"/>
      <family val="2"/>
      <scheme val="minor"/>
    </font>
    <font>
      <sz val="12"/>
      <color rgb="FF29524A"/>
      <name val="Calibri"/>
      <family val="2"/>
    </font>
    <font>
      <sz val="16"/>
      <color rgb="FF29524A"/>
      <name val="Georgia"/>
      <family val="1"/>
    </font>
    <font>
      <sz val="12"/>
      <color rgb="FF31859B"/>
      <name val="Calibri"/>
      <family val="2"/>
    </font>
    <font>
      <sz val="12"/>
      <color theme="1"/>
      <name val="Calibri"/>
      <family val="2"/>
    </font>
    <font>
      <b/>
      <sz val="12"/>
      <color theme="1"/>
      <name val="Calibri"/>
      <family val="2"/>
    </font>
    <font>
      <sz val="16"/>
      <color theme="1"/>
      <name val="Calibri"/>
      <family val="2"/>
    </font>
    <font>
      <b/>
      <sz val="36"/>
      <color rgb="FF29524A"/>
      <name val="Calibri"/>
      <family val="2"/>
    </font>
    <font>
      <b/>
      <sz val="16"/>
      <color theme="1"/>
      <name val="Calibri"/>
      <family val="2"/>
    </font>
    <font>
      <b/>
      <sz val="14"/>
      <color theme="1"/>
      <name val="Calibri"/>
      <family val="2"/>
    </font>
    <font>
      <b/>
      <sz val="14"/>
      <color rgb="FF29524A"/>
      <name val="Calibri"/>
      <family val="2"/>
    </font>
    <font>
      <b/>
      <sz val="11"/>
      <color theme="1"/>
      <name val="Calibri"/>
      <family val="2"/>
    </font>
    <font>
      <b/>
      <sz val="9"/>
      <color rgb="FF212121"/>
      <name val="Calibri"/>
      <family val="2"/>
    </font>
    <font>
      <sz val="9"/>
      <color theme="1"/>
      <name val="Calibri"/>
      <family val="2"/>
    </font>
    <font>
      <sz val="11"/>
      <color rgb="FF262626"/>
      <name val="Calibri"/>
      <family val="2"/>
    </font>
    <font>
      <i/>
      <sz val="11"/>
      <color rgb="FF262626"/>
      <name val="Calibri"/>
      <family val="2"/>
    </font>
    <font>
      <sz val="9"/>
      <color rgb="FF262626"/>
      <name val="Calibri"/>
      <family val="2"/>
    </font>
    <font>
      <vertAlign val="subscript"/>
      <sz val="11"/>
      <color theme="1"/>
      <name val="Calibri"/>
      <family val="2"/>
    </font>
    <font>
      <b/>
      <sz val="12"/>
      <color rgb="FF3F3F3F"/>
      <name val="Calibri"/>
      <family val="2"/>
    </font>
    <font>
      <b/>
      <vertAlign val="subscript"/>
      <sz val="12"/>
      <color rgb="FF3F3F3F"/>
      <name val="Calibri"/>
      <family val="2"/>
    </font>
    <font>
      <sz val="9"/>
      <color rgb="FF3F3F3F"/>
      <name val="Calibri"/>
      <family val="2"/>
    </font>
    <font>
      <sz val="11"/>
      <color rgb="FF3F3F3F"/>
      <name val="Calibri"/>
      <family val="2"/>
    </font>
    <font>
      <sz val="10"/>
      <color rgb="FF95B3D7"/>
      <name val="Calibri"/>
      <family val="2"/>
    </font>
    <font>
      <b/>
      <sz val="10"/>
      <color rgb="FF3F3F3F"/>
      <name val="Calibri"/>
      <family val="2"/>
    </font>
    <font>
      <b/>
      <sz val="9"/>
      <color theme="1"/>
      <name val="Calibri"/>
      <family val="2"/>
    </font>
    <font>
      <b/>
      <sz val="11"/>
      <color rgb="FF3F3F3F"/>
      <name val="Calibri"/>
      <family val="2"/>
    </font>
    <font>
      <sz val="10"/>
      <color rgb="FF3F3F3F"/>
      <name val="Calibri"/>
      <family val="2"/>
    </font>
    <font>
      <vertAlign val="subscript"/>
      <sz val="11"/>
      <color rgb="FF3F3F3F"/>
      <name val="Calibri"/>
      <family val="2"/>
    </font>
    <font>
      <sz val="10"/>
      <color rgb="FF31859B"/>
      <name val="Calibri"/>
      <family val="2"/>
    </font>
    <font>
      <b/>
      <sz val="10"/>
      <color rgb="FF31859B"/>
      <name val="Calibri"/>
      <family val="2"/>
    </font>
    <font>
      <b/>
      <sz val="9"/>
      <color rgb="FF3F3F3F"/>
      <name val="Calibri"/>
      <family val="2"/>
    </font>
    <font>
      <sz val="12"/>
      <color rgb="FF3F3F3F"/>
      <name val="Calibri"/>
      <family val="2"/>
    </font>
    <font>
      <i/>
      <sz val="9"/>
      <color rgb="FFEF541D"/>
      <name val="Calibri"/>
      <family val="2"/>
    </font>
    <font>
      <b/>
      <sz val="10"/>
      <color theme="0"/>
      <name val="Calibri"/>
      <family val="2"/>
    </font>
    <font>
      <sz val="10"/>
      <color theme="0"/>
      <name val="Calibri"/>
      <family val="2"/>
    </font>
    <font>
      <sz val="16"/>
      <color rgb="FF262626"/>
      <name val="Georgia"/>
      <family val="1"/>
    </font>
    <font>
      <b/>
      <sz val="12"/>
      <color rgb="FF7F7F7F"/>
      <name val="Calibri"/>
      <family val="2"/>
    </font>
    <font>
      <b/>
      <sz val="10"/>
      <color theme="8" tint="-0.249977111117893"/>
      <name val="Calibri"/>
      <family val="2"/>
    </font>
    <font>
      <b/>
      <sz val="10"/>
      <color rgb="FFF04E2A"/>
      <name val="Calibri"/>
      <family val="2"/>
    </font>
    <font>
      <b/>
      <sz val="12"/>
      <color rgb="FF595959"/>
      <name val="Georgia"/>
      <family val="1"/>
    </font>
    <font>
      <b/>
      <sz val="12"/>
      <color rgb="FF3F3F3F"/>
      <name val="Georgia"/>
      <family val="1"/>
    </font>
    <font>
      <i/>
      <sz val="10"/>
      <color theme="1"/>
      <name val="Calibri"/>
      <family val="2"/>
    </font>
    <font>
      <b/>
      <sz val="11"/>
      <color rgb="FF231F20"/>
      <name val="Calibri"/>
      <family val="2"/>
    </font>
    <font>
      <b/>
      <sz val="12"/>
      <color rgb="FFF0B12A"/>
      <name val="Calibri"/>
      <family val="2"/>
    </font>
    <font>
      <b/>
      <sz val="10"/>
      <color theme="0" tint="-0.499984740745262"/>
      <name val="Calibri"/>
      <family val="2"/>
    </font>
    <font>
      <b/>
      <i/>
      <sz val="10"/>
      <color theme="1" tint="0.499984740745262"/>
      <name val="Calibri"/>
      <family val="2"/>
    </font>
    <font>
      <b/>
      <sz val="10"/>
      <color theme="1" tint="0.499984740745262"/>
      <name val="Calibri"/>
      <family val="2"/>
    </font>
    <font>
      <b/>
      <sz val="12"/>
      <color rgb="FFFFA90D"/>
      <name val="Calibri"/>
      <family val="2"/>
    </font>
    <font>
      <b/>
      <sz val="12"/>
      <color rgb="FF0C0C0C"/>
      <name val="Calibri"/>
      <family val="2"/>
    </font>
    <font>
      <b/>
      <sz val="11"/>
      <color rgb="FFF0B12A"/>
      <name val="Calibri"/>
      <family val="2"/>
    </font>
    <font>
      <sz val="10"/>
      <color theme="1" tint="0.499984740745262"/>
      <name val="Calibri"/>
      <family val="2"/>
    </font>
    <font>
      <b/>
      <sz val="10"/>
      <color theme="4"/>
      <name val="Calibri"/>
      <family val="2"/>
    </font>
    <font>
      <sz val="12"/>
      <name val="Calibri"/>
      <family val="2"/>
    </font>
    <font>
      <b/>
      <sz val="11"/>
      <color rgb="FF31859B"/>
      <name val="Calibri"/>
      <family val="2"/>
    </font>
    <font>
      <b/>
      <vertAlign val="subscript"/>
      <sz val="12"/>
      <color theme="1"/>
      <name val="Calibri"/>
      <family val="2"/>
    </font>
    <font>
      <sz val="9"/>
      <color rgb="FFC00000"/>
      <name val="Calibri"/>
      <family val="2"/>
    </font>
    <font>
      <sz val="10"/>
      <color theme="0" tint="-0.499984740745262"/>
      <name val="Calibri"/>
      <family val="2"/>
    </font>
    <font>
      <sz val="11"/>
      <color rgb="FF0C0C0C"/>
      <name val="Calibri"/>
      <family val="2"/>
    </font>
    <font>
      <i/>
      <sz val="11"/>
      <color theme="1"/>
      <name val="Calibri"/>
      <family val="2"/>
    </font>
    <font>
      <i/>
      <sz val="10"/>
      <color theme="1" tint="0.499984740745262"/>
      <name val="Calibri"/>
      <family val="2"/>
    </font>
    <font>
      <b/>
      <sz val="10"/>
      <color rgb="FF0070C0"/>
      <name val="Calibri"/>
      <family val="2"/>
    </font>
    <font>
      <sz val="12"/>
      <color theme="1"/>
      <name val="Aptos Narrow"/>
      <family val="2"/>
      <scheme val="minor"/>
    </font>
    <font>
      <sz val="12"/>
      <color rgb="FF29524A"/>
      <name val="Calibri"/>
      <family val="2"/>
    </font>
    <font>
      <sz val="16"/>
      <color rgb="FF29524A"/>
      <name val="Georgia"/>
      <family val="1"/>
    </font>
    <font>
      <sz val="12"/>
      <color rgb="FF31859B"/>
      <name val="Calibri"/>
      <family val="2"/>
    </font>
    <font>
      <sz val="12"/>
      <color theme="1"/>
      <name val="Calibri"/>
      <family val="2"/>
    </font>
    <font>
      <b/>
      <sz val="12"/>
      <color theme="1"/>
      <name val="Calibri"/>
      <family val="2"/>
    </font>
    <font>
      <sz val="16"/>
      <color theme="1"/>
      <name val="Calibri"/>
      <family val="2"/>
    </font>
    <font>
      <b/>
      <sz val="36"/>
      <color rgb="FF29524A"/>
      <name val="Calibri"/>
      <family val="2"/>
    </font>
    <font>
      <b/>
      <sz val="16"/>
      <color theme="1"/>
      <name val="Calibri"/>
      <family val="2"/>
    </font>
    <font>
      <b/>
      <sz val="14"/>
      <color theme="1"/>
      <name val="Calibri"/>
      <family val="2"/>
    </font>
    <font>
      <b/>
      <sz val="14"/>
      <color rgb="FF29524A"/>
      <name val="Calibri"/>
      <family val="2"/>
    </font>
    <font>
      <sz val="10"/>
      <color theme="1"/>
      <name val="Calibri"/>
      <family val="2"/>
    </font>
    <font>
      <b/>
      <sz val="11"/>
      <color theme="1"/>
      <name val="Calibri"/>
      <family val="2"/>
    </font>
    <font>
      <b/>
      <sz val="9"/>
      <color rgb="FF212121"/>
      <name val="Calibri"/>
      <family val="2"/>
    </font>
    <font>
      <sz val="9"/>
      <color theme="1"/>
      <name val="Calibri"/>
      <family val="2"/>
    </font>
    <font>
      <sz val="11"/>
      <color rgb="FF262626"/>
      <name val="Calibri"/>
      <family val="2"/>
    </font>
    <font>
      <sz val="9"/>
      <color rgb="FF262626"/>
      <name val="Calibri"/>
      <family val="2"/>
    </font>
    <font>
      <sz val="11"/>
      <color theme="1"/>
      <name val="Calibri"/>
      <family val="2"/>
    </font>
    <font>
      <b/>
      <sz val="10"/>
      <color theme="1"/>
      <name val="Calibri"/>
      <family val="2"/>
    </font>
    <font>
      <i/>
      <sz val="9"/>
      <color theme="1"/>
      <name val="Calibri"/>
      <family val="2"/>
    </font>
    <font>
      <b/>
      <sz val="12"/>
      <color rgb="FF3F3F3F"/>
      <name val="Calibri"/>
      <family val="2"/>
    </font>
    <font>
      <sz val="9"/>
      <color rgb="FF3F3F3F"/>
      <name val="Calibri"/>
      <family val="2"/>
    </font>
    <font>
      <sz val="11"/>
      <color rgb="FF3F3F3F"/>
      <name val="Calibri"/>
      <family val="2"/>
    </font>
    <font>
      <sz val="10"/>
      <color rgb="FF95B3D7"/>
      <name val="Calibri"/>
      <family val="2"/>
    </font>
    <font>
      <b/>
      <sz val="10"/>
      <color rgb="FF3F3F3F"/>
      <name val="Calibri"/>
      <family val="2"/>
    </font>
    <font>
      <b/>
      <sz val="9"/>
      <color theme="1"/>
      <name val="Calibri"/>
      <family val="2"/>
    </font>
    <font>
      <b/>
      <sz val="11"/>
      <color rgb="FF3F3F3F"/>
      <name val="Calibri"/>
      <family val="2"/>
    </font>
    <font>
      <sz val="10"/>
      <color rgb="FF3F3F3F"/>
      <name val="Calibri"/>
      <family val="2"/>
    </font>
    <font>
      <sz val="10"/>
      <color rgb="FF31859B"/>
      <name val="Calibri"/>
      <family val="2"/>
    </font>
    <font>
      <b/>
      <sz val="10"/>
      <color rgb="FF31859B"/>
      <name val="Calibri"/>
      <family val="2"/>
    </font>
    <font>
      <b/>
      <sz val="9"/>
      <color rgb="FF3F3F3F"/>
      <name val="Calibri"/>
      <family val="2"/>
    </font>
    <font>
      <sz val="12"/>
      <color rgb="FF3F3F3F"/>
      <name val="Calibri"/>
      <family val="2"/>
    </font>
    <font>
      <b/>
      <sz val="10"/>
      <color theme="0"/>
      <name val="Calibri"/>
      <family val="2"/>
    </font>
    <font>
      <sz val="16"/>
      <color rgb="FF262626"/>
      <name val="Georgia"/>
      <family val="1"/>
    </font>
    <font>
      <b/>
      <sz val="12"/>
      <color rgb="FF7F7F7F"/>
      <name val="Calibri"/>
      <family val="2"/>
    </font>
    <font>
      <b/>
      <sz val="12"/>
      <color rgb="FF595959"/>
      <name val="Georgia"/>
      <family val="1"/>
    </font>
    <font>
      <i/>
      <sz val="10"/>
      <color theme="1"/>
      <name val="Calibri"/>
      <family val="2"/>
    </font>
    <font>
      <b/>
      <sz val="11"/>
      <color rgb="FF231F20"/>
      <name val="Calibri"/>
      <family val="2"/>
    </font>
    <font>
      <b/>
      <sz val="12"/>
      <color rgb="FFF0B12A"/>
      <name val="Calibri"/>
      <family val="2"/>
    </font>
    <font>
      <b/>
      <sz val="10"/>
      <color rgb="FFFF0000"/>
      <name val="Calibri"/>
      <family val="2"/>
    </font>
    <font>
      <b/>
      <sz val="12"/>
      <color rgb="FFFFA90D"/>
      <name val="Calibri"/>
      <family val="2"/>
    </font>
    <font>
      <b/>
      <sz val="12"/>
      <color rgb="FF0C0C0C"/>
      <name val="Calibri"/>
      <family val="2"/>
    </font>
    <font>
      <b/>
      <sz val="11"/>
      <color rgb="FFF0B12A"/>
      <name val="Calibri"/>
      <family val="2"/>
    </font>
    <font>
      <b/>
      <sz val="11"/>
      <color rgb="FFF04E2A"/>
      <name val="Calibri"/>
      <family val="2"/>
    </font>
    <font>
      <b/>
      <sz val="10"/>
      <name val="Calibri"/>
      <family val="2"/>
    </font>
    <font>
      <b/>
      <sz val="16"/>
      <name val="Calibri"/>
      <family val="2"/>
    </font>
    <font>
      <b/>
      <sz val="10"/>
      <color theme="3" tint="0.499984740745262"/>
      <name val="Calibri"/>
      <family val="2"/>
    </font>
    <font>
      <sz val="12"/>
      <color rgb="FFFF0000"/>
      <name val="Calibri"/>
      <family val="2"/>
    </font>
    <font>
      <sz val="16"/>
      <color rgb="FF3F3F3F"/>
      <name val="Georgia"/>
      <family val="1"/>
    </font>
    <font>
      <b/>
      <sz val="11"/>
      <color theme="1" tint="0.499984740745262"/>
      <name val="Calibri"/>
      <family val="2"/>
    </font>
    <font>
      <sz val="11"/>
      <color rgb="FFFF0000"/>
      <name val="Calibri"/>
      <family val="2"/>
    </font>
    <font>
      <b/>
      <sz val="12"/>
      <color theme="1" tint="0.499984740745262"/>
      <name val="Calibri"/>
      <family val="2"/>
    </font>
    <font>
      <sz val="11"/>
      <color theme="1" tint="0.499984740745262"/>
      <name val="Calibri"/>
      <family val="2"/>
    </font>
    <font>
      <b/>
      <sz val="12"/>
      <color rgb="FFFF0000"/>
      <name val="Calibri"/>
      <family val="2"/>
    </font>
    <font>
      <sz val="12"/>
      <color theme="1" tint="0.499984740745262"/>
      <name val="Calibri"/>
      <family val="2"/>
    </font>
    <font>
      <sz val="12"/>
      <name val="Calibri"/>
      <family val="2"/>
    </font>
    <font>
      <b/>
      <sz val="11"/>
      <color rgb="FF31859B"/>
      <name val="Calibri"/>
      <family val="2"/>
    </font>
    <font>
      <sz val="9"/>
      <color rgb="FFC00000"/>
      <name val="Calibri"/>
      <family val="2"/>
    </font>
    <font>
      <sz val="10"/>
      <color theme="1" tint="0.34998626667073579"/>
      <name val="Calibri"/>
      <family val="2"/>
    </font>
    <font>
      <b/>
      <sz val="11"/>
      <color rgb="FF00B0F0"/>
      <name val="Calibri"/>
      <family val="2"/>
    </font>
    <font>
      <b/>
      <sz val="10"/>
      <color rgb="FF00B0F0"/>
      <name val="Calibri"/>
      <family val="2"/>
    </font>
    <font>
      <sz val="11"/>
      <color rgb="FF000000"/>
      <name val="Aptos Narrow"/>
      <family val="2"/>
      <scheme val="minor"/>
    </font>
    <font>
      <sz val="12"/>
      <color rgb="FF000000"/>
      <name val="Aptos Narrow"/>
      <family val="2"/>
      <scheme val="minor"/>
    </font>
    <font>
      <u/>
      <sz val="12"/>
      <color theme="10"/>
      <name val="Aptos Narrow"/>
      <family val="2"/>
      <scheme val="minor"/>
    </font>
    <font>
      <sz val="11"/>
      <color rgb="FF000000"/>
      <name val="Aptos Display"/>
      <family val="2"/>
      <scheme val="major"/>
    </font>
    <font>
      <b/>
      <sz val="11"/>
      <color rgb="FF000000"/>
      <name val="Aptos Display"/>
      <family val="2"/>
      <scheme val="major"/>
    </font>
    <font>
      <b/>
      <sz val="11"/>
      <name val="Aptos Display"/>
      <family val="2"/>
      <scheme val="major"/>
    </font>
    <font>
      <sz val="10"/>
      <color theme="1" tint="0.14999847407452621"/>
      <name val="Calibri"/>
      <family val="2"/>
    </font>
    <font>
      <b/>
      <sz val="12"/>
      <color rgb="FFF04E2A"/>
      <name val="Calibri"/>
      <family val="2"/>
    </font>
    <font>
      <sz val="11"/>
      <color rgb="FF000000"/>
      <name val="Calibri"/>
      <family val="2"/>
    </font>
    <font>
      <b/>
      <sz val="9"/>
      <color rgb="FF212121"/>
      <name val="Aptos Narrow"/>
      <family val="2"/>
      <scheme val="minor"/>
    </font>
    <font>
      <sz val="9"/>
      <color rgb="FF262626"/>
      <name val="Aptos Narrow"/>
      <family val="2"/>
      <scheme val="minor"/>
    </font>
    <font>
      <b/>
      <sz val="11"/>
      <color rgb="FF231F20"/>
      <name val="Aptos Narrow"/>
      <family val="2"/>
      <scheme val="minor"/>
    </font>
    <font>
      <b/>
      <sz val="12"/>
      <color rgb="FF000000"/>
      <name val="Aptos Narrow"/>
      <family val="2"/>
      <scheme val="minor"/>
    </font>
    <font>
      <b/>
      <sz val="12"/>
      <color rgb="FFF0B12A"/>
      <name val="Aptos Narrow"/>
      <family val="2"/>
      <scheme val="minor"/>
    </font>
    <font>
      <b/>
      <sz val="10"/>
      <color rgb="FFF04E2A"/>
      <name val="Aptos Narrow"/>
      <family val="2"/>
      <scheme val="minor"/>
    </font>
    <font>
      <sz val="10"/>
      <color rgb="FF404040"/>
      <name val="Aptos Narrow"/>
      <family val="2"/>
      <scheme val="minor"/>
    </font>
    <font>
      <i/>
      <sz val="10"/>
      <color rgb="FF000000"/>
      <name val="Aptos Narrow"/>
      <family val="2"/>
      <scheme val="minor"/>
    </font>
    <font>
      <sz val="12"/>
      <color rgb="FF000000"/>
      <name val="Arial"/>
      <family val="2"/>
    </font>
    <font>
      <sz val="10"/>
      <name val="Calibri"/>
      <family val="2"/>
    </font>
    <font>
      <i/>
      <sz val="10"/>
      <color theme="1" tint="0.34998626667073579"/>
      <name val="Calibri"/>
      <family val="2"/>
    </font>
    <font>
      <b/>
      <sz val="11"/>
      <color theme="0" tint="-0.499984740745262"/>
      <name val="Calibri"/>
      <family val="2"/>
    </font>
    <font>
      <sz val="11"/>
      <color theme="0" tint="-0.499984740745262"/>
      <name val="Calibri"/>
      <family val="2"/>
    </font>
    <font>
      <i/>
      <sz val="11"/>
      <color theme="0" tint="-0.499984740745262"/>
      <name val="Calibri"/>
      <family val="2"/>
    </font>
    <font>
      <sz val="12"/>
      <color theme="1"/>
      <name val="Aptos Narrow"/>
      <family val="2"/>
      <scheme val="minor"/>
    </font>
    <font>
      <sz val="10"/>
      <color rgb="FF0070C0"/>
      <name val="Calibri"/>
      <family val="2"/>
    </font>
    <font>
      <b/>
      <sz val="12"/>
      <color theme="9" tint="-0.249977111117893"/>
      <name val="Calibri"/>
      <family val="2"/>
    </font>
    <font>
      <b/>
      <sz val="10"/>
      <color theme="1" tint="0.34998626667073579"/>
      <name val="Calibri"/>
      <family val="2"/>
    </font>
    <font>
      <b/>
      <sz val="9"/>
      <color rgb="FFFF0000"/>
      <name val="Calibri"/>
      <family val="2"/>
    </font>
    <font>
      <sz val="10"/>
      <color rgb="FF000000"/>
      <name val="Calibri"/>
      <family val="2"/>
    </font>
    <font>
      <b/>
      <sz val="10"/>
      <color rgb="FF7F7F7F"/>
      <name val="Calibri"/>
      <family val="2"/>
    </font>
    <font>
      <sz val="10"/>
      <color rgb="FF7F7F7F"/>
      <name val="Calibri"/>
      <family val="2"/>
    </font>
    <font>
      <i/>
      <sz val="10"/>
      <color theme="0" tint="-0.499984740745262"/>
      <name val="Calibri"/>
      <family val="2"/>
    </font>
    <font>
      <sz val="12"/>
      <color rgb="FF000000"/>
      <name val="Calibri"/>
      <family val="2"/>
    </font>
    <font>
      <sz val="10"/>
      <color theme="0" tint="-0.499984740745262"/>
      <name val="Aptos Narrow"/>
      <family val="2"/>
      <scheme val="minor"/>
    </font>
    <font>
      <i/>
      <sz val="11"/>
      <color rgb="FF000000"/>
      <name val="Calibri"/>
      <family val="2"/>
    </font>
    <font>
      <b/>
      <sz val="10"/>
      <color rgb="FF808080"/>
      <name val="Calibri"/>
      <family val="2"/>
    </font>
    <font>
      <i/>
      <sz val="10"/>
      <color rgb="FF808080"/>
      <name val="Calibri"/>
      <family val="2"/>
    </font>
    <font>
      <sz val="10"/>
      <color rgb="FF808080"/>
      <name val="Calibri"/>
      <family val="2"/>
    </font>
    <font>
      <b/>
      <sz val="10"/>
      <color rgb="FF4F81BD"/>
      <name val="Calibri"/>
      <family val="2"/>
    </font>
    <font>
      <i/>
      <sz val="10"/>
      <color rgb="FF000000"/>
      <name val="Calibri"/>
      <family val="2"/>
    </font>
    <font>
      <b/>
      <sz val="12"/>
      <color rgb="FF000000"/>
      <name val="Calibri"/>
      <family val="2"/>
    </font>
    <font>
      <sz val="12"/>
      <color rgb="FFC00000"/>
      <name val="Calibri"/>
      <family val="2"/>
    </font>
    <font>
      <sz val="9"/>
      <name val="Calibri"/>
      <family val="2"/>
    </font>
    <font>
      <sz val="9"/>
      <color rgb="FF000000"/>
      <name val="Calibri"/>
      <family val="2"/>
    </font>
    <font>
      <sz val="8"/>
      <color rgb="FF000000"/>
      <name val="Calibri"/>
      <family val="2"/>
    </font>
    <font>
      <b/>
      <sz val="10"/>
      <color rgb="FFFF0000"/>
      <name val="Arial"/>
      <family val="2"/>
    </font>
    <font>
      <sz val="10"/>
      <color rgb="FF000000"/>
      <name val="Arial"/>
      <family val="2"/>
    </font>
    <font>
      <sz val="9"/>
      <color rgb="FF404040"/>
      <name val="Calibri"/>
      <family val="2"/>
    </font>
    <font>
      <b/>
      <sz val="11"/>
      <color rgb="FF000000"/>
      <name val="Calibri"/>
      <family val="2"/>
    </font>
    <font>
      <b/>
      <sz val="10"/>
      <color rgb="FF000000"/>
      <name val="Calibri"/>
      <family val="2"/>
    </font>
    <font>
      <sz val="12"/>
      <color theme="1"/>
      <name val="Aptos Narrow"/>
      <family val="2"/>
      <scheme val="minor"/>
    </font>
    <font>
      <b/>
      <sz val="10"/>
      <color rgb="FFFF0000"/>
      <name val="Aptos Narrow"/>
      <family val="2"/>
      <scheme val="minor"/>
    </font>
    <font>
      <i/>
      <sz val="12"/>
      <color rgb="FF000000"/>
      <name val="Calibri"/>
      <family val="2"/>
    </font>
    <font>
      <b/>
      <sz val="11"/>
      <color rgb="FFFFA90D"/>
      <name val="Calibri"/>
      <family val="2"/>
    </font>
    <font>
      <sz val="10"/>
      <color rgb="FF333399"/>
      <name val="Calibri"/>
      <family val="2"/>
    </font>
    <font>
      <sz val="10"/>
      <color rgb="FF000000"/>
      <name val="Aptos Narrow"/>
      <family val="2"/>
    </font>
    <font>
      <sz val="9"/>
      <color rgb="FF000000"/>
      <name val="Aptos Narrow"/>
      <family val="2"/>
    </font>
    <font>
      <sz val="12"/>
      <color rgb="FF000000"/>
      <name val="Aptos Narrow"/>
      <family val="2"/>
    </font>
    <font>
      <b/>
      <sz val="12"/>
      <color rgb="FF000000"/>
      <name val="Aptos Narrow"/>
      <family val="2"/>
    </font>
    <font>
      <sz val="11"/>
      <color rgb="FF242424"/>
      <name val="Aptos Narrow"/>
      <family val="2"/>
    </font>
    <font>
      <b/>
      <sz val="11"/>
      <color theme="1" tint="0.499984740745262"/>
      <name val="Aptos Narrow"/>
      <family val="2"/>
      <scheme val="minor"/>
    </font>
    <font>
      <b/>
      <sz val="11"/>
      <color theme="0" tint="-0.34998626667073579"/>
      <name val="Aptos Narrow"/>
      <family val="2"/>
      <scheme val="minor"/>
    </font>
    <font>
      <sz val="11"/>
      <color rgb="FF808080"/>
      <name val="Aptos Narrow"/>
      <family val="2"/>
      <scheme val="minor"/>
    </font>
    <font>
      <sz val="11"/>
      <color theme="1" tint="0.499984740745262"/>
      <name val="Aptos Narrow"/>
      <family val="2"/>
      <scheme val="minor"/>
    </font>
    <font>
      <sz val="11"/>
      <color theme="0" tint="-0.34998626667073579"/>
      <name val="Aptos Narrow"/>
      <family val="2"/>
      <scheme val="minor"/>
    </font>
    <font>
      <sz val="10"/>
      <color rgb="FFF04E2A"/>
      <name val="Calibri"/>
      <family val="2"/>
    </font>
    <font>
      <i/>
      <sz val="9"/>
      <color rgb="FF000000"/>
      <name val="Calibri"/>
      <family val="2"/>
    </font>
    <font>
      <b/>
      <sz val="11"/>
      <color rgb="FFC00000"/>
      <name val="Calibri"/>
      <family val="2"/>
    </font>
    <font>
      <i/>
      <sz val="10"/>
      <color rgb="FF993300"/>
      <name val="Calibri"/>
      <family val="2"/>
    </font>
    <font>
      <sz val="11"/>
      <color rgb="FF000000"/>
      <name val="Arial"/>
      <family val="2"/>
    </font>
    <font>
      <sz val="9"/>
      <color rgb="FF3F3F3F"/>
      <name val="Aptos Narrow"/>
      <family val="2"/>
      <scheme val="minor"/>
    </font>
    <font>
      <i/>
      <sz val="11"/>
      <color rgb="FF000000"/>
      <name val="Aptos Narrow"/>
      <family val="2"/>
      <scheme val="minor"/>
    </font>
    <font>
      <i/>
      <sz val="10"/>
      <color theme="0" tint="-0.499984740745262"/>
      <name val="Aptos Narrow"/>
      <family val="2"/>
      <scheme val="minor"/>
    </font>
    <font>
      <b/>
      <sz val="10"/>
      <color theme="1" tint="0.499984740745262"/>
      <name val="Aptos Narrow"/>
      <family val="2"/>
      <scheme val="minor"/>
    </font>
    <font>
      <sz val="10"/>
      <color theme="1" tint="0.499984740745262"/>
      <name val="Aptos Narrow"/>
      <family val="2"/>
      <scheme val="minor"/>
    </font>
    <font>
      <sz val="12"/>
      <color theme="1"/>
      <name val="Aptos Narrow"/>
      <family val="2"/>
      <scheme val="minor"/>
    </font>
    <font>
      <i/>
      <sz val="8"/>
      <color rgb="FF1F497D"/>
      <name val="Calibri"/>
      <family val="2"/>
    </font>
    <font>
      <i/>
      <sz val="8"/>
      <color theme="1"/>
      <name val="Calibri"/>
      <family val="2"/>
    </font>
    <font>
      <i/>
      <sz val="12"/>
      <color theme="1"/>
      <name val="Calibri"/>
      <family val="2"/>
    </font>
    <font>
      <u/>
      <sz val="11"/>
      <color theme="10"/>
      <name val="Arial"/>
      <family val="2"/>
    </font>
    <font>
      <u/>
      <sz val="11"/>
      <color theme="10"/>
      <name val="Calibri"/>
      <family val="2"/>
    </font>
    <font>
      <b/>
      <i/>
      <sz val="12"/>
      <color theme="1"/>
      <name val="Calibri"/>
      <family val="2"/>
    </font>
    <font>
      <b/>
      <sz val="10"/>
      <color rgb="FFC00000"/>
      <name val="Calibri"/>
      <family val="2"/>
    </font>
    <font>
      <sz val="10"/>
      <color rgb="FF808080"/>
      <name val="Aptos Narrow"/>
      <family val="2"/>
      <scheme val="minor"/>
    </font>
    <font>
      <b/>
      <sz val="10"/>
      <color rgb="FF548DD4"/>
      <name val="Aptos Narrow"/>
      <family val="2"/>
      <scheme val="minor"/>
    </font>
    <font>
      <b/>
      <sz val="10"/>
      <color rgb="FF4F81BD"/>
      <name val="Aptos Narrow"/>
      <family val="2"/>
      <scheme val="minor"/>
    </font>
    <font>
      <sz val="12"/>
      <color rgb="FF29524A"/>
      <name val="Calibri"/>
      <family val="2"/>
    </font>
    <font>
      <sz val="12"/>
      <color rgb="FF31859B"/>
      <name val="Calibri"/>
      <family val="2"/>
    </font>
    <font>
      <sz val="12"/>
      <color theme="1"/>
      <name val="Calibri"/>
      <family val="2"/>
    </font>
    <font>
      <sz val="16"/>
      <color rgb="FF29524A"/>
      <name val="Georgia"/>
      <family val="1"/>
    </font>
    <font>
      <b/>
      <sz val="12"/>
      <color theme="1"/>
      <name val="Calibri"/>
      <family val="2"/>
    </font>
    <font>
      <sz val="16"/>
      <color theme="1"/>
      <name val="Calibri"/>
      <family val="2"/>
    </font>
    <font>
      <b/>
      <sz val="36"/>
      <color rgb="FF29524A"/>
      <name val="Calibri"/>
      <family val="2"/>
    </font>
    <font>
      <b/>
      <sz val="16"/>
      <color theme="1"/>
      <name val="Calibri"/>
      <family val="2"/>
    </font>
    <font>
      <sz val="12"/>
      <name val="Calibri"/>
      <family val="2"/>
    </font>
    <font>
      <b/>
      <sz val="14"/>
      <color theme="1"/>
      <name val="Calibri"/>
      <family val="2"/>
    </font>
    <font>
      <b/>
      <sz val="14"/>
      <color rgb="FF29524A"/>
      <name val="Calibri"/>
      <family val="2"/>
    </font>
    <font>
      <sz val="10"/>
      <color theme="1"/>
      <name val="Calibri"/>
      <family val="2"/>
    </font>
    <font>
      <b/>
      <sz val="11"/>
      <color rgb="FF31859B"/>
      <name val="Calibri"/>
      <family val="2"/>
    </font>
    <font>
      <b/>
      <sz val="11"/>
      <color theme="1"/>
      <name val="Calibri"/>
      <family val="2"/>
    </font>
    <font>
      <b/>
      <sz val="9"/>
      <color rgb="FF212121"/>
      <name val="Calibri"/>
      <family val="2"/>
    </font>
    <font>
      <sz val="9"/>
      <color theme="1"/>
      <name val="Calibri"/>
      <family val="2"/>
    </font>
    <font>
      <b/>
      <sz val="9"/>
      <color theme="1"/>
      <name val="Calibri"/>
      <family val="2"/>
    </font>
    <font>
      <sz val="11"/>
      <color rgb="FF262626"/>
      <name val="Calibri"/>
      <family val="2"/>
    </font>
    <font>
      <sz val="9"/>
      <color rgb="FF262626"/>
      <name val="Calibri"/>
      <family val="2"/>
    </font>
    <font>
      <sz val="11"/>
      <color theme="1"/>
      <name val="Calibri"/>
      <family val="2"/>
    </font>
    <font>
      <b/>
      <sz val="10"/>
      <color theme="1"/>
      <name val="Calibri"/>
      <family val="2"/>
    </font>
    <font>
      <i/>
      <sz val="9"/>
      <color theme="1"/>
      <name val="Calibri"/>
      <family val="2"/>
    </font>
    <font>
      <b/>
      <sz val="12"/>
      <color rgb="FF3F3F3F"/>
      <name val="Calibri"/>
      <family val="2"/>
    </font>
    <font>
      <sz val="9"/>
      <color rgb="FF3F3F3F"/>
      <name val="Calibri"/>
      <family val="2"/>
    </font>
    <font>
      <sz val="11"/>
      <color rgb="FF3F3F3F"/>
      <name val="Calibri"/>
      <family val="2"/>
    </font>
    <font>
      <sz val="10"/>
      <color rgb="FF95B3D7"/>
      <name val="Calibri"/>
      <family val="2"/>
    </font>
    <font>
      <b/>
      <sz val="10"/>
      <color rgb="FF3F3F3F"/>
      <name val="Calibri"/>
      <family val="2"/>
    </font>
    <font>
      <sz val="9"/>
      <color rgb="FFC00000"/>
      <name val="Calibri"/>
      <family val="2"/>
    </font>
    <font>
      <b/>
      <sz val="10"/>
      <color rgb="FF31859B"/>
      <name val="Calibri"/>
      <family val="2"/>
    </font>
    <font>
      <b/>
      <sz val="11"/>
      <color rgb="FF3F3F3F"/>
      <name val="Calibri"/>
      <family val="2"/>
    </font>
    <font>
      <sz val="10"/>
      <color rgb="FF3F3F3F"/>
      <name val="Calibri"/>
      <family val="2"/>
    </font>
    <font>
      <sz val="10"/>
      <color rgb="FF31859B"/>
      <name val="Calibri"/>
      <family val="2"/>
    </font>
    <font>
      <b/>
      <sz val="9"/>
      <color rgb="FF3F3F3F"/>
      <name val="Calibri"/>
      <family val="2"/>
    </font>
    <font>
      <sz val="12"/>
      <color rgb="FF3F3F3F"/>
      <name val="Calibri"/>
      <family val="2"/>
    </font>
    <font>
      <b/>
      <sz val="10"/>
      <color theme="0"/>
      <name val="Calibri"/>
      <family val="2"/>
    </font>
    <font>
      <sz val="16"/>
      <color rgb="FF262626"/>
      <name val="Georgia"/>
      <family val="1"/>
    </font>
    <font>
      <b/>
      <sz val="12"/>
      <color rgb="FF7F7F7F"/>
      <name val="Calibri"/>
      <family val="2"/>
    </font>
    <font>
      <b/>
      <sz val="12"/>
      <color rgb="FF595959"/>
      <name val="Georgia"/>
      <family val="1"/>
    </font>
    <font>
      <b/>
      <sz val="11"/>
      <color rgb="FF231F20"/>
      <name val="Calibri"/>
      <family val="2"/>
    </font>
    <font>
      <b/>
      <sz val="12"/>
      <color rgb="FFF0B12A"/>
      <name val="Calibri"/>
      <family val="2"/>
    </font>
    <font>
      <i/>
      <sz val="10"/>
      <color theme="1"/>
      <name val="Calibri"/>
      <family val="2"/>
    </font>
    <font>
      <b/>
      <sz val="12"/>
      <color rgb="FF0C0C0C"/>
      <name val="Calibri"/>
      <family val="2"/>
    </font>
    <font>
      <b/>
      <sz val="11"/>
      <color rgb="FFF0B12A"/>
      <name val="Calibri"/>
      <family val="2"/>
    </font>
    <font>
      <b/>
      <sz val="11"/>
      <color rgb="FF808080"/>
      <name val="Aptos Narrow"/>
      <family val="2"/>
      <scheme val="minor"/>
    </font>
    <font>
      <sz val="11"/>
      <color rgb="FF0D0D0D"/>
      <name val="Aptos Narrow"/>
      <family val="2"/>
      <scheme val="minor"/>
    </font>
    <font>
      <b/>
      <sz val="12"/>
      <color rgb="FF0C0C0C"/>
      <name val="Aptos Narrow"/>
      <family val="2"/>
      <scheme val="minor"/>
    </font>
    <font>
      <b/>
      <sz val="11"/>
      <color rgb="FFF0B12A"/>
      <name val="Aptos Narrow"/>
      <family val="2"/>
      <scheme val="minor"/>
    </font>
    <font>
      <sz val="12"/>
      <color rgb="FF262626"/>
      <name val="Aptos Narrow"/>
      <family val="2"/>
      <scheme val="minor"/>
    </font>
    <font>
      <b/>
      <sz val="11"/>
      <color rgb="FFEE0000"/>
      <name val="Calibri"/>
      <family val="2"/>
    </font>
    <font>
      <b/>
      <sz val="11"/>
      <color rgb="FFFF0000"/>
      <name val="Calibri"/>
      <family val="2"/>
    </font>
    <font>
      <b/>
      <sz val="12"/>
      <color theme="5"/>
      <name val="Calibri"/>
      <family val="2"/>
    </font>
    <font>
      <b/>
      <sz val="11"/>
      <color theme="1" tint="0.14999847407452621"/>
      <name val="Calibri"/>
      <family val="2"/>
    </font>
    <font>
      <sz val="11"/>
      <color theme="1" tint="0.14999847407452621"/>
      <name val="Calibri"/>
      <family val="2"/>
    </font>
    <font>
      <b/>
      <sz val="12"/>
      <color rgb="FF00B050"/>
      <name val="Calibri"/>
      <family val="2"/>
    </font>
    <font>
      <sz val="12"/>
      <color theme="0" tint="-0.499984740745262"/>
      <name val="Calibri"/>
      <family val="2"/>
    </font>
    <font>
      <strike/>
      <sz val="11"/>
      <color theme="0" tint="-0.499984740745262"/>
      <name val="Calibri"/>
      <family val="2"/>
    </font>
    <font>
      <b/>
      <sz val="12"/>
      <color theme="0" tint="-0.499984740745262"/>
      <name val="Calibri"/>
      <family val="2"/>
    </font>
    <font>
      <sz val="12"/>
      <color theme="0" tint="-0.499984740745262"/>
      <name val="Aptos Narrow"/>
      <family val="2"/>
      <scheme val="minor"/>
    </font>
    <font>
      <sz val="11"/>
      <color theme="1"/>
      <name val="Aptos Narrow"/>
      <family val="2"/>
    </font>
    <font>
      <b/>
      <sz val="10"/>
      <color theme="2" tint="-0.499984740745262"/>
      <name val="Aptos Narrow"/>
      <family val="2"/>
      <scheme val="minor"/>
    </font>
    <font>
      <b/>
      <sz val="10"/>
      <color rgb="FF808080"/>
      <name val="Aptos Narrow"/>
      <family val="2"/>
      <scheme val="minor"/>
    </font>
    <font>
      <sz val="10"/>
      <color rgb="FF7F7F7F"/>
      <name val="Aptos Narrow"/>
      <family val="2"/>
      <scheme val="minor"/>
    </font>
    <font>
      <i/>
      <sz val="10"/>
      <color rgb="FF7F7F7F"/>
      <name val="Aptos Narrow"/>
      <family val="2"/>
      <scheme val="minor"/>
    </font>
    <font>
      <b/>
      <sz val="10"/>
      <color rgb="FF7F7F7F"/>
      <name val="Aptos Narrow"/>
      <family val="2"/>
      <scheme val="minor"/>
    </font>
    <font>
      <b/>
      <sz val="10"/>
      <color theme="1" tint="0.14999847407452621"/>
      <name val="Aptos Narrow"/>
      <family val="2"/>
      <scheme val="minor"/>
    </font>
    <font>
      <sz val="12"/>
      <color theme="1" tint="0.499984740745262"/>
      <name val="Aptos Narrow"/>
      <family val="2"/>
      <scheme val="minor"/>
    </font>
    <font>
      <b/>
      <sz val="14"/>
      <color rgb="FF29524A"/>
      <name val="Aptos Narrow"/>
      <family val="2"/>
      <scheme val="minor"/>
    </font>
    <font>
      <b/>
      <sz val="10"/>
      <color rgb="FF212121"/>
      <name val="Aptos Narrow"/>
      <family val="2"/>
      <scheme val="minor"/>
    </font>
    <font>
      <sz val="10"/>
      <color rgb="FF262626"/>
      <name val="Aptos Narrow"/>
      <family val="2"/>
      <scheme val="minor"/>
    </font>
    <font>
      <i/>
      <sz val="9"/>
      <color rgb="FF000000"/>
      <name val="Aptos Narrow"/>
      <family val="2"/>
      <scheme val="minor"/>
    </font>
    <font>
      <b/>
      <sz val="10"/>
      <color rgb="FF3F3F3F"/>
      <name val="Aptos Narrow"/>
      <family val="2"/>
      <scheme val="minor"/>
    </font>
    <font>
      <sz val="10"/>
      <color rgb="FF3F3F3F"/>
      <name val="Aptos Narrow"/>
      <family val="2"/>
      <scheme val="minor"/>
    </font>
    <font>
      <b/>
      <sz val="9"/>
      <color rgb="FF3F3F3F"/>
      <name val="Aptos Narrow"/>
      <family val="2"/>
      <scheme val="minor"/>
    </font>
    <font>
      <b/>
      <sz val="11"/>
      <name val="Calibri"/>
      <family val="2"/>
    </font>
    <font>
      <i/>
      <sz val="11"/>
      <color theme="1" tint="0.499984740745262"/>
      <name val="Aptos Narrow"/>
      <family val="2"/>
      <scheme val="minor"/>
    </font>
    <font>
      <b/>
      <i/>
      <sz val="11"/>
      <color theme="1" tint="0.499984740745262"/>
      <name val="Aptos Narrow"/>
      <family val="2"/>
      <scheme val="minor"/>
    </font>
    <font>
      <i/>
      <sz val="10"/>
      <color rgb="FF808080"/>
      <name val="Aptos Narrow"/>
      <family val="2"/>
      <scheme val="minor"/>
    </font>
    <font>
      <b/>
      <sz val="11"/>
      <color rgb="FF000000"/>
      <name val="Aptos Narrow"/>
      <family val="2"/>
      <scheme val="minor"/>
    </font>
    <font>
      <b/>
      <sz val="11"/>
      <color rgb="FFEE0000"/>
      <name val="Aptos Narrow"/>
      <family val="2"/>
      <scheme val="minor"/>
    </font>
    <font>
      <sz val="12"/>
      <color rgb="FFF04E2A"/>
      <name val="Aptos Narrow"/>
      <family val="2"/>
      <scheme val="minor"/>
    </font>
    <font>
      <i/>
      <sz val="9"/>
      <name val="Aptos Narrow"/>
      <family val="2"/>
      <scheme val="minor"/>
    </font>
    <font>
      <sz val="9"/>
      <color rgb="FF212121"/>
      <name val="Calibri"/>
      <family val="2"/>
    </font>
    <font>
      <b/>
      <sz val="10"/>
      <color theme="0" tint="-0.499984740745262"/>
      <name val="Aptos Narrow"/>
      <family val="2"/>
      <scheme val="minor"/>
    </font>
    <font>
      <sz val="11"/>
      <color theme="0" tint="-0.499984740745262"/>
      <name val="Aptos Narrow"/>
      <family val="2"/>
      <scheme val="minor"/>
    </font>
    <font>
      <b/>
      <sz val="10"/>
      <color rgb="FF0070C0"/>
      <name val="Aptos Narrow"/>
      <family val="2"/>
      <scheme val="minor"/>
    </font>
  </fonts>
  <fills count="86">
    <fill>
      <patternFill patternType="none"/>
    </fill>
    <fill>
      <patternFill patternType="gray125"/>
    </fill>
    <fill>
      <patternFill patternType="solid">
        <fgColor rgb="FF2B3957"/>
        <bgColor indexed="64"/>
      </patternFill>
    </fill>
    <fill>
      <patternFill patternType="solid">
        <fgColor rgb="FFEFF7F6"/>
        <bgColor indexed="64"/>
      </patternFill>
    </fill>
    <fill>
      <patternFill patternType="solid">
        <fgColor theme="0" tint="-4.9989318521683403E-2"/>
        <bgColor indexed="64"/>
      </patternFill>
    </fill>
    <fill>
      <patternFill patternType="solid">
        <fgColor rgb="FFD1E7E4"/>
        <bgColor indexed="64"/>
      </patternFill>
    </fill>
    <fill>
      <patternFill patternType="solid">
        <fgColor rgb="FF465C8C"/>
        <bgColor indexed="64"/>
      </patternFill>
    </fill>
    <fill>
      <patternFill patternType="solid">
        <fgColor rgb="FFB1D7D2"/>
        <bgColor indexed="64"/>
      </patternFill>
    </fill>
    <fill>
      <patternFill patternType="solid">
        <fgColor theme="0" tint="-0.14999847407452621"/>
        <bgColor indexed="64"/>
      </patternFill>
    </fill>
    <fill>
      <patternFill patternType="solid">
        <fgColor rgb="FFF04E2A"/>
        <bgColor indexed="64"/>
      </patternFill>
    </fill>
    <fill>
      <patternFill patternType="solid">
        <fgColor rgb="FFF9DEA1"/>
        <bgColor indexed="64"/>
      </patternFill>
    </fill>
    <fill>
      <patternFill patternType="solid">
        <fgColor rgb="FFFBEAC5"/>
        <bgColor indexed="64"/>
      </patternFill>
    </fill>
    <fill>
      <patternFill patternType="solid">
        <fgColor theme="6" tint="0.59999389629810485"/>
        <bgColor indexed="64"/>
      </patternFill>
    </fill>
    <fill>
      <patternFill patternType="solid">
        <fgColor rgb="FFFDF7E9"/>
        <bgColor indexed="64"/>
      </patternFill>
    </fill>
    <fill>
      <patternFill patternType="solid">
        <fgColor rgb="FFFEFAF0"/>
        <bgColor indexed="64"/>
      </patternFill>
    </fill>
    <fill>
      <patternFill patternType="solid">
        <fgColor theme="6" tint="0.39997558519241921"/>
        <bgColor indexed="64"/>
      </patternFill>
    </fill>
    <fill>
      <patternFill patternType="solid">
        <fgColor rgb="FFEBF5F4"/>
        <bgColor indexed="64"/>
      </patternFill>
    </fill>
    <fill>
      <patternFill patternType="solid">
        <fgColor rgb="FFF7D485"/>
        <bgColor indexed="64"/>
      </patternFill>
    </fill>
    <fill>
      <patternFill patternType="solid">
        <fgColor rgb="FFF7D589"/>
        <bgColor indexed="64"/>
      </patternFill>
    </fill>
    <fill>
      <patternFill patternType="solid">
        <fgColor theme="6" tint="0.79998168889431442"/>
        <bgColor indexed="64"/>
      </patternFill>
    </fill>
    <fill>
      <patternFill patternType="solid">
        <fgColor rgb="FFE0E5F0"/>
        <bgColor indexed="64"/>
      </patternFill>
    </fill>
    <fill>
      <patternFill patternType="solid">
        <fgColor theme="4" tint="0.79998168889431442"/>
        <bgColor indexed="64"/>
      </patternFill>
    </fill>
    <fill>
      <patternFill patternType="solid">
        <fgColor rgb="FFB0BCD8"/>
        <bgColor indexed="64"/>
      </patternFill>
    </fill>
    <fill>
      <patternFill patternType="solid">
        <fgColor theme="5" tint="0.79998168889431442"/>
        <bgColor indexed="64"/>
      </patternFill>
    </fill>
    <fill>
      <patternFill patternType="solid">
        <fgColor theme="0"/>
        <bgColor indexed="64"/>
      </patternFill>
    </fill>
    <fill>
      <patternFill patternType="solid">
        <fgColor rgb="FFF2F2F2"/>
        <bgColor rgb="FF000000"/>
      </patternFill>
    </fill>
    <fill>
      <patternFill patternType="solid">
        <fgColor rgb="FF29524A"/>
        <bgColor rgb="FF29524A"/>
      </patternFill>
    </fill>
    <fill>
      <patternFill patternType="solid">
        <fgColor rgb="FFEFEFEF"/>
        <bgColor rgb="FFEFEFEF"/>
      </patternFill>
    </fill>
    <fill>
      <patternFill patternType="solid">
        <fgColor rgb="FFF6D07A"/>
        <bgColor rgb="FFF6D07A"/>
      </patternFill>
    </fill>
    <fill>
      <patternFill patternType="solid">
        <fgColor rgb="FFFBE9C1"/>
        <bgColor rgb="FFFBE9C1"/>
      </patternFill>
    </fill>
    <fill>
      <patternFill patternType="solid">
        <fgColor rgb="FFF2F2F2"/>
        <bgColor rgb="FFF2F2F2"/>
      </patternFill>
    </fill>
    <fill>
      <patternFill patternType="solid">
        <fgColor rgb="FFD8D8D8"/>
        <bgColor rgb="FFD8D8D8"/>
      </patternFill>
    </fill>
    <fill>
      <patternFill patternType="solid">
        <fgColor rgb="FFD8ECE8"/>
        <bgColor rgb="FFD8ECE8"/>
      </patternFill>
    </fill>
    <fill>
      <patternFill patternType="solid">
        <fgColor theme="0"/>
        <bgColor theme="0"/>
      </patternFill>
    </fill>
    <fill>
      <patternFill patternType="solid">
        <fgColor rgb="FFF0B12A"/>
        <bgColor rgb="FFF0B12A"/>
      </patternFill>
    </fill>
    <fill>
      <patternFill patternType="solid">
        <fgColor rgb="FFDDD9C3"/>
        <bgColor rgb="FFDDD9C3"/>
      </patternFill>
    </fill>
    <fill>
      <patternFill patternType="solid">
        <fgColor rgb="FFEEECE1"/>
        <bgColor rgb="FFEEECE1"/>
      </patternFill>
    </fill>
    <fill>
      <patternFill patternType="solid">
        <fgColor rgb="FFFEF4CA"/>
        <bgColor rgb="FFFEF4CA"/>
      </patternFill>
    </fill>
    <fill>
      <patternFill patternType="solid">
        <fgColor rgb="FFEEECE1"/>
        <bgColor indexed="64"/>
      </patternFill>
    </fill>
    <fill>
      <patternFill patternType="solid">
        <fgColor rgb="FFFEF4CA"/>
        <bgColor indexed="64"/>
      </patternFill>
    </fill>
    <fill>
      <patternFill patternType="solid">
        <fgColor rgb="FFDAEEF3"/>
        <bgColor rgb="FFDAEEF3"/>
      </patternFill>
    </fill>
    <fill>
      <patternFill patternType="solid">
        <fgColor theme="7" tint="0.59999389629810485"/>
        <bgColor indexed="64"/>
      </patternFill>
    </fill>
    <fill>
      <patternFill patternType="solid">
        <fgColor rgb="FFF7F6F3"/>
        <bgColor rgb="FFEEECE1"/>
      </patternFill>
    </fill>
    <fill>
      <patternFill patternType="solid">
        <fgColor rgb="FFF7F6F3"/>
        <bgColor rgb="FFFEF4CA"/>
      </patternFill>
    </fill>
    <fill>
      <patternFill patternType="solid">
        <fgColor theme="4" tint="0.79998168889431442"/>
        <bgColor rgb="FFEEECE1"/>
      </patternFill>
    </fill>
    <fill>
      <patternFill patternType="solid">
        <fgColor theme="4" tint="0.59999389629810485"/>
        <bgColor indexed="64"/>
      </patternFill>
    </fill>
    <fill>
      <patternFill patternType="solid">
        <fgColor rgb="FFF8F7F2"/>
        <bgColor rgb="FFEEECE1"/>
      </patternFill>
    </fill>
    <fill>
      <patternFill patternType="solid">
        <fgColor rgb="FFF8F7F2"/>
        <bgColor rgb="FFFEF4CA"/>
      </patternFill>
    </fill>
    <fill>
      <patternFill patternType="solid">
        <fgColor rgb="FFF8F7F2"/>
        <bgColor indexed="64"/>
      </patternFill>
    </fill>
    <fill>
      <patternFill patternType="solid">
        <fgColor rgb="FFFEF1B8"/>
        <bgColor rgb="FFFEF1B8"/>
      </patternFill>
    </fill>
    <fill>
      <patternFill patternType="solid">
        <fgColor rgb="FFFFFFFF"/>
        <bgColor rgb="FFFFFFFF"/>
      </patternFill>
    </fill>
    <fill>
      <patternFill patternType="solid">
        <fgColor rgb="FFFBFAF7"/>
        <bgColor indexed="64"/>
      </patternFill>
    </fill>
    <fill>
      <patternFill patternType="solid">
        <fgColor theme="7" tint="0.79998168889431442"/>
        <bgColor indexed="64"/>
      </patternFill>
    </fill>
    <fill>
      <patternFill patternType="solid">
        <fgColor rgb="FFEEECE1"/>
        <bgColor rgb="FF000000"/>
      </patternFill>
    </fill>
    <fill>
      <patternFill patternType="solid">
        <fgColor rgb="FFFFFF00"/>
        <bgColor rgb="FF000000"/>
      </patternFill>
    </fill>
    <fill>
      <patternFill patternType="solid">
        <fgColor rgb="FFE6E6E6"/>
        <bgColor rgb="FF000000"/>
      </patternFill>
    </fill>
    <fill>
      <patternFill patternType="solid">
        <fgColor rgb="FFF2DCDB"/>
        <bgColor rgb="FF000000"/>
      </patternFill>
    </fill>
    <fill>
      <patternFill patternType="solid">
        <fgColor rgb="FFD8E4BC"/>
        <bgColor rgb="FF000000"/>
      </patternFill>
    </fill>
    <fill>
      <patternFill patternType="solid">
        <fgColor rgb="FFD8ECE8"/>
        <bgColor rgb="FF000000"/>
      </patternFill>
    </fill>
    <fill>
      <patternFill patternType="solid">
        <fgColor rgb="FFD9D9D9"/>
        <bgColor rgb="FF000000"/>
      </patternFill>
    </fill>
    <fill>
      <patternFill patternType="solid">
        <fgColor rgb="FFBFBFBF"/>
        <bgColor rgb="FFBFBFBF"/>
      </patternFill>
    </fill>
    <fill>
      <patternFill patternType="solid">
        <fgColor rgb="FFB4C6E7"/>
        <bgColor rgb="FF000000"/>
      </patternFill>
    </fill>
    <fill>
      <patternFill patternType="solid">
        <fgColor rgb="FFD9E1F2"/>
        <bgColor rgb="FF000000"/>
      </patternFill>
    </fill>
    <fill>
      <patternFill patternType="solid">
        <fgColor rgb="FF92D050"/>
        <bgColor rgb="FF92D050"/>
      </patternFill>
    </fill>
    <fill>
      <patternFill patternType="solid">
        <fgColor rgb="FFDDD9C3"/>
        <bgColor rgb="FFF6D07A"/>
      </patternFill>
    </fill>
    <fill>
      <patternFill patternType="solid">
        <fgColor rgb="FFEEECE1"/>
        <bgColor rgb="FFFEF4CA"/>
      </patternFill>
    </fill>
    <fill>
      <patternFill patternType="solid">
        <fgColor theme="4" tint="0.79998168889431442"/>
        <bgColor rgb="FFFEF4CA"/>
      </patternFill>
    </fill>
    <fill>
      <patternFill patternType="solid">
        <fgColor rgb="FFFFFFFF"/>
        <bgColor rgb="FF000000"/>
      </patternFill>
    </fill>
    <fill>
      <patternFill patternType="solid">
        <fgColor rgb="FFFDE891"/>
        <bgColor rgb="FFFDE891"/>
      </patternFill>
    </fill>
    <fill>
      <patternFill patternType="solid">
        <fgColor rgb="FFE4E4E4"/>
        <bgColor rgb="FFEEECE1"/>
      </patternFill>
    </fill>
    <fill>
      <patternFill patternType="solid">
        <fgColor rgb="FFE4E4E4"/>
        <bgColor rgb="FFFEF4CA"/>
      </patternFill>
    </fill>
    <fill>
      <patternFill patternType="solid">
        <fgColor rgb="FFFDE9D9"/>
        <bgColor rgb="FFFDE9D9"/>
      </patternFill>
    </fill>
    <fill>
      <patternFill patternType="solid">
        <fgColor rgb="FFEAF1DD"/>
        <bgColor rgb="FFEAF1DD"/>
      </patternFill>
    </fill>
    <fill>
      <patternFill patternType="solid">
        <fgColor rgb="FFFFFF00"/>
        <bgColor rgb="FFFFFF00"/>
      </patternFill>
    </fill>
    <fill>
      <patternFill patternType="solid">
        <fgColor rgb="FFB8CCE4"/>
        <bgColor rgb="FFB8CCE4"/>
      </patternFill>
    </fill>
    <fill>
      <patternFill patternType="solid">
        <fgColor rgb="FFF7F6F0"/>
        <bgColor rgb="FF000000"/>
      </patternFill>
    </fill>
    <fill>
      <patternFill patternType="solid">
        <fgColor theme="0"/>
        <bgColor rgb="FFEEECE1"/>
      </patternFill>
    </fill>
    <fill>
      <patternFill patternType="solid">
        <fgColor theme="0"/>
        <bgColor rgb="FFFEF4CA"/>
      </patternFill>
    </fill>
    <fill>
      <patternFill patternType="solid">
        <fgColor theme="2"/>
        <bgColor indexed="64"/>
      </patternFill>
    </fill>
    <fill>
      <patternFill patternType="solid">
        <fgColor theme="2"/>
        <bgColor rgb="FFEEECE1"/>
      </patternFill>
    </fill>
    <fill>
      <patternFill patternType="solid">
        <fgColor theme="2"/>
        <bgColor rgb="FFFEF4CA"/>
      </patternFill>
    </fill>
    <fill>
      <patternFill patternType="solid">
        <fgColor theme="4" tint="0.79998168889431442"/>
        <bgColor rgb="FFFEF1B8"/>
      </patternFill>
    </fill>
    <fill>
      <patternFill patternType="solid">
        <fgColor rgb="FFFFF0EF"/>
        <bgColor indexed="64"/>
      </patternFill>
    </fill>
    <fill>
      <patternFill patternType="solid">
        <fgColor theme="7" tint="0.79998168889431442"/>
        <bgColor rgb="FFEEECE1"/>
      </patternFill>
    </fill>
    <fill>
      <patternFill patternType="solid">
        <fgColor rgb="FFFFFFFF"/>
        <bgColor rgb="FFEEECE1"/>
      </patternFill>
    </fill>
    <fill>
      <patternFill patternType="solid">
        <fgColor rgb="FFFFE5E5"/>
        <bgColor indexed="64"/>
      </patternFill>
    </fill>
  </fills>
  <borders count="34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249977111117893"/>
      </left>
      <right style="thin">
        <color theme="1" tint="0.249977111117893"/>
      </right>
      <top style="thin">
        <color theme="1" tint="0.249977111117893"/>
      </top>
      <bottom style="thin">
        <color theme="1" tint="0.249977111117893"/>
      </bottom>
      <diagonal/>
    </border>
    <border>
      <left/>
      <right style="thin">
        <color indexed="64"/>
      </right>
      <top/>
      <bottom/>
      <diagonal/>
    </border>
    <border>
      <left style="thin">
        <color auto="1"/>
      </left>
      <right style="thin">
        <color auto="1"/>
      </right>
      <top/>
      <bottom/>
      <diagonal/>
    </border>
    <border>
      <left style="thin">
        <color theme="1" tint="0.249977111117893"/>
      </left>
      <right style="thin">
        <color indexed="64"/>
      </right>
      <top style="thin">
        <color theme="1" tint="0.499984740745262"/>
      </top>
      <bottom style="thin">
        <color indexed="64"/>
      </bottom>
      <diagonal/>
    </border>
    <border>
      <left/>
      <right style="thin">
        <color indexed="64"/>
      </right>
      <top style="thin">
        <color theme="1" tint="0.499984740745262"/>
      </top>
      <bottom style="thin">
        <color indexed="64"/>
      </bottom>
      <diagonal/>
    </border>
    <border>
      <left style="thin">
        <color indexed="64"/>
      </left>
      <right style="thin">
        <color indexed="64"/>
      </right>
      <top style="thin">
        <color theme="1" tint="0.499984740745262"/>
      </top>
      <bottom style="thin">
        <color indexed="64"/>
      </bottom>
      <diagonal/>
    </border>
    <border>
      <left style="thin">
        <color auto="1"/>
      </left>
      <right style="thin">
        <color auto="1"/>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auto="1"/>
      </top>
      <bottom style="medium">
        <color auto="1"/>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thin">
        <color theme="0" tint="-0.34998626667073579"/>
      </left>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499984740745262"/>
      </right>
      <top style="thin">
        <color theme="1" tint="0.34998626667073579"/>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style="thin">
        <color indexed="64"/>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34998626667073579"/>
      </left>
      <right style="thin">
        <color theme="0" tint="-0.499984740745262"/>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indexed="64"/>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auto="1"/>
      </left>
      <right/>
      <top/>
      <bottom/>
      <diagonal/>
    </border>
    <border>
      <left style="thin">
        <color theme="1" tint="0.34998626667073579"/>
      </left>
      <right style="thin">
        <color theme="1" tint="0.34998626667073579"/>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34998626667073579"/>
      </left>
      <right style="thin">
        <color indexed="64"/>
      </right>
      <top/>
      <bottom/>
      <diagonal/>
    </border>
    <border>
      <left style="thin">
        <color theme="1" tint="0.34998626667073579"/>
      </left>
      <right style="thin">
        <color theme="0" tint="-0.499984740745262"/>
      </right>
      <top/>
      <bottom/>
      <diagonal/>
    </border>
    <border>
      <left/>
      <right style="thin">
        <color theme="1" tint="0.34998626667073579"/>
      </right>
      <top/>
      <bottom/>
      <diagonal/>
    </border>
    <border>
      <left/>
      <right style="thin">
        <color theme="1" tint="0.249977111117893"/>
      </right>
      <top/>
      <bottom/>
      <diagonal/>
    </border>
    <border>
      <left style="thin">
        <color indexed="64"/>
      </left>
      <right style="thin">
        <color theme="1" tint="0.34998626667073579"/>
      </right>
      <top/>
      <bottom/>
      <diagonal/>
    </border>
    <border>
      <left style="thin">
        <color theme="1" tint="0.34998626667073579"/>
      </left>
      <right style="thin">
        <color indexed="64"/>
      </right>
      <top/>
      <bottom style="thin">
        <color theme="1" tint="0.34998626667073579"/>
      </bottom>
      <diagonal/>
    </border>
    <border>
      <left/>
      <right/>
      <top style="thin">
        <color theme="0" tint="-0.499984740745262"/>
      </top>
      <bottom style="thin">
        <color theme="0" tint="-0.499984740745262"/>
      </bottom>
      <diagonal/>
    </border>
    <border>
      <left style="thin">
        <color indexed="64"/>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auto="1"/>
      </left>
      <right style="thin">
        <color auto="1"/>
      </right>
      <top style="thin">
        <color theme="1" tint="0.34998626667073579"/>
      </top>
      <bottom/>
      <diagonal/>
    </border>
    <border>
      <left/>
      <right style="thin">
        <color theme="0" tint="-0.499984740745262"/>
      </right>
      <top style="thin">
        <color theme="0" tint="-0.499984740745262"/>
      </top>
      <bottom style="thin">
        <color theme="0" tint="-0.499984740745262"/>
      </bottom>
      <diagonal/>
    </border>
    <border>
      <left style="thin">
        <color auto="1"/>
      </left>
      <right style="thin">
        <color auto="1"/>
      </right>
      <top/>
      <bottom style="thin">
        <color theme="1" tint="0.34998626667073579"/>
      </bottom>
      <diagonal/>
    </border>
    <border>
      <left style="thin">
        <color theme="1" tint="0.34998626667073579"/>
      </left>
      <right style="thin">
        <color theme="1" tint="0.249977111117893"/>
      </right>
      <top style="thin">
        <color theme="1" tint="0.34998626667073579"/>
      </top>
      <bottom/>
      <diagonal/>
    </border>
    <border>
      <left style="thin">
        <color theme="1" tint="0.249977111117893"/>
      </left>
      <right style="thin">
        <color theme="1" tint="0.249977111117893"/>
      </right>
      <top style="thin">
        <color theme="1" tint="0.34998626667073579"/>
      </top>
      <bottom/>
      <diagonal/>
    </border>
    <border>
      <left style="thin">
        <color theme="1" tint="0.14999847407452621"/>
      </left>
      <right style="thin">
        <color theme="1" tint="0.34998626667073579"/>
      </right>
      <top style="thin">
        <color theme="1" tint="0.34998626667073579"/>
      </top>
      <bottom/>
      <diagonal/>
    </border>
    <border>
      <left style="thin">
        <color theme="1" tint="0.34998626667073579"/>
      </left>
      <right style="thin">
        <color theme="1" tint="0.249977111117893"/>
      </right>
      <top/>
      <bottom/>
      <diagonal/>
    </border>
    <border>
      <left style="thin">
        <color theme="1" tint="0.249977111117893"/>
      </left>
      <right style="thin">
        <color theme="1" tint="0.249977111117893"/>
      </right>
      <top/>
      <bottom/>
      <diagonal/>
    </border>
    <border>
      <left style="thin">
        <color theme="1" tint="0.249977111117893"/>
      </left>
      <right style="thin">
        <color theme="1" tint="0.34998626667073579"/>
      </right>
      <top/>
      <bottom/>
      <diagonal/>
    </border>
    <border>
      <left style="thin">
        <color theme="1" tint="0.14999847407452621"/>
      </left>
      <right style="thin">
        <color theme="1" tint="0.34998626667073579"/>
      </right>
      <top/>
      <bottom/>
      <diagonal/>
    </border>
    <border>
      <left style="thin">
        <color theme="1" tint="0.499984740745262"/>
      </left>
      <right style="thin">
        <color theme="1" tint="0.34998626667073579"/>
      </right>
      <top style="thin">
        <color theme="1" tint="0.34998626667073579"/>
      </top>
      <bottom/>
      <diagonal/>
    </border>
    <border>
      <left/>
      <right/>
      <top/>
      <bottom style="thin">
        <color theme="0" tint="-0.499984740745262"/>
      </bottom>
      <diagonal/>
    </border>
    <border>
      <left/>
      <right style="thin">
        <color theme="1" tint="0.499984740745262"/>
      </right>
      <top/>
      <bottom/>
      <diagonal/>
    </border>
    <border>
      <left style="thin">
        <color theme="1" tint="0.499984740745262"/>
      </left>
      <right style="thin">
        <color theme="1" tint="0.34998626667073579"/>
      </right>
      <top/>
      <bottom/>
      <diagonal/>
    </border>
    <border>
      <left style="thin">
        <color theme="1" tint="0.499984740745262"/>
      </left>
      <right style="thin">
        <color theme="1" tint="0.34998626667073579"/>
      </right>
      <top/>
      <bottom style="thin">
        <color theme="1" tint="0.34998626667073579"/>
      </bottom>
      <diagonal/>
    </border>
    <border>
      <left style="thin">
        <color theme="1" tint="0.34998626667073579"/>
      </left>
      <right style="thin">
        <color theme="1" tint="0.499984740745262"/>
      </right>
      <top style="thin">
        <color theme="1" tint="0.34998626667073579"/>
      </top>
      <bottom style="thin">
        <color theme="1" tint="0.34998626667073579"/>
      </bottom>
      <diagonal/>
    </border>
    <border>
      <left style="thin">
        <color theme="1" tint="0.499984740745262"/>
      </left>
      <right style="thin">
        <color theme="1" tint="0.34998626667073579"/>
      </right>
      <top style="thin">
        <color theme="1" tint="0.34998626667073579"/>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theme="1" tint="0.34998626667073579"/>
      </left>
      <right style="thin">
        <color theme="1" tint="0.14999847407452621"/>
      </right>
      <top/>
      <bottom/>
      <diagonal/>
    </border>
    <border>
      <left style="thin">
        <color theme="1" tint="0.249977111117893"/>
      </left>
      <right style="thin">
        <color auto="1"/>
      </right>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theme="1" tint="0.249977111117893"/>
      </left>
      <right style="thin">
        <color auto="1"/>
      </right>
      <top style="thin">
        <color theme="1" tint="0.34998626667073579"/>
      </top>
      <bottom style="thin">
        <color theme="1" tint="0.34998626667073579"/>
      </bottom>
      <diagonal/>
    </border>
    <border>
      <left style="thin">
        <color theme="0" tint="-0.499984740745262"/>
      </left>
      <right/>
      <top style="thin">
        <color theme="0" tint="-0.499984740745262"/>
      </top>
      <bottom style="thin">
        <color theme="0" tint="-0.499984740745262"/>
      </bottom>
      <diagonal/>
    </border>
    <border>
      <left style="thin">
        <color theme="1" tint="0.249977111117893"/>
      </left>
      <right/>
      <top style="thin">
        <color theme="1" tint="0.249977111117893"/>
      </top>
      <bottom style="thin">
        <color theme="1" tint="0.249977111117893"/>
      </bottom>
      <diagonal/>
    </border>
    <border>
      <left/>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theme="0" tint="-0.499984740745262"/>
      </top>
      <bottom/>
      <diagonal/>
    </border>
    <border>
      <left style="thin">
        <color theme="0" tint="-0.34998626667073579"/>
      </left>
      <right style="thin">
        <color indexed="64"/>
      </right>
      <top style="thin">
        <color indexed="64"/>
      </top>
      <bottom style="thin">
        <color indexed="64"/>
      </bottom>
      <diagonal/>
    </border>
    <border>
      <left style="thin">
        <color indexed="64"/>
      </left>
      <right/>
      <top/>
      <bottom style="thin">
        <color indexed="64"/>
      </bottom>
      <diagonal/>
    </border>
    <border>
      <left style="thin">
        <color theme="1" tint="0.499984740745262"/>
      </left>
      <right/>
      <top/>
      <bottom/>
      <diagonal/>
    </border>
    <border>
      <left/>
      <right/>
      <top/>
      <bottom style="thin">
        <color theme="1" tint="0.499984740745262"/>
      </bottom>
      <diagonal/>
    </border>
    <border>
      <left/>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theme="1" tint="0.14999847407452621"/>
      </left>
      <right/>
      <top style="thin">
        <color theme="1" tint="0.14999847407452621"/>
      </top>
      <bottom style="thin">
        <color indexed="64"/>
      </bottom>
      <diagonal/>
    </border>
    <border>
      <left style="thin">
        <color theme="0" tint="-0.499984740745262"/>
      </left>
      <right style="thin">
        <color theme="1" tint="0.14999847407452621"/>
      </right>
      <top style="thin">
        <color theme="1" tint="0.14999847407452621"/>
      </top>
      <bottom/>
      <diagonal/>
    </border>
    <border>
      <left style="thin">
        <color indexed="64"/>
      </left>
      <right style="thin">
        <color rgb="FF2B3957"/>
      </right>
      <top style="thin">
        <color indexed="64"/>
      </top>
      <bottom style="thin">
        <color indexed="64"/>
      </bottom>
      <diagonal/>
    </border>
    <border>
      <left style="thin">
        <color theme="1" tint="0.14999847407452621"/>
      </left>
      <right/>
      <top style="thin">
        <color indexed="64"/>
      </top>
      <bottom/>
      <diagonal/>
    </border>
    <border>
      <left/>
      <right style="thin">
        <color theme="1" tint="0.14999847407452621"/>
      </right>
      <top/>
      <bottom/>
      <diagonal/>
    </border>
    <border>
      <left style="thin">
        <color auto="1"/>
      </left>
      <right style="thin">
        <color rgb="FF2B3957"/>
      </right>
      <top/>
      <bottom/>
      <diagonal/>
    </border>
    <border>
      <left style="thin">
        <color theme="1" tint="0.14999847407452621"/>
      </left>
      <right/>
      <top/>
      <bottom/>
      <diagonal/>
    </border>
    <border>
      <left style="thin">
        <color auto="1"/>
      </left>
      <right style="thin">
        <color theme="1" tint="0.14999847407452621"/>
      </right>
      <top/>
      <bottom/>
      <diagonal/>
    </border>
    <border>
      <left style="thin">
        <color theme="1" tint="0.14999847407452621"/>
      </left>
      <right style="thin">
        <color theme="1" tint="0.14999847407452621"/>
      </right>
      <top/>
      <bottom/>
      <diagonal/>
    </border>
    <border>
      <left style="thin">
        <color theme="1" tint="0.14999847407452621"/>
      </left>
      <right/>
      <top style="thin">
        <color indexed="64"/>
      </top>
      <bottom style="thin">
        <color theme="1" tint="0.14999847407452621"/>
      </bottom>
      <diagonal/>
    </border>
    <border>
      <left/>
      <right style="thin">
        <color rgb="FF2B3957"/>
      </right>
      <top style="thin">
        <color indexed="64"/>
      </top>
      <bottom style="thin">
        <color indexed="64"/>
      </bottom>
      <diagonal/>
    </border>
    <border>
      <left style="thin">
        <color theme="1" tint="0.14999847407452621"/>
      </left>
      <right style="thin">
        <color auto="1"/>
      </right>
      <top/>
      <bottom/>
      <diagonal/>
    </border>
    <border>
      <left style="thin">
        <color indexed="64"/>
      </left>
      <right/>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left>
      <right style="thin">
        <color theme="1" tint="0.14999847407452621"/>
      </right>
      <top/>
      <bottom/>
      <diagonal/>
    </border>
    <border>
      <left style="thin">
        <color theme="1"/>
      </left>
      <right style="thin">
        <color theme="1"/>
      </right>
      <top/>
      <bottom style="thin">
        <color indexed="64"/>
      </bottom>
      <diagonal/>
    </border>
    <border>
      <left style="thin">
        <color theme="1" tint="0.14999847407452621"/>
      </left>
      <right style="thin">
        <color theme="1"/>
      </right>
      <top style="thin">
        <color indexed="64"/>
      </top>
      <bottom style="thin">
        <color theme="1" tint="0.14999847407452621"/>
      </bottom>
      <diagonal/>
    </border>
    <border>
      <left style="thin">
        <color theme="1"/>
      </left>
      <right style="thin">
        <color theme="1"/>
      </right>
      <top/>
      <bottom/>
      <diagonal/>
    </border>
    <border>
      <left/>
      <right/>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style="thin">
        <color theme="0" tint="-0.34998626667073579"/>
      </right>
      <top style="thin">
        <color rgb="FFA5A5A5"/>
      </top>
      <bottom style="thin">
        <color rgb="FFA5A5A5"/>
      </bottom>
      <diagonal/>
    </border>
    <border>
      <left style="thin">
        <color rgb="FF595959"/>
      </left>
      <right style="thin">
        <color rgb="FF595959"/>
      </right>
      <top style="thin">
        <color rgb="FF595959"/>
      </top>
      <bottom style="thin">
        <color rgb="FF595959"/>
      </bottom>
      <diagonal/>
    </border>
    <border>
      <left style="thin">
        <color rgb="FFA5A5A5"/>
      </left>
      <right style="thin">
        <color rgb="FFA5A5A5"/>
      </right>
      <top style="thin">
        <color rgb="FFA5A5A5"/>
      </top>
      <bottom/>
      <diagonal/>
    </border>
    <border>
      <left style="thin">
        <color rgb="FFA5A5A5"/>
      </left>
      <right style="thin">
        <color theme="0" tint="-0.34998626667073579"/>
      </right>
      <top style="thin">
        <color rgb="FFA5A5A5"/>
      </top>
      <bottom/>
      <diagonal/>
    </border>
    <border>
      <left style="thin">
        <color rgb="FF595959"/>
      </left>
      <right style="thin">
        <color rgb="FF595959"/>
      </right>
      <top style="thin">
        <color rgb="FF595959"/>
      </top>
      <bottom/>
      <diagonal/>
    </border>
    <border>
      <left style="thin">
        <color rgb="FFA5A5A5"/>
      </left>
      <right style="thin">
        <color rgb="FFA5A5A5"/>
      </right>
      <top/>
      <bottom/>
      <diagonal/>
    </border>
    <border>
      <left style="thin">
        <color rgb="FFA5A5A5"/>
      </left>
      <right style="thin">
        <color theme="0" tint="-0.34998626667073579"/>
      </right>
      <top/>
      <bottom/>
      <diagonal/>
    </border>
    <border>
      <left/>
      <right style="thin">
        <color rgb="FF595959"/>
      </right>
      <top/>
      <bottom/>
      <diagonal/>
    </border>
    <border>
      <left style="thin">
        <color rgb="FF595959"/>
      </left>
      <right style="thin">
        <color rgb="FF595959"/>
      </right>
      <top/>
      <bottom/>
      <diagonal/>
    </border>
    <border>
      <left style="thin">
        <color rgb="FFA5A5A5"/>
      </left>
      <right style="thin">
        <color rgb="FFA5A5A5"/>
      </right>
      <top/>
      <bottom style="thin">
        <color rgb="FFA5A5A5"/>
      </bottom>
      <diagonal/>
    </border>
    <border>
      <left style="thin">
        <color rgb="FF595959"/>
      </left>
      <right style="thin">
        <color rgb="FF595959"/>
      </right>
      <top/>
      <bottom style="thin">
        <color rgb="FF595959"/>
      </bottom>
      <diagonal/>
    </border>
    <border>
      <left style="thin">
        <color rgb="FFA5A5A5"/>
      </left>
      <right style="thin">
        <color theme="0" tint="-0.34998626667073579"/>
      </right>
      <top/>
      <bottom style="thin">
        <color rgb="FFA5A5A5"/>
      </bottom>
      <diagonal/>
    </border>
    <border>
      <left/>
      <right/>
      <top style="thin">
        <color rgb="FF595959"/>
      </top>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style="thin">
        <color rgb="FFA5A5A5"/>
      </left>
      <right style="thin">
        <color rgb="FF595959"/>
      </right>
      <top/>
      <bottom/>
      <diagonal/>
    </border>
    <border>
      <left/>
      <right style="thin">
        <color rgb="FFA5A5A5"/>
      </right>
      <top/>
      <bottom/>
      <diagonal/>
    </border>
    <border>
      <left style="thin">
        <color rgb="FFA5A5A5"/>
      </left>
      <right/>
      <top/>
      <bottom/>
      <diagonal/>
    </border>
    <border>
      <left style="thin">
        <color rgb="FFA5A5A5"/>
      </left>
      <right/>
      <top/>
      <bottom style="thin">
        <color rgb="FFA5A5A5"/>
      </bottom>
      <diagonal/>
    </border>
    <border>
      <left style="thin">
        <color rgb="FFA5A5A5"/>
      </left>
      <right/>
      <top style="thin">
        <color rgb="FFA5A5A5"/>
      </top>
      <bottom/>
      <diagonal/>
    </border>
    <border>
      <left/>
      <right/>
      <top style="thin">
        <color rgb="FFA5A5A5"/>
      </top>
      <bottom/>
      <diagonal/>
    </border>
    <border>
      <left style="thin">
        <color theme="0" tint="-0.34998626667073579"/>
      </left>
      <right style="thin">
        <color rgb="FFA5A5A5"/>
      </right>
      <top style="thin">
        <color rgb="FFA5A5A5"/>
      </top>
      <bottom/>
      <diagonal/>
    </border>
    <border>
      <left style="thin">
        <color theme="0" tint="-0.249977111117893"/>
      </left>
      <right style="thin">
        <color rgb="FFA5A5A5"/>
      </right>
      <top/>
      <bottom/>
      <diagonal/>
    </border>
    <border>
      <left style="thin">
        <color theme="0" tint="-0.249977111117893"/>
      </left>
      <right style="thin">
        <color rgb="FFA5A5A5"/>
      </right>
      <top/>
      <bottom style="thin">
        <color rgb="FFA5A5A5"/>
      </bottom>
      <diagonal/>
    </border>
    <border>
      <left/>
      <right style="thin">
        <color theme="0" tint="-0.34998626667073579"/>
      </right>
      <top/>
      <bottom/>
      <diagonal/>
    </border>
    <border>
      <left style="thin">
        <color rgb="FFA5A5A5"/>
      </left>
      <right style="thin">
        <color indexed="64"/>
      </right>
      <top style="thin">
        <color rgb="FFA5A5A5"/>
      </top>
      <bottom style="thin">
        <color rgb="FFA5A5A5"/>
      </bottom>
      <diagonal/>
    </border>
    <border>
      <left style="thin">
        <color rgb="FFA5A5A5"/>
      </left>
      <right style="thin">
        <color indexed="64"/>
      </right>
      <top style="thin">
        <color rgb="FFA5A5A5"/>
      </top>
      <bottom/>
      <diagonal/>
    </border>
    <border>
      <left style="thin">
        <color rgb="FFA5A5A5"/>
      </left>
      <right style="thin">
        <color indexed="64"/>
      </right>
      <top/>
      <bottom/>
      <diagonal/>
    </border>
    <border>
      <left style="thin">
        <color rgb="FFA5A5A5"/>
      </left>
      <right style="thin">
        <color indexed="64"/>
      </right>
      <top/>
      <bottom style="thin">
        <color rgb="FFA5A5A5"/>
      </bottom>
      <diagonal/>
    </border>
    <border>
      <left/>
      <right style="thin">
        <color theme="0" tint="-0.34998626667073579"/>
      </right>
      <top style="thin">
        <color rgb="FFA5A5A5"/>
      </top>
      <bottom/>
      <diagonal/>
    </border>
    <border>
      <left style="thin">
        <color theme="0" tint="-0.34998626667073579"/>
      </left>
      <right style="thin">
        <color theme="0" tint="-0.34998626667073579"/>
      </right>
      <top style="thin">
        <color rgb="FFA5A5A5"/>
      </top>
      <bottom/>
      <diagonal/>
    </border>
    <border>
      <left style="thin">
        <color theme="0" tint="-0.34998626667073579"/>
      </left>
      <right style="thin">
        <color theme="0" tint="-0.34998626667073579"/>
      </right>
      <top/>
      <bottom/>
      <diagonal/>
    </border>
    <border>
      <left/>
      <right style="thin">
        <color theme="0" tint="-0.34998626667073579"/>
      </right>
      <top/>
      <bottom style="thin">
        <color rgb="FFA5A5A5"/>
      </bottom>
      <diagonal/>
    </border>
    <border>
      <left style="thin">
        <color theme="0" tint="-0.34998626667073579"/>
      </left>
      <right style="thin">
        <color theme="0" tint="-0.34998626667073579"/>
      </right>
      <top/>
      <bottom style="thin">
        <color rgb="FFA5A5A5"/>
      </bottom>
      <diagonal/>
    </border>
    <border>
      <left/>
      <right style="thin">
        <color rgb="FFA5A5A5"/>
      </right>
      <top/>
      <bottom style="thin">
        <color rgb="FFA5A5A5"/>
      </bottom>
      <diagonal/>
    </border>
    <border>
      <left/>
      <right style="thin">
        <color rgb="FFA5A5A5"/>
      </right>
      <top style="thin">
        <color rgb="FFA5A5A5"/>
      </top>
      <bottom/>
      <diagonal/>
    </border>
    <border>
      <left style="thin">
        <color theme="0" tint="-0.34998626667073579"/>
      </left>
      <right style="thin">
        <color rgb="FFA5A5A5"/>
      </right>
      <top/>
      <bottom/>
      <diagonal/>
    </border>
    <border>
      <left style="thin">
        <color theme="0" tint="-0.249977111117893"/>
      </left>
      <right/>
      <top/>
      <bottom style="thin">
        <color rgb="FFA5A5A5"/>
      </bottom>
      <diagonal/>
    </border>
    <border>
      <left style="thin">
        <color theme="0" tint="-0.249977111117893"/>
      </left>
      <right style="thin">
        <color theme="0" tint="-0.249977111117893"/>
      </right>
      <top/>
      <bottom style="thin">
        <color rgb="FFA5A5A5"/>
      </bottom>
      <diagonal/>
    </border>
    <border>
      <left style="thin">
        <color rgb="FFA5A5A5"/>
      </left>
      <right style="thin">
        <color rgb="FFA5A5A5"/>
      </right>
      <top/>
      <bottom style="thin">
        <color theme="0" tint="-0.34998626667073579"/>
      </bottom>
      <diagonal/>
    </border>
    <border>
      <left style="thin">
        <color rgb="FFA5A5A5"/>
      </left>
      <right style="thin">
        <color theme="0" tint="-0.249977111117893"/>
      </right>
      <top style="thin">
        <color rgb="FFA5A5A5"/>
      </top>
      <bottom style="thin">
        <color rgb="FFA5A5A5"/>
      </bottom>
      <diagonal/>
    </border>
    <border>
      <left style="thin">
        <color rgb="FFA5A5A5"/>
      </left>
      <right style="thin">
        <color theme="0" tint="-0.249977111117893"/>
      </right>
      <top style="thin">
        <color rgb="FFA5A5A5"/>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rgb="FFA5A5A5"/>
      </left>
      <right style="thin">
        <color rgb="FFA5A5A5"/>
      </right>
      <top/>
      <bottom style="thin">
        <color rgb="FFFF0000"/>
      </bottom>
      <diagonal/>
    </border>
    <border>
      <left style="thin">
        <color rgb="FFA5A5A5"/>
      </left>
      <right style="thin">
        <color rgb="FFFF0000"/>
      </right>
      <top/>
      <bottom/>
      <diagonal/>
    </border>
    <border>
      <left style="thin">
        <color rgb="FFFF0000"/>
      </left>
      <right style="thin">
        <color rgb="FFFF0000"/>
      </right>
      <top/>
      <bottom style="thin">
        <color rgb="FFFF0000"/>
      </bottom>
      <diagonal/>
    </border>
    <border>
      <left style="thin">
        <color rgb="FFA5A5A5"/>
      </left>
      <right style="thin">
        <color theme="0" tint="-0.499984740745262"/>
      </right>
      <top/>
      <bottom/>
      <diagonal/>
    </border>
    <border>
      <left style="thin">
        <color theme="0" tint="-0.499984740745262"/>
      </left>
      <right style="thin">
        <color theme="0" tint="-0.499984740745262"/>
      </right>
      <top/>
      <bottom/>
      <diagonal/>
    </border>
    <border>
      <left style="thin">
        <color rgb="FFA5A5A5"/>
      </left>
      <right style="thin">
        <color rgb="FFA5A5A5"/>
      </right>
      <top style="thin">
        <color theme="0" tint="-0.34998626667073579"/>
      </top>
      <bottom/>
      <diagonal/>
    </border>
    <border>
      <left/>
      <right/>
      <top style="thin">
        <color theme="0" tint="-0.34998626667073579"/>
      </top>
      <bottom/>
      <diagonal/>
    </border>
    <border>
      <left/>
      <right/>
      <top/>
      <bottom style="thin">
        <color theme="0" tint="-0.34998626667073579"/>
      </bottom>
      <diagonal/>
    </border>
    <border>
      <left style="thin">
        <color rgb="FFA5A5A5"/>
      </left>
      <right style="thin">
        <color rgb="FFA6A6A6"/>
      </right>
      <top style="thin">
        <color rgb="FFA5A5A5"/>
      </top>
      <bottom/>
      <diagonal/>
    </border>
    <border>
      <left style="thin">
        <color rgb="FFA5A5A5"/>
      </left>
      <right style="thin">
        <color rgb="FFA6A6A6"/>
      </right>
      <top/>
      <bottom/>
      <diagonal/>
    </border>
    <border>
      <left style="thin">
        <color theme="0" tint="-0.34998626667073579"/>
      </left>
      <right/>
      <top style="thin">
        <color rgb="FFA5A5A5"/>
      </top>
      <bottom/>
      <diagonal/>
    </border>
    <border>
      <left style="thin">
        <color theme="0" tint="-0.34998626667073579"/>
      </left>
      <right/>
      <top style="thin">
        <color rgb="FFA5A5A5"/>
      </top>
      <bottom style="thin">
        <color theme="0" tint="-0.34998626667073579"/>
      </bottom>
      <diagonal/>
    </border>
    <border>
      <left style="thin">
        <color theme="0" tint="-0.34998626667073579"/>
      </left>
      <right style="thin">
        <color theme="0" tint="-0.34998626667073579"/>
      </right>
      <top style="thin">
        <color rgb="FFA5A5A5"/>
      </top>
      <bottom style="thin">
        <color theme="0" tint="-0.34998626667073579"/>
      </bottom>
      <diagonal/>
    </border>
    <border>
      <left style="thin">
        <color theme="0" tint="-0.34998626667073579"/>
      </left>
      <right style="thin">
        <color rgb="FFA5A5A5"/>
      </right>
      <top style="thin">
        <color rgb="FFA5A5A5"/>
      </top>
      <bottom style="thin">
        <color theme="0" tint="-0.34998626667073579"/>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bottom style="thick">
        <color rgb="FF000000"/>
      </bottom>
      <diagonal/>
    </border>
    <border>
      <left style="thin">
        <color rgb="FFA5A5A5"/>
      </left>
      <right style="thin">
        <color theme="0" tint="-0.499984740745262"/>
      </right>
      <top style="thin">
        <color rgb="FFA5A5A5"/>
      </top>
      <bottom/>
      <diagonal/>
    </border>
    <border>
      <left style="thin">
        <color rgb="FFA5A5A5"/>
      </left>
      <right style="thin">
        <color rgb="FFA5A5A5"/>
      </right>
      <top style="thin">
        <color theme="0" tint="-0.14999847407452621"/>
      </top>
      <bottom/>
      <diagonal/>
    </border>
    <border>
      <left/>
      <right/>
      <top style="thin">
        <color theme="0" tint="-0.14999847407452621"/>
      </top>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A5A5A5"/>
      </bottom>
      <diagonal/>
    </border>
    <border>
      <left style="thin">
        <color rgb="FFFF0000"/>
      </left>
      <right style="thin">
        <color rgb="FFFF0000"/>
      </right>
      <top style="thin">
        <color rgb="FFA5A5A5"/>
      </top>
      <bottom/>
      <diagonal/>
    </border>
    <border>
      <left style="thin">
        <color theme="0" tint="-0.34998626667073579"/>
      </left>
      <right style="thin">
        <color rgb="FFA5A5A5"/>
      </right>
      <top/>
      <bottom style="thin">
        <color rgb="FFA5A5A5"/>
      </bottom>
      <diagonal/>
    </border>
    <border>
      <left style="thin">
        <color theme="0" tint="-0.34998626667073579"/>
      </left>
      <right/>
      <top/>
      <bottom style="thin">
        <color rgb="FFA5A5A5"/>
      </bottom>
      <diagonal/>
    </border>
    <border>
      <left style="thin">
        <color rgb="FFA5A5A5"/>
      </left>
      <right style="thin">
        <color rgb="FFA5A5A5"/>
      </right>
      <top/>
      <bottom style="thin">
        <color theme="0" tint="-0.249977111117893"/>
      </bottom>
      <diagonal/>
    </border>
    <border>
      <left/>
      <right/>
      <top/>
      <bottom style="thin">
        <color theme="0" tint="-0.249977111117893"/>
      </bottom>
      <diagonal/>
    </border>
    <border>
      <left style="thin">
        <color rgb="FFA5A5A5"/>
      </left>
      <right/>
      <top/>
      <bottom style="thin">
        <color theme="0" tint="-0.249977111117893"/>
      </bottom>
      <diagonal/>
    </border>
    <border>
      <left style="thin">
        <color theme="0" tint="-0.34998626667073579"/>
      </left>
      <right style="thin">
        <color theme="0" tint="-0.34998626667073579"/>
      </right>
      <top/>
      <bottom style="thin">
        <color theme="0" tint="-0.34998626667073579"/>
      </bottom>
      <diagonal/>
    </border>
    <border>
      <left/>
      <right style="thin">
        <color rgb="FFA5A5A5"/>
      </right>
      <top/>
      <bottom style="thin">
        <color theme="0" tint="-0.249977111117893"/>
      </bottom>
      <diagonal/>
    </border>
    <border>
      <left style="thin">
        <color rgb="FFA5A5A5"/>
      </left>
      <right style="thin">
        <color theme="0" tint="-0.34998626667073579"/>
      </right>
      <top style="thin">
        <color rgb="FFA5A5A5"/>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1"/>
      </left>
      <right style="thin">
        <color theme="1" tint="0.34998626667073579"/>
      </right>
      <top/>
      <bottom/>
      <diagonal/>
    </border>
    <border>
      <left style="thin">
        <color rgb="FFA5A5A5"/>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style="thin">
        <color rgb="FFA5A5A5"/>
      </right>
      <top/>
      <bottom/>
      <diagonal/>
    </border>
    <border>
      <left/>
      <right style="thin">
        <color rgb="FF999999"/>
      </right>
      <top/>
      <bottom/>
      <diagonal/>
    </border>
    <border>
      <left style="thin">
        <color rgb="FF999999"/>
      </left>
      <right style="thin">
        <color rgb="FFA5A5A5"/>
      </right>
      <top/>
      <bottom style="thin">
        <color theme="0" tint="-0.34998626667073579"/>
      </bottom>
      <diagonal/>
    </border>
    <border>
      <left style="thin">
        <color rgb="FFA5A5A5"/>
      </left>
      <right style="thin">
        <color rgb="FF999999"/>
      </right>
      <top/>
      <bottom/>
      <diagonal/>
    </border>
    <border>
      <left style="thin">
        <color theme="0" tint="-0.34998626667073579"/>
      </left>
      <right style="thin">
        <color rgb="FF595959"/>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right/>
      <top/>
      <bottom style="thin">
        <color rgb="FF000000"/>
      </bottom>
      <diagonal/>
    </border>
    <border>
      <left/>
      <right style="thin">
        <color theme="0" tint="-0.249977111117893"/>
      </right>
      <top/>
      <bottom style="thin">
        <color theme="0" tint="-0.249977111117893"/>
      </bottom>
      <diagonal/>
    </border>
    <border>
      <left/>
      <right/>
      <top style="thin">
        <color theme="0" tint="-0.249977111117893"/>
      </top>
      <bottom/>
      <diagonal/>
    </border>
    <border>
      <left style="thin">
        <color rgb="FFA5A5A5"/>
      </left>
      <right style="thin">
        <color rgb="FFA5A5A5"/>
      </right>
      <top/>
      <bottom style="thin">
        <color rgb="FF000000"/>
      </bottom>
      <diagonal/>
    </border>
    <border>
      <left/>
      <right style="thin">
        <color rgb="FFA5A5A5"/>
      </right>
      <top/>
      <bottom style="thin">
        <color rgb="FF000000"/>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style="thin">
        <color rgb="FFA5A5A5"/>
      </left>
      <right style="thin">
        <color rgb="FFA5A5A5"/>
      </right>
      <top style="thin">
        <color indexed="64"/>
      </top>
      <bottom/>
      <diagonal/>
    </border>
    <border>
      <left style="thin">
        <color rgb="FFA5A5A5"/>
      </left>
      <right style="thin">
        <color theme="0" tint="-0.34998626667073579"/>
      </right>
      <top style="thin">
        <color indexed="64"/>
      </top>
      <bottom/>
      <diagonal/>
    </border>
    <border>
      <left/>
      <right style="thin">
        <color rgb="FFA5A5A5"/>
      </right>
      <top style="thin">
        <color indexed="64"/>
      </top>
      <bottom/>
      <diagonal/>
    </border>
    <border>
      <left/>
      <right style="thin">
        <color theme="0" tint="-0.34998626667073579"/>
      </right>
      <top style="thin">
        <color rgb="FFA5A5A5"/>
      </top>
      <bottom style="thin">
        <color rgb="FFA5A5A5"/>
      </bottom>
      <diagonal/>
    </border>
    <border>
      <left style="thick">
        <color rgb="FFA5A5A5"/>
      </left>
      <right/>
      <top style="thick">
        <color rgb="FFA5A5A5"/>
      </top>
      <bottom style="thick">
        <color rgb="FFA5A5A5"/>
      </bottom>
      <diagonal/>
    </border>
    <border>
      <left/>
      <right/>
      <top style="thick">
        <color rgb="FFA5A5A5"/>
      </top>
      <bottom style="thick">
        <color rgb="FFA5A5A5"/>
      </bottom>
      <diagonal/>
    </border>
    <border>
      <left/>
      <right style="thick">
        <color rgb="FFA5A5A5"/>
      </right>
      <top style="thick">
        <color rgb="FFA5A5A5"/>
      </top>
      <bottom style="thick">
        <color rgb="FFA5A5A5"/>
      </bottom>
      <diagonal/>
    </border>
    <border>
      <left style="thick">
        <color rgb="FFA5A5A5"/>
      </left>
      <right style="thick">
        <color rgb="FFA5A5A5"/>
      </right>
      <top/>
      <bottom/>
      <diagonal/>
    </border>
    <border>
      <left/>
      <right style="thick">
        <color rgb="FFA5A5A5"/>
      </right>
      <top/>
      <bottom/>
      <diagonal/>
    </border>
    <border>
      <left style="thick">
        <color rgb="FFA5A5A5"/>
      </left>
      <right/>
      <top/>
      <bottom/>
      <diagonal/>
    </border>
    <border>
      <left style="thick">
        <color rgb="FFA5A5A5"/>
      </left>
      <right style="thick">
        <color rgb="FFA5A5A5"/>
      </right>
      <top/>
      <bottom style="thick">
        <color rgb="FFA5A5A5"/>
      </bottom>
      <diagonal/>
    </border>
    <border>
      <left/>
      <right/>
      <top/>
      <bottom style="thick">
        <color rgb="FFA5A5A5"/>
      </bottom>
      <diagonal/>
    </border>
    <border>
      <left/>
      <right style="thick">
        <color rgb="FFA5A5A5"/>
      </right>
      <top/>
      <bottom style="thick">
        <color rgb="FFA5A5A5"/>
      </bottom>
      <diagonal/>
    </border>
    <border>
      <left/>
      <right/>
      <top style="thick">
        <color rgb="FFA5A5A5"/>
      </top>
      <bottom/>
      <diagonal/>
    </border>
    <border>
      <left style="medium">
        <color rgb="FFA6A6A6"/>
      </left>
      <right style="medium">
        <color rgb="FFA6A6A6"/>
      </right>
      <top style="medium">
        <color rgb="FFA6A6A6"/>
      </top>
      <bottom/>
      <diagonal/>
    </border>
    <border>
      <left style="medium">
        <color rgb="FFA6A6A6"/>
      </left>
      <right style="medium">
        <color rgb="FFA6A6A6"/>
      </right>
      <top/>
      <bottom/>
      <diagonal/>
    </border>
    <border>
      <left style="medium">
        <color rgb="FFA6A6A6"/>
      </left>
      <right style="medium">
        <color rgb="FFA6A6A6"/>
      </right>
      <top/>
      <bottom style="medium">
        <color rgb="FFA6A6A6"/>
      </bottom>
      <diagonal/>
    </border>
    <border>
      <left/>
      <right style="thick">
        <color rgb="FFA5A5A5"/>
      </right>
      <top style="thick">
        <color rgb="FFA5A5A5"/>
      </top>
      <bottom/>
      <diagonal/>
    </border>
    <border>
      <left style="thin">
        <color theme="0" tint="-0.249977111117893"/>
      </left>
      <right style="thin">
        <color rgb="FF595959"/>
      </right>
      <top/>
      <bottom/>
      <diagonal/>
    </border>
    <border>
      <left style="thin">
        <color rgb="FFA5A5A5"/>
      </left>
      <right style="thin">
        <color theme="0" tint="-0.249977111117893"/>
      </right>
      <top/>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bottom/>
      <diagonal/>
    </border>
    <border>
      <left style="thin">
        <color rgb="FF000000"/>
      </left>
      <right style="medium">
        <color rgb="FF000000"/>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A6A6A6"/>
      </right>
      <top/>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diagonalUp="1" diagonalDown="1">
      <left/>
      <right style="thin">
        <color rgb="FFA5A5A5"/>
      </right>
      <top/>
      <bottom/>
      <diagonal style="thin">
        <color rgb="FFA5A5A5"/>
      </diagonal>
    </border>
    <border>
      <left style="thin">
        <color rgb="FFA5A5A5"/>
      </left>
      <right style="thin">
        <color theme="0" tint="-0.34998626667073579"/>
      </right>
      <top style="thin">
        <color theme="0" tint="-0.34998626667073579"/>
      </top>
      <bottom/>
      <diagonal/>
    </border>
    <border>
      <left/>
      <right style="thin">
        <color rgb="FFA5A5A5"/>
      </right>
      <top/>
      <bottom style="thin">
        <color theme="0" tint="-0.34998626667073579"/>
      </bottom>
      <diagonal/>
    </border>
    <border>
      <left style="thin">
        <color theme="0" tint="-0.34998626667073579"/>
      </left>
      <right style="thin">
        <color rgb="FFA5A5A5"/>
      </right>
      <top/>
      <bottom style="thin">
        <color theme="0" tint="-0.34998626667073579"/>
      </bottom>
      <diagonal/>
    </border>
    <border>
      <left style="thin">
        <color rgb="FFA6A6A6"/>
      </left>
      <right style="thin">
        <color rgb="FFA6A6A6"/>
      </right>
      <top/>
      <bottom/>
      <diagonal/>
    </border>
    <border>
      <left style="thin">
        <color rgb="FFA6A6A6"/>
      </left>
      <right/>
      <top/>
      <bottom/>
      <diagonal/>
    </border>
    <border>
      <left style="thin">
        <color theme="1"/>
      </left>
      <right/>
      <top/>
      <bottom/>
      <diagonal/>
    </border>
    <border>
      <left/>
      <right style="thin">
        <color theme="0" tint="-0.34998626667073579"/>
      </right>
      <top/>
      <bottom style="thin">
        <color theme="0" tint="-0.34998626667073579"/>
      </bottom>
      <diagonal/>
    </border>
    <border>
      <left style="thin">
        <color rgb="FFBFBFBF"/>
      </left>
      <right/>
      <top style="thin">
        <color rgb="FFA5A5A5"/>
      </top>
      <bottom/>
      <diagonal/>
    </border>
    <border>
      <left style="thin">
        <color rgb="FFA6A6A6"/>
      </left>
      <right style="thin">
        <color rgb="FFA6A6A6"/>
      </right>
      <top style="thin">
        <color rgb="FFA5A5A5"/>
      </top>
      <bottom/>
      <diagonal/>
    </border>
    <border>
      <left style="thin">
        <color rgb="FFA6A6A6"/>
      </left>
      <right/>
      <top style="thin">
        <color rgb="FFA5A5A5"/>
      </top>
      <bottom/>
      <diagonal/>
    </border>
    <border>
      <left style="thin">
        <color theme="0" tint="-0.34998626667073579"/>
      </left>
      <right style="thin">
        <color rgb="FFA6A6A6"/>
      </right>
      <top style="thin">
        <color rgb="FFA5A5A5"/>
      </top>
      <bottom/>
      <diagonal/>
    </border>
    <border>
      <left/>
      <right style="thin">
        <color theme="0" tint="-0.34998626667073579"/>
      </right>
      <top style="thin">
        <color theme="0" tint="-0.34998626667073579"/>
      </top>
      <bottom/>
      <diagonal/>
    </border>
    <border>
      <left style="thin">
        <color rgb="FFA6A6A6"/>
      </left>
      <right style="thin">
        <color rgb="FFA5A5A5"/>
      </right>
      <top/>
      <bottom/>
      <diagonal/>
    </border>
    <border>
      <left style="thin">
        <color rgb="FFA6A6A6"/>
      </left>
      <right style="thin">
        <color theme="0" tint="-0.34998626667073579"/>
      </right>
      <top/>
      <bottom/>
      <diagonal/>
    </border>
    <border>
      <left style="thin">
        <color theme="0" tint="-0.34998626667073579"/>
      </left>
      <right style="thin">
        <color rgb="FFA6A6A6"/>
      </right>
      <top/>
      <bottom/>
      <diagonal/>
    </border>
    <border>
      <left style="thin">
        <color indexed="64"/>
      </left>
      <right style="thin">
        <color rgb="FFA5A5A5"/>
      </right>
      <top style="thin">
        <color indexed="64"/>
      </top>
      <bottom/>
      <diagonal/>
    </border>
    <border>
      <left style="thin">
        <color rgb="FFA5A5A5"/>
      </left>
      <right/>
      <top style="thin">
        <color indexed="64"/>
      </top>
      <bottom/>
      <diagonal/>
    </border>
    <border>
      <left style="thin">
        <color theme="0" tint="-0.34998626667073579"/>
      </left>
      <right style="thin">
        <color theme="0" tint="-0.34998626667073579"/>
      </right>
      <top style="thin">
        <color indexed="64"/>
      </top>
      <bottom/>
      <diagonal/>
    </border>
    <border>
      <left style="thin">
        <color rgb="FFA5A5A5"/>
      </left>
      <right style="thin">
        <color indexed="64"/>
      </right>
      <top style="thin">
        <color indexed="64"/>
      </top>
      <bottom/>
      <diagonal/>
    </border>
    <border>
      <left/>
      <right style="thin">
        <color rgb="FFBFBFBF"/>
      </right>
      <top style="thin">
        <color rgb="FFA5A5A5"/>
      </top>
      <bottom style="thin">
        <color rgb="FFA5A5A5"/>
      </bottom>
      <diagonal/>
    </border>
    <border>
      <left style="thin">
        <color indexed="64"/>
      </left>
      <right style="thin">
        <color rgb="FFA5A5A5"/>
      </right>
      <top/>
      <bottom/>
      <diagonal/>
    </border>
    <border>
      <left style="thin">
        <color rgb="FFBFBFBF"/>
      </left>
      <right style="thin">
        <color rgb="FFBFBFBF"/>
      </right>
      <top/>
      <bottom/>
      <diagonal/>
    </border>
    <border>
      <left style="thin">
        <color rgb="FFBFBFBF"/>
      </left>
      <right style="thin">
        <color indexed="64"/>
      </right>
      <top/>
      <bottom/>
      <diagonal/>
    </border>
    <border>
      <left/>
      <right style="thin">
        <color rgb="FFBFBFBF"/>
      </right>
      <top style="thin">
        <color rgb="FFA5A5A5"/>
      </top>
      <bottom/>
      <diagonal/>
    </border>
    <border>
      <left style="thin">
        <color theme="0" tint="-0.34998626667073579"/>
      </left>
      <right style="thin">
        <color indexed="64"/>
      </right>
      <top/>
      <bottom/>
      <diagonal/>
    </border>
    <border>
      <left style="thin">
        <color theme="0" tint="-0.34998626667073579"/>
      </left>
      <right style="thin">
        <color rgb="FFA5A5A5"/>
      </right>
      <top style="thin">
        <color theme="0" tint="-0.34998626667073579"/>
      </top>
      <bottom/>
      <diagonal/>
    </border>
    <border>
      <left/>
      <right style="thin">
        <color rgb="FFA5A5A5"/>
      </right>
      <top/>
      <bottom style="thin">
        <color rgb="FFA6A6A6"/>
      </bottom>
      <diagonal/>
    </border>
    <border>
      <left style="thin">
        <color theme="0" tint="-0.34998626667073579"/>
      </left>
      <right style="thin">
        <color rgb="FFA5A5A5"/>
      </right>
      <top style="thin">
        <color theme="0" tint="-0.34998626667073579"/>
      </top>
      <bottom style="thin">
        <color theme="0" tint="-0.34998626667073579"/>
      </bottom>
      <diagonal/>
    </border>
    <border>
      <left style="thin">
        <color rgb="FFA5A5A5"/>
      </left>
      <right style="thin">
        <color rgb="FFA5A5A5"/>
      </right>
      <top style="thin">
        <color theme="0" tint="-0.34998626667073579"/>
      </top>
      <bottom style="thin">
        <color theme="0" tint="-0.34998626667073579"/>
      </bottom>
      <diagonal/>
    </border>
    <border>
      <left style="thin">
        <color rgb="FFA5A5A5"/>
      </left>
      <right style="thin">
        <color theme="0" tint="-0.34998626667073579"/>
      </right>
      <top style="thin">
        <color theme="0" tint="-0.34998626667073579"/>
      </top>
      <bottom style="thin">
        <color theme="0" tint="-0.34998626667073579"/>
      </bottom>
      <diagonal/>
    </border>
    <border>
      <left/>
      <right style="thin">
        <color rgb="FFA5A5A5"/>
      </right>
      <top style="thin">
        <color rgb="FFA6A6A6"/>
      </top>
      <bottom style="thin">
        <color rgb="FFA6A6A6"/>
      </bottom>
      <diagonal/>
    </border>
    <border>
      <left/>
      <right/>
      <top style="thin">
        <color rgb="FFA5A5A5"/>
      </top>
      <bottom style="thin">
        <color rgb="FFA6A6A6"/>
      </bottom>
      <diagonal/>
    </border>
    <border>
      <left style="thin">
        <color rgb="FFA5A5A5"/>
      </left>
      <right style="thin">
        <color rgb="FFA5A5A5"/>
      </right>
      <top style="thin">
        <color rgb="FFA5A5A5"/>
      </top>
      <bottom style="thin">
        <color rgb="FFA6A6A6"/>
      </bottom>
      <diagonal/>
    </border>
    <border>
      <left/>
      <right style="thin">
        <color rgb="FFA5A5A5"/>
      </right>
      <top style="thin">
        <color theme="0" tint="-0.34998626667073579"/>
      </top>
      <bottom style="thin">
        <color theme="0" tint="-0.34998626667073579"/>
      </bottom>
      <diagonal/>
    </border>
    <border>
      <left/>
      <right style="thin">
        <color rgb="FFA6A6A6"/>
      </right>
      <top style="thin">
        <color rgb="FFA6A6A6"/>
      </top>
      <bottom style="thin">
        <color rgb="FFA6A6A6"/>
      </bottom>
      <diagonal/>
    </border>
    <border>
      <left style="thin">
        <color rgb="FFA5A5A5"/>
      </left>
      <right style="thin">
        <color rgb="FFA5A5A5"/>
      </right>
      <top style="thin">
        <color rgb="FFA6A6A6"/>
      </top>
      <bottom style="thin">
        <color rgb="FFA6A6A6"/>
      </bottom>
      <diagonal/>
    </border>
    <border>
      <left style="thin">
        <color rgb="FFA5A5A5"/>
      </left>
      <right style="thin">
        <color rgb="FFA6A6A6"/>
      </right>
      <top style="thin">
        <color rgb="FFA6A6A6"/>
      </top>
      <bottom/>
      <diagonal/>
    </border>
    <border>
      <left style="thin">
        <color rgb="FFA5A5A5"/>
      </left>
      <right style="thin">
        <color rgb="FFA5A5A5"/>
      </right>
      <top/>
      <bottom style="thin">
        <color rgb="FFA6A6A6"/>
      </bottom>
      <diagonal/>
    </border>
    <border>
      <left style="thin">
        <color rgb="FFA5A5A5"/>
      </left>
      <right style="thin">
        <color rgb="FFA6A6A6"/>
      </right>
      <top/>
      <bottom style="thin">
        <color rgb="FFA6A6A6"/>
      </bottom>
      <diagonal/>
    </border>
    <border>
      <left style="thin">
        <color theme="0" tint="-0.34998626667073579"/>
      </left>
      <right/>
      <top style="thin">
        <color rgb="FFA5A5A5"/>
      </top>
      <bottom style="thin">
        <color rgb="FFA5A5A5"/>
      </bottom>
      <diagonal/>
    </border>
    <border>
      <left style="thin">
        <color theme="0" tint="-0.34998626667073579"/>
      </left>
      <right style="thin">
        <color theme="0" tint="-0.34998626667073579"/>
      </right>
      <top style="thin">
        <color rgb="FFA5A5A5"/>
      </top>
      <bottom style="thin">
        <color rgb="FFA5A5A5"/>
      </bottom>
      <diagonal/>
    </border>
    <border>
      <left style="thin">
        <color theme="0" tint="-0.34998626667073579"/>
      </left>
      <right style="thin">
        <color rgb="FFA5A5A5"/>
      </right>
      <top style="thin">
        <color rgb="FFA5A5A5"/>
      </top>
      <bottom style="thin">
        <color rgb="FFA5A5A5"/>
      </bottom>
      <diagonal/>
    </border>
    <border>
      <left style="thin">
        <color rgb="FFA5A5A5"/>
      </left>
      <right style="thin">
        <color rgb="FFA6A6A6"/>
      </right>
      <top/>
      <bottom style="thin">
        <color rgb="FFA5A5A5"/>
      </bottom>
      <diagonal/>
    </border>
    <border>
      <left style="thin">
        <color rgb="FFA5A5A5"/>
      </left>
      <right style="thin">
        <color rgb="FFA5A5A5"/>
      </right>
      <top style="thin">
        <color rgb="FFA5A5A5"/>
      </top>
      <bottom style="thin">
        <color theme="0" tint="-0.34998626667073579"/>
      </bottom>
      <diagonal/>
    </border>
    <border>
      <left style="thin">
        <color rgb="FFA5A5A5"/>
      </left>
      <right style="thin">
        <color rgb="FFA6A6A6"/>
      </right>
      <top style="thin">
        <color rgb="FFA5A5A5"/>
      </top>
      <bottom style="thin">
        <color rgb="FFA6A6A6"/>
      </bottom>
      <diagonal/>
    </border>
    <border>
      <left/>
      <right/>
      <top/>
      <bottom style="thin">
        <color rgb="FFA6A6A6"/>
      </bottom>
      <diagonal/>
    </border>
    <border>
      <left style="thin">
        <color theme="0" tint="-0.34998626667073579"/>
      </left>
      <right style="thin">
        <color theme="0" tint="-0.34998626667073579"/>
      </right>
      <top/>
      <bottom style="thin">
        <color rgb="FFA6A6A6"/>
      </bottom>
      <diagonal/>
    </border>
    <border>
      <left style="thin">
        <color theme="0" tint="-0.34998626667073579"/>
      </left>
      <right style="thin">
        <color rgb="FFA5A5A5"/>
      </right>
      <top/>
      <bottom style="thin">
        <color rgb="FFA6A6A6"/>
      </bottom>
      <diagonal/>
    </border>
    <border>
      <left/>
      <right/>
      <top style="thin">
        <color rgb="FFA6A6A6"/>
      </top>
      <bottom/>
      <diagonal/>
    </border>
    <border>
      <left style="thin">
        <color rgb="FFA5A5A5"/>
      </left>
      <right style="thin">
        <color rgb="FFA5A5A5"/>
      </right>
      <top style="thin">
        <color rgb="FFA6A6A6"/>
      </top>
      <bottom/>
      <diagonal/>
    </border>
    <border>
      <left/>
      <right style="thin">
        <color rgb="FFA5A5A5"/>
      </right>
      <top style="thin">
        <color rgb="FFA6A6A6"/>
      </top>
      <bottom/>
      <diagonal/>
    </border>
    <border>
      <left style="thin">
        <color rgb="FFA5A5A5"/>
      </left>
      <right/>
      <top style="thin">
        <color rgb="FFA6A6A6"/>
      </top>
      <bottom/>
      <diagonal/>
    </border>
    <border>
      <left style="thin">
        <color rgb="FFA5A5A5"/>
      </left>
      <right style="thin">
        <color rgb="FFA5A5A5"/>
      </right>
      <top style="thin">
        <color theme="0" tint="-0.34998626667073579"/>
      </top>
      <bottom style="thin">
        <color rgb="FFA6A6A6"/>
      </bottom>
      <diagonal/>
    </border>
    <border>
      <left/>
      <right style="thin">
        <color rgb="FFA5A5A5"/>
      </right>
      <top style="thin">
        <color theme="0" tint="-0.34998626667073579"/>
      </top>
      <bottom/>
      <diagonal/>
    </border>
    <border>
      <left style="thin">
        <color theme="0" tint="-0.34998626667073579"/>
      </left>
      <right style="thin">
        <color theme="0" tint="-0.34998626667073579"/>
      </right>
      <top style="thin">
        <color rgb="FFA6A6A6"/>
      </top>
      <bottom/>
      <diagonal/>
    </border>
    <border>
      <left style="thin">
        <color theme="0" tint="-0.34998626667073579"/>
      </left>
      <right/>
      <top style="thin">
        <color rgb="FFA6A6A6"/>
      </top>
      <bottom/>
      <diagonal/>
    </border>
    <border>
      <left style="thin">
        <color theme="0" tint="-0.34998626667073579"/>
      </left>
      <right style="thin">
        <color rgb="FFA5A5A5"/>
      </right>
      <top style="thin">
        <color rgb="FFA6A6A6"/>
      </top>
      <bottom/>
      <diagonal/>
    </border>
    <border>
      <left style="thin">
        <color rgb="FFA5A5A5"/>
      </left>
      <right/>
      <top/>
      <bottom style="thin">
        <color theme="0" tint="-0.34998626667073579"/>
      </bottom>
      <diagonal/>
    </border>
    <border>
      <left style="thin">
        <color rgb="FFA5A5A5"/>
      </left>
      <right/>
      <top style="thin">
        <color theme="0" tint="-0.34998626667073579"/>
      </top>
      <bottom style="thin">
        <color theme="0" tint="-0.34998626667073579"/>
      </bottom>
      <diagonal/>
    </border>
    <border>
      <left style="thin">
        <color rgb="FFA5A5A5"/>
      </left>
      <right style="thin">
        <color rgb="FFA5A5A5"/>
      </right>
      <top style="thin">
        <color rgb="FFA6A6A6"/>
      </top>
      <bottom style="thin">
        <color theme="0" tint="-0.34998626667073579"/>
      </bottom>
      <diagonal/>
    </border>
    <border>
      <left/>
      <right style="thin">
        <color rgb="FFA5A5A5"/>
      </right>
      <top style="thin">
        <color rgb="FFA6A6A6"/>
      </top>
      <bottom style="thin">
        <color rgb="FFA5A5A5"/>
      </bottom>
      <diagonal/>
    </border>
    <border>
      <left/>
      <right/>
      <top style="thin">
        <color rgb="FFA6A6A6"/>
      </top>
      <bottom style="thin">
        <color theme="0" tint="-0.34998626667073579"/>
      </bottom>
      <diagonal/>
    </border>
    <border>
      <left/>
      <right style="thin">
        <color rgb="FFA5A5A5"/>
      </right>
      <top style="thin">
        <color rgb="FFA6A6A6"/>
      </top>
      <bottom style="thin">
        <color theme="0" tint="-0.34998626667073579"/>
      </bottom>
      <diagonal/>
    </border>
    <border>
      <left style="thin">
        <color theme="1" tint="0.34998626667073579"/>
      </left>
      <right style="thin">
        <color theme="1"/>
      </right>
      <top/>
      <bottom/>
      <diagonal/>
    </border>
    <border>
      <left style="thin">
        <color theme="1"/>
      </left>
      <right style="thin">
        <color auto="1"/>
      </right>
      <top/>
      <bottom style="thin">
        <color theme="1" tint="0.34998626667073579"/>
      </bottom>
      <diagonal/>
    </border>
    <border>
      <left/>
      <right style="thin">
        <color theme="1"/>
      </right>
      <top/>
      <bottom/>
      <diagonal/>
    </border>
    <border>
      <left/>
      <right style="thin">
        <color indexed="64"/>
      </right>
      <top/>
      <bottom style="thin">
        <color theme="1" tint="0.34998626667073579"/>
      </bottom>
      <diagonal/>
    </border>
    <border>
      <left/>
      <right style="thin">
        <color indexed="64"/>
      </right>
      <top style="thin">
        <color theme="1" tint="0.34998626667073579"/>
      </top>
      <bottom/>
      <diagonal/>
    </border>
    <border>
      <left style="thin">
        <color indexed="64"/>
      </left>
      <right style="thin">
        <color theme="1" tint="0.34998626667073579"/>
      </right>
      <top/>
      <bottom style="thin">
        <color indexed="64"/>
      </bottom>
      <diagonal/>
    </border>
    <border>
      <left style="thin">
        <color theme="1" tint="0.34998626667073579"/>
      </left>
      <right style="thin">
        <color indexed="64"/>
      </right>
      <top/>
      <bottom style="thin">
        <color indexed="64"/>
      </bottom>
      <diagonal/>
    </border>
  </borders>
  <cellStyleXfs count="34">
    <xf numFmtId="0" fontId="0" fillId="0" borderId="0"/>
    <xf numFmtId="0" fontId="43" fillId="0" borderId="0" applyNumberFormat="0" applyFill="0" applyBorder="0" applyAlignment="0" applyProtection="0"/>
    <xf numFmtId="0" fontId="27" fillId="0" borderId="0"/>
    <xf numFmtId="0" fontId="26" fillId="0" borderId="0"/>
    <xf numFmtId="0" fontId="26" fillId="0" borderId="0"/>
    <xf numFmtId="9" fontId="26" fillId="0" borderId="0" applyFont="0" applyFill="0" applyBorder="0" applyAlignment="0" applyProtection="0"/>
    <xf numFmtId="0" fontId="89" fillId="0" borderId="0" applyNumberFormat="0" applyFill="0" applyBorder="0" applyAlignment="0" applyProtection="0"/>
    <xf numFmtId="167" fontId="26" fillId="0" borderId="0" applyFont="0" applyFill="0" applyBorder="0" applyAlignment="0" applyProtection="0"/>
    <xf numFmtId="0" fontId="26" fillId="0" borderId="0"/>
    <xf numFmtId="43" fontId="26" fillId="0" borderId="0" applyFont="0" applyFill="0" applyBorder="0" applyAlignment="0" applyProtection="0"/>
    <xf numFmtId="0" fontId="88" fillId="0" borderId="0"/>
    <xf numFmtId="9" fontId="88" fillId="0" borderId="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2" fillId="0" borderId="0"/>
    <xf numFmtId="9" fontId="92" fillId="0" borderId="0" applyFont="0" applyFill="0" applyBorder="0" applyAlignment="0" applyProtection="0"/>
    <xf numFmtId="168" fontId="26" fillId="0" borderId="0" applyFont="0" applyFill="0" applyBorder="0" applyAlignment="0" applyProtection="0"/>
    <xf numFmtId="0" fontId="43" fillId="0" borderId="0" applyNumberFormat="0" applyFill="0" applyBorder="0" applyAlignment="0" applyProtection="0"/>
    <xf numFmtId="0" fontId="97" fillId="0" borderId="0"/>
    <xf numFmtId="0" fontId="88" fillId="0" borderId="0"/>
    <xf numFmtId="0" fontId="26" fillId="0" borderId="0"/>
    <xf numFmtId="0" fontId="93" fillId="0" borderId="0"/>
    <xf numFmtId="0" fontId="161" fillId="0" borderId="0"/>
    <xf numFmtId="9" fontId="161" fillId="0" borderId="0" applyFont="0" applyFill="0" applyBorder="0" applyAlignment="0" applyProtection="0"/>
    <xf numFmtId="0" fontId="224" fillId="0" borderId="0" applyNumberFormat="0" applyFill="0" applyBorder="0" applyAlignment="0" applyProtection="0"/>
    <xf numFmtId="9" fontId="26" fillId="0" borderId="0" applyFont="0" applyFill="0" applyBorder="0" applyAlignment="0" applyProtection="0"/>
    <xf numFmtId="0" fontId="26" fillId="0" borderId="0"/>
    <xf numFmtId="0" fontId="245" fillId="0" borderId="0"/>
    <xf numFmtId="0" fontId="272" fillId="0" borderId="0"/>
    <xf numFmtId="9" fontId="272" fillId="0" borderId="0" applyFont="0" applyFill="0" applyBorder="0" applyAlignment="0" applyProtection="0"/>
    <xf numFmtId="0" fontId="297" fillId="0" borderId="0"/>
    <xf numFmtId="0" fontId="297" fillId="0" borderId="0"/>
    <xf numFmtId="9" fontId="297" fillId="0" borderId="0" applyFont="0" applyFill="0" applyBorder="0" applyAlignment="0" applyProtection="0"/>
    <xf numFmtId="43" fontId="93" fillId="0" borderId="0" applyFont="0" applyFill="0" applyBorder="0" applyAlignment="0" applyProtection="0"/>
  </cellStyleXfs>
  <cellXfs count="4457">
    <xf numFmtId="0" fontId="0" fillId="0" borderId="0" xfId="0"/>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2" fillId="0" borderId="0" xfId="0" applyFo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3" fontId="15" fillId="0" borderId="2" xfId="0" applyNumberFormat="1" applyFont="1" applyBorder="1" applyAlignment="1">
      <alignment vertical="center"/>
    </xf>
    <xf numFmtId="3" fontId="15" fillId="0" borderId="3" xfId="0" applyNumberFormat="1" applyFont="1" applyBorder="1" applyAlignment="1">
      <alignment vertical="center"/>
    </xf>
    <xf numFmtId="0" fontId="16" fillId="0" borderId="2" xfId="0" applyFont="1" applyBorder="1" applyAlignment="1">
      <alignment horizontal="center" vertical="center"/>
    </xf>
    <xf numFmtId="3" fontId="15" fillId="0" borderId="4" xfId="0" applyNumberFormat="1" applyFont="1" applyBorder="1" applyAlignment="1">
      <alignment vertical="center"/>
    </xf>
    <xf numFmtId="0" fontId="3" fillId="3" borderId="1" xfId="0" applyFont="1" applyFill="1" applyBorder="1" applyAlignment="1">
      <alignment horizontal="center" vertical="center"/>
    </xf>
    <xf numFmtId="3" fontId="3" fillId="3" borderId="2" xfId="0" applyNumberFormat="1" applyFont="1" applyFill="1" applyBorder="1" applyAlignment="1">
      <alignment vertical="center"/>
    </xf>
    <xf numFmtId="3" fontId="3" fillId="3" borderId="3" xfId="0" applyNumberFormat="1" applyFont="1" applyFill="1" applyBorder="1" applyAlignment="1">
      <alignment vertical="center"/>
    </xf>
    <xf numFmtId="0" fontId="17" fillId="3" borderId="2" xfId="0" applyFont="1" applyFill="1" applyBorder="1" applyAlignment="1">
      <alignment horizontal="center" vertical="center"/>
    </xf>
    <xf numFmtId="3" fontId="3" fillId="3" borderId="4" xfId="0" applyNumberFormat="1" applyFont="1" applyFill="1" applyBorder="1" applyAlignment="1">
      <alignment vertical="center"/>
    </xf>
    <xf numFmtId="0" fontId="3" fillId="0" borderId="0" xfId="0" applyFont="1" applyAlignment="1">
      <alignment horizontal="center" vertical="center"/>
    </xf>
    <xf numFmtId="3" fontId="0" fillId="0" borderId="0" xfId="0" applyNumberFormat="1" applyAlignment="1">
      <alignment vertical="center"/>
    </xf>
    <xf numFmtId="0" fontId="18" fillId="0" borderId="0" xfId="0" applyFont="1" applyAlignment="1">
      <alignment horizontal="center" vertical="center"/>
    </xf>
    <xf numFmtId="0" fontId="3" fillId="0" borderId="0" xfId="0" applyFont="1"/>
    <xf numFmtId="0" fontId="21" fillId="4" borderId="1" xfId="0" applyFont="1" applyFill="1" applyBorder="1" applyAlignment="1">
      <alignment horizontal="center" vertical="center"/>
    </xf>
    <xf numFmtId="3" fontId="22" fillId="4" borderId="2" xfId="0" applyNumberFormat="1" applyFont="1" applyFill="1" applyBorder="1" applyAlignment="1">
      <alignment vertical="center"/>
    </xf>
    <xf numFmtId="3" fontId="22" fillId="4" borderId="3" xfId="0" applyNumberFormat="1" applyFont="1" applyFill="1" applyBorder="1" applyAlignment="1">
      <alignment vertical="center"/>
    </xf>
    <xf numFmtId="0" fontId="23" fillId="4" borderId="2" xfId="0" applyFont="1" applyFill="1" applyBorder="1" applyAlignment="1">
      <alignment horizontal="center" vertical="center"/>
    </xf>
    <xf numFmtId="3" fontId="22" fillId="4" borderId="4" xfId="0" applyNumberFormat="1" applyFont="1" applyFill="1" applyBorder="1" applyAlignment="1">
      <alignment vertical="center"/>
    </xf>
    <xf numFmtId="0" fontId="21" fillId="0" borderId="1" xfId="0" applyFont="1" applyBorder="1" applyAlignment="1">
      <alignment horizontal="center" vertical="center"/>
    </xf>
    <xf numFmtId="3" fontId="22" fillId="0" borderId="2" xfId="0" applyNumberFormat="1" applyFont="1" applyBorder="1" applyAlignment="1">
      <alignment vertical="center"/>
    </xf>
    <xf numFmtId="3" fontId="22" fillId="0" borderId="3" xfId="0" applyNumberFormat="1" applyFont="1" applyBorder="1" applyAlignment="1">
      <alignment vertical="center"/>
    </xf>
    <xf numFmtId="0" fontId="23" fillId="0" borderId="2" xfId="0" applyFont="1" applyBorder="1" applyAlignment="1">
      <alignment horizontal="center" vertical="center"/>
    </xf>
    <xf numFmtId="3" fontId="22" fillId="0" borderId="4" xfId="0" applyNumberFormat="1" applyFont="1" applyBorder="1" applyAlignment="1">
      <alignment vertical="center"/>
    </xf>
    <xf numFmtId="0" fontId="24" fillId="3" borderId="2" xfId="0" applyFont="1" applyFill="1" applyBorder="1" applyAlignment="1">
      <alignment horizontal="center" vertical="center"/>
    </xf>
    <xf numFmtId="3" fontId="0" fillId="0" borderId="0" xfId="0" applyNumberFormat="1"/>
    <xf numFmtId="0" fontId="3" fillId="5" borderId="5" xfId="0" applyFont="1" applyFill="1" applyBorder="1" applyAlignment="1">
      <alignment horizontal="center" vertical="center"/>
    </xf>
    <xf numFmtId="0" fontId="3" fillId="5" borderId="5"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3" fillId="0" borderId="5" xfId="0" applyFont="1" applyBorder="1" applyAlignment="1">
      <alignment horizontal="center" vertical="center"/>
    </xf>
    <xf numFmtId="3" fontId="0" fillId="0" borderId="5" xfId="0" applyNumberFormat="1" applyBorder="1" applyAlignment="1">
      <alignment horizontal="center" vertical="center"/>
    </xf>
    <xf numFmtId="164" fontId="0" fillId="0" borderId="5" xfId="0" applyNumberFormat="1" applyBorder="1" applyAlignment="1">
      <alignment horizontal="center" vertical="center"/>
    </xf>
    <xf numFmtId="0" fontId="3" fillId="3" borderId="5" xfId="0" applyFont="1" applyFill="1" applyBorder="1" applyAlignment="1">
      <alignment horizontal="right" vertical="center"/>
    </xf>
    <xf numFmtId="0" fontId="3" fillId="3" borderId="5" xfId="0" applyFont="1" applyFill="1" applyBorder="1" applyAlignment="1">
      <alignment horizontal="center" vertical="center"/>
    </xf>
    <xf numFmtId="3" fontId="3"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0" fontId="7" fillId="0" borderId="0" xfId="0" applyFont="1" applyAlignment="1">
      <alignment vertical="center"/>
    </xf>
    <xf numFmtId="0" fontId="3" fillId="0" borderId="0" xfId="0" applyFont="1" applyAlignment="1">
      <alignment vertical="center"/>
    </xf>
    <xf numFmtId="0" fontId="3" fillId="0" borderId="6" xfId="0" applyFont="1" applyBorder="1" applyAlignment="1">
      <alignment vertical="center"/>
    </xf>
    <xf numFmtId="3" fontId="9" fillId="5" borderId="2" xfId="0" applyNumberFormat="1" applyFont="1" applyFill="1" applyBorder="1" applyAlignment="1">
      <alignment horizontal="center"/>
    </xf>
    <xf numFmtId="3" fontId="9" fillId="5" borderId="4" xfId="0" applyNumberFormat="1" applyFont="1" applyFill="1" applyBorder="1" applyAlignment="1">
      <alignment horizontal="center"/>
    </xf>
    <xf numFmtId="0" fontId="27" fillId="4" borderId="5" xfId="0" applyFont="1" applyFill="1" applyBorder="1" applyAlignment="1">
      <alignment horizontal="center" vertical="center"/>
    </xf>
    <xf numFmtId="3" fontId="20" fillId="4" borderId="6" xfId="0" applyNumberFormat="1" applyFont="1" applyFill="1" applyBorder="1" applyAlignment="1">
      <alignment horizontal="center" vertical="center"/>
    </xf>
    <xf numFmtId="0" fontId="0" fillId="4" borderId="5" xfId="0" applyFill="1" applyBorder="1" applyAlignment="1">
      <alignment horizontal="right" vertical="center"/>
    </xf>
    <xf numFmtId="3" fontId="20" fillId="4" borderId="8" xfId="0" applyNumberFormat="1" applyFont="1" applyFill="1" applyBorder="1" applyAlignment="1">
      <alignment horizontal="center" vertical="center"/>
    </xf>
    <xf numFmtId="3" fontId="20" fillId="4" borderId="9" xfId="0" applyNumberFormat="1" applyFont="1" applyFill="1" applyBorder="1" applyAlignment="1">
      <alignment horizontal="center" vertical="center"/>
    </xf>
    <xf numFmtId="3" fontId="20" fillId="4" borderId="10" xfId="0" applyNumberFormat="1" applyFont="1" applyFill="1" applyBorder="1" applyAlignment="1">
      <alignment horizontal="center" vertical="center"/>
    </xf>
    <xf numFmtId="1" fontId="0" fillId="0" borderId="0" xfId="0" applyNumberFormat="1" applyAlignment="1">
      <alignment horizontal="center"/>
    </xf>
    <xf numFmtId="0" fontId="0" fillId="0" borderId="0" xfId="0" applyAlignment="1">
      <alignment horizontal="center"/>
    </xf>
    <xf numFmtId="165" fontId="0" fillId="0" borderId="0" xfId="0" applyNumberFormat="1" applyAlignment="1">
      <alignment horizontal="center"/>
    </xf>
    <xf numFmtId="165" fontId="0" fillId="0" borderId="0" xfId="0" applyNumberFormat="1" applyAlignment="1">
      <alignment horizontal="center" vertical="center"/>
    </xf>
    <xf numFmtId="0" fontId="0" fillId="0" borderId="0" xfId="0" applyAlignment="1">
      <alignment horizontal="right"/>
    </xf>
    <xf numFmtId="0" fontId="4" fillId="2" borderId="17" xfId="0" applyFont="1" applyFill="1" applyBorder="1" applyAlignment="1">
      <alignment horizontal="center" vertical="center"/>
    </xf>
    <xf numFmtId="0" fontId="0" fillId="0" borderId="19" xfId="0" applyBorder="1" applyAlignment="1">
      <alignment horizontal="center"/>
    </xf>
    <xf numFmtId="0" fontId="0" fillId="4" borderId="0" xfId="0" applyFill="1" applyAlignment="1">
      <alignment vertical="center"/>
    </xf>
    <xf numFmtId="3" fontId="0" fillId="0" borderId="20" xfId="0" applyNumberFormat="1" applyBorder="1" applyAlignment="1">
      <alignment horizontal="center"/>
    </xf>
    <xf numFmtId="3" fontId="0" fillId="0" borderId="7" xfId="0" applyNumberFormat="1" applyBorder="1" applyAlignment="1">
      <alignment horizontal="center"/>
    </xf>
    <xf numFmtId="3" fontId="23" fillId="0" borderId="7" xfId="0" applyNumberFormat="1" applyFont="1" applyBorder="1" applyAlignment="1">
      <alignment horizontal="center"/>
    </xf>
    <xf numFmtId="3" fontId="0" fillId="0" borderId="21" xfId="0" applyNumberFormat="1" applyBorder="1" applyAlignment="1">
      <alignment horizontal="center"/>
    </xf>
    <xf numFmtId="0" fontId="30" fillId="2" borderId="17" xfId="0" applyFont="1" applyFill="1" applyBorder="1" applyAlignment="1">
      <alignment horizontal="center" vertical="center"/>
    </xf>
    <xf numFmtId="0" fontId="30" fillId="2" borderId="18" xfId="0" applyFont="1" applyFill="1" applyBorder="1" applyAlignment="1">
      <alignment horizontal="center" vertical="center"/>
    </xf>
    <xf numFmtId="3" fontId="30" fillId="2" borderId="18" xfId="0" applyNumberFormat="1" applyFont="1" applyFill="1" applyBorder="1" applyAlignment="1">
      <alignment horizontal="center" vertical="center"/>
    </xf>
    <xf numFmtId="0" fontId="8" fillId="0" borderId="0" xfId="0" applyFont="1" applyAlignment="1">
      <alignment horizontal="center"/>
    </xf>
    <xf numFmtId="0" fontId="36" fillId="2" borderId="0" xfId="0" applyFont="1" applyFill="1" applyAlignment="1">
      <alignment horizontal="center" vertical="center"/>
    </xf>
    <xf numFmtId="0" fontId="37" fillId="0" borderId="0" xfId="0" applyFont="1" applyAlignment="1">
      <alignment vertical="center"/>
    </xf>
    <xf numFmtId="4" fontId="30" fillId="2" borderId="18" xfId="0" applyNumberFormat="1" applyFont="1" applyFill="1" applyBorder="1" applyAlignment="1">
      <alignment vertical="center" wrapText="1"/>
    </xf>
    <xf numFmtId="0" fontId="31" fillId="2" borderId="18" xfId="0" applyFont="1" applyFill="1" applyBorder="1" applyAlignment="1">
      <alignment horizontal="center" vertical="center" wrapText="1"/>
    </xf>
    <xf numFmtId="0" fontId="31" fillId="2" borderId="15" xfId="0" applyFont="1" applyFill="1" applyBorder="1" applyAlignment="1">
      <alignment horizontal="center" vertical="center" wrapText="1"/>
    </xf>
    <xf numFmtId="165" fontId="31" fillId="2" borderId="14" xfId="0" applyNumberFormat="1" applyFont="1" applyFill="1" applyBorder="1" applyAlignment="1">
      <alignment horizontal="center" vertical="center" wrapText="1"/>
    </xf>
    <xf numFmtId="165" fontId="31" fillId="2" borderId="18" xfId="0" applyNumberFormat="1" applyFont="1" applyFill="1" applyBorder="1" applyAlignment="1">
      <alignment horizontal="center" vertical="center" wrapText="1"/>
    </xf>
    <xf numFmtId="165" fontId="31" fillId="2" borderId="16" xfId="0" applyNumberFormat="1" applyFont="1" applyFill="1" applyBorder="1" applyAlignment="1">
      <alignment horizontal="center" vertical="center" wrapText="1"/>
    </xf>
    <xf numFmtId="3" fontId="26" fillId="0" borderId="7" xfId="0" applyNumberFormat="1" applyFont="1" applyBorder="1" applyAlignment="1">
      <alignment horizontal="center"/>
    </xf>
    <xf numFmtId="3" fontId="0" fillId="0" borderId="0" xfId="0" applyNumberFormat="1" applyAlignment="1">
      <alignment horizontal="center"/>
    </xf>
    <xf numFmtId="0" fontId="29" fillId="0" borderId="0" xfId="0" applyFont="1"/>
    <xf numFmtId="0" fontId="3" fillId="0" borderId="21" xfId="0" applyFont="1" applyBorder="1" applyAlignment="1">
      <alignment vertical="center"/>
    </xf>
    <xf numFmtId="3" fontId="40" fillId="0" borderId="0" xfId="0" applyNumberFormat="1" applyFont="1" applyAlignment="1">
      <alignment horizontal="center" vertical="center"/>
    </xf>
    <xf numFmtId="0" fontId="41" fillId="0" borderId="0" xfId="0" applyFont="1" applyAlignment="1">
      <alignment horizontal="left"/>
    </xf>
    <xf numFmtId="0" fontId="0" fillId="0" borderId="0" xfId="0" applyAlignment="1">
      <alignment horizontal="left"/>
    </xf>
    <xf numFmtId="0" fontId="0" fillId="4" borderId="2" xfId="0" applyFill="1" applyBorder="1" applyAlignment="1">
      <alignment horizontal="center" vertical="center"/>
    </xf>
    <xf numFmtId="4" fontId="41" fillId="4" borderId="2" xfId="0" applyNumberFormat="1" applyFont="1" applyFill="1" applyBorder="1" applyAlignment="1">
      <alignment vertical="center"/>
    </xf>
    <xf numFmtId="0" fontId="21"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0" fillId="4" borderId="11" xfId="0" applyFill="1" applyBorder="1" applyAlignment="1">
      <alignment vertical="center"/>
    </xf>
    <xf numFmtId="0" fontId="0" fillId="0" borderId="11" xfId="0" applyBorder="1" applyAlignment="1">
      <alignment horizontal="center"/>
    </xf>
    <xf numFmtId="0" fontId="0" fillId="4" borderId="7" xfId="0" applyFill="1" applyBorder="1" applyAlignment="1">
      <alignment vertical="center"/>
    </xf>
    <xf numFmtId="0" fontId="0" fillId="0" borderId="7" xfId="0" applyBorder="1" applyAlignment="1">
      <alignment horizontal="center"/>
    </xf>
    <xf numFmtId="0" fontId="0" fillId="4" borderId="13" xfId="0" applyFill="1" applyBorder="1" applyAlignment="1">
      <alignment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3" fontId="7" fillId="4" borderId="3" xfId="0" applyNumberFormat="1" applyFont="1" applyFill="1" applyBorder="1" applyAlignment="1">
      <alignment horizontal="center" vertical="center"/>
    </xf>
    <xf numFmtId="3" fontId="7" fillId="4" borderId="2" xfId="0" applyNumberFormat="1" applyFont="1" applyFill="1" applyBorder="1" applyAlignment="1">
      <alignment horizontal="center" vertical="center"/>
    </xf>
    <xf numFmtId="0" fontId="0" fillId="0" borderId="0" xfId="0" applyAlignment="1">
      <alignment horizontal="center" vertical="center"/>
    </xf>
    <xf numFmtId="0" fontId="5" fillId="0" borderId="0" xfId="0" applyFont="1" applyAlignment="1">
      <alignment horizontal="left" vertical="center"/>
    </xf>
    <xf numFmtId="0" fontId="41" fillId="0" borderId="0" xfId="0" applyFont="1" applyAlignment="1">
      <alignment horizontal="center"/>
    </xf>
    <xf numFmtId="0" fontId="7" fillId="0" borderId="0" xfId="0" applyFont="1" applyAlignment="1">
      <alignment horizontal="center"/>
    </xf>
    <xf numFmtId="0" fontId="6" fillId="0" borderId="0" xfId="0" applyFont="1" applyAlignment="1">
      <alignment horizontal="left" vertical="center"/>
    </xf>
    <xf numFmtId="0" fontId="9" fillId="0" borderId="0" xfId="0" applyFont="1" applyAlignment="1">
      <alignment horizontal="left" vertical="center"/>
    </xf>
    <xf numFmtId="0" fontId="5" fillId="0" borderId="0" xfId="0" applyFont="1" applyAlignment="1">
      <alignment horizontal="left"/>
    </xf>
    <xf numFmtId="0" fontId="37" fillId="0" borderId="0" xfId="0" applyFont="1" applyAlignment="1">
      <alignment horizontal="left" vertical="center"/>
    </xf>
    <xf numFmtId="0" fontId="3" fillId="0" borderId="0" xfId="0" applyFont="1" applyAlignment="1">
      <alignment horizontal="left" vertical="center"/>
    </xf>
    <xf numFmtId="0" fontId="7" fillId="0" borderId="0" xfId="0" applyFont="1" applyAlignment="1">
      <alignment horizontal="left" vertical="center"/>
    </xf>
    <xf numFmtId="0" fontId="7" fillId="4" borderId="0" xfId="0" applyFont="1" applyFill="1" applyAlignment="1">
      <alignment vertical="center"/>
    </xf>
    <xf numFmtId="0" fontId="30" fillId="0" borderId="0" xfId="0" applyFont="1" applyAlignment="1">
      <alignment horizontal="center" vertical="center"/>
    </xf>
    <xf numFmtId="0" fontId="0" fillId="0" borderId="0" xfId="0" applyAlignment="1">
      <alignment horizontal="left" vertical="center"/>
    </xf>
    <xf numFmtId="0" fontId="45" fillId="0" borderId="0" xfId="0" applyFont="1" applyAlignment="1">
      <alignment horizontal="center" vertical="center"/>
    </xf>
    <xf numFmtId="0" fontId="20" fillId="0" borderId="0" xfId="0" applyFont="1" applyAlignment="1">
      <alignment horizontal="center" vertical="center"/>
    </xf>
    <xf numFmtId="0" fontId="20" fillId="3" borderId="27" xfId="0" applyFont="1" applyFill="1" applyBorder="1" applyAlignment="1">
      <alignment horizontal="center" vertical="center"/>
    </xf>
    <xf numFmtId="0" fontId="7" fillId="10" borderId="30" xfId="0" applyFont="1" applyFill="1" applyBorder="1" applyAlignment="1">
      <alignment horizontal="center" vertical="center"/>
    </xf>
    <xf numFmtId="0" fontId="7" fillId="10" borderId="34" xfId="0" applyFont="1" applyFill="1" applyBorder="1" applyAlignment="1">
      <alignment horizontal="center" vertical="center"/>
    </xf>
    <xf numFmtId="0" fontId="7" fillId="10" borderId="35" xfId="0" applyFont="1" applyFill="1" applyBorder="1" applyAlignment="1">
      <alignment horizontal="center" vertical="center"/>
    </xf>
    <xf numFmtId="0" fontId="7" fillId="10" borderId="36" xfId="0" applyFont="1" applyFill="1" applyBorder="1" applyAlignment="1">
      <alignment horizontal="center" vertical="center"/>
    </xf>
    <xf numFmtId="0" fontId="7" fillId="10" borderId="37" xfId="0" applyFont="1" applyFill="1" applyBorder="1" applyAlignment="1">
      <alignment horizontal="center" vertical="center"/>
    </xf>
    <xf numFmtId="0" fontId="7" fillId="10" borderId="38" xfId="0" applyFont="1" applyFill="1" applyBorder="1" applyAlignment="1">
      <alignment horizontal="center" vertical="center"/>
    </xf>
    <xf numFmtId="0" fontId="7" fillId="5" borderId="27" xfId="0" applyFont="1" applyFill="1" applyBorder="1" applyAlignment="1">
      <alignment horizontal="left" vertical="center"/>
    </xf>
    <xf numFmtId="4" fontId="49" fillId="5" borderId="27" xfId="0" applyNumberFormat="1" applyFont="1" applyFill="1" applyBorder="1" applyAlignment="1">
      <alignment vertical="center"/>
    </xf>
    <xf numFmtId="0" fontId="3" fillId="5" borderId="27" xfId="0" applyFont="1" applyFill="1" applyBorder="1" applyAlignment="1">
      <alignment horizontal="center" vertical="center" wrapText="1"/>
    </xf>
    <xf numFmtId="0" fontId="0" fillId="5" borderId="27" xfId="0" applyFill="1" applyBorder="1" applyAlignment="1">
      <alignment horizontal="center" vertical="center"/>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22" fillId="10" borderId="42" xfId="0" applyFont="1" applyFill="1" applyBorder="1" applyAlignment="1">
      <alignment horizontal="center" vertical="center" wrapText="1"/>
    </xf>
    <xf numFmtId="0" fontId="21" fillId="11" borderId="0" xfId="0" applyFont="1" applyFill="1" applyAlignment="1">
      <alignment horizontal="center" vertical="center" wrapText="1"/>
    </xf>
    <xf numFmtId="0" fontId="21" fillId="11" borderId="31" xfId="0" applyFont="1" applyFill="1" applyBorder="1" applyAlignment="1">
      <alignment horizontal="center" vertical="center"/>
    </xf>
    <xf numFmtId="0" fontId="22" fillId="10" borderId="43" xfId="0" applyFont="1" applyFill="1" applyBorder="1" applyAlignment="1">
      <alignment horizontal="center" wrapText="1"/>
    </xf>
    <xf numFmtId="0" fontId="22" fillId="10" borderId="44" xfId="0" applyFont="1" applyFill="1" applyBorder="1" applyAlignment="1">
      <alignment horizontal="center" vertical="center" wrapText="1"/>
    </xf>
    <xf numFmtId="0" fontId="22" fillId="10" borderId="45" xfId="0" applyFont="1" applyFill="1" applyBorder="1" applyAlignment="1">
      <alignment horizontal="center" vertical="center" wrapText="1"/>
    </xf>
    <xf numFmtId="0" fontId="0" fillId="10" borderId="45" xfId="0" applyFill="1" applyBorder="1" applyAlignment="1">
      <alignment horizontal="center" vertical="center"/>
    </xf>
    <xf numFmtId="0" fontId="22" fillId="10" borderId="46" xfId="0" applyFont="1" applyFill="1" applyBorder="1" applyAlignment="1">
      <alignment horizontal="center" vertical="center" wrapText="1"/>
    </xf>
    <xf numFmtId="0" fontId="22" fillId="10" borderId="43" xfId="0" applyFont="1" applyFill="1" applyBorder="1" applyAlignment="1">
      <alignment horizontal="center" vertical="center" wrapText="1"/>
    </xf>
    <xf numFmtId="0" fontId="0" fillId="0" borderId="47" xfId="0" applyBorder="1" applyAlignment="1">
      <alignment vertical="center"/>
    </xf>
    <xf numFmtId="0" fontId="26" fillId="4" borderId="47" xfId="0" applyFont="1" applyFill="1" applyBorder="1" applyAlignment="1">
      <alignment vertical="center"/>
    </xf>
    <xf numFmtId="0" fontId="0" fillId="0" borderId="48" xfId="0" applyBorder="1" applyAlignment="1">
      <alignment horizontal="center" vertical="center"/>
    </xf>
    <xf numFmtId="0" fontId="0" fillId="0" borderId="49" xfId="0" applyBorder="1" applyAlignment="1">
      <alignment horizontal="center" vertical="center"/>
    </xf>
    <xf numFmtId="165" fontId="52" fillId="0" borderId="47" xfId="0" applyNumberFormat="1" applyFont="1" applyBorder="1" applyAlignment="1">
      <alignment horizontal="center" vertical="center"/>
    </xf>
    <xf numFmtId="165" fontId="0" fillId="0" borderId="6" xfId="0" applyNumberFormat="1" applyBorder="1" applyAlignment="1">
      <alignment horizontal="center" vertical="center"/>
    </xf>
    <xf numFmtId="165" fontId="0" fillId="0" borderId="50" xfId="0" applyNumberFormat="1" applyBorder="1" applyAlignment="1">
      <alignment horizontal="center" vertical="center"/>
    </xf>
    <xf numFmtId="165" fontId="0" fillId="0" borderId="47" xfId="0" applyNumberFormat="1" applyBorder="1" applyAlignment="1">
      <alignment horizontal="center" vertical="center"/>
    </xf>
    <xf numFmtId="165" fontId="0" fillId="0" borderId="26" xfId="0" applyNumberFormat="1" applyBorder="1" applyAlignment="1">
      <alignment horizontal="center" vertical="center"/>
    </xf>
    <xf numFmtId="3" fontId="0" fillId="0" borderId="51" xfId="0" applyNumberFormat="1" applyBorder="1" applyAlignment="1">
      <alignment horizontal="center" vertical="center"/>
    </xf>
    <xf numFmtId="165" fontId="0" fillId="0" borderId="51" xfId="0" applyNumberFormat="1" applyBorder="1" applyAlignment="1">
      <alignment horizontal="center" vertical="center"/>
    </xf>
    <xf numFmtId="0" fontId="7" fillId="13" borderId="52" xfId="0" applyFont="1" applyFill="1" applyBorder="1" applyAlignment="1">
      <alignment horizontal="center" vertical="center"/>
    </xf>
    <xf numFmtId="0" fontId="22" fillId="0" borderId="34" xfId="0" applyFont="1" applyBorder="1" applyAlignment="1">
      <alignment vertical="center"/>
    </xf>
    <xf numFmtId="0" fontId="0" fillId="0" borderId="51" xfId="0" applyBorder="1" applyAlignment="1">
      <alignment vertical="center"/>
    </xf>
    <xf numFmtId="0" fontId="26" fillId="4" borderId="53" xfId="0" applyFont="1" applyFill="1" applyBorder="1" applyAlignment="1">
      <alignment vertical="center"/>
    </xf>
    <xf numFmtId="0" fontId="0" fillId="0" borderId="53" xfId="0" applyBorder="1" applyAlignment="1">
      <alignment horizontal="center" vertical="center"/>
    </xf>
    <xf numFmtId="0" fontId="0" fillId="0" borderId="50" xfId="0" applyBorder="1" applyAlignment="1">
      <alignment horizontal="center" vertical="center"/>
    </xf>
    <xf numFmtId="165" fontId="52" fillId="0" borderId="51" xfId="0" applyNumberFormat="1" applyFont="1" applyBorder="1" applyAlignment="1">
      <alignment horizontal="center" vertical="center"/>
    </xf>
    <xf numFmtId="0" fontId="0" fillId="0" borderId="6"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vertical="center"/>
    </xf>
    <xf numFmtId="0" fontId="55" fillId="0" borderId="53" xfId="0" applyFont="1" applyBorder="1" applyAlignment="1">
      <alignment horizontal="center" vertical="center"/>
    </xf>
    <xf numFmtId="1" fontId="0" fillId="0" borderId="51" xfId="0" applyNumberFormat="1" applyBorder="1" applyAlignment="1">
      <alignment horizontal="center" vertical="center"/>
    </xf>
    <xf numFmtId="0" fontId="0" fillId="0" borderId="58" xfId="0" applyBorder="1" applyAlignment="1">
      <alignment horizontal="center" vertical="center"/>
    </xf>
    <xf numFmtId="0" fontId="41" fillId="5" borderId="27" xfId="0" applyFont="1" applyFill="1" applyBorder="1" applyAlignment="1">
      <alignment horizontal="center" vertical="center"/>
    </xf>
    <xf numFmtId="0" fontId="7" fillId="5" borderId="27" xfId="0" applyFont="1" applyFill="1" applyBorder="1" applyAlignment="1">
      <alignment horizontal="center" vertical="center"/>
    </xf>
    <xf numFmtId="0" fontId="3" fillId="5" borderId="27" xfId="0" applyFont="1" applyFill="1" applyBorder="1" applyAlignment="1">
      <alignment horizontal="center" vertical="center"/>
    </xf>
    <xf numFmtId="165" fontId="3" fillId="5" borderId="27" xfId="0" applyNumberFormat="1" applyFont="1" applyFill="1" applyBorder="1" applyAlignment="1">
      <alignment horizontal="center" vertical="center"/>
    </xf>
    <xf numFmtId="166" fontId="3" fillId="0" borderId="0" xfId="0" applyNumberFormat="1" applyFont="1" applyAlignment="1">
      <alignment horizontal="center" vertical="center"/>
    </xf>
    <xf numFmtId="3" fontId="3" fillId="5" borderId="27" xfId="0" applyNumberFormat="1" applyFont="1" applyFill="1" applyBorder="1" applyAlignment="1">
      <alignment horizontal="center" vertical="center"/>
    </xf>
    <xf numFmtId="0" fontId="9" fillId="10" borderId="52" xfId="0" applyFont="1" applyFill="1" applyBorder="1" applyAlignment="1">
      <alignment horizontal="center" vertical="center"/>
    </xf>
    <xf numFmtId="0" fontId="32" fillId="2" borderId="32" xfId="0" applyFont="1" applyFill="1" applyBorder="1" applyAlignment="1">
      <alignment vertical="center"/>
    </xf>
    <xf numFmtId="0" fontId="0" fillId="0" borderId="47" xfId="0" applyBorder="1" applyAlignment="1">
      <alignment horizontal="left" vertical="center"/>
    </xf>
    <xf numFmtId="0" fontId="0" fillId="0" borderId="39" xfId="0" applyBorder="1" applyAlignment="1">
      <alignment horizontal="center" vertical="center"/>
    </xf>
    <xf numFmtId="0" fontId="22" fillId="0" borderId="59" xfId="0" applyFont="1" applyBorder="1" applyAlignment="1">
      <alignment vertical="center"/>
    </xf>
    <xf numFmtId="0" fontId="0" fillId="0" borderId="51" xfId="0" applyBorder="1" applyAlignment="1">
      <alignment horizontal="left" vertical="center"/>
    </xf>
    <xf numFmtId="0" fontId="0" fillId="0" borderId="54" xfId="0" applyBorder="1" applyAlignment="1">
      <alignment horizontal="center" vertical="center"/>
    </xf>
    <xf numFmtId="0" fontId="0" fillId="0" borderId="55" xfId="0" applyBorder="1" applyAlignment="1">
      <alignment horizontal="center" vertical="center"/>
    </xf>
    <xf numFmtId="0" fontId="54" fillId="0" borderId="54" xfId="0" applyFont="1" applyBorder="1" applyAlignment="1">
      <alignment horizontal="center" vertical="center"/>
    </xf>
    <xf numFmtId="0" fontId="32" fillId="2" borderId="34" xfId="0" applyFont="1" applyFill="1" applyBorder="1" applyAlignment="1">
      <alignment vertical="center"/>
    </xf>
    <xf numFmtId="165" fontId="0" fillId="0" borderId="61" xfId="0" applyNumberFormat="1" applyBorder="1" applyAlignment="1">
      <alignment horizontal="center" vertical="center"/>
    </xf>
    <xf numFmtId="165" fontId="0" fillId="0" borderId="62" xfId="0" applyNumberFormat="1" applyBorder="1" applyAlignment="1">
      <alignment horizontal="center" vertical="center"/>
    </xf>
    <xf numFmtId="165" fontId="0" fillId="0" borderId="41" xfId="0" applyNumberFormat="1" applyBorder="1" applyAlignment="1">
      <alignment horizontal="center" vertical="center"/>
    </xf>
    <xf numFmtId="166" fontId="0" fillId="0" borderId="0" xfId="0" applyNumberFormat="1" applyAlignment="1">
      <alignment horizontal="center" vertical="center"/>
    </xf>
    <xf numFmtId="165" fontId="0" fillId="0" borderId="7" xfId="0" applyNumberFormat="1" applyBorder="1" applyAlignment="1">
      <alignment horizontal="center" vertical="center"/>
    </xf>
    <xf numFmtId="165" fontId="0" fillId="0" borderId="55" xfId="0" applyNumberFormat="1" applyBorder="1" applyAlignment="1">
      <alignment horizontal="center" vertical="center"/>
    </xf>
    <xf numFmtId="166" fontId="0" fillId="0" borderId="0" xfId="0" applyNumberFormat="1" applyAlignment="1">
      <alignment horizontal="center"/>
    </xf>
    <xf numFmtId="165" fontId="0" fillId="0" borderId="64" xfId="0" applyNumberFormat="1" applyBorder="1" applyAlignment="1">
      <alignment horizontal="center" vertical="center"/>
    </xf>
    <xf numFmtId="165" fontId="3" fillId="0" borderId="0" xfId="0" applyNumberFormat="1" applyFont="1" applyAlignment="1">
      <alignment horizontal="center" vertical="center"/>
    </xf>
    <xf numFmtId="0" fontId="32" fillId="2" borderId="0" xfId="0" applyFont="1" applyFill="1" applyAlignment="1">
      <alignment vertical="center"/>
    </xf>
    <xf numFmtId="0" fontId="26" fillId="4" borderId="0" xfId="0" applyFont="1" applyFill="1" applyAlignment="1">
      <alignment vertical="center"/>
    </xf>
    <xf numFmtId="0" fontId="0" fillId="0" borderId="57" xfId="0" applyBorder="1" applyAlignment="1">
      <alignment horizontal="center" vertical="center"/>
    </xf>
    <xf numFmtId="0" fontId="22" fillId="0" borderId="32" xfId="0" applyFont="1" applyBorder="1" applyAlignment="1">
      <alignment vertical="center"/>
    </xf>
    <xf numFmtId="0" fontId="26" fillId="4" borderId="65" xfId="0" applyFont="1" applyFill="1" applyBorder="1" applyAlignment="1">
      <alignment vertical="center"/>
    </xf>
    <xf numFmtId="0" fontId="0" fillId="0" borderId="65" xfId="0" applyBorder="1" applyAlignment="1">
      <alignment horizontal="center" vertical="center"/>
    </xf>
    <xf numFmtId="0" fontId="0" fillId="0" borderId="66" xfId="0" applyBorder="1" applyAlignment="1">
      <alignment horizontal="center" vertical="center"/>
    </xf>
    <xf numFmtId="165" fontId="0" fillId="0" borderId="40" xfId="0" applyNumberFormat="1" applyBorder="1" applyAlignment="1">
      <alignment horizontal="center" vertical="center"/>
    </xf>
    <xf numFmtId="165" fontId="0" fillId="0" borderId="49" xfId="0" applyNumberFormat="1" applyBorder="1" applyAlignment="1">
      <alignment horizontal="center" vertical="center"/>
    </xf>
    <xf numFmtId="165" fontId="0" fillId="0" borderId="67" xfId="0" applyNumberFormat="1" applyBorder="1" applyAlignment="1">
      <alignment horizontal="center" vertical="center"/>
    </xf>
    <xf numFmtId="0" fontId="26" fillId="4" borderId="68" xfId="0" applyFont="1" applyFill="1" applyBorder="1" applyAlignment="1">
      <alignment vertical="center"/>
    </xf>
    <xf numFmtId="0" fontId="0" fillId="0" borderId="68" xfId="0" applyBorder="1" applyAlignment="1">
      <alignment horizontal="center" vertical="center"/>
    </xf>
    <xf numFmtId="0" fontId="0" fillId="0" borderId="69" xfId="0" applyBorder="1" applyAlignment="1">
      <alignment horizontal="center" vertical="center"/>
    </xf>
    <xf numFmtId="165" fontId="0" fillId="0" borderId="70" xfId="0" applyNumberFormat="1" applyBorder="1" applyAlignment="1">
      <alignment horizontal="center" vertical="center"/>
    </xf>
    <xf numFmtId="165" fontId="0" fillId="0" borderId="71" xfId="0" applyNumberFormat="1" applyBorder="1" applyAlignment="1">
      <alignment horizontal="center" vertical="center"/>
    </xf>
    <xf numFmtId="0" fontId="0" fillId="0" borderId="60" xfId="0" applyBorder="1" applyAlignment="1">
      <alignment horizontal="center" vertical="center"/>
    </xf>
    <xf numFmtId="165" fontId="0" fillId="0" borderId="72" xfId="0" applyNumberFormat="1" applyBorder="1" applyAlignment="1">
      <alignment horizontal="center" vertical="center"/>
    </xf>
    <xf numFmtId="0" fontId="22" fillId="0" borderId="73" xfId="0" applyFont="1" applyBorder="1" applyAlignment="1">
      <alignment vertical="center"/>
    </xf>
    <xf numFmtId="165" fontId="0" fillId="0" borderId="42" xfId="0" applyNumberFormat="1" applyBorder="1" applyAlignment="1">
      <alignment horizontal="center" vertical="center"/>
    </xf>
    <xf numFmtId="165" fontId="0" fillId="0" borderId="74" xfId="0" applyNumberFormat="1" applyBorder="1" applyAlignment="1">
      <alignment horizontal="center" vertical="center"/>
    </xf>
    <xf numFmtId="165" fontId="0" fillId="0" borderId="75" xfId="0" applyNumberFormat="1" applyBorder="1" applyAlignment="1">
      <alignment horizontal="center" vertical="center"/>
    </xf>
    <xf numFmtId="165" fontId="0" fillId="0" borderId="76" xfId="0" applyNumberFormat="1" applyBorder="1" applyAlignment="1">
      <alignment horizontal="center" vertical="center"/>
    </xf>
    <xf numFmtId="165" fontId="3" fillId="5" borderId="77" xfId="0" applyNumberFormat="1" applyFont="1" applyFill="1" applyBorder="1" applyAlignment="1">
      <alignment horizontal="center" vertical="center"/>
    </xf>
    <xf numFmtId="165" fontId="3" fillId="5" borderId="25" xfId="0" applyNumberFormat="1" applyFont="1" applyFill="1" applyBorder="1" applyAlignment="1">
      <alignment horizontal="center" vertical="center"/>
    </xf>
    <xf numFmtId="165" fontId="3" fillId="5" borderId="23" xfId="0" applyNumberFormat="1" applyFont="1" applyFill="1" applyBorder="1" applyAlignment="1">
      <alignment horizontal="center" vertical="center"/>
    </xf>
    <xf numFmtId="165" fontId="3" fillId="5" borderId="78" xfId="0" applyNumberFormat="1" applyFont="1" applyFill="1" applyBorder="1" applyAlignment="1">
      <alignment horizontal="center" vertical="center"/>
    </xf>
    <xf numFmtId="0" fontId="0" fillId="0" borderId="79" xfId="0" applyBorder="1" applyAlignment="1">
      <alignment horizontal="center" vertical="center"/>
    </xf>
    <xf numFmtId="166" fontId="0" fillId="0" borderId="51" xfId="0" applyNumberFormat="1" applyBorder="1" applyAlignment="1">
      <alignment horizontal="center" vertical="center"/>
    </xf>
    <xf numFmtId="166" fontId="3" fillId="5" borderId="27" xfId="0" applyNumberFormat="1" applyFont="1" applyFill="1" applyBorder="1" applyAlignment="1">
      <alignment horizontal="center" vertical="center"/>
    </xf>
    <xf numFmtId="165" fontId="0" fillId="0" borderId="60" xfId="0" applyNumberFormat="1" applyBorder="1" applyAlignment="1">
      <alignment horizontal="center" vertical="center"/>
    </xf>
    <xf numFmtId="0" fontId="7" fillId="14" borderId="52" xfId="0" applyFont="1" applyFill="1" applyBorder="1" applyAlignment="1">
      <alignment horizontal="center" vertical="center"/>
    </xf>
    <xf numFmtId="0" fontId="26" fillId="4" borderId="80" xfId="0" applyFont="1" applyFill="1" applyBorder="1" applyAlignment="1">
      <alignment vertical="center"/>
    </xf>
    <xf numFmtId="165" fontId="0" fillId="0" borderId="81" xfId="0" applyNumberFormat="1" applyBorder="1" applyAlignment="1">
      <alignment horizontal="center" vertical="center"/>
    </xf>
    <xf numFmtId="1" fontId="3" fillId="5" borderId="27" xfId="0" applyNumberFormat="1" applyFont="1" applyFill="1" applyBorder="1" applyAlignment="1">
      <alignment horizontal="center" vertical="center"/>
    </xf>
    <xf numFmtId="0" fontId="7" fillId="10" borderId="52" xfId="0" applyFont="1" applyFill="1" applyBorder="1" applyAlignment="1">
      <alignment horizontal="center" vertical="center"/>
    </xf>
    <xf numFmtId="0" fontId="32" fillId="2" borderId="59" xfId="0" applyFont="1" applyFill="1" applyBorder="1" applyAlignment="1">
      <alignment vertical="center"/>
    </xf>
    <xf numFmtId="0" fontId="26" fillId="4" borderId="6" xfId="0" applyFont="1" applyFill="1" applyBorder="1" applyAlignment="1">
      <alignment vertical="center"/>
    </xf>
    <xf numFmtId="165" fontId="0" fillId="0" borderId="48" xfId="0" applyNumberFormat="1" applyBorder="1" applyAlignment="1">
      <alignment horizontal="center" vertical="center"/>
    </xf>
    <xf numFmtId="0" fontId="58" fillId="14" borderId="52" xfId="0" applyFont="1" applyFill="1" applyBorder="1" applyAlignment="1">
      <alignment horizontal="center" vertical="center"/>
    </xf>
    <xf numFmtId="0" fontId="56" fillId="0" borderId="59" xfId="0" applyFont="1" applyBorder="1" applyAlignment="1">
      <alignment vertical="center"/>
    </xf>
    <xf numFmtId="0" fontId="7" fillId="5" borderId="82" xfId="0" applyFont="1" applyFill="1" applyBorder="1" applyAlignment="1">
      <alignment horizontal="center" vertical="center"/>
    </xf>
    <xf numFmtId="0" fontId="58" fillId="10" borderId="52" xfId="0" applyFont="1" applyFill="1" applyBorder="1" applyAlignment="1">
      <alignment horizontal="center" vertical="center"/>
    </xf>
    <xf numFmtId="0" fontId="26" fillId="4" borderId="51" xfId="0" applyFont="1" applyFill="1" applyBorder="1" applyAlignment="1">
      <alignment vertical="center" wrapText="1"/>
    </xf>
    <xf numFmtId="165" fontId="0" fillId="0" borderId="83" xfId="0" applyNumberFormat="1" applyBorder="1" applyAlignment="1">
      <alignment horizontal="center" vertical="center"/>
    </xf>
    <xf numFmtId="0" fontId="0" fillId="0" borderId="59" xfId="0" applyBorder="1" applyAlignment="1">
      <alignment vertical="center"/>
    </xf>
    <xf numFmtId="0" fontId="40" fillId="5" borderId="27" xfId="0" applyFont="1" applyFill="1" applyBorder="1" applyAlignment="1">
      <alignment horizontal="center" vertical="center"/>
    </xf>
    <xf numFmtId="0" fontId="32" fillId="2" borderId="59" xfId="0" applyFont="1" applyFill="1" applyBorder="1" applyAlignment="1">
      <alignment vertical="center" wrapText="1"/>
    </xf>
    <xf numFmtId="0" fontId="41" fillId="16" borderId="27" xfId="0" applyFont="1" applyFill="1" applyBorder="1" applyAlignment="1">
      <alignment horizontal="center" vertical="center"/>
    </xf>
    <xf numFmtId="0" fontId="40" fillId="16" borderId="27" xfId="0" applyFont="1" applyFill="1" applyBorder="1" applyAlignment="1">
      <alignment horizontal="center" vertical="center"/>
    </xf>
    <xf numFmtId="0" fontId="3" fillId="16" borderId="27" xfId="0" applyFont="1" applyFill="1" applyBorder="1" applyAlignment="1">
      <alignment horizontal="center" vertical="center"/>
    </xf>
    <xf numFmtId="165" fontId="3" fillId="16" borderId="27" xfId="0" applyNumberFormat="1" applyFont="1" applyFill="1" applyBorder="1" applyAlignment="1">
      <alignment horizontal="center" vertical="center"/>
    </xf>
    <xf numFmtId="3" fontId="3" fillId="0" borderId="0" xfId="0" applyNumberFormat="1" applyFont="1" applyAlignment="1">
      <alignment horizontal="center" vertical="center"/>
    </xf>
    <xf numFmtId="1" fontId="3" fillId="16" borderId="27" xfId="0" applyNumberFormat="1" applyFont="1" applyFill="1" applyBorder="1" applyAlignment="1">
      <alignment horizontal="center" vertical="center"/>
    </xf>
    <xf numFmtId="165" fontId="3" fillId="0" borderId="51" xfId="0" applyNumberFormat="1" applyFont="1" applyBorder="1" applyAlignment="1">
      <alignment horizontal="center" vertical="center"/>
    </xf>
    <xf numFmtId="0" fontId="59" fillId="17" borderId="52" xfId="0" applyFont="1" applyFill="1" applyBorder="1" applyAlignment="1">
      <alignment horizontal="center" vertical="center"/>
    </xf>
    <xf numFmtId="0" fontId="0" fillId="0" borderId="51" xfId="0" applyBorder="1" applyAlignment="1">
      <alignment horizontal="center"/>
    </xf>
    <xf numFmtId="0" fontId="56" fillId="18" borderId="84" xfId="0" applyFont="1" applyFill="1" applyBorder="1" applyAlignment="1">
      <alignment vertical="center"/>
    </xf>
    <xf numFmtId="164" fontId="60" fillId="0" borderId="0" xfId="0" applyNumberFormat="1" applyFont="1" applyAlignment="1">
      <alignment horizontal="center" vertical="center"/>
    </xf>
    <xf numFmtId="164" fontId="61" fillId="0" borderId="0" xfId="0" applyNumberFormat="1" applyFont="1" applyAlignment="1">
      <alignment vertical="center" wrapText="1"/>
    </xf>
    <xf numFmtId="164" fontId="61" fillId="2" borderId="0" xfId="0" applyNumberFormat="1" applyFont="1" applyFill="1" applyAlignment="1">
      <alignment vertical="center" wrapText="1"/>
    </xf>
    <xf numFmtId="164" fontId="61" fillId="2" borderId="0" xfId="0" applyNumberFormat="1" applyFont="1" applyFill="1" applyAlignment="1">
      <alignment horizontal="center" vertical="center" wrapText="1"/>
    </xf>
    <xf numFmtId="0" fontId="62" fillId="0" borderId="0" xfId="0" applyFont="1" applyAlignment="1">
      <alignment horizontal="left" vertical="center" wrapText="1"/>
    </xf>
    <xf numFmtId="0" fontId="62" fillId="2" borderId="0" xfId="0" applyFont="1" applyFill="1" applyAlignment="1">
      <alignment horizontal="left" vertical="center" wrapText="1"/>
    </xf>
    <xf numFmtId="9" fontId="61" fillId="2" borderId="0" xfId="0" applyNumberFormat="1" applyFont="1" applyFill="1" applyAlignment="1">
      <alignment horizontal="center" vertical="center" wrapText="1"/>
    </xf>
    <xf numFmtId="0" fontId="10" fillId="0" borderId="88" xfId="0" applyFont="1" applyBorder="1" applyAlignment="1">
      <alignment vertical="center"/>
    </xf>
    <xf numFmtId="0" fontId="0" fillId="4" borderId="89" xfId="0" applyFill="1" applyBorder="1" applyAlignment="1">
      <alignment horizontal="right" vertical="center"/>
    </xf>
    <xf numFmtId="0" fontId="7" fillId="4" borderId="90" xfId="0" applyFont="1" applyFill="1" applyBorder="1" applyAlignment="1">
      <alignment horizontal="center" vertical="center"/>
    </xf>
    <xf numFmtId="9" fontId="51" fillId="0" borderId="91" xfId="0" applyNumberFormat="1" applyFont="1" applyBorder="1" applyAlignment="1">
      <alignment horizontal="left" vertical="center"/>
    </xf>
    <xf numFmtId="0" fontId="10" fillId="4" borderId="92" xfId="0" applyFont="1" applyFill="1" applyBorder="1" applyAlignment="1">
      <alignment horizontal="center" vertical="center" wrapText="1"/>
    </xf>
    <xf numFmtId="0" fontId="64" fillId="0" borderId="0" xfId="0" applyFont="1" applyAlignment="1">
      <alignment horizontal="center"/>
    </xf>
    <xf numFmtId="0" fontId="0" fillId="4" borderId="93" xfId="0" applyFill="1" applyBorder="1" applyAlignment="1">
      <alignment horizontal="right" vertical="center"/>
    </xf>
    <xf numFmtId="0" fontId="7" fillId="4" borderId="12" xfId="0" applyFont="1" applyFill="1" applyBorder="1" applyAlignment="1">
      <alignment horizontal="center" vertical="center"/>
    </xf>
    <xf numFmtId="9" fontId="26" fillId="0" borderId="0" xfId="0" applyNumberFormat="1" applyFont="1" applyAlignment="1">
      <alignment horizontal="left"/>
    </xf>
    <xf numFmtId="0" fontId="41" fillId="0" borderId="0" xfId="0" applyFont="1" applyAlignment="1">
      <alignment horizontal="center" vertical="center"/>
    </xf>
    <xf numFmtId="0" fontId="65" fillId="0" borderId="0" xfId="0" applyFont="1"/>
    <xf numFmtId="0" fontId="21" fillId="8" borderId="31" xfId="0" applyFont="1" applyFill="1" applyBorder="1" applyAlignment="1">
      <alignment horizontal="center" vertical="center"/>
    </xf>
    <xf numFmtId="0" fontId="21" fillId="4" borderId="32" xfId="0" applyFont="1" applyFill="1" applyBorder="1" applyAlignment="1">
      <alignment horizontal="center" vertical="center" wrapText="1"/>
    </xf>
    <xf numFmtId="0" fontId="21" fillId="4" borderId="32" xfId="0" applyFont="1" applyFill="1" applyBorder="1" applyAlignment="1">
      <alignment horizontal="center" vertical="center"/>
    </xf>
    <xf numFmtId="0" fontId="3" fillId="4" borderId="32"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0" fillId="19" borderId="0" xfId="0" applyFill="1" applyAlignment="1">
      <alignment horizontal="center"/>
    </xf>
    <xf numFmtId="0" fontId="0" fillId="19" borderId="74" xfId="0" applyFill="1" applyBorder="1" applyAlignment="1">
      <alignment horizontal="center"/>
    </xf>
    <xf numFmtId="0" fontId="0" fillId="19" borderId="0" xfId="0" applyFill="1" applyAlignment="1">
      <alignment horizontal="center" vertical="center"/>
    </xf>
    <xf numFmtId="3" fontId="0" fillId="19" borderId="74" xfId="0" applyNumberFormat="1" applyFill="1" applyBorder="1" applyAlignment="1">
      <alignment horizontal="center" vertical="center"/>
    </xf>
    <xf numFmtId="0" fontId="0" fillId="19" borderId="0" xfId="0" applyFill="1" applyAlignment="1">
      <alignment vertical="center"/>
    </xf>
    <xf numFmtId="0" fontId="0" fillId="19" borderId="74" xfId="0" applyFill="1" applyBorder="1" applyAlignment="1">
      <alignment horizontal="center" vertical="center"/>
    </xf>
    <xf numFmtId="0" fontId="0" fillId="0" borderId="94" xfId="0" applyBorder="1"/>
    <xf numFmtId="0" fontId="0" fillId="0" borderId="74" xfId="0" applyBorder="1" applyAlignment="1">
      <alignment horizontal="center"/>
    </xf>
    <xf numFmtId="0" fontId="2" fillId="0" borderId="0" xfId="0" applyFont="1"/>
    <xf numFmtId="0" fontId="67" fillId="0" borderId="0" xfId="0" applyFont="1" applyAlignment="1">
      <alignment horizontal="center" vertical="center"/>
    </xf>
    <xf numFmtId="1" fontId="0" fillId="0" borderId="0" xfId="0" applyNumberFormat="1" applyAlignment="1">
      <alignment horizontal="center" vertical="center"/>
    </xf>
    <xf numFmtId="1" fontId="0" fillId="0" borderId="74" xfId="0" applyNumberFormat="1" applyBorder="1" applyAlignment="1">
      <alignment horizontal="center" vertical="center"/>
    </xf>
    <xf numFmtId="0" fontId="0" fillId="4" borderId="34" xfId="0" applyFill="1" applyBorder="1" applyAlignment="1">
      <alignment horizontal="center" vertical="center"/>
    </xf>
    <xf numFmtId="0" fontId="0" fillId="12" borderId="34" xfId="0" applyFill="1" applyBorder="1" applyAlignment="1">
      <alignment horizontal="center"/>
    </xf>
    <xf numFmtId="0" fontId="0" fillId="12" borderId="36" xfId="0" applyFill="1" applyBorder="1" applyAlignment="1">
      <alignment horizontal="center"/>
    </xf>
    <xf numFmtId="0" fontId="3" fillId="4" borderId="0" xfId="0" applyFont="1" applyFill="1" applyAlignment="1">
      <alignment horizontal="center" vertical="center"/>
    </xf>
    <xf numFmtId="3" fontId="3" fillId="4" borderId="0" xfId="0" applyNumberFormat="1" applyFont="1" applyFill="1" applyAlignment="1">
      <alignment horizontal="center" vertical="center"/>
    </xf>
    <xf numFmtId="0" fontId="0" fillId="4" borderId="95" xfId="0" applyFill="1" applyBorder="1"/>
    <xf numFmtId="0" fontId="0" fillId="12" borderId="95" xfId="0" applyFill="1" applyBorder="1" applyAlignment="1">
      <alignment horizontal="center"/>
    </xf>
    <xf numFmtId="0" fontId="0" fillId="12" borderId="45" xfId="0" applyFill="1" applyBorder="1" applyAlignment="1">
      <alignment horizontal="center"/>
    </xf>
    <xf numFmtId="0" fontId="0" fillId="0" borderId="2" xfId="0" applyBorder="1" applyAlignment="1">
      <alignment horizontal="center" vertical="center"/>
    </xf>
    <xf numFmtId="0" fontId="7" fillId="0" borderId="0" xfId="0" applyFont="1" applyAlignment="1">
      <alignment horizontal="center" vertical="center"/>
    </xf>
    <xf numFmtId="0" fontId="4" fillId="2" borderId="0" xfId="0" applyFont="1" applyFill="1"/>
    <xf numFmtId="0" fontId="69" fillId="0" borderId="0" xfId="0" applyFont="1" applyAlignment="1">
      <alignment horizontal="center"/>
    </xf>
    <xf numFmtId="0" fontId="40" fillId="0" borderId="0" xfId="0" applyFont="1"/>
    <xf numFmtId="0" fontId="60" fillId="0" borderId="0" xfId="0" applyFont="1" applyAlignment="1">
      <alignment vertical="center"/>
    </xf>
    <xf numFmtId="0" fontId="52" fillId="4" borderId="2" xfId="0" applyFont="1" applyFill="1" applyBorder="1" applyAlignment="1">
      <alignment horizontal="center" vertical="center"/>
    </xf>
    <xf numFmtId="0" fontId="70" fillId="4" borderId="3" xfId="0" applyFont="1" applyFill="1" applyBorder="1" applyAlignment="1">
      <alignment horizontal="center" vertical="center"/>
    </xf>
    <xf numFmtId="0" fontId="70" fillId="4" borderId="100" xfId="0" applyFont="1" applyFill="1" applyBorder="1" applyAlignment="1">
      <alignment horizontal="center" vertical="center" wrapText="1"/>
    </xf>
    <xf numFmtId="0" fontId="70" fillId="4" borderId="101" xfId="0" applyFont="1" applyFill="1" applyBorder="1" applyAlignment="1">
      <alignment horizontal="center" vertical="center" wrapText="1"/>
    </xf>
    <xf numFmtId="0" fontId="71" fillId="4" borderId="88" xfId="0" applyFont="1" applyFill="1" applyBorder="1" applyAlignment="1">
      <alignment horizontal="center" vertical="center" wrapText="1"/>
    </xf>
    <xf numFmtId="0" fontId="71" fillId="4" borderId="3" xfId="0" applyFont="1" applyFill="1" applyBorder="1" applyAlignment="1">
      <alignment horizontal="center" vertical="center" wrapText="1"/>
    </xf>
    <xf numFmtId="0" fontId="71" fillId="4" borderId="3" xfId="0" applyFont="1" applyFill="1" applyBorder="1" applyAlignment="1">
      <alignment horizontal="center" vertical="center"/>
    </xf>
    <xf numFmtId="0" fontId="71" fillId="4" borderId="10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left" vertical="center" wrapText="1"/>
    </xf>
    <xf numFmtId="0" fontId="4" fillId="2" borderId="103" xfId="0" applyFont="1" applyFill="1" applyBorder="1" applyAlignment="1">
      <alignment horizontal="center" vertical="center" wrapText="1"/>
    </xf>
    <xf numFmtId="0" fontId="4" fillId="2" borderId="104" xfId="0" applyFont="1" applyFill="1" applyBorder="1" applyAlignment="1">
      <alignment horizontal="center" vertical="center" wrapText="1"/>
    </xf>
    <xf numFmtId="0" fontId="72" fillId="2" borderId="0" xfId="0" applyFont="1" applyFill="1" applyAlignment="1">
      <alignment horizontal="center" vertical="center" wrapText="1"/>
    </xf>
    <xf numFmtId="0" fontId="72" fillId="2" borderId="0" xfId="0" applyFont="1" applyFill="1" applyAlignment="1">
      <alignment horizontal="center" vertical="center"/>
    </xf>
    <xf numFmtId="0" fontId="72" fillId="2" borderId="105" xfId="0" applyFont="1" applyFill="1" applyBorder="1" applyAlignment="1">
      <alignment horizontal="center" vertical="center"/>
    </xf>
    <xf numFmtId="0" fontId="69" fillId="0" borderId="7" xfId="0" applyFont="1" applyBorder="1" applyAlignment="1">
      <alignment horizontal="center"/>
    </xf>
    <xf numFmtId="0" fontId="69" fillId="0" borderId="50" xfId="0" applyFont="1" applyBorder="1" applyAlignment="1">
      <alignment horizontal="left"/>
    </xf>
    <xf numFmtId="0" fontId="69" fillId="0" borderId="106" xfId="0" applyFont="1" applyBorder="1" applyAlignment="1">
      <alignment horizontal="center" vertical="center"/>
    </xf>
    <xf numFmtId="0" fontId="69" fillId="0" borderId="104" xfId="0" applyFont="1" applyBorder="1" applyAlignment="1">
      <alignment horizontal="center" vertical="center"/>
    </xf>
    <xf numFmtId="0" fontId="23" fillId="0" borderId="105" xfId="0" applyFont="1" applyBorder="1"/>
    <xf numFmtId="0" fontId="69" fillId="0" borderId="0" xfId="0" applyFont="1"/>
    <xf numFmtId="0" fontId="69" fillId="0" borderId="0" xfId="0" applyFont="1" applyAlignment="1">
      <alignment horizontal="left"/>
    </xf>
    <xf numFmtId="0" fontId="69" fillId="0" borderId="7" xfId="0" applyFont="1" applyBorder="1" applyAlignment="1">
      <alignment horizontal="center" vertical="center"/>
    </xf>
    <xf numFmtId="0" fontId="68" fillId="0" borderId="51" xfId="0" applyFont="1" applyBorder="1" applyAlignment="1">
      <alignment horizontal="left" vertical="center"/>
    </xf>
    <xf numFmtId="0" fontId="23" fillId="0" borderId="105" xfId="0" applyFont="1" applyBorder="1" applyAlignment="1">
      <alignment wrapText="1"/>
    </xf>
    <xf numFmtId="0" fontId="75" fillId="2" borderId="7" xfId="0" applyFont="1" applyFill="1" applyBorder="1" applyAlignment="1">
      <alignment horizontal="center"/>
    </xf>
    <xf numFmtId="0" fontId="4" fillId="2" borderId="106" xfId="0" applyFont="1" applyFill="1" applyBorder="1" applyAlignment="1">
      <alignment horizontal="center" vertical="center"/>
    </xf>
    <xf numFmtId="0" fontId="4" fillId="2" borderId="104" xfId="0" applyFont="1" applyFill="1" applyBorder="1" applyAlignment="1">
      <alignment horizontal="center" vertical="center"/>
    </xf>
    <xf numFmtId="0" fontId="75" fillId="2" borderId="0" xfId="0" applyFont="1" applyFill="1"/>
    <xf numFmtId="0" fontId="75" fillId="2" borderId="0" xfId="0" applyFont="1" applyFill="1" applyAlignment="1">
      <alignment horizontal="center"/>
    </xf>
    <xf numFmtId="0" fontId="76" fillId="2" borderId="105" xfId="0" applyFont="1" applyFill="1" applyBorder="1"/>
    <xf numFmtId="0" fontId="69" fillId="0" borderId="26" xfId="0" applyFont="1" applyBorder="1" applyAlignment="1">
      <alignment horizontal="left"/>
    </xf>
    <xf numFmtId="0" fontId="4" fillId="2" borderId="7" xfId="0" applyFont="1" applyFill="1" applyBorder="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0" fontId="35" fillId="2" borderId="105" xfId="0" applyFont="1" applyFill="1" applyBorder="1"/>
    <xf numFmtId="0" fontId="69" fillId="0" borderId="0" xfId="0" applyFont="1" applyAlignment="1">
      <alignment horizontal="left" vertical="center"/>
    </xf>
    <xf numFmtId="0" fontId="69" fillId="0" borderId="107" xfId="0" applyFont="1" applyBorder="1" applyAlignment="1">
      <alignment horizontal="left"/>
    </xf>
    <xf numFmtId="0" fontId="69" fillId="0" borderId="0" xfId="0" applyFont="1" applyAlignment="1">
      <alignment horizontal="center" vertical="center"/>
    </xf>
    <xf numFmtId="0" fontId="72" fillId="2" borderId="7" xfId="0" applyFont="1" applyFill="1" applyBorder="1" applyAlignment="1">
      <alignment horizontal="center"/>
    </xf>
    <xf numFmtId="0" fontId="0" fillId="0" borderId="104" xfId="0" applyBorder="1"/>
    <xf numFmtId="0" fontId="69" fillId="0" borderId="108" xfId="0" applyFont="1" applyBorder="1" applyAlignment="1">
      <alignment horizontal="center"/>
    </xf>
    <xf numFmtId="0" fontId="0" fillId="22" borderId="109" xfId="0" applyFill="1" applyBorder="1" applyAlignment="1">
      <alignment horizontal="center" vertical="center"/>
    </xf>
    <xf numFmtId="0" fontId="0" fillId="20" borderId="3" xfId="0" applyFill="1" applyBorder="1" applyAlignment="1">
      <alignment horizontal="center"/>
    </xf>
    <xf numFmtId="0" fontId="0" fillId="20" borderId="110" xfId="0" applyFill="1" applyBorder="1"/>
    <xf numFmtId="0" fontId="21" fillId="0" borderId="0" xfId="0" applyFont="1"/>
    <xf numFmtId="0" fontId="1" fillId="0" borderId="0" xfId="0" applyFont="1" applyAlignment="1">
      <alignment horizontal="center" vertical="center"/>
    </xf>
    <xf numFmtId="0" fontId="1" fillId="0" borderId="0" xfId="0" applyFont="1" applyAlignment="1">
      <alignment vertical="center"/>
    </xf>
    <xf numFmtId="0" fontId="1" fillId="2" borderId="0" xfId="0" applyFont="1" applyFill="1" applyAlignment="1">
      <alignment horizontal="center" vertical="center"/>
    </xf>
    <xf numFmtId="0" fontId="1" fillId="2" borderId="0" xfId="0" applyFont="1" applyFill="1" applyAlignment="1">
      <alignment horizontal="center"/>
    </xf>
    <xf numFmtId="0" fontId="0" fillId="4" borderId="2" xfId="0" applyFill="1" applyBorder="1"/>
    <xf numFmtId="0" fontId="3" fillId="21" borderId="2" xfId="0" applyFont="1" applyFill="1" applyBorder="1"/>
    <xf numFmtId="0" fontId="22" fillId="0" borderId="0" xfId="0" applyFont="1" applyAlignment="1">
      <alignment vertical="center"/>
    </xf>
    <xf numFmtId="0" fontId="33" fillId="6" borderId="0" xfId="0" applyFont="1" applyFill="1"/>
    <xf numFmtId="0" fontId="4" fillId="6" borderId="0" xfId="0" applyFont="1" applyFill="1"/>
    <xf numFmtId="0" fontId="0" fillId="4" borderId="0" xfId="0" applyFill="1" applyAlignment="1">
      <alignment horizontal="left" vertical="top" wrapText="1"/>
    </xf>
    <xf numFmtId="0" fontId="0" fillId="4" borderId="0" xfId="0" applyFill="1"/>
    <xf numFmtId="0" fontId="3" fillId="4" borderId="88" xfId="0" applyFont="1" applyFill="1" applyBorder="1" applyAlignment="1">
      <alignment horizontal="left" vertical="top" wrapText="1"/>
    </xf>
    <xf numFmtId="3" fontId="0" fillId="4" borderId="88" xfId="0" applyNumberFormat="1" applyFill="1" applyBorder="1" applyAlignment="1">
      <alignment horizontal="left" vertical="top" wrapText="1"/>
    </xf>
    <xf numFmtId="3" fontId="0" fillId="4" borderId="88" xfId="0" applyNumberFormat="1" applyFill="1" applyBorder="1" applyAlignment="1">
      <alignment horizontal="left" vertical="center" wrapText="1"/>
    </xf>
    <xf numFmtId="0" fontId="0" fillId="4" borderId="88" xfId="0" applyFill="1" applyBorder="1" applyAlignment="1">
      <alignment horizontal="left" vertical="top" wrapText="1"/>
    </xf>
    <xf numFmtId="0" fontId="3" fillId="0" borderId="0" xfId="0" applyFont="1" applyAlignment="1">
      <alignment horizontal="left" vertical="top" wrapText="1"/>
    </xf>
    <xf numFmtId="3" fontId="0" fillId="0" borderId="0" xfId="0" applyNumberFormat="1" applyAlignment="1">
      <alignment horizontal="left" vertical="center" wrapText="1"/>
    </xf>
    <xf numFmtId="0" fontId="0" fillId="0" borderId="0" xfId="0" applyAlignment="1">
      <alignment horizontal="left" vertical="top" wrapText="1"/>
    </xf>
    <xf numFmtId="0" fontId="0" fillId="4" borderId="0" xfId="0" applyFill="1" applyAlignment="1">
      <alignment horizontal="left" vertical="center" wrapText="1"/>
    </xf>
    <xf numFmtId="0" fontId="0" fillId="4" borderId="0" xfId="0" applyFill="1" applyAlignment="1">
      <alignment horizontal="left" vertical="center"/>
    </xf>
    <xf numFmtId="0" fontId="1" fillId="2" borderId="0" xfId="0" applyFont="1" applyFill="1" applyAlignment="1">
      <alignment vertical="center"/>
    </xf>
    <xf numFmtId="0" fontId="1" fillId="2" borderId="0" xfId="0" applyFont="1" applyFill="1" applyAlignment="1">
      <alignment vertical="center" wrapText="1"/>
    </xf>
    <xf numFmtId="0" fontId="4"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horizontal="left" vertical="center" wrapText="1"/>
    </xf>
    <xf numFmtId="0" fontId="81" fillId="0" borderId="0" xfId="0" applyFont="1" applyAlignment="1">
      <alignment vertical="top" wrapText="1"/>
    </xf>
    <xf numFmtId="0" fontId="81" fillId="0" borderId="0" xfId="0" applyFont="1" applyAlignment="1">
      <alignment horizontal="left" vertical="top" wrapText="1"/>
    </xf>
    <xf numFmtId="0" fontId="81" fillId="0" borderId="0" xfId="0" applyFont="1" applyAlignment="1">
      <alignment vertical="top"/>
    </xf>
    <xf numFmtId="10" fontId="79" fillId="4" borderId="0" xfId="0" applyNumberFormat="1" applyFont="1" applyFill="1" applyAlignment="1">
      <alignment horizontal="center" vertical="center"/>
    </xf>
    <xf numFmtId="0" fontId="81" fillId="4" borderId="0" xfId="0" applyFont="1" applyFill="1" applyAlignment="1">
      <alignment horizontal="left" vertical="center" wrapText="1"/>
    </xf>
    <xf numFmtId="0" fontId="82" fillId="0" borderId="0" xfId="0" applyFont="1" applyAlignment="1">
      <alignment vertical="center" wrapText="1"/>
    </xf>
    <xf numFmtId="0" fontId="81" fillId="0" borderId="0" xfId="0" applyFont="1"/>
    <xf numFmtId="0" fontId="81" fillId="0" borderId="0" xfId="0" applyFont="1" applyAlignment="1">
      <alignment wrapText="1"/>
    </xf>
    <xf numFmtId="0" fontId="81" fillId="4" borderId="0" xfId="0" applyFont="1" applyFill="1" applyAlignment="1">
      <alignment horizontal="center" vertical="center"/>
    </xf>
    <xf numFmtId="0" fontId="21" fillId="4" borderId="88" xfId="0" applyFont="1" applyFill="1" applyBorder="1" applyAlignment="1">
      <alignment horizontal="left" vertical="center" wrapText="1"/>
    </xf>
    <xf numFmtId="0" fontId="21" fillId="4" borderId="88" xfId="0" applyFont="1" applyFill="1" applyBorder="1" applyAlignment="1">
      <alignment horizontal="left" vertical="top" wrapText="1"/>
    </xf>
    <xf numFmtId="0" fontId="82" fillId="0" borderId="0" xfId="0" applyFont="1" applyAlignment="1">
      <alignment horizontal="left" vertical="center" wrapText="1"/>
    </xf>
    <xf numFmtId="0" fontId="82" fillId="0" borderId="0" xfId="0" applyFont="1" applyAlignment="1">
      <alignment vertical="top" wrapText="1"/>
    </xf>
    <xf numFmtId="0" fontId="33" fillId="0" borderId="0" xfId="0" applyFont="1"/>
    <xf numFmtId="0" fontId="4" fillId="0" borderId="0" xfId="0" applyFont="1"/>
    <xf numFmtId="3" fontId="84" fillId="4" borderId="0" xfId="0" applyNumberFormat="1" applyFont="1" applyFill="1" applyAlignment="1">
      <alignment horizontal="center" vertical="center"/>
    </xf>
    <xf numFmtId="0" fontId="54" fillId="0" borderId="0" xfId="0" applyFont="1" applyAlignment="1">
      <alignment vertical="center" wrapText="1"/>
    </xf>
    <xf numFmtId="0" fontId="86" fillId="0" borderId="0" xfId="0" applyFont="1" applyAlignment="1">
      <alignment vertical="top" wrapText="1"/>
    </xf>
    <xf numFmtId="166" fontId="0" fillId="4" borderId="0" xfId="0" applyNumberFormat="1" applyFill="1" applyAlignment="1">
      <alignment horizontal="center" vertical="center"/>
    </xf>
    <xf numFmtId="0" fontId="82" fillId="0" borderId="0" xfId="0" applyFont="1" applyAlignment="1">
      <alignment wrapText="1"/>
    </xf>
    <xf numFmtId="165" fontId="0" fillId="0" borderId="57" xfId="0" applyNumberFormat="1" applyBorder="1" applyAlignment="1">
      <alignment horizontal="center" vertical="center"/>
    </xf>
    <xf numFmtId="0" fontId="0" fillId="4" borderId="88" xfId="0" applyFill="1" applyBorder="1" applyAlignment="1">
      <alignment horizontal="right" vertical="center"/>
    </xf>
    <xf numFmtId="0" fontId="0" fillId="4" borderId="96" xfId="0" applyFill="1" applyBorder="1" applyAlignment="1">
      <alignment horizontal="right" vertical="center"/>
    </xf>
    <xf numFmtId="0" fontId="3" fillId="0" borderId="2" xfId="0" applyFont="1" applyBorder="1"/>
    <xf numFmtId="0" fontId="0" fillId="19" borderId="52" xfId="0" applyFill="1" applyBorder="1" applyAlignment="1">
      <alignment horizontal="center" vertical="center"/>
    </xf>
    <xf numFmtId="0" fontId="53" fillId="19" borderId="52" xfId="0" applyFont="1" applyFill="1" applyBorder="1" applyAlignment="1">
      <alignment horizontal="center" vertical="center"/>
    </xf>
    <xf numFmtId="0" fontId="41" fillId="0" borderId="26" xfId="0" applyFont="1" applyBorder="1" applyAlignment="1">
      <alignment horizontal="center" vertical="center"/>
    </xf>
    <xf numFmtId="0" fontId="30" fillId="2" borderId="27" xfId="0" applyFont="1" applyFill="1" applyBorder="1" applyAlignment="1">
      <alignment horizontal="center" vertical="center"/>
    </xf>
    <xf numFmtId="0" fontId="26" fillId="4" borderId="64" xfId="0" applyFont="1" applyFill="1" applyBorder="1" applyAlignment="1">
      <alignment vertical="center"/>
    </xf>
    <xf numFmtId="0" fontId="26" fillId="4" borderId="0" xfId="0" applyFont="1" applyFill="1" applyAlignment="1">
      <alignment horizontal="left" vertical="center"/>
    </xf>
    <xf numFmtId="0" fontId="0" fillId="0" borderId="61" xfId="0" applyBorder="1" applyAlignment="1">
      <alignment horizontal="center" vertical="center"/>
    </xf>
    <xf numFmtId="0" fontId="0" fillId="0" borderId="113" xfId="0" applyBorder="1" applyAlignment="1">
      <alignment horizontal="center" vertical="center"/>
    </xf>
    <xf numFmtId="3" fontId="3" fillId="16" borderId="27" xfId="0" applyNumberFormat="1" applyFont="1" applyFill="1" applyBorder="1" applyAlignment="1">
      <alignment horizontal="center" vertical="center"/>
    </xf>
    <xf numFmtId="0" fontId="9" fillId="13" borderId="52" xfId="0" applyFont="1" applyFill="1" applyBorder="1" applyAlignment="1">
      <alignment horizontal="center" vertical="center"/>
    </xf>
    <xf numFmtId="0" fontId="64" fillId="0" borderId="0" xfId="0" applyFont="1"/>
    <xf numFmtId="165" fontId="21" fillId="0" borderId="0" xfId="0" applyNumberFormat="1" applyFont="1" applyAlignment="1">
      <alignment horizontal="center" vertical="center" wrapText="1"/>
    </xf>
    <xf numFmtId="3" fontId="29" fillId="0" borderId="0" xfId="0" applyNumberFormat="1" applyFont="1" applyAlignment="1">
      <alignment horizontal="center"/>
    </xf>
    <xf numFmtId="3" fontId="7" fillId="0" borderId="0" xfId="0" applyNumberFormat="1" applyFont="1" applyAlignment="1">
      <alignment horizontal="center" vertical="center"/>
    </xf>
    <xf numFmtId="165" fontId="21" fillId="0" borderId="50" xfId="0" applyNumberFormat="1" applyFont="1" applyBorder="1" applyAlignment="1">
      <alignment horizontal="center" vertical="center" wrapText="1"/>
    </xf>
    <xf numFmtId="3" fontId="7" fillId="0" borderId="50" xfId="0" applyNumberFormat="1" applyFont="1" applyBorder="1" applyAlignment="1">
      <alignment horizontal="center" vertical="center"/>
    </xf>
    <xf numFmtId="3" fontId="20" fillId="4" borderId="7" xfId="0" applyNumberFormat="1" applyFont="1" applyFill="1" applyBorder="1" applyAlignment="1">
      <alignment horizontal="center" vertical="center"/>
    </xf>
    <xf numFmtId="164" fontId="3" fillId="4" borderId="0" xfId="0" applyNumberFormat="1" applyFont="1" applyFill="1" applyAlignment="1">
      <alignment horizontal="center" vertical="center"/>
    </xf>
    <xf numFmtId="0" fontId="27" fillId="4" borderId="0" xfId="0" applyFont="1" applyFill="1" applyAlignment="1">
      <alignment horizontal="left" wrapText="1"/>
    </xf>
    <xf numFmtId="0" fontId="23" fillId="0" borderId="105" xfId="0" applyFont="1" applyBorder="1" applyAlignment="1">
      <alignment vertical="center" wrapText="1"/>
    </xf>
    <xf numFmtId="0" fontId="69" fillId="0" borderId="114" xfId="0" applyFont="1" applyBorder="1" applyAlignment="1">
      <alignment horizontal="left"/>
    </xf>
    <xf numFmtId="0" fontId="69" fillId="0" borderId="115" xfId="0" applyFont="1" applyBorder="1" applyAlignment="1">
      <alignment horizontal="center"/>
    </xf>
    <xf numFmtId="0" fontId="0" fillId="22" borderId="116" xfId="0" applyFill="1" applyBorder="1" applyAlignment="1">
      <alignment horizontal="center" vertical="center"/>
    </xf>
    <xf numFmtId="0" fontId="0" fillId="0" borderId="13" xfId="0" applyBorder="1" applyAlignment="1">
      <alignment horizontal="center"/>
    </xf>
    <xf numFmtId="0" fontId="100" fillId="0" borderId="50" xfId="0" applyFont="1" applyBorder="1" applyAlignment="1">
      <alignment horizontal="left" vertical="center"/>
    </xf>
    <xf numFmtId="0" fontId="0" fillId="21" borderId="0" xfId="0" applyFill="1" applyAlignment="1">
      <alignment horizontal="left"/>
    </xf>
    <xf numFmtId="0" fontId="0" fillId="21" borderId="0" xfId="0" applyFill="1"/>
    <xf numFmtId="0" fontId="14" fillId="0" borderId="1" xfId="0" applyFont="1" applyBorder="1" applyAlignment="1">
      <alignment horizontal="left" vertical="center"/>
    </xf>
    <xf numFmtId="0" fontId="0" fillId="0" borderId="5" xfId="0" applyBorder="1" applyAlignment="1">
      <alignment horizontal="center" vertical="center" wrapText="1"/>
    </xf>
    <xf numFmtId="0" fontId="60" fillId="2" borderId="0" xfId="0" applyFont="1" applyFill="1" applyAlignment="1">
      <alignment horizontal="center" vertical="center"/>
    </xf>
    <xf numFmtId="0" fontId="10" fillId="0" borderId="0" xfId="0" applyFont="1" applyAlignment="1">
      <alignment vertical="center"/>
    </xf>
    <xf numFmtId="165" fontId="52" fillId="0" borderId="29" xfId="0" applyNumberFormat="1" applyFont="1" applyBorder="1" applyAlignment="1">
      <alignment horizontal="center" vertical="center"/>
    </xf>
    <xf numFmtId="0" fontId="101" fillId="26" borderId="0" xfId="20" applyFont="1" applyFill="1"/>
    <xf numFmtId="0" fontId="102" fillId="0" borderId="0" xfId="20" applyFont="1"/>
    <xf numFmtId="0" fontId="103" fillId="0" borderId="0" xfId="20" applyFont="1"/>
    <xf numFmtId="0" fontId="104" fillId="0" borderId="0" xfId="20" applyFont="1"/>
    <xf numFmtId="0" fontId="26" fillId="0" borderId="0" xfId="20"/>
    <xf numFmtId="0" fontId="105" fillId="0" borderId="118" xfId="20" applyFont="1" applyBorder="1"/>
    <xf numFmtId="0" fontId="104" fillId="0" borderId="118" xfId="20" applyFont="1" applyBorder="1"/>
    <xf numFmtId="0" fontId="105" fillId="0" borderId="0" xfId="20" applyFont="1"/>
    <xf numFmtId="0" fontId="106" fillId="0" borderId="0" xfId="20" applyFont="1" applyAlignment="1">
      <alignment vertical="center"/>
    </xf>
    <xf numFmtId="0" fontId="107" fillId="0" borderId="119" xfId="20" applyFont="1" applyBorder="1" applyAlignment="1">
      <alignment horizontal="center" vertical="center"/>
    </xf>
    <xf numFmtId="0" fontId="108" fillId="27" borderId="120" xfId="20" applyFont="1" applyFill="1" applyBorder="1" applyAlignment="1">
      <alignment horizontal="center" vertical="center"/>
    </xf>
    <xf numFmtId="0" fontId="108" fillId="28" borderId="121" xfId="20" applyFont="1" applyFill="1" applyBorder="1" applyAlignment="1">
      <alignment horizontal="center" vertical="center"/>
    </xf>
    <xf numFmtId="0" fontId="109" fillId="0" borderId="122" xfId="20" applyFont="1" applyBorder="1" applyAlignment="1">
      <alignment horizontal="left"/>
    </xf>
    <xf numFmtId="0" fontId="110" fillId="0" borderId="123" xfId="20" applyFont="1" applyBorder="1" applyAlignment="1">
      <alignment horizontal="center"/>
    </xf>
    <xf numFmtId="0" fontId="15" fillId="0" borderId="124" xfId="20" applyFont="1" applyBorder="1"/>
    <xf numFmtId="0" fontId="111" fillId="0" borderId="125" xfId="20" applyFont="1" applyBorder="1" applyAlignment="1">
      <alignment horizontal="left" vertical="center"/>
    </xf>
    <xf numFmtId="169" fontId="112" fillId="0" borderId="126" xfId="20" applyNumberFormat="1" applyFont="1" applyBorder="1" applyAlignment="1">
      <alignment horizontal="center" vertical="center" wrapText="1"/>
    </xf>
    <xf numFmtId="0" fontId="113" fillId="0" borderId="127" xfId="20" applyFont="1" applyBorder="1" applyAlignment="1">
      <alignment horizontal="center" vertical="center" wrapText="1"/>
    </xf>
    <xf numFmtId="0" fontId="15" fillId="0" borderId="128" xfId="20" applyFont="1" applyBorder="1" applyAlignment="1">
      <alignment horizontal="center" vertical="center" wrapText="1"/>
    </xf>
    <xf numFmtId="0" fontId="113" fillId="0" borderId="0" xfId="20" applyFont="1" applyAlignment="1">
      <alignment horizontal="center" vertical="center" wrapText="1"/>
    </xf>
    <xf numFmtId="0" fontId="114" fillId="0" borderId="129" xfId="20" applyFont="1" applyBorder="1" applyAlignment="1">
      <alignment horizontal="left" vertical="center"/>
    </xf>
    <xf numFmtId="169" fontId="116" fillId="0" borderId="129" xfId="20" applyNumberFormat="1" applyFont="1" applyBorder="1" applyAlignment="1">
      <alignment horizontal="center" vertical="center" wrapText="1"/>
    </xf>
    <xf numFmtId="0" fontId="15" fillId="0" borderId="130" xfId="20" applyFont="1" applyBorder="1" applyAlignment="1">
      <alignment horizontal="center" vertical="center" wrapText="1"/>
    </xf>
    <xf numFmtId="0" fontId="104" fillId="0" borderId="0" xfId="20" applyFont="1" applyAlignment="1">
      <alignment vertical="center"/>
    </xf>
    <xf numFmtId="0" fontId="27" fillId="29" borderId="125" xfId="20" applyFont="1" applyFill="1" applyBorder="1" applyAlignment="1">
      <alignment horizontal="left" vertical="center"/>
    </xf>
    <xf numFmtId="170" fontId="15" fillId="29" borderId="123" xfId="20" applyNumberFormat="1" applyFont="1" applyFill="1" applyBorder="1" applyAlignment="1">
      <alignment horizontal="center" vertical="center"/>
    </xf>
    <xf numFmtId="166" fontId="14" fillId="0" borderId="127" xfId="20" applyNumberFormat="1" applyFont="1" applyBorder="1" applyAlignment="1">
      <alignment horizontal="center" vertical="center"/>
    </xf>
    <xf numFmtId="2" fontId="15" fillId="29" borderId="124" xfId="20" applyNumberFormat="1" applyFont="1" applyFill="1" applyBorder="1" applyAlignment="1">
      <alignment horizontal="center" vertical="center"/>
    </xf>
    <xf numFmtId="166" fontId="14" fillId="0" borderId="0" xfId="20" applyNumberFormat="1" applyFont="1" applyAlignment="1">
      <alignment horizontal="center" vertical="center"/>
    </xf>
    <xf numFmtId="0" fontId="27" fillId="0" borderId="125" xfId="20" applyFont="1" applyBorder="1" applyAlignment="1">
      <alignment horizontal="left" vertical="center"/>
    </xf>
    <xf numFmtId="170" fontId="15" fillId="0" borderId="126" xfId="20" applyNumberFormat="1" applyFont="1" applyBorder="1" applyAlignment="1">
      <alignment horizontal="center" vertical="center"/>
    </xf>
    <xf numFmtId="3" fontId="14" fillId="0" borderId="127" xfId="20" applyNumberFormat="1" applyFont="1" applyBorder="1" applyAlignment="1">
      <alignment horizontal="center" vertical="center"/>
    </xf>
    <xf numFmtId="2" fontId="15" fillId="0" borderId="128" xfId="20" applyNumberFormat="1" applyFont="1" applyBorder="1" applyAlignment="1">
      <alignment horizontal="center" vertical="center"/>
    </xf>
    <xf numFmtId="3" fontId="14" fillId="0" borderId="0" xfId="20" applyNumberFormat="1" applyFont="1" applyAlignment="1">
      <alignment horizontal="center" vertical="center"/>
    </xf>
    <xf numFmtId="170" fontId="16" fillId="29" borderId="126" xfId="20" applyNumberFormat="1" applyFont="1" applyFill="1" applyBorder="1" applyAlignment="1">
      <alignment horizontal="center" vertical="center"/>
    </xf>
    <xf numFmtId="0" fontId="113" fillId="0" borderId="127" xfId="20" applyFont="1" applyBorder="1" applyAlignment="1">
      <alignment horizontal="center" vertical="center"/>
    </xf>
    <xf numFmtId="0" fontId="15" fillId="29" borderId="128" xfId="20" applyFont="1" applyFill="1" applyBorder="1" applyAlignment="1">
      <alignment horizontal="center" vertical="center"/>
    </xf>
    <xf numFmtId="0" fontId="113" fillId="0" borderId="0" xfId="20" applyFont="1" applyAlignment="1">
      <alignment horizontal="center" vertical="center"/>
    </xf>
    <xf numFmtId="0" fontId="27" fillId="0" borderId="129" xfId="20" applyFont="1" applyBorder="1" applyAlignment="1">
      <alignment horizontal="left" vertical="center"/>
    </xf>
    <xf numFmtId="170" fontId="15" fillId="0" borderId="131" xfId="20" applyNumberFormat="1" applyFont="1" applyBorder="1" applyAlignment="1">
      <alignment horizontal="center" vertical="center"/>
    </xf>
    <xf numFmtId="2" fontId="105" fillId="0" borderId="130" xfId="20" applyNumberFormat="1" applyFont="1" applyBorder="1" applyAlignment="1">
      <alignment horizontal="center" vertical="center"/>
    </xf>
    <xf numFmtId="0" fontId="118" fillId="0" borderId="125" xfId="20" applyFont="1" applyBorder="1" applyAlignment="1">
      <alignment horizontal="left"/>
    </xf>
    <xf numFmtId="3" fontId="120" fillId="0" borderId="126" xfId="20" applyNumberFormat="1" applyFont="1" applyBorder="1" applyAlignment="1">
      <alignment horizontal="center"/>
    </xf>
    <xf numFmtId="3" fontId="14" fillId="0" borderId="0" xfId="20" applyNumberFormat="1" applyFont="1" applyAlignment="1">
      <alignment horizontal="center"/>
    </xf>
    <xf numFmtId="3" fontId="14" fillId="0" borderId="132" xfId="20" applyNumberFormat="1" applyFont="1" applyBorder="1" applyAlignment="1">
      <alignment horizontal="center"/>
    </xf>
    <xf numFmtId="0" fontId="121" fillId="0" borderId="125" xfId="20" applyFont="1" applyBorder="1" applyAlignment="1">
      <alignment horizontal="left" vertical="center"/>
    </xf>
    <xf numFmtId="169" fontId="120" fillId="0" borderId="126" xfId="20" applyNumberFormat="1" applyFont="1" applyBorder="1" applyAlignment="1">
      <alignment horizontal="center" vertical="center" wrapText="1"/>
    </xf>
    <xf numFmtId="3" fontId="122" fillId="0" borderId="0" xfId="20" applyNumberFormat="1" applyFont="1" applyAlignment="1">
      <alignment horizontal="center" vertical="center" wrapText="1"/>
    </xf>
    <xf numFmtId="0" fontId="121" fillId="30" borderId="125" xfId="20" applyFont="1" applyFill="1" applyBorder="1" applyAlignment="1">
      <alignment horizontal="left" vertical="center" wrapText="1"/>
    </xf>
    <xf numFmtId="4" fontId="123" fillId="30" borderId="126" xfId="20" applyNumberFormat="1" applyFont="1" applyFill="1" applyBorder="1" applyAlignment="1">
      <alignment horizontal="center" vertical="center"/>
    </xf>
    <xf numFmtId="2" fontId="124" fillId="0" borderId="0" xfId="20" applyNumberFormat="1" applyFont="1" applyAlignment="1">
      <alignment horizontal="center" vertical="center"/>
    </xf>
    <xf numFmtId="166" fontId="124" fillId="0" borderId="0" xfId="20" applyNumberFormat="1" applyFont="1" applyAlignment="1">
      <alignment horizontal="center" vertical="center"/>
    </xf>
    <xf numFmtId="0" fontId="121" fillId="31" borderId="125" xfId="20" applyFont="1" applyFill="1" applyBorder="1" applyAlignment="1">
      <alignment horizontal="left" vertical="center"/>
    </xf>
    <xf numFmtId="171" fontId="126" fillId="31" borderId="126" xfId="20" applyNumberFormat="1" applyFont="1" applyFill="1" applyBorder="1" applyAlignment="1">
      <alignment horizontal="center" vertical="center"/>
    </xf>
    <xf numFmtId="171" fontId="104" fillId="0" borderId="0" xfId="20" applyNumberFormat="1" applyFont="1" applyAlignment="1">
      <alignment horizontal="center" vertical="center"/>
    </xf>
    <xf numFmtId="0" fontId="104" fillId="0" borderId="0" xfId="20" applyFont="1" applyAlignment="1">
      <alignment horizontal="center" vertical="center"/>
    </xf>
    <xf numFmtId="0" fontId="121" fillId="30" borderId="129" xfId="20" applyFont="1" applyFill="1" applyBorder="1" applyAlignment="1">
      <alignment horizontal="left" vertical="center"/>
    </xf>
    <xf numFmtId="171" fontId="126" fillId="30" borderId="131" xfId="20" applyNumberFormat="1" applyFont="1" applyFill="1" applyBorder="1" applyAlignment="1">
      <alignment horizontal="center" vertical="center"/>
    </xf>
    <xf numFmtId="0" fontId="120" fillId="0" borderId="126" xfId="20" applyFont="1" applyBorder="1" applyAlignment="1">
      <alignment horizontal="center"/>
    </xf>
    <xf numFmtId="0" fontId="104" fillId="0" borderId="0" xfId="20" applyFont="1" applyAlignment="1">
      <alignment horizontal="center"/>
    </xf>
    <xf numFmtId="0" fontId="128" fillId="0" borderId="0" xfId="20" applyFont="1" applyAlignment="1">
      <alignment horizontal="center"/>
    </xf>
    <xf numFmtId="0" fontId="128" fillId="0" borderId="0" xfId="20" applyFont="1" applyAlignment="1">
      <alignment horizontal="center" vertical="center"/>
    </xf>
    <xf numFmtId="0" fontId="121" fillId="32" borderId="125" xfId="20" applyFont="1" applyFill="1" applyBorder="1" applyAlignment="1">
      <alignment horizontal="left" vertical="center" wrapText="1"/>
    </xf>
    <xf numFmtId="4" fontId="123" fillId="32" borderId="126" xfId="20" applyNumberFormat="1" applyFont="1" applyFill="1" applyBorder="1" applyAlignment="1">
      <alignment horizontal="center" vertical="center"/>
    </xf>
    <xf numFmtId="4" fontId="129" fillId="0" borderId="0" xfId="20" applyNumberFormat="1" applyFont="1" applyAlignment="1">
      <alignment horizontal="center" vertical="center"/>
    </xf>
    <xf numFmtId="0" fontId="121" fillId="33" borderId="125" xfId="20" applyFont="1" applyFill="1" applyBorder="1" applyAlignment="1">
      <alignment horizontal="left" vertical="center"/>
    </xf>
    <xf numFmtId="171" fontId="126" fillId="0" borderId="126" xfId="20" applyNumberFormat="1" applyFont="1" applyBorder="1" applyAlignment="1">
      <alignment horizontal="center" vertical="center"/>
    </xf>
    <xf numFmtId="172" fontId="15" fillId="0" borderId="0" xfId="20" applyNumberFormat="1" applyFont="1" applyAlignment="1">
      <alignment horizontal="center" vertical="center"/>
    </xf>
    <xf numFmtId="0" fontId="121" fillId="32" borderId="129" xfId="20" applyFont="1" applyFill="1" applyBorder="1" applyAlignment="1">
      <alignment horizontal="left" vertical="center"/>
    </xf>
    <xf numFmtId="171" fontId="126" fillId="32" borderId="131" xfId="20" applyNumberFormat="1" applyFont="1" applyFill="1" applyBorder="1" applyAlignment="1">
      <alignment horizontal="center" vertical="center"/>
    </xf>
    <xf numFmtId="2" fontId="15" fillId="0" borderId="0" xfId="20" applyNumberFormat="1" applyFont="1" applyAlignment="1">
      <alignment horizontal="center" vertical="center"/>
    </xf>
    <xf numFmtId="0" fontId="15" fillId="0" borderId="0" xfId="20" applyFont="1" applyAlignment="1">
      <alignment horizontal="center"/>
    </xf>
    <xf numFmtId="0" fontId="15" fillId="0" borderId="0" xfId="20" applyFont="1" applyAlignment="1">
      <alignment horizontal="center" vertical="center"/>
    </xf>
    <xf numFmtId="173" fontId="126" fillId="0" borderId="126" xfId="20" applyNumberFormat="1" applyFont="1" applyBorder="1" applyAlignment="1">
      <alignment horizontal="center" vertical="center"/>
    </xf>
    <xf numFmtId="0" fontId="125" fillId="0" borderId="125" xfId="20" applyFont="1" applyBorder="1" applyAlignment="1">
      <alignment horizontal="left" vertical="center"/>
    </xf>
    <xf numFmtId="169" fontId="130" fillId="0" borderId="123" xfId="20" applyNumberFormat="1" applyFont="1" applyBorder="1" applyAlignment="1">
      <alignment horizontal="center" vertical="center" wrapText="1"/>
    </xf>
    <xf numFmtId="0" fontId="131" fillId="0" borderId="0" xfId="20" applyFont="1" applyAlignment="1">
      <alignment horizontal="center" vertical="center"/>
    </xf>
    <xf numFmtId="0" fontId="126" fillId="0" borderId="0" xfId="20" applyFont="1" applyAlignment="1">
      <alignment horizontal="center" vertical="center"/>
    </xf>
    <xf numFmtId="0" fontId="125" fillId="30" borderId="125" xfId="20" applyFont="1" applyFill="1" applyBorder="1" applyAlignment="1">
      <alignment horizontal="left" vertical="center"/>
    </xf>
    <xf numFmtId="0" fontId="126" fillId="30" borderId="126" xfId="20" applyFont="1" applyFill="1" applyBorder="1" applyAlignment="1">
      <alignment horizontal="center" vertical="center"/>
    </xf>
    <xf numFmtId="0" fontId="131" fillId="0" borderId="0" xfId="20" applyFont="1" applyAlignment="1">
      <alignment horizontal="center"/>
    </xf>
    <xf numFmtId="0" fontId="126" fillId="0" borderId="0" xfId="20" applyFont="1" applyAlignment="1">
      <alignment horizontal="center"/>
    </xf>
    <xf numFmtId="0" fontId="27" fillId="0" borderId="125" xfId="20" applyFont="1" applyBorder="1" applyAlignment="1">
      <alignment horizontal="left" vertical="center" wrapText="1"/>
    </xf>
    <xf numFmtId="0" fontId="15" fillId="0" borderId="126" xfId="20" applyFont="1" applyBorder="1" applyAlignment="1">
      <alignment horizontal="center" vertical="center"/>
    </xf>
    <xf numFmtId="0" fontId="27" fillId="30" borderId="125" xfId="20" applyFont="1" applyFill="1" applyBorder="1" applyAlignment="1">
      <alignment horizontal="left" vertical="center" wrapText="1"/>
    </xf>
    <xf numFmtId="0" fontId="15" fillId="30" borderId="126" xfId="20" applyFont="1" applyFill="1" applyBorder="1" applyAlignment="1">
      <alignment horizontal="center" vertical="center"/>
    </xf>
    <xf numFmtId="0" fontId="27" fillId="30" borderId="125" xfId="20" applyFont="1" applyFill="1" applyBorder="1" applyAlignment="1">
      <alignment horizontal="left" vertical="center"/>
    </xf>
    <xf numFmtId="0" fontId="15" fillId="0" borderId="131" xfId="20" applyFont="1" applyBorder="1" applyAlignment="1">
      <alignment horizontal="center" vertical="center"/>
    </xf>
    <xf numFmtId="2" fontId="133" fillId="0" borderId="0" xfId="20" applyNumberFormat="1" applyFont="1" applyAlignment="1">
      <alignment horizontal="left" vertical="center"/>
    </xf>
    <xf numFmtId="0" fontId="104" fillId="34" borderId="0" xfId="20" applyFont="1" applyFill="1"/>
    <xf numFmtId="0" fontId="135" fillId="0" borderId="0" xfId="20" applyFont="1"/>
    <xf numFmtId="0" fontId="136" fillId="0" borderId="118" xfId="20" applyFont="1" applyBorder="1"/>
    <xf numFmtId="174" fontId="15" fillId="0" borderId="0" xfId="20" applyNumberFormat="1" applyFont="1"/>
    <xf numFmtId="174" fontId="15" fillId="4" borderId="0" xfId="20" applyNumberFormat="1" applyFont="1" applyFill="1" applyAlignment="1">
      <alignment vertical="center"/>
    </xf>
    <xf numFmtId="0" fontId="26" fillId="4" borderId="0" xfId="20" applyFill="1"/>
    <xf numFmtId="0" fontId="139" fillId="0" borderId="0" xfId="20" applyFont="1"/>
    <xf numFmtId="15" fontId="141" fillId="0" borderId="0" xfId="20" applyNumberFormat="1" applyFont="1"/>
    <xf numFmtId="3" fontId="142" fillId="35" borderId="119" xfId="20" quotePrefix="1" applyNumberFormat="1" applyFont="1" applyFill="1" applyBorder="1" applyAlignment="1">
      <alignment horizontal="center"/>
    </xf>
    <xf numFmtId="0" fontId="105" fillId="35" borderId="133" xfId="20" applyFont="1" applyFill="1" applyBorder="1" applyAlignment="1">
      <alignment horizontal="center"/>
    </xf>
    <xf numFmtId="0" fontId="105" fillId="35" borderId="119" xfId="20" applyFont="1" applyFill="1" applyBorder="1" applyAlignment="1">
      <alignment horizontal="center"/>
    </xf>
    <xf numFmtId="0" fontId="105" fillId="28" borderId="134" xfId="20" applyFont="1" applyFill="1" applyBorder="1" applyAlignment="1">
      <alignment horizontal="center"/>
    </xf>
    <xf numFmtId="0" fontId="105" fillId="35" borderId="135" xfId="20" applyFont="1" applyFill="1" applyBorder="1" applyAlignment="1">
      <alignment horizontal="center" vertical="center"/>
    </xf>
    <xf numFmtId="0" fontId="105" fillId="35" borderId="133" xfId="20" applyFont="1" applyFill="1" applyBorder="1" applyAlignment="1">
      <alignment horizontal="center" vertical="center"/>
    </xf>
    <xf numFmtId="0" fontId="105" fillId="35" borderId="134" xfId="20" applyFont="1" applyFill="1" applyBorder="1" applyAlignment="1">
      <alignment horizontal="center" vertical="center"/>
    </xf>
    <xf numFmtId="0" fontId="104" fillId="0" borderId="0" xfId="20" applyFont="1" applyAlignment="1">
      <alignment horizontal="left" vertical="center"/>
    </xf>
    <xf numFmtId="3" fontId="143" fillId="0" borderId="125" xfId="20" applyNumberFormat="1" applyFont="1" applyBorder="1" applyAlignment="1">
      <alignment horizontal="center" vertical="center"/>
    </xf>
    <xf numFmtId="0" fontId="27" fillId="36" borderId="122" xfId="20" applyFont="1" applyFill="1" applyBorder="1" applyAlignment="1">
      <alignment horizontal="left" vertical="center"/>
    </xf>
    <xf numFmtId="0" fontId="27" fillId="36" borderId="125" xfId="20" applyFont="1" applyFill="1" applyBorder="1" applyAlignment="1">
      <alignment horizontal="left" vertical="center"/>
    </xf>
    <xf numFmtId="0" fontId="27" fillId="36" borderId="125" xfId="20" applyFont="1" applyFill="1" applyBorder="1" applyAlignment="1">
      <alignment horizontal="center" vertical="center"/>
    </xf>
    <xf numFmtId="0" fontId="27" fillId="36" borderId="125" xfId="20" applyFont="1" applyFill="1" applyBorder="1" applyAlignment="1">
      <alignment horizontal="left" vertical="center" wrapText="1"/>
    </xf>
    <xf numFmtId="0" fontId="15" fillId="37" borderId="0" xfId="20" applyFont="1" applyFill="1" applyAlignment="1">
      <alignment horizontal="center" vertical="center" wrapText="1"/>
    </xf>
    <xf numFmtId="4" fontId="15" fillId="36" borderId="122" xfId="20" applyNumberFormat="1" applyFont="1" applyFill="1" applyBorder="1" applyAlignment="1">
      <alignment horizontal="right" vertical="center"/>
    </xf>
    <xf numFmtId="4" fontId="138" fillId="36" borderId="122" xfId="20" applyNumberFormat="1" applyFont="1" applyFill="1" applyBorder="1" applyAlignment="1">
      <alignment horizontal="right" vertical="center"/>
    </xf>
    <xf numFmtId="4" fontId="144" fillId="36" borderId="122" xfId="20" applyNumberFormat="1" applyFont="1" applyFill="1" applyBorder="1" applyAlignment="1">
      <alignment horizontal="right" vertical="center"/>
    </xf>
    <xf numFmtId="4" fontId="137" fillId="36" borderId="122" xfId="20" applyNumberFormat="1" applyFont="1" applyFill="1" applyBorder="1" applyAlignment="1">
      <alignment horizontal="right" vertical="center"/>
    </xf>
    <xf numFmtId="4" fontId="145" fillId="36" borderId="122" xfId="20" applyNumberFormat="1" applyFont="1" applyFill="1" applyBorder="1" applyAlignment="1">
      <alignment horizontal="right" vertical="center"/>
    </xf>
    <xf numFmtId="4" fontId="146" fillId="36" borderId="122" xfId="20" applyNumberFormat="1" applyFont="1" applyFill="1" applyBorder="1" applyAlignment="1">
      <alignment horizontal="right" vertical="center"/>
    </xf>
    <xf numFmtId="4" fontId="144" fillId="36" borderId="0" xfId="20" applyNumberFormat="1" applyFont="1" applyFill="1" applyAlignment="1">
      <alignment horizontal="right" vertical="center"/>
    </xf>
    <xf numFmtId="4" fontId="15" fillId="36" borderId="0" xfId="20" applyNumberFormat="1" applyFont="1" applyFill="1" applyAlignment="1">
      <alignment horizontal="right" vertical="center"/>
    </xf>
    <xf numFmtId="0" fontId="27" fillId="0" borderId="125" xfId="20" applyFont="1" applyBorder="1" applyAlignment="1">
      <alignment horizontal="center" vertical="center"/>
    </xf>
    <xf numFmtId="4" fontId="15" fillId="0" borderId="125" xfId="20" applyNumberFormat="1" applyFont="1" applyBorder="1" applyAlignment="1">
      <alignment horizontal="right" vertical="center"/>
    </xf>
    <xf numFmtId="4" fontId="138" fillId="0" borderId="125" xfId="20" applyNumberFormat="1" applyFont="1" applyBorder="1" applyAlignment="1">
      <alignment horizontal="right" vertical="center"/>
    </xf>
    <xf numFmtId="4" fontId="144" fillId="0" borderId="125" xfId="20" applyNumberFormat="1" applyFont="1" applyBorder="1" applyAlignment="1">
      <alignment horizontal="right" vertical="center"/>
    </xf>
    <xf numFmtId="4" fontId="146" fillId="0" borderId="125" xfId="20" applyNumberFormat="1" applyFont="1" applyBorder="1" applyAlignment="1">
      <alignment horizontal="right" vertical="center"/>
    </xf>
    <xf numFmtId="4" fontId="15" fillId="0" borderId="0" xfId="20" applyNumberFormat="1" applyFont="1" applyAlignment="1">
      <alignment horizontal="right" vertical="center"/>
    </xf>
    <xf numFmtId="0" fontId="15" fillId="37" borderId="0" xfId="20" applyFont="1" applyFill="1" applyAlignment="1">
      <alignment horizontal="center" vertical="center"/>
    </xf>
    <xf numFmtId="4" fontId="15" fillId="36" borderId="125" xfId="20" applyNumberFormat="1" applyFont="1" applyFill="1" applyBorder="1" applyAlignment="1">
      <alignment horizontal="right" vertical="center"/>
    </xf>
    <xf numFmtId="0" fontId="15" fillId="37" borderId="125" xfId="20" applyFont="1" applyFill="1" applyBorder="1" applyAlignment="1">
      <alignment horizontal="center" vertical="center"/>
    </xf>
    <xf numFmtId="3" fontId="143" fillId="0" borderId="129" xfId="20" applyNumberFormat="1" applyFont="1" applyBorder="1" applyAlignment="1">
      <alignment horizontal="center" vertical="center"/>
    </xf>
    <xf numFmtId="0" fontId="27" fillId="0" borderId="129" xfId="20" applyFont="1" applyBorder="1" applyAlignment="1">
      <alignment horizontal="center" vertical="center"/>
    </xf>
    <xf numFmtId="0" fontId="27" fillId="0" borderId="129" xfId="20" applyFont="1" applyBorder="1" applyAlignment="1">
      <alignment horizontal="left" vertical="center" wrapText="1"/>
    </xf>
    <xf numFmtId="0" fontId="15" fillId="0" borderId="129" xfId="20" applyFont="1" applyBorder="1" applyAlignment="1">
      <alignment horizontal="center" vertical="center"/>
    </xf>
    <xf numFmtId="4" fontId="15" fillId="0" borderId="129" xfId="20" applyNumberFormat="1" applyFont="1" applyBorder="1" applyAlignment="1">
      <alignment horizontal="right" vertical="center"/>
    </xf>
    <xf numFmtId="4" fontId="15" fillId="0" borderId="118" xfId="20" applyNumberFormat="1" applyFont="1" applyBorder="1" applyAlignment="1">
      <alignment horizontal="right" vertical="center"/>
    </xf>
    <xf numFmtId="3" fontId="147" fillId="0" borderId="0" xfId="20" applyNumberFormat="1" applyFont="1" applyAlignment="1">
      <alignment horizontal="center" vertical="center"/>
    </xf>
    <xf numFmtId="4" fontId="104" fillId="0" borderId="0" xfId="20" applyNumberFormat="1" applyFont="1" applyAlignment="1">
      <alignment horizontal="right" vertical="center"/>
    </xf>
    <xf numFmtId="3" fontId="143" fillId="0" borderId="0" xfId="20" quotePrefix="1" applyNumberFormat="1" applyFont="1" applyAlignment="1">
      <alignment horizontal="center" vertical="center"/>
    </xf>
    <xf numFmtId="0" fontId="15" fillId="0" borderId="0" xfId="20" applyFont="1" applyAlignment="1">
      <alignment horizontal="left" vertical="center"/>
    </xf>
    <xf numFmtId="15" fontId="149" fillId="0" borderId="0" xfId="20" quotePrefix="1" applyNumberFormat="1" applyFont="1"/>
    <xf numFmtId="0" fontId="53" fillId="0" borderId="52" xfId="0" applyFont="1" applyBorder="1" applyAlignment="1">
      <alignment horizontal="center" vertical="center"/>
    </xf>
    <xf numFmtId="0" fontId="0" fillId="0" borderId="52" xfId="0" applyBorder="1" applyAlignment="1">
      <alignment horizontal="center" vertical="center"/>
    </xf>
    <xf numFmtId="0" fontId="52" fillId="0" borderId="52" xfId="0" applyFont="1" applyBorder="1" applyAlignment="1">
      <alignment horizontal="center" vertical="center"/>
    </xf>
    <xf numFmtId="0" fontId="54" fillId="0" borderId="52" xfId="0" applyFont="1" applyBorder="1" applyAlignment="1">
      <alignment horizontal="center" vertical="center"/>
    </xf>
    <xf numFmtId="0" fontId="2" fillId="0" borderId="52" xfId="0" applyFont="1" applyBorder="1" applyAlignment="1">
      <alignment horizontal="center" vertical="center"/>
    </xf>
    <xf numFmtId="0" fontId="57" fillId="0" borderId="52" xfId="0" applyFont="1" applyBorder="1" applyAlignment="1">
      <alignment horizontal="center" vertical="center"/>
    </xf>
    <xf numFmtId="0" fontId="0" fillId="0" borderId="52" xfId="0" applyBorder="1"/>
    <xf numFmtId="0" fontId="9" fillId="0" borderId="52" xfId="0" applyFont="1" applyBorder="1" applyAlignment="1">
      <alignment horizontal="center" vertical="center"/>
    </xf>
    <xf numFmtId="0" fontId="58" fillId="0" borderId="52" xfId="0" applyFont="1" applyBorder="1" applyAlignment="1">
      <alignment horizontal="center" vertical="center"/>
    </xf>
    <xf numFmtId="0" fontId="110" fillId="0" borderId="122" xfId="20" applyFont="1" applyBorder="1" applyAlignment="1">
      <alignment horizontal="center"/>
    </xf>
    <xf numFmtId="169" fontId="112" fillId="0" borderId="125" xfId="20" applyNumberFormat="1" applyFont="1" applyBorder="1" applyAlignment="1">
      <alignment horizontal="center" vertical="center" wrapText="1"/>
    </xf>
    <xf numFmtId="0" fontId="113" fillId="0" borderId="136" xfId="20" applyFont="1" applyBorder="1" applyAlignment="1">
      <alignment horizontal="center" vertical="center" wrapText="1"/>
    </xf>
    <xf numFmtId="170" fontId="15" fillId="29" borderId="122" xfId="20" applyNumberFormat="1" applyFont="1" applyFill="1" applyBorder="1" applyAlignment="1">
      <alignment horizontal="center" vertical="center"/>
    </xf>
    <xf numFmtId="166" fontId="14" fillId="0" borderId="136" xfId="20" applyNumberFormat="1" applyFont="1" applyBorder="1" applyAlignment="1">
      <alignment horizontal="center" vertical="center"/>
    </xf>
    <xf numFmtId="170" fontId="15" fillId="0" borderId="125" xfId="20" applyNumberFormat="1" applyFont="1" applyBorder="1" applyAlignment="1">
      <alignment horizontal="center" vertical="center"/>
    </xf>
    <xf numFmtId="170" fontId="16" fillId="29" borderId="125" xfId="20" applyNumberFormat="1" applyFont="1" applyFill="1" applyBorder="1" applyAlignment="1">
      <alignment horizontal="center" vertical="center"/>
    </xf>
    <xf numFmtId="170" fontId="15" fillId="0" borderId="129" xfId="20" applyNumberFormat="1" applyFont="1" applyBorder="1" applyAlignment="1">
      <alignment horizontal="center" vertical="center"/>
    </xf>
    <xf numFmtId="3" fontId="120" fillId="0" borderId="137" xfId="20" applyNumberFormat="1" applyFont="1" applyBorder="1" applyAlignment="1">
      <alignment horizontal="center"/>
    </xf>
    <xf numFmtId="3" fontId="14" fillId="0" borderId="138" xfId="20" applyNumberFormat="1" applyFont="1" applyBorder="1" applyAlignment="1">
      <alignment horizontal="center" vertical="center"/>
    </xf>
    <xf numFmtId="4" fontId="123" fillId="30" borderId="0" xfId="20" applyNumberFormat="1" applyFont="1" applyFill="1" applyAlignment="1">
      <alignment horizontal="center" vertical="center"/>
    </xf>
    <xf numFmtId="2" fontId="124" fillId="0" borderId="138" xfId="20" applyNumberFormat="1" applyFont="1" applyBorder="1" applyAlignment="1">
      <alignment horizontal="center" vertical="center"/>
    </xf>
    <xf numFmtId="171" fontId="126" fillId="31" borderId="125" xfId="20" applyNumberFormat="1" applyFont="1" applyFill="1" applyBorder="1" applyAlignment="1">
      <alignment horizontal="center" vertical="center"/>
    </xf>
    <xf numFmtId="171" fontId="126" fillId="30" borderId="139" xfId="20" applyNumberFormat="1" applyFont="1" applyFill="1" applyBorder="1" applyAlignment="1">
      <alignment horizontal="center" vertical="center"/>
    </xf>
    <xf numFmtId="171" fontId="104" fillId="0" borderId="138" xfId="20" applyNumberFormat="1" applyFont="1" applyBorder="1" applyAlignment="1">
      <alignment horizontal="center" vertical="center"/>
    </xf>
    <xf numFmtId="0" fontId="120" fillId="0" borderId="125" xfId="20" applyFont="1" applyBorder="1" applyAlignment="1">
      <alignment horizontal="center"/>
    </xf>
    <xf numFmtId="0" fontId="104" fillId="0" borderId="138" xfId="20" applyFont="1" applyBorder="1" applyAlignment="1">
      <alignment horizontal="center" vertical="center"/>
    </xf>
    <xf numFmtId="4" fontId="123" fillId="32" borderId="125" xfId="20" applyNumberFormat="1" applyFont="1" applyFill="1" applyBorder="1" applyAlignment="1">
      <alignment horizontal="center" vertical="center"/>
    </xf>
    <xf numFmtId="171" fontId="126" fillId="0" borderId="125" xfId="20" applyNumberFormat="1" applyFont="1" applyBorder="1" applyAlignment="1">
      <alignment horizontal="center" vertical="center"/>
    </xf>
    <xf numFmtId="171" fontId="126" fillId="32" borderId="118" xfId="20" applyNumberFormat="1" applyFont="1" applyFill="1" applyBorder="1" applyAlignment="1">
      <alignment horizontal="center" vertical="center"/>
    </xf>
    <xf numFmtId="169" fontId="130" fillId="0" borderId="122" xfId="20" applyNumberFormat="1" applyFont="1" applyBorder="1" applyAlignment="1">
      <alignment horizontal="center" vertical="center" wrapText="1"/>
    </xf>
    <xf numFmtId="0" fontId="131" fillId="0" borderId="138" xfId="20" applyFont="1" applyBorder="1" applyAlignment="1">
      <alignment horizontal="center" vertical="center"/>
    </xf>
    <xf numFmtId="0" fontId="126" fillId="30" borderId="125" xfId="20" applyFont="1" applyFill="1" applyBorder="1" applyAlignment="1">
      <alignment horizontal="center" vertical="center"/>
    </xf>
    <xf numFmtId="0" fontId="15" fillId="0" borderId="125" xfId="20" applyFont="1" applyBorder="1" applyAlignment="1">
      <alignment horizontal="center" vertical="center"/>
    </xf>
    <xf numFmtId="0" fontId="15" fillId="30" borderId="125" xfId="20" applyFont="1" applyFill="1" applyBorder="1" applyAlignment="1">
      <alignment horizontal="center" vertical="center"/>
    </xf>
    <xf numFmtId="4" fontId="150" fillId="36" borderId="122" xfId="20" applyNumberFormat="1" applyFont="1" applyFill="1" applyBorder="1" applyAlignment="1">
      <alignment horizontal="right" vertical="center"/>
    </xf>
    <xf numFmtId="4" fontId="150" fillId="36" borderId="0" xfId="20" applyNumberFormat="1" applyFont="1" applyFill="1" applyAlignment="1">
      <alignment horizontal="right" vertical="center"/>
    </xf>
    <xf numFmtId="4" fontId="150" fillId="0" borderId="125" xfId="20" applyNumberFormat="1" applyFont="1" applyBorder="1" applyAlignment="1">
      <alignment horizontal="right" vertical="center"/>
    </xf>
    <xf numFmtId="4" fontId="150" fillId="0" borderId="0" xfId="20" applyNumberFormat="1" applyFont="1" applyAlignment="1">
      <alignment horizontal="right" vertical="center"/>
    </xf>
    <xf numFmtId="169" fontId="120" fillId="0" borderId="125" xfId="20" applyNumberFormat="1" applyFont="1" applyBorder="1" applyAlignment="1">
      <alignment horizontal="center" vertical="center" wrapText="1"/>
    </xf>
    <xf numFmtId="4" fontId="138" fillId="36" borderId="125" xfId="20" applyNumberFormat="1" applyFont="1" applyFill="1" applyBorder="1" applyAlignment="1">
      <alignment horizontal="right" vertical="center"/>
    </xf>
    <xf numFmtId="4" fontId="150" fillId="36" borderId="125" xfId="20" applyNumberFormat="1" applyFont="1" applyFill="1" applyBorder="1" applyAlignment="1">
      <alignment horizontal="right" vertical="center"/>
    </xf>
    <xf numFmtId="4" fontId="150" fillId="0" borderId="129" xfId="20" applyNumberFormat="1" applyFont="1" applyBorder="1" applyAlignment="1">
      <alignment horizontal="right" vertical="center"/>
    </xf>
    <xf numFmtId="4" fontId="150" fillId="0" borderId="118" xfId="20" applyNumberFormat="1" applyFont="1" applyBorder="1" applyAlignment="1">
      <alignment horizontal="right" vertical="center"/>
    </xf>
    <xf numFmtId="0" fontId="104" fillId="0" borderId="0" xfId="20" applyFont="1" applyAlignment="1">
      <alignment horizontal="right" vertical="center"/>
    </xf>
    <xf numFmtId="0" fontId="152" fillId="0" borderId="134" xfId="20" applyFont="1" applyBorder="1"/>
    <xf numFmtId="0" fontId="152" fillId="0" borderId="133" xfId="20" applyFont="1" applyBorder="1"/>
    <xf numFmtId="0" fontId="108" fillId="0" borderId="138" xfId="20" applyFont="1" applyBorder="1" applyAlignment="1">
      <alignment horizontal="center" vertical="center"/>
    </xf>
    <xf numFmtId="0" fontId="153" fillId="0" borderId="138" xfId="20" applyFont="1" applyBorder="1" applyAlignment="1">
      <alignment horizontal="center"/>
    </xf>
    <xf numFmtId="0" fontId="124" fillId="0" borderId="138" xfId="20" applyFont="1" applyBorder="1" applyAlignment="1">
      <alignment horizontal="center" vertical="center" wrapText="1"/>
    </xf>
    <xf numFmtId="0" fontId="113" fillId="0" borderId="138" xfId="20" applyFont="1" applyBorder="1" applyAlignment="1">
      <alignment horizontal="center" vertical="center" wrapText="1"/>
    </xf>
    <xf numFmtId="170" fontId="15" fillId="29" borderId="140" xfId="20" applyNumberFormat="1" applyFont="1" applyFill="1" applyBorder="1" applyAlignment="1">
      <alignment horizontal="center" vertical="center"/>
    </xf>
    <xf numFmtId="3" fontId="113" fillId="0" borderId="138" xfId="20" applyNumberFormat="1" applyFont="1" applyBorder="1" applyAlignment="1">
      <alignment horizontal="center" vertical="center"/>
    </xf>
    <xf numFmtId="3" fontId="16" fillId="0" borderId="138" xfId="20" applyNumberFormat="1" applyFont="1" applyBorder="1" applyAlignment="1">
      <alignment horizontal="center" vertical="center"/>
    </xf>
    <xf numFmtId="0" fontId="105" fillId="0" borderId="125" xfId="20" applyFont="1" applyBorder="1" applyAlignment="1">
      <alignment horizontal="left"/>
    </xf>
    <xf numFmtId="3" fontId="113" fillId="0" borderId="125" xfId="20" applyNumberFormat="1" applyFont="1" applyBorder="1" applyAlignment="1">
      <alignment horizontal="center"/>
    </xf>
    <xf numFmtId="3" fontId="113" fillId="0" borderId="138" xfId="20" applyNumberFormat="1" applyFont="1" applyBorder="1" applyAlignment="1">
      <alignment horizontal="center"/>
    </xf>
    <xf numFmtId="3" fontId="113" fillId="0" borderId="138" xfId="20" applyNumberFormat="1" applyFont="1" applyBorder="1" applyAlignment="1">
      <alignment horizontal="center" vertical="center" wrapText="1"/>
    </xf>
    <xf numFmtId="3" fontId="15" fillId="0" borderId="0" xfId="20" applyNumberFormat="1" applyFont="1" applyAlignment="1">
      <alignment horizontal="center" vertical="center" wrapText="1"/>
    </xf>
    <xf numFmtId="2" fontId="123" fillId="30" borderId="0" xfId="20" applyNumberFormat="1" applyFont="1" applyFill="1" applyAlignment="1">
      <alignment horizontal="center" vertical="center"/>
    </xf>
    <xf numFmtId="3" fontId="155" fillId="0" borderId="138" xfId="20" applyNumberFormat="1" applyFont="1" applyBorder="1" applyAlignment="1">
      <alignment horizontal="center" vertical="center"/>
    </xf>
    <xf numFmtId="2" fontId="129" fillId="0" borderId="0" xfId="20" applyNumberFormat="1" applyFont="1" applyAlignment="1">
      <alignment horizontal="center" vertical="center"/>
    </xf>
    <xf numFmtId="171" fontId="126" fillId="32" borderId="139" xfId="20" applyNumberFormat="1" applyFont="1" applyFill="1" applyBorder="1" applyAlignment="1">
      <alignment horizontal="center" vertical="center"/>
    </xf>
    <xf numFmtId="171" fontId="126" fillId="0" borderId="0" xfId="20" applyNumberFormat="1" applyFont="1" applyAlignment="1">
      <alignment horizontal="center" vertical="center"/>
    </xf>
    <xf numFmtId="169" fontId="124" fillId="0" borderId="122" xfId="20" applyNumberFormat="1" applyFont="1" applyBorder="1" applyAlignment="1">
      <alignment horizontal="center" vertical="center"/>
    </xf>
    <xf numFmtId="0" fontId="15" fillId="30" borderId="138" xfId="20" applyFont="1" applyFill="1" applyBorder="1" applyAlignment="1">
      <alignment horizontal="center" vertical="center"/>
    </xf>
    <xf numFmtId="4" fontId="156" fillId="36" borderId="122" xfId="20" applyNumberFormat="1" applyFont="1" applyFill="1" applyBorder="1" applyAlignment="1">
      <alignment horizontal="right" vertical="center"/>
    </xf>
    <xf numFmtId="4" fontId="14" fillId="0" borderId="125" xfId="20" applyNumberFormat="1" applyFont="1" applyBorder="1" applyAlignment="1">
      <alignment horizontal="right" vertical="center"/>
    </xf>
    <xf numFmtId="4" fontId="156" fillId="0" borderId="125" xfId="20" applyNumberFormat="1" applyFont="1" applyBorder="1" applyAlignment="1">
      <alignment horizontal="right" vertical="center"/>
    </xf>
    <xf numFmtId="4" fontId="156" fillId="36" borderId="125" xfId="20" applyNumberFormat="1" applyFont="1" applyFill="1" applyBorder="1" applyAlignment="1">
      <alignment horizontal="right" vertical="center"/>
    </xf>
    <xf numFmtId="0" fontId="157" fillId="0" borderId="0" xfId="20" applyFont="1" applyAlignment="1">
      <alignment readingOrder="1"/>
    </xf>
    <xf numFmtId="0" fontId="27" fillId="0" borderId="0" xfId="20" applyFont="1" applyAlignment="1">
      <alignment readingOrder="1"/>
    </xf>
    <xf numFmtId="0" fontId="158" fillId="36" borderId="125" xfId="20" applyFont="1" applyFill="1" applyBorder="1" applyAlignment="1">
      <alignment horizontal="left" vertical="center"/>
    </xf>
    <xf numFmtId="4" fontId="141" fillId="36" borderId="122" xfId="20" applyNumberFormat="1" applyFont="1" applyFill="1" applyBorder="1" applyAlignment="1">
      <alignment horizontal="right" vertical="center"/>
    </xf>
    <xf numFmtId="4" fontId="159" fillId="36" borderId="122" xfId="20" applyNumberFormat="1" applyFont="1" applyFill="1" applyBorder="1" applyAlignment="1">
      <alignment horizontal="right" vertical="center"/>
    </xf>
    <xf numFmtId="4" fontId="159" fillId="36" borderId="0" xfId="20" applyNumberFormat="1" applyFont="1" applyFill="1" applyAlignment="1">
      <alignment horizontal="right" vertical="center"/>
    </xf>
    <xf numFmtId="4" fontId="104" fillId="0" borderId="125" xfId="20" applyNumberFormat="1" applyFont="1" applyBorder="1" applyAlignment="1">
      <alignment horizontal="right" vertical="center"/>
    </xf>
    <xf numFmtId="0" fontId="104" fillId="37" borderId="0" xfId="20" applyFont="1" applyFill="1" applyAlignment="1">
      <alignment horizontal="center" vertical="center"/>
    </xf>
    <xf numFmtId="4" fontId="104" fillId="36" borderId="125" xfId="20" applyNumberFormat="1" applyFont="1" applyFill="1" applyBorder="1" applyAlignment="1">
      <alignment horizontal="right" vertical="center"/>
    </xf>
    <xf numFmtId="0" fontId="104" fillId="37" borderId="125" xfId="20" applyFont="1" applyFill="1" applyBorder="1" applyAlignment="1">
      <alignment horizontal="center" vertical="center"/>
    </xf>
    <xf numFmtId="9" fontId="15" fillId="36" borderId="125" xfId="20" applyNumberFormat="1" applyFont="1" applyFill="1" applyBorder="1" applyAlignment="1">
      <alignment horizontal="right" vertical="center"/>
    </xf>
    <xf numFmtId="10" fontId="15" fillId="36" borderId="125" xfId="20" applyNumberFormat="1" applyFont="1" applyFill="1" applyBorder="1" applyAlignment="1">
      <alignment horizontal="right" vertical="center"/>
    </xf>
    <xf numFmtId="10" fontId="15" fillId="36" borderId="0" xfId="20" applyNumberFormat="1" applyFont="1" applyFill="1" applyAlignment="1">
      <alignment horizontal="right" vertical="center"/>
    </xf>
    <xf numFmtId="0" fontId="104" fillId="0" borderId="129" xfId="20" applyFont="1" applyBorder="1" applyAlignment="1">
      <alignment horizontal="center" vertical="center"/>
    </xf>
    <xf numFmtId="4" fontId="104" fillId="0" borderId="129" xfId="20" applyNumberFormat="1" applyFont="1" applyBorder="1" applyAlignment="1">
      <alignment horizontal="right" vertical="center"/>
    </xf>
    <xf numFmtId="171" fontId="104" fillId="0" borderId="0" xfId="20" applyNumberFormat="1" applyFont="1" applyAlignment="1">
      <alignment vertical="center"/>
    </xf>
    <xf numFmtId="0" fontId="110" fillId="0" borderId="140" xfId="20" applyFont="1" applyBorder="1" applyAlignment="1">
      <alignment horizontal="center"/>
    </xf>
    <xf numFmtId="0" fontId="110" fillId="0" borderId="141" xfId="20" applyFont="1" applyBorder="1" applyAlignment="1">
      <alignment horizontal="center"/>
    </xf>
    <xf numFmtId="170" fontId="15" fillId="29" borderId="141" xfId="20" applyNumberFormat="1" applyFont="1" applyFill="1" applyBorder="1" applyAlignment="1">
      <alignment horizontal="center" vertical="center"/>
    </xf>
    <xf numFmtId="170" fontId="15" fillId="29" borderId="142" xfId="20" applyNumberFormat="1" applyFont="1" applyFill="1" applyBorder="1" applyAlignment="1">
      <alignment horizontal="center" vertical="center"/>
    </xf>
    <xf numFmtId="170" fontId="15" fillId="0" borderId="0" xfId="20" applyNumberFormat="1" applyFont="1" applyAlignment="1">
      <alignment horizontal="center" vertical="center"/>
    </xf>
    <xf numFmtId="170" fontId="15" fillId="0" borderId="138" xfId="20" applyNumberFormat="1" applyFont="1" applyBorder="1" applyAlignment="1">
      <alignment horizontal="center" vertical="center"/>
    </xf>
    <xf numFmtId="170" fontId="16" fillId="29" borderId="0" xfId="20" applyNumberFormat="1" applyFont="1" applyFill="1" applyAlignment="1">
      <alignment horizontal="center" vertical="center"/>
    </xf>
    <xf numFmtId="170" fontId="15" fillId="0" borderId="118" xfId="20" applyNumberFormat="1" applyFont="1" applyBorder="1" applyAlignment="1">
      <alignment horizontal="center" vertical="center"/>
    </xf>
    <xf numFmtId="3" fontId="120" fillId="0" borderId="0" xfId="20" applyNumberFormat="1" applyFont="1" applyAlignment="1">
      <alignment horizontal="center"/>
    </xf>
    <xf numFmtId="3" fontId="120" fillId="0" borderId="125" xfId="20" applyNumberFormat="1" applyFont="1" applyBorder="1" applyAlignment="1">
      <alignment horizontal="center"/>
    </xf>
    <xf numFmtId="3" fontId="120" fillId="0" borderId="122" xfId="20" applyNumberFormat="1" applyFont="1" applyBorder="1" applyAlignment="1">
      <alignment horizontal="center"/>
    </xf>
    <xf numFmtId="3" fontId="113" fillId="0" borderId="0" xfId="20" applyNumberFormat="1" applyFont="1" applyAlignment="1">
      <alignment horizontal="center"/>
    </xf>
    <xf numFmtId="4" fontId="123" fillId="30" borderId="138" xfId="20" applyNumberFormat="1" applyFont="1" applyFill="1" applyBorder="1" applyAlignment="1">
      <alignment horizontal="center" vertical="center"/>
    </xf>
    <xf numFmtId="4" fontId="123" fillId="30" borderId="125" xfId="20" applyNumberFormat="1" applyFont="1" applyFill="1" applyBorder="1" applyAlignment="1">
      <alignment horizontal="center" vertical="center"/>
    </xf>
    <xf numFmtId="2" fontId="123" fillId="30" borderId="125" xfId="20" applyNumberFormat="1" applyFont="1" applyFill="1" applyBorder="1" applyAlignment="1">
      <alignment horizontal="center" vertical="center"/>
    </xf>
    <xf numFmtId="171" fontId="126" fillId="30" borderId="129" xfId="20" applyNumberFormat="1" applyFont="1" applyFill="1" applyBorder="1" applyAlignment="1">
      <alignment horizontal="center" vertical="center"/>
    </xf>
    <xf numFmtId="171" fontId="126" fillId="30" borderId="118" xfId="20" applyNumberFormat="1" applyFont="1" applyFill="1" applyBorder="1" applyAlignment="1">
      <alignment horizontal="center" vertical="center"/>
    </xf>
    <xf numFmtId="0" fontId="120" fillId="0" borderId="0" xfId="20" applyFont="1" applyAlignment="1">
      <alignment horizontal="center"/>
    </xf>
    <xf numFmtId="4" fontId="123" fillId="32" borderId="0" xfId="20" applyNumberFormat="1" applyFont="1" applyFill="1" applyAlignment="1">
      <alignment horizontal="center" vertical="center"/>
    </xf>
    <xf numFmtId="173" fontId="126" fillId="0" borderId="125" xfId="20" applyNumberFormat="1" applyFont="1" applyBorder="1" applyAlignment="1">
      <alignment horizontal="center" vertical="center"/>
    </xf>
    <xf numFmtId="171" fontId="126" fillId="32" borderId="129" xfId="20" applyNumberFormat="1" applyFont="1" applyFill="1" applyBorder="1" applyAlignment="1">
      <alignment horizontal="center" vertical="center"/>
    </xf>
    <xf numFmtId="171" fontId="126" fillId="0" borderId="138" xfId="20" applyNumberFormat="1" applyFont="1" applyBorder="1" applyAlignment="1">
      <alignment horizontal="center" vertical="center"/>
    </xf>
    <xf numFmtId="171" fontId="126" fillId="0" borderId="143" xfId="20" applyNumberFormat="1" applyFont="1" applyBorder="1" applyAlignment="1">
      <alignment horizontal="center" vertical="center"/>
    </xf>
    <xf numFmtId="171" fontId="126" fillId="32" borderId="144" xfId="20" applyNumberFormat="1" applyFont="1" applyFill="1" applyBorder="1" applyAlignment="1">
      <alignment horizontal="center" vertical="center"/>
    </xf>
    <xf numFmtId="169" fontId="124" fillId="0" borderId="122" xfId="20" applyNumberFormat="1" applyFont="1" applyBorder="1" applyAlignment="1">
      <alignment horizontal="center" vertical="center" wrapText="1"/>
    </xf>
    <xf numFmtId="0" fontId="126" fillId="30" borderId="0" xfId="20" applyFont="1" applyFill="1" applyAlignment="1">
      <alignment horizontal="center" vertical="center"/>
    </xf>
    <xf numFmtId="0" fontId="15" fillId="30" borderId="0" xfId="20" applyFont="1" applyFill="1" applyAlignment="1">
      <alignment horizontal="center" vertical="center"/>
    </xf>
    <xf numFmtId="0" fontId="15" fillId="0" borderId="139" xfId="20" applyFont="1" applyBorder="1" applyAlignment="1">
      <alignment horizontal="center" vertical="center"/>
    </xf>
    <xf numFmtId="0" fontId="15" fillId="0" borderId="118" xfId="20" applyFont="1" applyBorder="1" applyAlignment="1">
      <alignment horizontal="center" vertical="center"/>
    </xf>
    <xf numFmtId="4" fontId="160" fillId="36" borderId="122" xfId="20" applyNumberFormat="1" applyFont="1" applyFill="1" applyBorder="1" applyAlignment="1">
      <alignment horizontal="right" vertical="center"/>
    </xf>
    <xf numFmtId="4" fontId="160" fillId="36" borderId="125" xfId="20" applyNumberFormat="1" applyFont="1" applyFill="1" applyBorder="1" applyAlignment="1">
      <alignment horizontal="right" vertical="center"/>
    </xf>
    <xf numFmtId="4" fontId="160" fillId="0" borderId="129" xfId="20" applyNumberFormat="1" applyFont="1" applyBorder="1" applyAlignment="1">
      <alignment horizontal="right" vertical="center"/>
    </xf>
    <xf numFmtId="0" fontId="104" fillId="37" borderId="126" xfId="20" applyFont="1" applyFill="1" applyBorder="1" applyAlignment="1">
      <alignment horizontal="center" vertical="center"/>
    </xf>
    <xf numFmtId="4" fontId="104" fillId="36" borderId="0" xfId="20" applyNumberFormat="1" applyFont="1" applyFill="1" applyAlignment="1">
      <alignment horizontal="right" vertical="center"/>
    </xf>
    <xf numFmtId="4" fontId="138" fillId="36" borderId="145" xfId="20" applyNumberFormat="1" applyFont="1" applyFill="1" applyBorder="1" applyAlignment="1">
      <alignment horizontal="right" vertical="center"/>
    </xf>
    <xf numFmtId="4" fontId="150" fillId="36" borderId="137" xfId="20" applyNumberFormat="1" applyFont="1" applyFill="1" applyBorder="1" applyAlignment="1">
      <alignment horizontal="right" vertical="center"/>
    </xf>
    <xf numFmtId="0" fontId="0" fillId="4" borderId="52" xfId="0" applyFill="1" applyBorder="1" applyAlignment="1">
      <alignment horizontal="center" vertical="center"/>
    </xf>
    <xf numFmtId="171" fontId="26" fillId="0" borderId="0" xfId="20" applyNumberFormat="1"/>
    <xf numFmtId="0" fontId="108" fillId="27" borderId="135" xfId="20" applyFont="1" applyFill="1" applyBorder="1" applyAlignment="1">
      <alignment horizontal="center" vertical="center"/>
    </xf>
    <xf numFmtId="0" fontId="162" fillId="26" borderId="0" xfId="22" applyFont="1" applyFill="1"/>
    <xf numFmtId="0" fontId="163" fillId="0" borderId="0" xfId="22" applyFont="1"/>
    <xf numFmtId="0" fontId="164" fillId="0" borderId="0" xfId="22" applyFont="1"/>
    <xf numFmtId="0" fontId="165" fillId="0" borderId="0" xfId="22" applyFont="1"/>
    <xf numFmtId="0" fontId="161" fillId="0" borderId="0" xfId="22"/>
    <xf numFmtId="0" fontId="105" fillId="0" borderId="118" xfId="22" applyFont="1" applyBorder="1"/>
    <xf numFmtId="0" fontId="165" fillId="0" borderId="118" xfId="22" applyFont="1" applyBorder="1"/>
    <xf numFmtId="0" fontId="166" fillId="0" borderId="0" xfId="22" applyFont="1"/>
    <xf numFmtId="0" fontId="167" fillId="0" borderId="0" xfId="22" applyFont="1" applyAlignment="1">
      <alignment vertical="center"/>
    </xf>
    <xf numFmtId="0" fontId="168" fillId="0" borderId="119" xfId="22" applyFont="1" applyBorder="1" applyAlignment="1">
      <alignment horizontal="center" vertical="center"/>
    </xf>
    <xf numFmtId="0" fontId="108" fillId="27" borderId="146" xfId="22" applyFont="1" applyFill="1" applyBorder="1" applyAlignment="1">
      <alignment horizontal="center" vertical="center"/>
    </xf>
    <xf numFmtId="0" fontId="169" fillId="28" borderId="121" xfId="22" applyFont="1" applyFill="1" applyBorder="1" applyAlignment="1">
      <alignment horizontal="center" vertical="center"/>
    </xf>
    <xf numFmtId="0" fontId="170" fillId="0" borderId="122" xfId="22" applyFont="1" applyBorder="1" applyAlignment="1">
      <alignment horizontal="left"/>
    </xf>
    <xf numFmtId="0" fontId="171" fillId="0" borderId="147" xfId="22" applyFont="1" applyBorder="1" applyAlignment="1">
      <alignment horizontal="center"/>
    </xf>
    <xf numFmtId="0" fontId="172" fillId="0" borderId="124" xfId="22" applyFont="1" applyBorder="1"/>
    <xf numFmtId="0" fontId="173" fillId="0" borderId="125" xfId="22" applyFont="1" applyBorder="1" applyAlignment="1">
      <alignment horizontal="left" vertical="center"/>
    </xf>
    <xf numFmtId="169" fontId="174" fillId="0" borderId="148" xfId="22" applyNumberFormat="1" applyFont="1" applyBorder="1" applyAlignment="1">
      <alignment horizontal="center" vertical="center" wrapText="1"/>
    </xf>
    <xf numFmtId="0" fontId="175" fillId="0" borderId="127" xfId="22" applyFont="1" applyBorder="1" applyAlignment="1">
      <alignment horizontal="center" vertical="center" wrapText="1"/>
    </xf>
    <xf numFmtId="0" fontId="172" fillId="0" borderId="128" xfId="22" applyFont="1" applyBorder="1" applyAlignment="1">
      <alignment horizontal="center" vertical="center" wrapText="1"/>
    </xf>
    <xf numFmtId="0" fontId="175" fillId="0" borderId="0" xfId="22" applyFont="1" applyAlignment="1">
      <alignment horizontal="center" vertical="center" wrapText="1"/>
    </xf>
    <xf numFmtId="0" fontId="176" fillId="0" borderId="129" xfId="22" applyFont="1" applyBorder="1" applyAlignment="1">
      <alignment horizontal="left" vertical="center"/>
    </xf>
    <xf numFmtId="169" fontId="177" fillId="0" borderId="149" xfId="22" applyNumberFormat="1" applyFont="1" applyBorder="1" applyAlignment="1">
      <alignment horizontal="center" vertical="center" wrapText="1"/>
    </xf>
    <xf numFmtId="0" fontId="172" fillId="0" borderId="130" xfId="22" applyFont="1" applyBorder="1" applyAlignment="1">
      <alignment horizontal="center" vertical="center" wrapText="1"/>
    </xf>
    <xf numFmtId="0" fontId="165" fillId="0" borderId="0" xfId="22" applyFont="1" applyAlignment="1">
      <alignment vertical="center"/>
    </xf>
    <xf numFmtId="0" fontId="178" fillId="29" borderId="125" xfId="22" applyFont="1" applyFill="1" applyBorder="1" applyAlignment="1">
      <alignment horizontal="left" vertical="center"/>
    </xf>
    <xf numFmtId="170" fontId="172" fillId="29" borderId="147" xfId="22" applyNumberFormat="1" applyFont="1" applyFill="1" applyBorder="1" applyAlignment="1">
      <alignment horizontal="center" vertical="center"/>
    </xf>
    <xf numFmtId="166" fontId="179" fillId="0" borderId="127" xfId="22" applyNumberFormat="1" applyFont="1" applyBorder="1" applyAlignment="1">
      <alignment horizontal="center" vertical="center"/>
    </xf>
    <xf numFmtId="2" fontId="172" fillId="29" borderId="124" xfId="22" applyNumberFormat="1" applyFont="1" applyFill="1" applyBorder="1" applyAlignment="1">
      <alignment horizontal="center" vertical="center"/>
    </xf>
    <xf numFmtId="166" fontId="179" fillId="0" borderId="0" xfId="22" applyNumberFormat="1" applyFont="1" applyAlignment="1">
      <alignment horizontal="center" vertical="center"/>
    </xf>
    <xf numFmtId="0" fontId="178" fillId="0" borderId="125" xfId="22" applyFont="1" applyBorder="1" applyAlignment="1">
      <alignment horizontal="left" vertical="center"/>
    </xf>
    <xf numFmtId="170" fontId="172" fillId="0" borderId="148" xfId="22" applyNumberFormat="1" applyFont="1" applyBorder="1" applyAlignment="1">
      <alignment horizontal="center" vertical="center"/>
    </xf>
    <xf numFmtId="3" fontId="179" fillId="0" borderId="127" xfId="22" applyNumberFormat="1" applyFont="1" applyBorder="1" applyAlignment="1">
      <alignment horizontal="center" vertical="center"/>
    </xf>
    <xf numFmtId="2" fontId="172" fillId="0" borderId="128" xfId="22" applyNumberFormat="1" applyFont="1" applyBorder="1" applyAlignment="1">
      <alignment horizontal="center" vertical="center"/>
    </xf>
    <xf numFmtId="3" fontId="179" fillId="0" borderId="0" xfId="22" applyNumberFormat="1" applyFont="1" applyAlignment="1">
      <alignment horizontal="center" vertical="center"/>
    </xf>
    <xf numFmtId="170" fontId="180" fillId="29" borderId="148" xfId="22" applyNumberFormat="1" applyFont="1" applyFill="1" applyBorder="1" applyAlignment="1">
      <alignment horizontal="center" vertical="center"/>
    </xf>
    <xf numFmtId="0" fontId="175" fillId="0" borderId="127" xfId="22" applyFont="1" applyBorder="1" applyAlignment="1">
      <alignment horizontal="center" vertical="center"/>
    </xf>
    <xf numFmtId="0" fontId="172" fillId="29" borderId="128" xfId="22" applyFont="1" applyFill="1" applyBorder="1" applyAlignment="1">
      <alignment horizontal="center" vertical="center"/>
    </xf>
    <xf numFmtId="0" fontId="175" fillId="0" borderId="0" xfId="22" applyFont="1" applyAlignment="1">
      <alignment horizontal="center" vertical="center"/>
    </xf>
    <xf numFmtId="0" fontId="178" fillId="0" borderId="129" xfId="22" applyFont="1" applyBorder="1" applyAlignment="1">
      <alignment horizontal="left" vertical="center"/>
    </xf>
    <xf numFmtId="170" fontId="172" fillId="0" borderId="149" xfId="22" applyNumberFormat="1" applyFont="1" applyBorder="1" applyAlignment="1">
      <alignment horizontal="center" vertical="center"/>
    </xf>
    <xf numFmtId="2" fontId="166" fillId="0" borderId="130" xfId="22" applyNumberFormat="1" applyFont="1" applyBorder="1" applyAlignment="1">
      <alignment horizontal="center" vertical="center"/>
    </xf>
    <xf numFmtId="0" fontId="181" fillId="0" borderId="125" xfId="22" applyFont="1" applyBorder="1" applyAlignment="1">
      <alignment horizontal="left"/>
    </xf>
    <xf numFmtId="3" fontId="182" fillId="0" borderId="148" xfId="22" applyNumberFormat="1" applyFont="1" applyBorder="1" applyAlignment="1">
      <alignment horizontal="center"/>
    </xf>
    <xf numFmtId="3" fontId="179" fillId="0" borderId="0" xfId="22" applyNumberFormat="1" applyFont="1" applyAlignment="1">
      <alignment horizontal="center"/>
    </xf>
    <xf numFmtId="3" fontId="179" fillId="0" borderId="132" xfId="22" applyNumberFormat="1" applyFont="1" applyBorder="1" applyAlignment="1">
      <alignment horizontal="center"/>
    </xf>
    <xf numFmtId="0" fontId="183" fillId="0" borderId="125" xfId="22" applyFont="1" applyBorder="1" applyAlignment="1">
      <alignment horizontal="left" vertical="center"/>
    </xf>
    <xf numFmtId="169" fontId="120" fillId="0" borderId="148" xfId="22" applyNumberFormat="1" applyFont="1" applyBorder="1" applyAlignment="1">
      <alignment horizontal="center" vertical="center" wrapText="1"/>
    </xf>
    <xf numFmtId="3" fontId="184" fillId="0" borderId="0" xfId="22" applyNumberFormat="1" applyFont="1" applyAlignment="1">
      <alignment horizontal="center" vertical="center" wrapText="1"/>
    </xf>
    <xf numFmtId="0" fontId="183" fillId="30" borderId="125" xfId="22" applyFont="1" applyFill="1" applyBorder="1" applyAlignment="1">
      <alignment horizontal="left" vertical="center" wrapText="1"/>
    </xf>
    <xf numFmtId="4" fontId="185" fillId="30" borderId="148" xfId="22" applyNumberFormat="1" applyFont="1" applyFill="1" applyBorder="1" applyAlignment="1">
      <alignment horizontal="center" vertical="center"/>
    </xf>
    <xf numFmtId="2" fontId="186" fillId="0" borderId="0" xfId="22" applyNumberFormat="1" applyFont="1" applyAlignment="1">
      <alignment horizontal="center" vertical="center"/>
    </xf>
    <xf numFmtId="166" fontId="186" fillId="0" borderId="0" xfId="22" applyNumberFormat="1" applyFont="1" applyAlignment="1">
      <alignment horizontal="center" vertical="center"/>
    </xf>
    <xf numFmtId="0" fontId="183" fillId="31" borderId="125" xfId="22" applyFont="1" applyFill="1" applyBorder="1" applyAlignment="1">
      <alignment horizontal="left" vertical="center"/>
    </xf>
    <xf numFmtId="171" fontId="188" fillId="31" borderId="148" xfId="22" applyNumberFormat="1" applyFont="1" applyFill="1" applyBorder="1" applyAlignment="1">
      <alignment horizontal="center" vertical="center"/>
    </xf>
    <xf numFmtId="171" fontId="165" fillId="0" borderId="0" xfId="22" applyNumberFormat="1" applyFont="1" applyAlignment="1">
      <alignment horizontal="center" vertical="center"/>
    </xf>
    <xf numFmtId="0" fontId="165" fillId="0" borderId="0" xfId="22" applyFont="1" applyAlignment="1">
      <alignment horizontal="center" vertical="center"/>
    </xf>
    <xf numFmtId="0" fontId="183" fillId="30" borderId="129" xfId="22" applyFont="1" applyFill="1" applyBorder="1" applyAlignment="1">
      <alignment horizontal="left" vertical="center"/>
    </xf>
    <xf numFmtId="171" fontId="188" fillId="30" borderId="149" xfId="22" applyNumberFormat="1" applyFont="1" applyFill="1" applyBorder="1" applyAlignment="1">
      <alignment horizontal="center" vertical="center"/>
    </xf>
    <xf numFmtId="0" fontId="182" fillId="0" borderId="148" xfId="22" applyFont="1" applyBorder="1" applyAlignment="1">
      <alignment horizontal="center"/>
    </xf>
    <xf numFmtId="0" fontId="165" fillId="0" borderId="0" xfId="22" applyFont="1" applyAlignment="1">
      <alignment horizontal="center"/>
    </xf>
    <xf numFmtId="0" fontId="189" fillId="0" borderId="0" xfId="22" applyFont="1" applyAlignment="1">
      <alignment horizontal="center"/>
    </xf>
    <xf numFmtId="0" fontId="189" fillId="0" borderId="0" xfId="22" applyFont="1" applyAlignment="1">
      <alignment horizontal="center" vertical="center"/>
    </xf>
    <xf numFmtId="0" fontId="183" fillId="32" borderId="125" xfId="22" applyFont="1" applyFill="1" applyBorder="1" applyAlignment="1">
      <alignment horizontal="left" vertical="center" wrapText="1"/>
    </xf>
    <xf numFmtId="4" fontId="185" fillId="32" borderId="148" xfId="22" applyNumberFormat="1" applyFont="1" applyFill="1" applyBorder="1" applyAlignment="1">
      <alignment horizontal="center" vertical="center"/>
    </xf>
    <xf numFmtId="4" fontId="190" fillId="0" borderId="0" xfId="22" applyNumberFormat="1" applyFont="1" applyAlignment="1">
      <alignment horizontal="center" vertical="center"/>
    </xf>
    <xf numFmtId="0" fontId="183" fillId="33" borderId="125" xfId="22" applyFont="1" applyFill="1" applyBorder="1" applyAlignment="1">
      <alignment horizontal="left" vertical="center"/>
    </xf>
    <xf numFmtId="171" fontId="188" fillId="0" borderId="148" xfId="22" applyNumberFormat="1" applyFont="1" applyBorder="1" applyAlignment="1">
      <alignment horizontal="center" vertical="center"/>
    </xf>
    <xf numFmtId="172" fontId="172" fillId="0" borderId="0" xfId="22" applyNumberFormat="1" applyFont="1" applyAlignment="1">
      <alignment horizontal="center" vertical="center"/>
    </xf>
    <xf numFmtId="0" fontId="183" fillId="32" borderId="129" xfId="22" applyFont="1" applyFill="1" applyBorder="1" applyAlignment="1">
      <alignment horizontal="left" vertical="center"/>
    </xf>
    <xf numFmtId="171" fontId="188" fillId="32" borderId="149" xfId="22" applyNumberFormat="1" applyFont="1" applyFill="1" applyBorder="1" applyAlignment="1">
      <alignment horizontal="center" vertical="center"/>
    </xf>
    <xf numFmtId="2" fontId="172" fillId="0" borderId="0" xfId="22" applyNumberFormat="1" applyFont="1" applyAlignment="1">
      <alignment horizontal="center" vertical="center"/>
    </xf>
    <xf numFmtId="0" fontId="172" fillId="0" borderId="0" xfId="22" applyFont="1" applyAlignment="1">
      <alignment horizontal="center"/>
    </xf>
    <xf numFmtId="0" fontId="172" fillId="0" borderId="0" xfId="22" applyFont="1" applyAlignment="1">
      <alignment horizontal="center" vertical="center"/>
    </xf>
    <xf numFmtId="0" fontId="187" fillId="0" borderId="125" xfId="22" applyFont="1" applyBorder="1" applyAlignment="1">
      <alignment horizontal="left" vertical="center"/>
    </xf>
    <xf numFmtId="169" fontId="191" fillId="0" borderId="147" xfId="22" applyNumberFormat="1" applyFont="1" applyBorder="1" applyAlignment="1">
      <alignment horizontal="center" vertical="center" wrapText="1"/>
    </xf>
    <xf numFmtId="0" fontId="192" fillId="0" borderId="0" xfId="22" applyFont="1" applyAlignment="1">
      <alignment horizontal="center" vertical="center"/>
    </xf>
    <xf numFmtId="0" fontId="188" fillId="0" borderId="0" xfId="22" applyFont="1" applyAlignment="1">
      <alignment horizontal="center" vertical="center"/>
    </xf>
    <xf numFmtId="0" fontId="187" fillId="30" borderId="125" xfId="22" applyFont="1" applyFill="1" applyBorder="1" applyAlignment="1">
      <alignment horizontal="left" vertical="center"/>
    </xf>
    <xf numFmtId="0" fontId="188" fillId="30" borderId="148" xfId="22" applyFont="1" applyFill="1" applyBorder="1" applyAlignment="1">
      <alignment horizontal="center" vertical="center"/>
    </xf>
    <xf numFmtId="0" fontId="192" fillId="0" borderId="0" xfId="22" applyFont="1" applyAlignment="1">
      <alignment horizontal="center"/>
    </xf>
    <xf numFmtId="0" fontId="188" fillId="0" borderId="0" xfId="22" applyFont="1" applyAlignment="1">
      <alignment horizontal="center"/>
    </xf>
    <xf numFmtId="0" fontId="27" fillId="0" borderId="125" xfId="22" applyFont="1" applyBorder="1" applyAlignment="1">
      <alignment horizontal="left" vertical="center" wrapText="1"/>
    </xf>
    <xf numFmtId="0" fontId="172" fillId="0" borderId="148" xfId="22" applyFont="1" applyBorder="1" applyAlignment="1">
      <alignment horizontal="center" vertical="center"/>
    </xf>
    <xf numFmtId="0" fontId="27" fillId="30" borderId="125" xfId="22" applyFont="1" applyFill="1" applyBorder="1" applyAlignment="1">
      <alignment horizontal="left" vertical="center" wrapText="1"/>
    </xf>
    <xf numFmtId="0" fontId="172" fillId="30" borderId="148" xfId="22" applyFont="1" applyFill="1" applyBorder="1" applyAlignment="1">
      <alignment horizontal="center" vertical="center"/>
    </xf>
    <xf numFmtId="0" fontId="178" fillId="30" borderId="125" xfId="22" applyFont="1" applyFill="1" applyBorder="1" applyAlignment="1">
      <alignment horizontal="left" vertical="center"/>
    </xf>
    <xf numFmtId="0" fontId="172" fillId="0" borderId="149" xfId="22" applyFont="1" applyBorder="1" applyAlignment="1">
      <alignment horizontal="center" vertical="center"/>
    </xf>
    <xf numFmtId="2" fontId="193" fillId="0" borderId="0" xfId="22" applyNumberFormat="1" applyFont="1" applyAlignment="1">
      <alignment horizontal="left" vertical="center"/>
    </xf>
    <xf numFmtId="0" fontId="165" fillId="34" borderId="0" xfId="22" applyFont="1" applyFill="1"/>
    <xf numFmtId="0" fontId="194" fillId="0" borderId="0" xfId="22" applyFont="1"/>
    <xf numFmtId="0" fontId="195" fillId="0" borderId="118" xfId="22" applyFont="1" applyBorder="1"/>
    <xf numFmtId="174" fontId="172" fillId="0" borderId="0" xfId="22" applyNumberFormat="1" applyFont="1"/>
    <xf numFmtId="174" fontId="15" fillId="4" borderId="0" xfId="22" applyNumberFormat="1" applyFont="1" applyFill="1" applyAlignment="1">
      <alignment vertical="center"/>
    </xf>
    <xf numFmtId="0" fontId="161" fillId="4" borderId="0" xfId="22" applyFill="1"/>
    <xf numFmtId="0" fontId="196" fillId="0" borderId="0" xfId="22" applyFont="1"/>
    <xf numFmtId="15" fontId="197" fillId="0" borderId="0" xfId="22" applyNumberFormat="1" applyFont="1"/>
    <xf numFmtId="3" fontId="198" fillId="35" borderId="119" xfId="22" quotePrefix="1" applyNumberFormat="1" applyFont="1" applyFill="1" applyBorder="1" applyAlignment="1">
      <alignment horizontal="center"/>
    </xf>
    <xf numFmtId="0" fontId="166" fillId="35" borderId="133" xfId="22" applyFont="1" applyFill="1" applyBorder="1" applyAlignment="1">
      <alignment horizontal="center"/>
    </xf>
    <xf numFmtId="0" fontId="166" fillId="35" borderId="119" xfId="22" applyFont="1" applyFill="1" applyBorder="1" applyAlignment="1">
      <alignment horizontal="center"/>
    </xf>
    <xf numFmtId="0" fontId="166" fillId="28" borderId="134" xfId="22" applyFont="1" applyFill="1" applyBorder="1" applyAlignment="1">
      <alignment horizontal="center"/>
    </xf>
    <xf numFmtId="0" fontId="166" fillId="35" borderId="135" xfId="22" applyFont="1" applyFill="1" applyBorder="1" applyAlignment="1">
      <alignment horizontal="center" vertical="center"/>
    </xf>
    <xf numFmtId="0" fontId="166" fillId="35" borderId="133" xfId="22" applyFont="1" applyFill="1" applyBorder="1" applyAlignment="1">
      <alignment horizontal="center" vertical="center"/>
    </xf>
    <xf numFmtId="0" fontId="166" fillId="35" borderId="134" xfId="22" applyFont="1" applyFill="1" applyBorder="1" applyAlignment="1">
      <alignment horizontal="center" vertical="center"/>
    </xf>
    <xf numFmtId="0" fontId="165" fillId="0" borderId="0" xfId="22" applyFont="1" applyAlignment="1">
      <alignment horizontal="left" vertical="center"/>
    </xf>
    <xf numFmtId="3" fontId="199" fillId="0" borderId="125" xfId="22" applyNumberFormat="1" applyFont="1" applyBorder="1" applyAlignment="1">
      <alignment horizontal="center" vertical="center"/>
    </xf>
    <xf numFmtId="0" fontId="27" fillId="36" borderId="122" xfId="22" applyFont="1" applyFill="1" applyBorder="1" applyAlignment="1">
      <alignment horizontal="left" vertical="center"/>
    </xf>
    <xf numFmtId="0" fontId="27" fillId="36" borderId="125" xfId="22" applyFont="1" applyFill="1" applyBorder="1" applyAlignment="1">
      <alignment horizontal="left" vertical="center"/>
    </xf>
    <xf numFmtId="0" fontId="27" fillId="36" borderId="125" xfId="22" applyFont="1" applyFill="1" applyBorder="1" applyAlignment="1">
      <alignment horizontal="center" vertical="center"/>
    </xf>
    <xf numFmtId="0" fontId="27" fillId="36" borderId="125" xfId="22" applyFont="1" applyFill="1" applyBorder="1" applyAlignment="1">
      <alignment horizontal="left" vertical="center" wrapText="1"/>
    </xf>
    <xf numFmtId="0" fontId="172" fillId="37" borderId="0" xfId="22" applyFont="1" applyFill="1" applyAlignment="1">
      <alignment horizontal="center" vertical="center" wrapText="1"/>
    </xf>
    <xf numFmtId="4" fontId="15" fillId="36" borderId="122" xfId="22" applyNumberFormat="1" applyFont="1" applyFill="1" applyBorder="1" applyAlignment="1">
      <alignment horizontal="right" vertical="center"/>
    </xf>
    <xf numFmtId="4" fontId="200" fillId="36" borderId="122" xfId="22" applyNumberFormat="1" applyFont="1" applyFill="1" applyBorder="1" applyAlignment="1">
      <alignment horizontal="right" vertical="center"/>
    </xf>
    <xf numFmtId="4" fontId="144" fillId="36" borderId="122" xfId="22" applyNumberFormat="1" applyFont="1" applyFill="1" applyBorder="1" applyAlignment="1">
      <alignment horizontal="right" vertical="center"/>
    </xf>
    <xf numFmtId="4" fontId="156" fillId="36" borderId="122" xfId="22" applyNumberFormat="1" applyFont="1" applyFill="1" applyBorder="1" applyAlignment="1">
      <alignment horizontal="right" vertical="center"/>
    </xf>
    <xf numFmtId="4" fontId="15" fillId="36" borderId="0" xfId="22" applyNumberFormat="1" applyFont="1" applyFill="1" applyAlignment="1">
      <alignment horizontal="right" vertical="center"/>
    </xf>
    <xf numFmtId="0" fontId="27" fillId="0" borderId="125" xfId="22" applyFont="1" applyBorder="1" applyAlignment="1">
      <alignment horizontal="left" vertical="center"/>
    </xf>
    <xf numFmtId="0" fontId="27" fillId="0" borderId="125" xfId="22" applyFont="1" applyBorder="1" applyAlignment="1">
      <alignment horizontal="center" vertical="center"/>
    </xf>
    <xf numFmtId="4" fontId="15" fillId="0" borderId="125" xfId="22" applyNumberFormat="1" applyFont="1" applyBorder="1" applyAlignment="1">
      <alignment horizontal="right" vertical="center"/>
    </xf>
    <xf numFmtId="4" fontId="200" fillId="0" borderId="125" xfId="22" applyNumberFormat="1" applyFont="1" applyBorder="1" applyAlignment="1">
      <alignment horizontal="right" vertical="center"/>
    </xf>
    <xf numFmtId="4" fontId="144" fillId="0" borderId="125" xfId="22" applyNumberFormat="1" applyFont="1" applyBorder="1" applyAlignment="1">
      <alignment horizontal="right" vertical="center"/>
    </xf>
    <xf numFmtId="4" fontId="156" fillId="0" borderId="125" xfId="22" applyNumberFormat="1" applyFont="1" applyBorder="1" applyAlignment="1">
      <alignment horizontal="right" vertical="center"/>
    </xf>
    <xf numFmtId="4" fontId="15" fillId="0" borderId="0" xfId="22" applyNumberFormat="1" applyFont="1" applyAlignment="1">
      <alignment horizontal="right" vertical="center"/>
    </xf>
    <xf numFmtId="0" fontId="172" fillId="37" borderId="0" xfId="22" applyFont="1" applyFill="1" applyAlignment="1">
      <alignment horizontal="center" vertical="center"/>
    </xf>
    <xf numFmtId="4" fontId="15" fillId="36" borderId="125" xfId="22" applyNumberFormat="1" applyFont="1" applyFill="1" applyBorder="1" applyAlignment="1">
      <alignment horizontal="right" vertical="center"/>
    </xf>
    <xf numFmtId="4" fontId="156" fillId="36" borderId="125" xfId="22" applyNumberFormat="1" applyFont="1" applyFill="1" applyBorder="1" applyAlignment="1">
      <alignment horizontal="right" vertical="center"/>
    </xf>
    <xf numFmtId="4" fontId="138" fillId="0" borderId="125" xfId="22" applyNumberFormat="1" applyFont="1" applyBorder="1" applyAlignment="1">
      <alignment horizontal="right" vertical="center"/>
    </xf>
    <xf numFmtId="0" fontId="178" fillId="36" borderId="125" xfId="22" applyFont="1" applyFill="1" applyBorder="1" applyAlignment="1">
      <alignment horizontal="left" vertical="center"/>
    </xf>
    <xf numFmtId="0" fontId="178" fillId="36" borderId="125" xfId="22" applyFont="1" applyFill="1" applyBorder="1" applyAlignment="1">
      <alignment horizontal="center" vertical="center"/>
    </xf>
    <xf numFmtId="0" fontId="178" fillId="36" borderId="125" xfId="22" applyFont="1" applyFill="1" applyBorder="1" applyAlignment="1">
      <alignment horizontal="left" vertical="center" wrapText="1"/>
    </xf>
    <xf numFmtId="0" fontId="178" fillId="0" borderId="125" xfId="22" applyFont="1" applyBorder="1" applyAlignment="1">
      <alignment horizontal="center" vertical="center"/>
    </xf>
    <xf numFmtId="0" fontId="178" fillId="0" borderId="125" xfId="22" applyFont="1" applyBorder="1" applyAlignment="1">
      <alignment horizontal="left" vertical="center" wrapText="1"/>
    </xf>
    <xf numFmtId="0" fontId="172" fillId="37" borderId="125" xfId="22" applyFont="1" applyFill="1" applyBorder="1" applyAlignment="1">
      <alignment horizontal="center" vertical="center"/>
    </xf>
    <xf numFmtId="3" fontId="199" fillId="0" borderId="129" xfId="22" applyNumberFormat="1" applyFont="1" applyBorder="1" applyAlignment="1">
      <alignment horizontal="center" vertical="center"/>
    </xf>
    <xf numFmtId="0" fontId="178" fillId="0" borderId="129" xfId="22" applyFont="1" applyBorder="1" applyAlignment="1">
      <alignment horizontal="center" vertical="center"/>
    </xf>
    <xf numFmtId="0" fontId="178" fillId="0" borderId="129" xfId="22" applyFont="1" applyBorder="1" applyAlignment="1">
      <alignment horizontal="left" vertical="center" wrapText="1"/>
    </xf>
    <xf numFmtId="0" fontId="172" fillId="0" borderId="129" xfId="22" applyFont="1" applyBorder="1" applyAlignment="1">
      <alignment horizontal="center" vertical="center"/>
    </xf>
    <xf numFmtId="4" fontId="15" fillId="0" borderId="129" xfId="22" applyNumberFormat="1" applyFont="1" applyBorder="1" applyAlignment="1">
      <alignment horizontal="right" vertical="center"/>
    </xf>
    <xf numFmtId="4" fontId="15" fillId="0" borderId="118" xfId="22" applyNumberFormat="1" applyFont="1" applyBorder="1" applyAlignment="1">
      <alignment horizontal="right" vertical="center"/>
    </xf>
    <xf numFmtId="3" fontId="201" fillId="0" borderId="0" xfId="22" applyNumberFormat="1" applyFont="1" applyAlignment="1">
      <alignment horizontal="center" vertical="center"/>
    </xf>
    <xf numFmtId="4" fontId="165" fillId="0" borderId="0" xfId="22" applyNumberFormat="1" applyFont="1" applyAlignment="1">
      <alignment horizontal="right" vertical="center"/>
    </xf>
    <xf numFmtId="3" fontId="199" fillId="0" borderId="0" xfId="22" quotePrefix="1" applyNumberFormat="1" applyFont="1" applyAlignment="1">
      <alignment horizontal="center" vertical="center"/>
    </xf>
    <xf numFmtId="0" fontId="172" fillId="0" borderId="0" xfId="22" applyFont="1" applyAlignment="1">
      <alignment horizontal="left" vertical="center"/>
    </xf>
    <xf numFmtId="15" fontId="149" fillId="0" borderId="0" xfId="22" quotePrefix="1" applyNumberFormat="1" applyFont="1"/>
    <xf numFmtId="0" fontId="15" fillId="0" borderId="0" xfId="22" applyFont="1" applyAlignment="1">
      <alignment horizontal="left" vertical="center"/>
    </xf>
    <xf numFmtId="15" fontId="203" fillId="0" borderId="0" xfId="22" quotePrefix="1" applyNumberFormat="1" applyFont="1"/>
    <xf numFmtId="0" fontId="27" fillId="0" borderId="0" xfId="22" applyFont="1" applyAlignment="1">
      <alignment horizontal="left" vertical="center"/>
    </xf>
    <xf numFmtId="0" fontId="101" fillId="26" borderId="0" xfId="22" applyFont="1" applyFill="1"/>
    <xf numFmtId="0" fontId="102" fillId="0" borderId="0" xfId="22" applyFont="1"/>
    <xf numFmtId="0" fontId="104" fillId="0" borderId="0" xfId="22" applyFont="1"/>
    <xf numFmtId="0" fontId="104" fillId="0" borderId="118" xfId="22" applyFont="1" applyBorder="1"/>
    <xf numFmtId="0" fontId="105" fillId="0" borderId="0" xfId="22" applyFont="1"/>
    <xf numFmtId="0" fontId="106" fillId="0" borderId="0" xfId="22" applyFont="1" applyAlignment="1">
      <alignment vertical="center"/>
    </xf>
    <xf numFmtId="0" fontId="107" fillId="0" borderId="119" xfId="22" applyFont="1" applyBorder="1" applyAlignment="1">
      <alignment horizontal="center" vertical="center"/>
    </xf>
    <xf numFmtId="0" fontId="108" fillId="27" borderId="120" xfId="22" applyFont="1" applyFill="1" applyBorder="1" applyAlignment="1">
      <alignment horizontal="center" vertical="center"/>
    </xf>
    <xf numFmtId="0" fontId="108" fillId="28" borderId="121" xfId="22" applyFont="1" applyFill="1" applyBorder="1" applyAlignment="1">
      <alignment horizontal="center" vertical="center"/>
    </xf>
    <xf numFmtId="0" fontId="108" fillId="0" borderId="138" xfId="22" applyFont="1" applyBorder="1" applyAlignment="1">
      <alignment horizontal="center" vertical="center"/>
    </xf>
    <xf numFmtId="0" fontId="109" fillId="0" borderId="122" xfId="22" applyFont="1" applyBorder="1" applyAlignment="1">
      <alignment horizontal="left"/>
    </xf>
    <xf numFmtId="0" fontId="110" fillId="0" borderId="122" xfId="22" applyFont="1" applyBorder="1" applyAlignment="1">
      <alignment horizontal="center"/>
    </xf>
    <xf numFmtId="0" fontId="15" fillId="0" borderId="124" xfId="22" applyFont="1" applyBorder="1"/>
    <xf numFmtId="0" fontId="110" fillId="0" borderId="140" xfId="22" applyFont="1" applyBorder="1" applyAlignment="1">
      <alignment horizontal="center"/>
    </xf>
    <xf numFmtId="0" fontId="110" fillId="0" borderId="123" xfId="22" applyFont="1" applyBorder="1" applyAlignment="1">
      <alignment horizontal="center"/>
    </xf>
    <xf numFmtId="0" fontId="110" fillId="0" borderId="150" xfId="22" applyFont="1" applyBorder="1" applyAlignment="1">
      <alignment horizontal="center"/>
    </xf>
    <xf numFmtId="0" fontId="110" fillId="0" borderId="151" xfId="22" applyFont="1" applyBorder="1" applyAlignment="1">
      <alignment horizontal="center"/>
    </xf>
    <xf numFmtId="0" fontId="110" fillId="0" borderId="141" xfId="22" applyFont="1" applyBorder="1" applyAlignment="1">
      <alignment horizontal="center"/>
    </xf>
    <xf numFmtId="0" fontId="153" fillId="0" borderId="138" xfId="22" applyFont="1" applyBorder="1" applyAlignment="1">
      <alignment horizontal="center"/>
    </xf>
    <xf numFmtId="0" fontId="111" fillId="0" borderId="125" xfId="22" applyFont="1" applyBorder="1" applyAlignment="1">
      <alignment horizontal="left" vertical="center"/>
    </xf>
    <xf numFmtId="169" fontId="112" fillId="0" borderId="125" xfId="22" applyNumberFormat="1" applyFont="1" applyBorder="1" applyAlignment="1">
      <alignment horizontal="center" vertical="center" wrapText="1"/>
    </xf>
    <xf numFmtId="0" fontId="113" fillId="0" borderId="136" xfId="22" applyFont="1" applyBorder="1" applyAlignment="1">
      <alignment horizontal="center" vertical="center" wrapText="1"/>
    </xf>
    <xf numFmtId="0" fontId="15" fillId="0" borderId="128" xfId="22" applyFont="1" applyBorder="1" applyAlignment="1">
      <alignment horizontal="center" vertical="center" wrapText="1"/>
    </xf>
    <xf numFmtId="0" fontId="113" fillId="0" borderId="0" xfId="22" applyFont="1" applyAlignment="1">
      <alignment horizontal="center" vertical="center" wrapText="1"/>
    </xf>
    <xf numFmtId="169" fontId="112" fillId="0" borderId="126" xfId="22" applyNumberFormat="1" applyFont="1" applyBorder="1" applyAlignment="1">
      <alignment horizontal="center" vertical="center" wrapText="1"/>
    </xf>
    <xf numFmtId="169" fontId="112" fillId="0" borderId="145" xfId="22" applyNumberFormat="1" applyFont="1" applyBorder="1" applyAlignment="1">
      <alignment horizontal="center" vertical="center" wrapText="1"/>
    </xf>
    <xf numFmtId="169" fontId="112" fillId="0" borderId="152" xfId="22" applyNumberFormat="1" applyFont="1" applyBorder="1" applyAlignment="1">
      <alignment horizontal="center" vertical="center" wrapText="1"/>
    </xf>
    <xf numFmtId="169" fontId="112" fillId="0" borderId="137" xfId="22" applyNumberFormat="1" applyFont="1" applyBorder="1" applyAlignment="1">
      <alignment horizontal="center" vertical="center" wrapText="1"/>
    </xf>
    <xf numFmtId="0" fontId="124" fillId="0" borderId="138" xfId="22" applyFont="1" applyBorder="1" applyAlignment="1">
      <alignment horizontal="center" vertical="center" wrapText="1"/>
    </xf>
    <xf numFmtId="0" fontId="114" fillId="0" borderId="129" xfId="22" applyFont="1" applyBorder="1" applyAlignment="1">
      <alignment horizontal="left" vertical="center"/>
    </xf>
    <xf numFmtId="169" fontId="116" fillId="0" borderId="129" xfId="22" applyNumberFormat="1" applyFont="1" applyBorder="1" applyAlignment="1">
      <alignment horizontal="center" vertical="center" wrapText="1"/>
    </xf>
    <xf numFmtId="0" fontId="15" fillId="0" borderId="130" xfId="22" applyFont="1" applyBorder="1" applyAlignment="1">
      <alignment horizontal="center" vertical="center" wrapText="1"/>
    </xf>
    <xf numFmtId="169" fontId="116" fillId="0" borderId="131" xfId="22" applyNumberFormat="1" applyFont="1" applyBorder="1" applyAlignment="1">
      <alignment horizontal="center" vertical="center" wrapText="1"/>
    </xf>
    <xf numFmtId="169" fontId="116" fillId="0" borderId="153" xfId="22" applyNumberFormat="1" applyFont="1" applyBorder="1" applyAlignment="1">
      <alignment horizontal="center" vertical="center" wrapText="1"/>
    </xf>
    <xf numFmtId="0" fontId="113" fillId="0" borderId="138" xfId="22" applyFont="1" applyBorder="1" applyAlignment="1">
      <alignment horizontal="center" vertical="center" wrapText="1"/>
    </xf>
    <xf numFmtId="0" fontId="104" fillId="0" borderId="0" xfId="22" applyFont="1" applyAlignment="1">
      <alignment vertical="center"/>
    </xf>
    <xf numFmtId="0" fontId="27" fillId="29" borderId="125" xfId="22" applyFont="1" applyFill="1" applyBorder="1" applyAlignment="1">
      <alignment horizontal="left" vertical="center"/>
    </xf>
    <xf numFmtId="170" fontId="15" fillId="29" borderId="122" xfId="22" applyNumberFormat="1" applyFont="1" applyFill="1" applyBorder="1" applyAlignment="1">
      <alignment horizontal="center" vertical="center"/>
    </xf>
    <xf numFmtId="166" fontId="14" fillId="0" borderId="136" xfId="22" applyNumberFormat="1" applyFont="1" applyBorder="1" applyAlignment="1">
      <alignment horizontal="center" vertical="center"/>
    </xf>
    <xf numFmtId="2" fontId="15" fillId="29" borderId="124" xfId="22" applyNumberFormat="1" applyFont="1" applyFill="1" applyBorder="1" applyAlignment="1">
      <alignment horizontal="center" vertical="center"/>
    </xf>
    <xf numFmtId="166" fontId="14" fillId="0" borderId="0" xfId="22" applyNumberFormat="1" applyFont="1" applyAlignment="1">
      <alignment horizontal="center" vertical="center"/>
    </xf>
    <xf numFmtId="170" fontId="15" fillId="29" borderId="0" xfId="22" applyNumberFormat="1" applyFont="1" applyFill="1" applyAlignment="1">
      <alignment horizontal="center" vertical="center"/>
    </xf>
    <xf numFmtId="170" fontId="15" fillId="29" borderId="140" xfId="22" applyNumberFormat="1" applyFont="1" applyFill="1" applyBorder="1" applyAlignment="1">
      <alignment horizontal="center" vertical="center"/>
    </xf>
    <xf numFmtId="170" fontId="15" fillId="29" borderId="123" xfId="22" applyNumberFormat="1" applyFont="1" applyFill="1" applyBorder="1" applyAlignment="1">
      <alignment horizontal="center" vertical="center"/>
    </xf>
    <xf numFmtId="3" fontId="113" fillId="0" borderId="138" xfId="22" applyNumberFormat="1" applyFont="1" applyBorder="1" applyAlignment="1">
      <alignment horizontal="center" vertical="center"/>
    </xf>
    <xf numFmtId="170" fontId="15" fillId="0" borderId="125" xfId="22" applyNumberFormat="1" applyFont="1" applyBorder="1" applyAlignment="1">
      <alignment horizontal="center" vertical="center"/>
    </xf>
    <xf numFmtId="3" fontId="14" fillId="0" borderId="127" xfId="22" applyNumberFormat="1" applyFont="1" applyBorder="1" applyAlignment="1">
      <alignment horizontal="center" vertical="center"/>
    </xf>
    <xf numFmtId="2" fontId="15" fillId="0" borderId="128" xfId="22" applyNumberFormat="1" applyFont="1" applyBorder="1" applyAlignment="1">
      <alignment horizontal="center" vertical="center"/>
    </xf>
    <xf numFmtId="3" fontId="14" fillId="0" borderId="0" xfId="22" applyNumberFormat="1" applyFont="1" applyAlignment="1">
      <alignment horizontal="center" vertical="center"/>
    </xf>
    <xf numFmtId="170" fontId="15" fillId="0" borderId="126" xfId="22" applyNumberFormat="1" applyFont="1" applyBorder="1" applyAlignment="1">
      <alignment horizontal="center" vertical="center"/>
    </xf>
    <xf numFmtId="170" fontId="16" fillId="29" borderId="125" xfId="22" applyNumberFormat="1" applyFont="1" applyFill="1" applyBorder="1" applyAlignment="1">
      <alignment horizontal="center" vertical="center"/>
    </xf>
    <xf numFmtId="0" fontId="113" fillId="0" borderId="127" xfId="22" applyFont="1" applyBorder="1" applyAlignment="1">
      <alignment horizontal="center" vertical="center"/>
    </xf>
    <xf numFmtId="0" fontId="15" fillId="29" borderId="128" xfId="22" applyFont="1" applyFill="1" applyBorder="1" applyAlignment="1">
      <alignment horizontal="center" vertical="center"/>
    </xf>
    <xf numFmtId="0" fontId="113" fillId="0" borderId="0" xfId="22" applyFont="1" applyAlignment="1">
      <alignment horizontal="center" vertical="center"/>
    </xf>
    <xf numFmtId="170" fontId="16" fillId="29" borderId="0" xfId="22" applyNumberFormat="1" applyFont="1" applyFill="1" applyAlignment="1">
      <alignment horizontal="center" vertical="center"/>
    </xf>
    <xf numFmtId="170" fontId="16" fillId="29" borderId="126" xfId="22" applyNumberFormat="1" applyFont="1" applyFill="1" applyBorder="1" applyAlignment="1">
      <alignment horizontal="center" vertical="center"/>
    </xf>
    <xf numFmtId="3" fontId="16" fillId="0" borderId="138" xfId="22" applyNumberFormat="1" applyFont="1" applyBorder="1" applyAlignment="1">
      <alignment horizontal="center" vertical="center"/>
    </xf>
    <xf numFmtId="0" fontId="27" fillId="0" borderId="129" xfId="22" applyFont="1" applyBorder="1" applyAlignment="1">
      <alignment horizontal="left" vertical="center"/>
    </xf>
    <xf numFmtId="170" fontId="15" fillId="0" borderId="129" xfId="22" applyNumberFormat="1" applyFont="1" applyBorder="1" applyAlignment="1">
      <alignment horizontal="center" vertical="center"/>
    </xf>
    <xf numFmtId="2" fontId="105" fillId="0" borderId="130" xfId="22" applyNumberFormat="1" applyFont="1" applyBorder="1" applyAlignment="1">
      <alignment horizontal="center" vertical="center"/>
    </xf>
    <xf numFmtId="170" fontId="15" fillId="0" borderId="118" xfId="22" applyNumberFormat="1" applyFont="1" applyBorder="1" applyAlignment="1">
      <alignment horizontal="center" vertical="center"/>
    </xf>
    <xf numFmtId="170" fontId="15" fillId="0" borderId="131" xfId="22" applyNumberFormat="1" applyFont="1" applyBorder="1" applyAlignment="1">
      <alignment horizontal="center" vertical="center"/>
    </xf>
    <xf numFmtId="0" fontId="118" fillId="0" borderId="125" xfId="22" applyFont="1" applyBorder="1" applyAlignment="1">
      <alignment horizontal="left"/>
    </xf>
    <xf numFmtId="3" fontId="120" fillId="0" borderId="137" xfId="22" applyNumberFormat="1" applyFont="1" applyBorder="1" applyAlignment="1">
      <alignment horizontal="center"/>
    </xf>
    <xf numFmtId="3" fontId="14" fillId="0" borderId="0" xfId="22" applyNumberFormat="1" applyFont="1" applyAlignment="1">
      <alignment horizontal="center"/>
    </xf>
    <xf numFmtId="3" fontId="14" fillId="0" borderId="132" xfId="22" applyNumberFormat="1" applyFont="1" applyBorder="1" applyAlignment="1">
      <alignment horizontal="center"/>
    </xf>
    <xf numFmtId="0" fontId="105" fillId="0" borderId="125" xfId="22" applyFont="1" applyBorder="1" applyAlignment="1">
      <alignment horizontal="left"/>
    </xf>
    <xf numFmtId="3" fontId="113" fillId="0" borderId="0" xfId="22" applyNumberFormat="1" applyFont="1" applyAlignment="1">
      <alignment horizontal="center"/>
    </xf>
    <xf numFmtId="3" fontId="113" fillId="0" borderId="125" xfId="22" applyNumberFormat="1" applyFont="1" applyBorder="1" applyAlignment="1">
      <alignment horizontal="center"/>
    </xf>
    <xf numFmtId="3" fontId="113" fillId="0" borderId="126" xfId="22" applyNumberFormat="1" applyFont="1" applyBorder="1" applyAlignment="1">
      <alignment horizontal="center"/>
    </xf>
    <xf numFmtId="3" fontId="113" fillId="0" borderId="145" xfId="22" applyNumberFormat="1" applyFont="1" applyBorder="1" applyAlignment="1">
      <alignment horizontal="center"/>
    </xf>
    <xf numFmtId="3" fontId="113" fillId="0" borderId="152" xfId="22" applyNumberFormat="1" applyFont="1" applyBorder="1" applyAlignment="1">
      <alignment horizontal="center"/>
    </xf>
    <xf numFmtId="3" fontId="113" fillId="0" borderId="138" xfId="22" applyNumberFormat="1" applyFont="1" applyBorder="1" applyAlignment="1">
      <alignment horizontal="center"/>
    </xf>
    <xf numFmtId="0" fontId="121" fillId="0" borderId="125" xfId="22" applyFont="1" applyBorder="1" applyAlignment="1">
      <alignment horizontal="left" vertical="center"/>
    </xf>
    <xf numFmtId="169" fontId="120" fillId="0" borderId="125" xfId="22" applyNumberFormat="1" applyFont="1" applyBorder="1" applyAlignment="1">
      <alignment horizontal="center" vertical="center" wrapText="1"/>
    </xf>
    <xf numFmtId="3" fontId="14" fillId="0" borderId="138" xfId="22" applyNumberFormat="1" applyFont="1" applyBorder="1" applyAlignment="1">
      <alignment horizontal="center" vertical="center"/>
    </xf>
    <xf numFmtId="3" fontId="122" fillId="0" borderId="0" xfId="22" applyNumberFormat="1" applyFont="1" applyAlignment="1">
      <alignment horizontal="center" vertical="center" wrapText="1"/>
    </xf>
    <xf numFmtId="169" fontId="120" fillId="0" borderId="126" xfId="22" applyNumberFormat="1" applyFont="1" applyBorder="1" applyAlignment="1">
      <alignment horizontal="center" vertical="center" wrapText="1"/>
    </xf>
    <xf numFmtId="169" fontId="120" fillId="0" borderId="145" xfId="22" applyNumberFormat="1" applyFont="1" applyBorder="1" applyAlignment="1">
      <alignment horizontal="center" vertical="center" wrapText="1"/>
    </xf>
    <xf numFmtId="169" fontId="120" fillId="0" borderId="152" xfId="22" applyNumberFormat="1" applyFont="1" applyBorder="1" applyAlignment="1">
      <alignment horizontal="center" vertical="center" wrapText="1"/>
    </xf>
    <xf numFmtId="169" fontId="120" fillId="0" borderId="137" xfId="22" applyNumberFormat="1" applyFont="1" applyBorder="1" applyAlignment="1">
      <alignment horizontal="center" vertical="center" wrapText="1"/>
    </xf>
    <xf numFmtId="3" fontId="113" fillId="0" borderId="138" xfId="22" applyNumberFormat="1" applyFont="1" applyBorder="1" applyAlignment="1">
      <alignment horizontal="center" vertical="center" wrapText="1"/>
    </xf>
    <xf numFmtId="3" fontId="15" fillId="0" borderId="0" xfId="22" applyNumberFormat="1" applyFont="1" applyAlignment="1">
      <alignment horizontal="center" vertical="center" wrapText="1"/>
    </xf>
    <xf numFmtId="0" fontId="121" fillId="30" borderId="125" xfId="22" applyFont="1" applyFill="1" applyBorder="1" applyAlignment="1">
      <alignment horizontal="left" vertical="center" wrapText="1"/>
    </xf>
    <xf numFmtId="4" fontId="123" fillId="30" borderId="0" xfId="22" applyNumberFormat="1" applyFont="1" applyFill="1" applyAlignment="1">
      <alignment horizontal="center" vertical="center"/>
    </xf>
    <xf numFmtId="2" fontId="124" fillId="0" borderId="138" xfId="22" applyNumberFormat="1" applyFont="1" applyBorder="1" applyAlignment="1">
      <alignment horizontal="center" vertical="center"/>
    </xf>
    <xf numFmtId="166" fontId="124" fillId="0" borderId="0" xfId="22" applyNumberFormat="1" applyFont="1" applyAlignment="1">
      <alignment horizontal="center" vertical="center"/>
    </xf>
    <xf numFmtId="2" fontId="123" fillId="30" borderId="125" xfId="22" applyNumberFormat="1" applyFont="1" applyFill="1" applyBorder="1" applyAlignment="1">
      <alignment horizontal="center" vertical="center"/>
    </xf>
    <xf numFmtId="2" fontId="123" fillId="30" borderId="126" xfId="22" applyNumberFormat="1" applyFont="1" applyFill="1" applyBorder="1" applyAlignment="1">
      <alignment horizontal="center" vertical="center"/>
    </xf>
    <xf numFmtId="2" fontId="123" fillId="30" borderId="145" xfId="22" applyNumberFormat="1" applyFont="1" applyFill="1" applyBorder="1" applyAlignment="1">
      <alignment horizontal="center" vertical="center"/>
    </xf>
    <xf numFmtId="2" fontId="123" fillId="30" borderId="152" xfId="22" applyNumberFormat="1" applyFont="1" applyFill="1" applyBorder="1" applyAlignment="1">
      <alignment horizontal="center" vertical="center"/>
    </xf>
    <xf numFmtId="2" fontId="123" fillId="30" borderId="0" xfId="22" applyNumberFormat="1" applyFont="1" applyFill="1" applyAlignment="1">
      <alignment horizontal="center" vertical="center"/>
    </xf>
    <xf numFmtId="3" fontId="155" fillId="0" borderId="138" xfId="22" applyNumberFormat="1" applyFont="1" applyBorder="1" applyAlignment="1">
      <alignment horizontal="center" vertical="center"/>
    </xf>
    <xf numFmtId="2" fontId="129" fillId="0" borderId="0" xfId="22" applyNumberFormat="1" applyFont="1" applyAlignment="1">
      <alignment horizontal="center" vertical="center"/>
    </xf>
    <xf numFmtId="0" fontId="121" fillId="31" borderId="125" xfId="22" applyFont="1" applyFill="1" applyBorder="1" applyAlignment="1">
      <alignment horizontal="left" vertical="center"/>
    </xf>
    <xf numFmtId="171" fontId="126" fillId="31" borderId="125" xfId="22" applyNumberFormat="1" applyFont="1" applyFill="1" applyBorder="1" applyAlignment="1">
      <alignment horizontal="center" vertical="center"/>
    </xf>
    <xf numFmtId="171" fontId="104" fillId="0" borderId="0" xfId="22" applyNumberFormat="1" applyFont="1" applyAlignment="1">
      <alignment horizontal="center" vertical="center"/>
    </xf>
    <xf numFmtId="0" fontId="104" fillId="0" borderId="0" xfId="22" applyFont="1" applyAlignment="1">
      <alignment horizontal="center" vertical="center"/>
    </xf>
    <xf numFmtId="172" fontId="15" fillId="0" borderId="0" xfId="22" applyNumberFormat="1" applyFont="1" applyAlignment="1">
      <alignment horizontal="center" vertical="center"/>
    </xf>
    <xf numFmtId="0" fontId="121" fillId="30" borderId="129" xfId="22" applyFont="1" applyFill="1" applyBorder="1" applyAlignment="1">
      <alignment horizontal="left" vertical="center"/>
    </xf>
    <xf numFmtId="171" fontId="126" fillId="30" borderId="139" xfId="22" applyNumberFormat="1" applyFont="1" applyFill="1" applyBorder="1" applyAlignment="1">
      <alignment horizontal="center" vertical="center"/>
    </xf>
    <xf numFmtId="171" fontId="104" fillId="0" borderId="138" xfId="22" applyNumberFormat="1" applyFont="1" applyBorder="1" applyAlignment="1">
      <alignment horizontal="center" vertical="center"/>
    </xf>
    <xf numFmtId="171" fontId="126" fillId="30" borderId="118" xfId="22" applyNumberFormat="1" applyFont="1" applyFill="1" applyBorder="1" applyAlignment="1">
      <alignment horizontal="center" vertical="center"/>
    </xf>
    <xf numFmtId="171" fontId="126" fillId="30" borderId="129" xfId="22" applyNumberFormat="1" applyFont="1" applyFill="1" applyBorder="1" applyAlignment="1">
      <alignment horizontal="center" vertical="center"/>
    </xf>
    <xf numFmtId="171" fontId="126" fillId="30" borderId="131" xfId="22" applyNumberFormat="1" applyFont="1" applyFill="1" applyBorder="1" applyAlignment="1">
      <alignment horizontal="center" vertical="center"/>
    </xf>
    <xf numFmtId="2" fontId="15" fillId="0" borderId="0" xfId="22" applyNumberFormat="1" applyFont="1" applyAlignment="1">
      <alignment horizontal="center" vertical="center"/>
    </xf>
    <xf numFmtId="0" fontId="120" fillId="0" borderId="125" xfId="22" applyFont="1" applyBorder="1" applyAlignment="1">
      <alignment horizontal="center"/>
    </xf>
    <xf numFmtId="0" fontId="104" fillId="0" borderId="0" xfId="22" applyFont="1" applyAlignment="1">
      <alignment horizontal="center"/>
    </xf>
    <xf numFmtId="0" fontId="128" fillId="0" borderId="0" xfId="22" applyFont="1" applyAlignment="1">
      <alignment horizontal="center"/>
    </xf>
    <xf numFmtId="0" fontId="120" fillId="0" borderId="0" xfId="22" applyFont="1" applyAlignment="1">
      <alignment horizontal="center"/>
    </xf>
    <xf numFmtId="0" fontId="120" fillId="0" borderId="126" xfId="22" applyFont="1" applyBorder="1" applyAlignment="1">
      <alignment horizontal="center"/>
    </xf>
    <xf numFmtId="0" fontId="120" fillId="0" borderId="145" xfId="22" applyFont="1" applyBorder="1" applyAlignment="1">
      <alignment horizontal="center"/>
    </xf>
    <xf numFmtId="0" fontId="120" fillId="0" borderId="152" xfId="22" applyFont="1" applyBorder="1" applyAlignment="1">
      <alignment horizontal="center"/>
    </xf>
    <xf numFmtId="0" fontId="15" fillId="0" borderId="0" xfId="22" applyFont="1" applyAlignment="1">
      <alignment horizontal="center"/>
    </xf>
    <xf numFmtId="0" fontId="104" fillId="0" borderId="138" xfId="22" applyFont="1" applyBorder="1" applyAlignment="1">
      <alignment horizontal="center" vertical="center"/>
    </xf>
    <xf numFmtId="0" fontId="128" fillId="0" borderId="0" xfId="22" applyFont="1" applyAlignment="1">
      <alignment horizontal="center" vertical="center"/>
    </xf>
    <xf numFmtId="0" fontId="15" fillId="0" borderId="0" xfId="22" applyFont="1" applyAlignment="1">
      <alignment horizontal="center" vertical="center"/>
    </xf>
    <xf numFmtId="0" fontId="121" fillId="32" borderId="125" xfId="22" applyFont="1" applyFill="1" applyBorder="1" applyAlignment="1">
      <alignment horizontal="left" vertical="center" wrapText="1"/>
    </xf>
    <xf numFmtId="4" fontId="123" fillId="32" borderId="125" xfId="22" applyNumberFormat="1" applyFont="1" applyFill="1" applyBorder="1" applyAlignment="1">
      <alignment horizontal="center" vertical="center"/>
    </xf>
    <xf numFmtId="4" fontId="129" fillId="0" borderId="0" xfId="22" applyNumberFormat="1" applyFont="1" applyAlignment="1">
      <alignment horizontal="center" vertical="center"/>
    </xf>
    <xf numFmtId="4" fontId="123" fillId="32" borderId="0" xfId="22" applyNumberFormat="1" applyFont="1" applyFill="1" applyAlignment="1">
      <alignment horizontal="center" vertical="center"/>
    </xf>
    <xf numFmtId="4" fontId="123" fillId="32" borderId="126" xfId="22" applyNumberFormat="1" applyFont="1" applyFill="1" applyBorder="1" applyAlignment="1">
      <alignment horizontal="center" vertical="center"/>
    </xf>
    <xf numFmtId="4" fontId="123" fillId="32" borderId="145" xfId="22" applyNumberFormat="1" applyFont="1" applyFill="1" applyBorder="1" applyAlignment="1">
      <alignment horizontal="center" vertical="center"/>
    </xf>
    <xf numFmtId="0" fontId="121" fillId="33" borderId="125" xfId="22" applyFont="1" applyFill="1" applyBorder="1" applyAlignment="1">
      <alignment horizontal="left" vertical="center"/>
    </xf>
    <xf numFmtId="171" fontId="126" fillId="0" borderId="125" xfId="22" applyNumberFormat="1" applyFont="1" applyBorder="1" applyAlignment="1">
      <alignment horizontal="center" vertical="center"/>
    </xf>
    <xf numFmtId="0" fontId="121" fillId="32" borderId="129" xfId="22" applyFont="1" applyFill="1" applyBorder="1" applyAlignment="1">
      <alignment horizontal="left" vertical="center"/>
    </xf>
    <xf numFmtId="171" fontId="126" fillId="32" borderId="118" xfId="22" applyNumberFormat="1" applyFont="1" applyFill="1" applyBorder="1" applyAlignment="1">
      <alignment horizontal="center" vertical="center"/>
    </xf>
    <xf numFmtId="171" fontId="126" fillId="32" borderId="129" xfId="22" applyNumberFormat="1" applyFont="1" applyFill="1" applyBorder="1" applyAlignment="1">
      <alignment horizontal="center" vertical="center"/>
    </xf>
    <xf numFmtId="171" fontId="126" fillId="32" borderId="131" xfId="22" applyNumberFormat="1" applyFont="1" applyFill="1" applyBorder="1" applyAlignment="1">
      <alignment horizontal="center" vertical="center"/>
    </xf>
    <xf numFmtId="171" fontId="126" fillId="32" borderId="139" xfId="22" applyNumberFormat="1" applyFont="1" applyFill="1" applyBorder="1" applyAlignment="1">
      <alignment horizontal="center" vertical="center"/>
    </xf>
    <xf numFmtId="0" fontId="125" fillId="0" borderId="125" xfId="22" applyFont="1" applyBorder="1" applyAlignment="1">
      <alignment horizontal="left" vertical="center"/>
    </xf>
    <xf numFmtId="169" fontId="130" fillId="0" borderId="122" xfId="22" applyNumberFormat="1" applyFont="1" applyBorder="1" applyAlignment="1">
      <alignment horizontal="center" vertical="center" wrapText="1"/>
    </xf>
    <xf numFmtId="0" fontId="131" fillId="0" borderId="138" xfId="22" applyFont="1" applyBorder="1" applyAlignment="1">
      <alignment horizontal="center" vertical="center"/>
    </xf>
    <xf numFmtId="0" fontId="126" fillId="0" borderId="0" xfId="22" applyFont="1" applyAlignment="1">
      <alignment horizontal="center" vertical="center"/>
    </xf>
    <xf numFmtId="0" fontId="131" fillId="0" borderId="0" xfId="22" applyFont="1" applyAlignment="1">
      <alignment horizontal="center" vertical="center"/>
    </xf>
    <xf numFmtId="169" fontId="124" fillId="0" borderId="122" xfId="22" applyNumberFormat="1" applyFont="1" applyBorder="1" applyAlignment="1">
      <alignment horizontal="center" vertical="center"/>
    </xf>
    <xf numFmtId="169" fontId="124" fillId="0" borderId="123" xfId="22" applyNumberFormat="1" applyFont="1" applyBorder="1" applyAlignment="1">
      <alignment horizontal="center" vertical="center"/>
    </xf>
    <xf numFmtId="169" fontId="124" fillId="0" borderId="150" xfId="22" applyNumberFormat="1" applyFont="1" applyBorder="1" applyAlignment="1">
      <alignment horizontal="center" vertical="center"/>
    </xf>
    <xf numFmtId="169" fontId="124" fillId="0" borderId="151" xfId="22" applyNumberFormat="1" applyFont="1" applyBorder="1" applyAlignment="1">
      <alignment horizontal="center" vertical="center"/>
    </xf>
    <xf numFmtId="169" fontId="124" fillId="0" borderId="156" xfId="22" applyNumberFormat="1" applyFont="1" applyBorder="1" applyAlignment="1">
      <alignment horizontal="center" vertical="center"/>
    </xf>
    <xf numFmtId="0" fontId="125" fillId="30" borderId="125" xfId="22" applyFont="1" applyFill="1" applyBorder="1" applyAlignment="1">
      <alignment horizontal="left" vertical="center"/>
    </xf>
    <xf numFmtId="0" fontId="126" fillId="30" borderId="125" xfId="22" applyFont="1" applyFill="1" applyBorder="1" applyAlignment="1">
      <alignment horizontal="center" vertical="center"/>
    </xf>
    <xf numFmtId="0" fontId="131" fillId="0" borderId="0" xfId="22" applyFont="1" applyAlignment="1">
      <alignment horizontal="center"/>
    </xf>
    <xf numFmtId="0" fontId="126" fillId="0" borderId="0" xfId="22" applyFont="1" applyAlignment="1">
      <alignment horizontal="center"/>
    </xf>
    <xf numFmtId="0" fontId="15" fillId="30" borderId="0" xfId="22" applyFont="1" applyFill="1" applyAlignment="1">
      <alignment horizontal="center" vertical="center"/>
    </xf>
    <xf numFmtId="0" fontId="15" fillId="30" borderId="125" xfId="22" applyFont="1" applyFill="1" applyBorder="1" applyAlignment="1">
      <alignment horizontal="center" vertical="center"/>
    </xf>
    <xf numFmtId="0" fontId="15" fillId="30" borderId="126" xfId="22" applyFont="1" applyFill="1" applyBorder="1" applyAlignment="1">
      <alignment horizontal="center" vertical="center"/>
    </xf>
    <xf numFmtId="0" fontId="15" fillId="0" borderId="125" xfId="22" applyFont="1" applyBorder="1" applyAlignment="1">
      <alignment horizontal="center" vertical="center"/>
    </xf>
    <xf numFmtId="0" fontId="15" fillId="0" borderId="126" xfId="22" applyFont="1" applyBorder="1" applyAlignment="1">
      <alignment horizontal="center" vertical="center"/>
    </xf>
    <xf numFmtId="0" fontId="15" fillId="0" borderId="145" xfId="22" applyFont="1" applyBorder="1" applyAlignment="1">
      <alignment horizontal="center" vertical="center"/>
    </xf>
    <xf numFmtId="0" fontId="15" fillId="0" borderId="152" xfId="22" applyFont="1" applyBorder="1" applyAlignment="1">
      <alignment horizontal="center" vertical="center"/>
    </xf>
    <xf numFmtId="0" fontId="15" fillId="0" borderId="137" xfId="22" applyFont="1" applyBorder="1" applyAlignment="1">
      <alignment horizontal="center" vertical="center"/>
    </xf>
    <xf numFmtId="0" fontId="27" fillId="30" borderId="125" xfId="22" applyFont="1" applyFill="1" applyBorder="1" applyAlignment="1">
      <alignment horizontal="left" vertical="center"/>
    </xf>
    <xf numFmtId="0" fontId="15" fillId="30" borderId="145" xfId="22" applyFont="1" applyFill="1" applyBorder="1" applyAlignment="1">
      <alignment horizontal="center" vertical="center"/>
    </xf>
    <xf numFmtId="0" fontId="15" fillId="30" borderId="152" xfId="22" applyFont="1" applyFill="1" applyBorder="1" applyAlignment="1">
      <alignment horizontal="center" vertical="center"/>
    </xf>
    <xf numFmtId="0" fontId="15" fillId="30" borderId="137" xfId="22" applyFont="1" applyFill="1" applyBorder="1" applyAlignment="1">
      <alignment horizontal="center" vertical="center"/>
    </xf>
    <xf numFmtId="0" fontId="15" fillId="0" borderId="129" xfId="22" applyFont="1" applyBorder="1" applyAlignment="1">
      <alignment horizontal="center" vertical="center"/>
    </xf>
    <xf numFmtId="0" fontId="15" fillId="0" borderId="139" xfId="22" applyFont="1" applyBorder="1" applyAlignment="1">
      <alignment horizontal="center" vertical="center"/>
    </xf>
    <xf numFmtId="0" fontId="15" fillId="0" borderId="131" xfId="22" applyFont="1" applyBorder="1" applyAlignment="1">
      <alignment horizontal="center" vertical="center"/>
    </xf>
    <xf numFmtId="2" fontId="133" fillId="0" borderId="0" xfId="22" applyNumberFormat="1" applyFont="1" applyAlignment="1">
      <alignment horizontal="left" vertical="center"/>
    </xf>
    <xf numFmtId="0" fontId="104" fillId="34" borderId="0" xfId="22" applyFont="1" applyFill="1"/>
    <xf numFmtId="0" fontId="135" fillId="0" borderId="0" xfId="22" applyFont="1"/>
    <xf numFmtId="0" fontId="136" fillId="0" borderId="118" xfId="22" applyFont="1" applyBorder="1"/>
    <xf numFmtId="174" fontId="15" fillId="0" borderId="0" xfId="22" applyNumberFormat="1" applyFont="1"/>
    <xf numFmtId="0" fontId="139" fillId="0" borderId="0" xfId="22" applyFont="1"/>
    <xf numFmtId="15" fontId="141" fillId="0" borderId="0" xfId="22" applyNumberFormat="1" applyFont="1"/>
    <xf numFmtId="3" fontId="142" fillId="35" borderId="119" xfId="22" quotePrefix="1" applyNumberFormat="1" applyFont="1" applyFill="1" applyBorder="1" applyAlignment="1">
      <alignment horizontal="center"/>
    </xf>
    <xf numFmtId="0" fontId="105" fillId="35" borderId="133" xfId="22" applyFont="1" applyFill="1" applyBorder="1" applyAlignment="1">
      <alignment horizontal="center"/>
    </xf>
    <xf numFmtId="0" fontId="105" fillId="35" borderId="119" xfId="22" applyFont="1" applyFill="1" applyBorder="1" applyAlignment="1">
      <alignment horizontal="center"/>
    </xf>
    <xf numFmtId="0" fontId="105" fillId="28" borderId="134" xfId="22" applyFont="1" applyFill="1" applyBorder="1" applyAlignment="1">
      <alignment horizontal="center"/>
    </xf>
    <xf numFmtId="0" fontId="105" fillId="35" borderId="135" xfId="22" applyFont="1" applyFill="1" applyBorder="1" applyAlignment="1">
      <alignment horizontal="center" vertical="center"/>
    </xf>
    <xf numFmtId="0" fontId="105" fillId="35" borderId="133" xfId="22" applyFont="1" applyFill="1" applyBorder="1" applyAlignment="1">
      <alignment horizontal="center" vertical="center"/>
    </xf>
    <xf numFmtId="0" fontId="105" fillId="35" borderId="134" xfId="22" applyFont="1" applyFill="1" applyBorder="1" applyAlignment="1">
      <alignment horizontal="center" vertical="center"/>
    </xf>
    <xf numFmtId="0" fontId="104" fillId="0" borderId="0" xfId="22" applyFont="1" applyAlignment="1">
      <alignment horizontal="left" vertical="center"/>
    </xf>
    <xf numFmtId="3" fontId="143" fillId="0" borderId="125" xfId="22" applyNumberFormat="1" applyFont="1" applyBorder="1" applyAlignment="1">
      <alignment horizontal="center" vertical="center"/>
    </xf>
    <xf numFmtId="0" fontId="15" fillId="37" borderId="0" xfId="22" applyFont="1" applyFill="1" applyAlignment="1">
      <alignment horizontal="center" vertical="center" wrapText="1"/>
    </xf>
    <xf numFmtId="4" fontId="138" fillId="36" borderId="122" xfId="22" applyNumberFormat="1" applyFont="1" applyFill="1" applyBorder="1" applyAlignment="1">
      <alignment horizontal="right" vertical="center"/>
    </xf>
    <xf numFmtId="4" fontId="146" fillId="36" borderId="122" xfId="22" applyNumberFormat="1" applyFont="1" applyFill="1" applyBorder="1" applyAlignment="1">
      <alignment horizontal="right" vertical="center"/>
    </xf>
    <xf numFmtId="4" fontId="150" fillId="36" borderId="122" xfId="22" applyNumberFormat="1" applyFont="1" applyFill="1" applyBorder="1" applyAlignment="1">
      <alignment horizontal="right" vertical="center"/>
    </xf>
    <xf numFmtId="4" fontId="146" fillId="0" borderId="125" xfId="22" applyNumberFormat="1" applyFont="1" applyBorder="1" applyAlignment="1">
      <alignment horizontal="right" vertical="center"/>
    </xf>
    <xf numFmtId="4" fontId="150" fillId="0" borderId="125" xfId="22" applyNumberFormat="1" applyFont="1" applyBorder="1" applyAlignment="1">
      <alignment horizontal="right" vertical="center"/>
    </xf>
    <xf numFmtId="0" fontId="15" fillId="37" borderId="0" xfId="22" applyFont="1" applyFill="1" applyAlignment="1">
      <alignment horizontal="center" vertical="center"/>
    </xf>
    <xf numFmtId="4" fontId="150" fillId="36" borderId="125" xfId="22" applyNumberFormat="1" applyFont="1" applyFill="1" applyBorder="1" applyAlignment="1">
      <alignment horizontal="right" vertical="center"/>
    </xf>
    <xf numFmtId="0" fontId="15" fillId="37" borderId="125" xfId="22" applyFont="1" applyFill="1" applyBorder="1" applyAlignment="1">
      <alignment horizontal="center" vertical="center"/>
    </xf>
    <xf numFmtId="3" fontId="143" fillId="0" borderId="129" xfId="22" applyNumberFormat="1" applyFont="1" applyBorder="1" applyAlignment="1">
      <alignment horizontal="center" vertical="center"/>
    </xf>
    <xf numFmtId="0" fontId="27" fillId="0" borderId="129" xfId="22" applyFont="1" applyBorder="1" applyAlignment="1">
      <alignment horizontal="center" vertical="center"/>
    </xf>
    <xf numFmtId="0" fontId="27" fillId="0" borderId="129" xfId="22" applyFont="1" applyBorder="1" applyAlignment="1">
      <alignment horizontal="left" vertical="center" wrapText="1"/>
    </xf>
    <xf numFmtId="3" fontId="147" fillId="0" borderId="0" xfId="22" applyNumberFormat="1" applyFont="1" applyAlignment="1">
      <alignment horizontal="center" vertical="center"/>
    </xf>
    <xf numFmtId="4" fontId="104" fillId="0" borderId="0" xfId="22" applyNumberFormat="1" applyFont="1" applyAlignment="1">
      <alignment horizontal="right" vertical="center"/>
    </xf>
    <xf numFmtId="3" fontId="143" fillId="0" borderId="0" xfId="22" quotePrefix="1" applyNumberFormat="1" applyFont="1" applyAlignment="1">
      <alignment horizontal="center" vertical="center"/>
    </xf>
    <xf numFmtId="4" fontId="141" fillId="36" borderId="122" xfId="22" applyNumberFormat="1" applyFont="1" applyFill="1" applyBorder="1" applyAlignment="1">
      <alignment horizontal="right" vertical="center"/>
    </xf>
    <xf numFmtId="4" fontId="150" fillId="36" borderId="0" xfId="22" applyNumberFormat="1" applyFont="1" applyFill="1" applyAlignment="1">
      <alignment horizontal="right" vertical="center"/>
    </xf>
    <xf numFmtId="4" fontId="104" fillId="0" borderId="125" xfId="22" applyNumberFormat="1" applyFont="1" applyBorder="1" applyAlignment="1">
      <alignment horizontal="right" vertical="center"/>
    </xf>
    <xf numFmtId="4" fontId="204" fillId="0" borderId="125" xfId="22" applyNumberFormat="1" applyFont="1" applyBorder="1" applyAlignment="1">
      <alignment horizontal="right" vertical="center"/>
    </xf>
    <xf numFmtId="4" fontId="150" fillId="0" borderId="0" xfId="22" applyNumberFormat="1" applyFont="1" applyAlignment="1">
      <alignment horizontal="right" vertical="center"/>
    </xf>
    <xf numFmtId="0" fontId="104" fillId="37" borderId="0" xfId="22" applyFont="1" applyFill="1" applyAlignment="1">
      <alignment horizontal="center" vertical="center"/>
    </xf>
    <xf numFmtId="4" fontId="104" fillId="36" borderId="125" xfId="22" applyNumberFormat="1" applyFont="1" applyFill="1" applyBorder="1" applyAlignment="1">
      <alignment horizontal="right" vertical="center"/>
    </xf>
    <xf numFmtId="4" fontId="204" fillId="36" borderId="125" xfId="22" applyNumberFormat="1" applyFont="1" applyFill="1" applyBorder="1" applyAlignment="1">
      <alignment horizontal="right" vertical="center"/>
    </xf>
    <xf numFmtId="0" fontId="104" fillId="37" borderId="125" xfId="22" applyFont="1" applyFill="1" applyBorder="1" applyAlignment="1">
      <alignment horizontal="center" vertical="center"/>
    </xf>
    <xf numFmtId="2" fontId="150" fillId="36" borderId="125" xfId="23" applyNumberFormat="1" applyFont="1" applyFill="1" applyBorder="1" applyAlignment="1">
      <alignment horizontal="right" vertical="center"/>
    </xf>
    <xf numFmtId="2" fontId="150" fillId="36" borderId="0" xfId="23" applyNumberFormat="1" applyFont="1" applyFill="1" applyBorder="1" applyAlignment="1">
      <alignment horizontal="right" vertical="center"/>
    </xf>
    <xf numFmtId="10" fontId="15" fillId="36" borderId="125" xfId="22" applyNumberFormat="1" applyFont="1" applyFill="1" applyBorder="1" applyAlignment="1">
      <alignment horizontal="right" vertical="center"/>
    </xf>
    <xf numFmtId="10" fontId="15" fillId="36" borderId="0" xfId="22" applyNumberFormat="1" applyFont="1" applyFill="1" applyAlignment="1">
      <alignment horizontal="right" vertical="center"/>
    </xf>
    <xf numFmtId="0" fontId="104" fillId="0" borderId="125" xfId="22" applyFont="1" applyBorder="1" applyAlignment="1">
      <alignment horizontal="center" vertical="center"/>
    </xf>
    <xf numFmtId="2" fontId="150" fillId="0" borderId="125" xfId="23" applyNumberFormat="1" applyFont="1" applyFill="1" applyBorder="1" applyAlignment="1">
      <alignment horizontal="right" vertical="center"/>
    </xf>
    <xf numFmtId="2" fontId="150" fillId="0" borderId="0" xfId="23" applyNumberFormat="1" applyFont="1" applyFill="1" applyBorder="1" applyAlignment="1">
      <alignment horizontal="right" vertical="center"/>
    </xf>
    <xf numFmtId="10" fontId="15" fillId="0" borderId="125" xfId="22" applyNumberFormat="1" applyFont="1" applyBorder="1" applyAlignment="1">
      <alignment horizontal="right" vertical="center"/>
    </xf>
    <xf numFmtId="10" fontId="15" fillId="0" borderId="0" xfId="22" applyNumberFormat="1" applyFont="1" applyAlignment="1">
      <alignment horizontal="right" vertical="center"/>
    </xf>
    <xf numFmtId="0" fontId="104" fillId="0" borderId="129" xfId="22" applyFont="1" applyBorder="1" applyAlignment="1">
      <alignment horizontal="center" vertical="center"/>
    </xf>
    <xf numFmtId="4" fontId="104" fillId="0" borderId="129" xfId="22" applyNumberFormat="1" applyFont="1" applyBorder="1" applyAlignment="1">
      <alignment horizontal="right" vertical="center"/>
    </xf>
    <xf numFmtId="0" fontId="26" fillId="0" borderId="0" xfId="22" applyFont="1"/>
    <xf numFmtId="173" fontId="126" fillId="0" borderId="125" xfId="22" applyNumberFormat="1" applyFont="1" applyBorder="1" applyAlignment="1">
      <alignment horizontal="center" vertical="center"/>
    </xf>
    <xf numFmtId="2" fontId="123" fillId="30" borderId="157" xfId="22" applyNumberFormat="1" applyFont="1" applyFill="1" applyBorder="1" applyAlignment="1">
      <alignment horizontal="center" vertical="center"/>
    </xf>
    <xf numFmtId="4" fontId="26" fillId="0" borderId="0" xfId="20" applyNumberFormat="1"/>
    <xf numFmtId="4" fontId="151" fillId="0" borderId="125" xfId="20" applyNumberFormat="1" applyFont="1" applyBorder="1" applyAlignment="1">
      <alignment horizontal="right" vertical="center"/>
    </xf>
    <xf numFmtId="4" fontId="205" fillId="0" borderId="0" xfId="20" applyNumberFormat="1" applyFont="1" applyAlignment="1">
      <alignment horizontal="right" vertical="center"/>
    </xf>
    <xf numFmtId="10" fontId="15" fillId="0" borderId="125" xfId="5" applyNumberFormat="1" applyFont="1" applyBorder="1" applyAlignment="1">
      <alignment horizontal="right" vertical="center"/>
    </xf>
    <xf numFmtId="9" fontId="150" fillId="0" borderId="125" xfId="5" applyFont="1" applyBorder="1" applyAlignment="1">
      <alignment horizontal="right" vertical="center"/>
    </xf>
    <xf numFmtId="0" fontId="206" fillId="4" borderId="134" xfId="22" applyFont="1" applyFill="1" applyBorder="1" applyAlignment="1">
      <alignment horizontal="center" vertical="center"/>
    </xf>
    <xf numFmtId="0" fontId="171" fillId="0" borderId="122" xfId="22" applyFont="1" applyBorder="1" applyAlignment="1">
      <alignment horizontal="center"/>
    </xf>
    <xf numFmtId="169" fontId="174" fillId="0" borderId="125" xfId="22" applyNumberFormat="1" applyFont="1" applyBorder="1" applyAlignment="1">
      <alignment horizontal="center" vertical="center" wrapText="1"/>
    </xf>
    <xf numFmtId="0" fontId="175" fillId="0" borderId="136" xfId="22" applyFont="1" applyBorder="1" applyAlignment="1">
      <alignment horizontal="center" vertical="center" wrapText="1"/>
    </xf>
    <xf numFmtId="169" fontId="177" fillId="0" borderId="129" xfId="22" applyNumberFormat="1" applyFont="1" applyBorder="1" applyAlignment="1">
      <alignment horizontal="center" vertical="center" wrapText="1"/>
    </xf>
    <xf numFmtId="170" fontId="172" fillId="29" borderId="122" xfId="22" applyNumberFormat="1" applyFont="1" applyFill="1" applyBorder="1" applyAlignment="1">
      <alignment horizontal="center" vertical="center"/>
    </xf>
    <xf numFmtId="166" fontId="179" fillId="0" borderId="136" xfId="22" applyNumberFormat="1" applyFont="1" applyBorder="1" applyAlignment="1">
      <alignment horizontal="center" vertical="center"/>
    </xf>
    <xf numFmtId="170" fontId="172" fillId="0" borderId="125" xfId="22" applyNumberFormat="1" applyFont="1" applyBorder="1" applyAlignment="1">
      <alignment horizontal="center" vertical="center"/>
    </xf>
    <xf numFmtId="170" fontId="180" fillId="29" borderId="125" xfId="22" applyNumberFormat="1" applyFont="1" applyFill="1" applyBorder="1" applyAlignment="1">
      <alignment horizontal="center" vertical="center"/>
    </xf>
    <xf numFmtId="170" fontId="172" fillId="0" borderId="129" xfId="22" applyNumberFormat="1" applyFont="1" applyBorder="1" applyAlignment="1">
      <alignment horizontal="center" vertical="center"/>
    </xf>
    <xf numFmtId="3" fontId="182" fillId="0" borderId="137" xfId="22" applyNumberFormat="1" applyFont="1" applyBorder="1" applyAlignment="1">
      <alignment horizontal="center"/>
    </xf>
    <xf numFmtId="3" fontId="179" fillId="0" borderId="138" xfId="22" applyNumberFormat="1" applyFont="1" applyBorder="1" applyAlignment="1">
      <alignment horizontal="center" vertical="center"/>
    </xf>
    <xf numFmtId="4" fontId="185" fillId="30" borderId="0" xfId="22" applyNumberFormat="1" applyFont="1" applyFill="1" applyAlignment="1">
      <alignment horizontal="center" vertical="center"/>
    </xf>
    <xf numFmtId="2" fontId="186" fillId="0" borderId="138" xfId="22" applyNumberFormat="1" applyFont="1" applyBorder="1" applyAlignment="1">
      <alignment horizontal="center" vertical="center"/>
    </xf>
    <xf numFmtId="171" fontId="188" fillId="31" borderId="125" xfId="22" applyNumberFormat="1" applyFont="1" applyFill="1" applyBorder="1" applyAlignment="1">
      <alignment horizontal="center" vertical="center"/>
    </xf>
    <xf numFmtId="171" fontId="188" fillId="30" borderId="139" xfId="22" applyNumberFormat="1" applyFont="1" applyFill="1" applyBorder="1" applyAlignment="1">
      <alignment horizontal="center" vertical="center"/>
    </xf>
    <xf numFmtId="171" fontId="165" fillId="0" borderId="138" xfId="22" applyNumberFormat="1" applyFont="1" applyBorder="1" applyAlignment="1">
      <alignment horizontal="center" vertical="center"/>
    </xf>
    <xf numFmtId="0" fontId="182" fillId="0" borderId="125" xfId="22" applyFont="1" applyBorder="1" applyAlignment="1">
      <alignment horizontal="center"/>
    </xf>
    <xf numFmtId="0" fontId="165" fillId="0" borderId="138" xfId="22" applyFont="1" applyBorder="1" applyAlignment="1">
      <alignment horizontal="center" vertical="center"/>
    </xf>
    <xf numFmtId="4" fontId="185" fillId="32" borderId="125" xfId="22" applyNumberFormat="1" applyFont="1" applyFill="1" applyBorder="1" applyAlignment="1">
      <alignment horizontal="center" vertical="center"/>
    </xf>
    <xf numFmtId="171" fontId="188" fillId="0" borderId="125" xfId="22" applyNumberFormat="1" applyFont="1" applyBorder="1" applyAlignment="1">
      <alignment horizontal="center" vertical="center"/>
    </xf>
    <xf numFmtId="171" fontId="188" fillId="32" borderId="118" xfId="22" applyNumberFormat="1" applyFont="1" applyFill="1" applyBorder="1" applyAlignment="1">
      <alignment horizontal="center" vertical="center"/>
    </xf>
    <xf numFmtId="169" fontId="191" fillId="0" borderId="122" xfId="22" applyNumberFormat="1" applyFont="1" applyBorder="1" applyAlignment="1">
      <alignment horizontal="center" vertical="center" wrapText="1"/>
    </xf>
    <xf numFmtId="0" fontId="192" fillId="0" borderId="138" xfId="22" applyFont="1" applyBorder="1" applyAlignment="1">
      <alignment horizontal="center" vertical="center"/>
    </xf>
    <xf numFmtId="0" fontId="188" fillId="30" borderId="125" xfId="22" applyFont="1" applyFill="1" applyBorder="1" applyAlignment="1">
      <alignment horizontal="center" vertical="center"/>
    </xf>
    <xf numFmtId="0" fontId="172" fillId="0" borderId="125" xfId="22" applyFont="1" applyBorder="1" applyAlignment="1">
      <alignment horizontal="center" vertical="center"/>
    </xf>
    <xf numFmtId="0" fontId="172" fillId="30" borderId="125" xfId="22" applyFont="1" applyFill="1" applyBorder="1" applyAlignment="1">
      <alignment horizontal="center" vertical="center"/>
    </xf>
    <xf numFmtId="4" fontId="138" fillId="36" borderId="125" xfId="22" applyNumberFormat="1" applyFont="1" applyFill="1" applyBorder="1" applyAlignment="1">
      <alignment horizontal="right" vertical="center"/>
    </xf>
    <xf numFmtId="4" fontId="207" fillId="36" borderId="125" xfId="22" applyNumberFormat="1" applyFont="1" applyFill="1" applyBorder="1" applyAlignment="1">
      <alignment horizontal="right" vertical="center"/>
    </xf>
    <xf numFmtId="0" fontId="7" fillId="0" borderId="0" xfId="20" applyFont="1"/>
    <xf numFmtId="0" fontId="7" fillId="0" borderId="0" xfId="20" applyFont="1" applyAlignment="1">
      <alignment wrapText="1"/>
    </xf>
    <xf numFmtId="14" fontId="26" fillId="0" borderId="0" xfId="20" applyNumberFormat="1"/>
    <xf numFmtId="0" fontId="26" fillId="23" borderId="0" xfId="20" applyFill="1"/>
    <xf numFmtId="0" fontId="26" fillId="19" borderId="0" xfId="20" applyFill="1"/>
    <xf numFmtId="0" fontId="208" fillId="0" borderId="0" xfId="20" applyFont="1" applyAlignment="1">
      <alignment horizontal="left" vertical="center"/>
    </xf>
    <xf numFmtId="0" fontId="209" fillId="0" borderId="0" xfId="20" applyFont="1"/>
    <xf numFmtId="4" fontId="210" fillId="36" borderId="122" xfId="20" applyNumberFormat="1" applyFont="1" applyFill="1" applyBorder="1" applyAlignment="1">
      <alignment horizontal="right" vertical="center"/>
    </xf>
    <xf numFmtId="0" fontId="108" fillId="27" borderId="135" xfId="20" applyFont="1" applyFill="1" applyBorder="1" applyAlignment="1">
      <alignment vertical="center"/>
    </xf>
    <xf numFmtId="170" fontId="15" fillId="29" borderId="0" xfId="20" applyNumberFormat="1" applyFont="1" applyFill="1" applyAlignment="1">
      <alignment horizontal="center" vertical="center"/>
    </xf>
    <xf numFmtId="0" fontId="206" fillId="4" borderId="133" xfId="20" applyFont="1" applyFill="1" applyBorder="1" applyAlignment="1">
      <alignment horizontal="center" vertical="center"/>
    </xf>
    <xf numFmtId="171" fontId="126" fillId="30" borderId="158" xfId="20" applyNumberFormat="1" applyFont="1" applyFill="1" applyBorder="1" applyAlignment="1">
      <alignment horizontal="center" vertical="center"/>
    </xf>
    <xf numFmtId="171" fontId="126" fillId="30" borderId="159" xfId="20" applyNumberFormat="1" applyFont="1" applyFill="1" applyBorder="1" applyAlignment="1">
      <alignment horizontal="center" vertical="center"/>
    </xf>
    <xf numFmtId="171" fontId="126" fillId="30" borderId="144" xfId="20" applyNumberFormat="1" applyFont="1" applyFill="1" applyBorder="1" applyAlignment="1">
      <alignment horizontal="center" vertical="center"/>
    </xf>
    <xf numFmtId="169" fontId="120" fillId="0" borderId="138" xfId="20" applyNumberFormat="1" applyFont="1" applyBorder="1" applyAlignment="1">
      <alignment horizontal="center" vertical="center" wrapText="1"/>
    </xf>
    <xf numFmtId="172" fontId="128" fillId="0" borderId="0" xfId="20" applyNumberFormat="1" applyFont="1" applyAlignment="1">
      <alignment horizontal="center" vertical="center"/>
    </xf>
    <xf numFmtId="2" fontId="128" fillId="0" borderId="0" xfId="20" applyNumberFormat="1" applyFont="1" applyAlignment="1">
      <alignment horizontal="center" vertical="center"/>
    </xf>
    <xf numFmtId="9" fontId="15" fillId="36" borderId="125" xfId="5" applyFont="1" applyFill="1" applyBorder="1" applyAlignment="1">
      <alignment horizontal="right" vertical="center"/>
    </xf>
    <xf numFmtId="4" fontId="137" fillId="36" borderId="125" xfId="20" applyNumberFormat="1" applyFont="1" applyFill="1" applyBorder="1" applyAlignment="1">
      <alignment horizontal="right" vertical="center"/>
    </xf>
    <xf numFmtId="0" fontId="27" fillId="36" borderId="160" xfId="20" applyFont="1" applyFill="1" applyBorder="1" applyAlignment="1">
      <alignment horizontal="left" vertical="center"/>
    </xf>
    <xf numFmtId="0" fontId="27" fillId="36" borderId="160" xfId="20" applyFont="1" applyFill="1" applyBorder="1" applyAlignment="1">
      <alignment horizontal="center" vertical="center"/>
    </xf>
    <xf numFmtId="0" fontId="27" fillId="0" borderId="122" xfId="20" applyFont="1" applyBorder="1" applyAlignment="1">
      <alignment horizontal="left" vertical="center"/>
    </xf>
    <xf numFmtId="0" fontId="15" fillId="0" borderId="0" xfId="20" applyFont="1" applyAlignment="1">
      <alignment horizontal="center" vertical="center" wrapText="1"/>
    </xf>
    <xf numFmtId="4" fontId="137" fillId="0" borderId="125" xfId="20" applyNumberFormat="1" applyFont="1" applyBorder="1" applyAlignment="1">
      <alignment horizontal="right" vertical="center"/>
    </xf>
    <xf numFmtId="9" fontId="15" fillId="0" borderId="125" xfId="5" applyFont="1" applyFill="1" applyBorder="1" applyAlignment="1">
      <alignment horizontal="right" vertical="center"/>
    </xf>
    <xf numFmtId="0" fontId="27" fillId="0" borderId="160" xfId="20" applyFont="1" applyBorder="1" applyAlignment="1">
      <alignment horizontal="left" vertical="center"/>
    </xf>
    <xf numFmtId="0" fontId="27" fillId="0" borderId="160" xfId="20" applyFont="1" applyBorder="1" applyAlignment="1">
      <alignment horizontal="center" vertical="center"/>
    </xf>
    <xf numFmtId="0" fontId="27" fillId="38" borderId="125" xfId="20" applyFont="1" applyFill="1" applyBorder="1" applyAlignment="1">
      <alignment horizontal="left" vertical="center" wrapText="1"/>
    </xf>
    <xf numFmtId="0" fontId="15" fillId="39" borderId="0" xfId="20" applyFont="1" applyFill="1" applyAlignment="1">
      <alignment horizontal="center" vertical="center"/>
    </xf>
    <xf numFmtId="4" fontId="138" fillId="38" borderId="125" xfId="20" applyNumberFormat="1" applyFont="1" applyFill="1" applyBorder="1" applyAlignment="1">
      <alignment horizontal="right" vertical="center"/>
    </xf>
    <xf numFmtId="4" fontId="15" fillId="38" borderId="125" xfId="20" applyNumberFormat="1" applyFont="1" applyFill="1" applyBorder="1" applyAlignment="1">
      <alignment horizontal="right" vertical="center"/>
    </xf>
    <xf numFmtId="4" fontId="15" fillId="38" borderId="0" xfId="20" applyNumberFormat="1" applyFont="1" applyFill="1" applyAlignment="1">
      <alignment horizontal="right" vertical="center"/>
    </xf>
    <xf numFmtId="0" fontId="27" fillId="38" borderId="129" xfId="20" applyFont="1" applyFill="1" applyBorder="1" applyAlignment="1">
      <alignment horizontal="left" vertical="center" wrapText="1"/>
    </xf>
    <xf numFmtId="0" fontId="15" fillId="39" borderId="129" xfId="20" applyFont="1" applyFill="1" applyBorder="1" applyAlignment="1">
      <alignment horizontal="center" vertical="center"/>
    </xf>
    <xf numFmtId="4" fontId="138" fillId="38" borderId="129" xfId="20" applyNumberFormat="1" applyFont="1" applyFill="1" applyBorder="1" applyAlignment="1">
      <alignment horizontal="right" vertical="center"/>
    </xf>
    <xf numFmtId="4" fontId="15" fillId="38" borderId="129" xfId="20" applyNumberFormat="1" applyFont="1" applyFill="1" applyBorder="1" applyAlignment="1">
      <alignment horizontal="right" vertical="center"/>
    </xf>
    <xf numFmtId="4" fontId="15" fillId="38" borderId="118" xfId="20" applyNumberFormat="1" applyFont="1" applyFill="1" applyBorder="1" applyAlignment="1">
      <alignment horizontal="right" vertical="center"/>
    </xf>
    <xf numFmtId="3" fontId="104" fillId="0" borderId="0" xfId="20" applyNumberFormat="1" applyFont="1" applyAlignment="1">
      <alignment horizontal="center" vertical="center"/>
    </xf>
    <xf numFmtId="4" fontId="104" fillId="0" borderId="0" xfId="20" applyNumberFormat="1" applyFont="1" applyAlignment="1">
      <alignment horizontal="center" vertical="center"/>
    </xf>
    <xf numFmtId="0" fontId="110" fillId="0" borderId="150" xfId="20" applyFont="1" applyBorder="1" applyAlignment="1">
      <alignment horizontal="center"/>
    </xf>
    <xf numFmtId="0" fontId="110" fillId="0" borderId="156" xfId="20" applyFont="1" applyBorder="1" applyAlignment="1">
      <alignment horizontal="center"/>
    </xf>
    <xf numFmtId="169" fontId="112" fillId="0" borderId="145" xfId="20" applyNumberFormat="1" applyFont="1" applyBorder="1" applyAlignment="1">
      <alignment horizontal="center" vertical="center" wrapText="1"/>
    </xf>
    <xf numFmtId="169" fontId="112" fillId="0" borderId="137" xfId="20" applyNumberFormat="1" applyFont="1" applyBorder="1" applyAlignment="1">
      <alignment horizontal="center" vertical="center" wrapText="1"/>
    </xf>
    <xf numFmtId="169" fontId="116" fillId="0" borderId="131" xfId="20" applyNumberFormat="1" applyFont="1" applyBorder="1" applyAlignment="1">
      <alignment horizontal="center" vertical="center" wrapText="1"/>
    </xf>
    <xf numFmtId="169" fontId="116" fillId="0" borderId="153" xfId="20" applyNumberFormat="1" applyFont="1" applyBorder="1" applyAlignment="1">
      <alignment horizontal="center" vertical="center" wrapText="1"/>
    </xf>
    <xf numFmtId="169" fontId="116" fillId="0" borderId="155" xfId="20" applyNumberFormat="1" applyFont="1" applyBorder="1" applyAlignment="1">
      <alignment horizontal="center" vertical="center" wrapText="1"/>
    </xf>
    <xf numFmtId="170" fontId="15" fillId="29" borderId="150" xfId="20" applyNumberFormat="1" applyFont="1" applyFill="1" applyBorder="1" applyAlignment="1">
      <alignment horizontal="center" vertical="center"/>
    </xf>
    <xf numFmtId="170" fontId="15" fillId="29" borderId="145" xfId="20" applyNumberFormat="1" applyFont="1" applyFill="1" applyBorder="1" applyAlignment="1">
      <alignment horizontal="center" vertical="center"/>
    </xf>
    <xf numFmtId="170" fontId="15" fillId="0" borderId="145" xfId="20" applyNumberFormat="1" applyFont="1" applyBorder="1" applyAlignment="1">
      <alignment horizontal="center" vertical="center"/>
    </xf>
    <xf numFmtId="170" fontId="15" fillId="0" borderId="137" xfId="20" applyNumberFormat="1" applyFont="1" applyBorder="1" applyAlignment="1">
      <alignment horizontal="center" vertical="center"/>
    </xf>
    <xf numFmtId="170" fontId="16" fillId="29" borderId="145" xfId="20" applyNumberFormat="1" applyFont="1" applyFill="1" applyBorder="1" applyAlignment="1">
      <alignment horizontal="center" vertical="center"/>
    </xf>
    <xf numFmtId="170" fontId="16" fillId="29" borderId="137" xfId="20" applyNumberFormat="1" applyFont="1" applyFill="1" applyBorder="1" applyAlignment="1">
      <alignment horizontal="center" vertical="center"/>
    </xf>
    <xf numFmtId="170" fontId="15" fillId="0" borderId="153" xfId="20" applyNumberFormat="1" applyFont="1" applyBorder="1" applyAlignment="1">
      <alignment horizontal="center" vertical="center"/>
    </xf>
    <xf numFmtId="3" fontId="113" fillId="0" borderId="123" xfId="20" applyNumberFormat="1" applyFont="1" applyBorder="1" applyAlignment="1">
      <alignment horizontal="center"/>
    </xf>
    <xf numFmtId="3" fontId="113" fillId="0" borderId="145" xfId="20" applyNumberFormat="1" applyFont="1" applyBorder="1" applyAlignment="1">
      <alignment horizontal="center"/>
    </xf>
    <xf numFmtId="3" fontId="113" fillId="0" borderId="137" xfId="20" applyNumberFormat="1" applyFont="1" applyBorder="1" applyAlignment="1">
      <alignment horizontal="center"/>
    </xf>
    <xf numFmtId="169" fontId="120" fillId="0" borderId="145" xfId="20" applyNumberFormat="1" applyFont="1" applyBorder="1" applyAlignment="1">
      <alignment horizontal="center" vertical="center" wrapText="1"/>
    </xf>
    <xf numFmtId="169" fontId="120" fillId="0" borderId="137" xfId="20" applyNumberFormat="1" applyFont="1" applyBorder="1" applyAlignment="1">
      <alignment horizontal="center" vertical="center" wrapText="1"/>
    </xf>
    <xf numFmtId="2" fontId="123" fillId="30" borderId="126" xfId="20" applyNumberFormat="1" applyFont="1" applyFill="1" applyBorder="1" applyAlignment="1">
      <alignment horizontal="center" vertical="center"/>
    </xf>
    <xf numFmtId="2" fontId="123" fillId="30" borderId="145" xfId="20" applyNumberFormat="1" applyFont="1" applyFill="1" applyBorder="1" applyAlignment="1">
      <alignment horizontal="center" vertical="center"/>
    </xf>
    <xf numFmtId="171" fontId="126" fillId="31" borderId="145" xfId="20" applyNumberFormat="1" applyFont="1" applyFill="1" applyBorder="1" applyAlignment="1">
      <alignment horizontal="center" vertical="center"/>
    </xf>
    <xf numFmtId="171" fontId="126" fillId="31" borderId="137" xfId="20" applyNumberFormat="1" applyFont="1" applyFill="1" applyBorder="1" applyAlignment="1">
      <alignment horizontal="center" vertical="center"/>
    </xf>
    <xf numFmtId="171" fontId="126" fillId="30" borderId="153" xfId="20" applyNumberFormat="1" applyFont="1" applyFill="1" applyBorder="1" applyAlignment="1">
      <alignment horizontal="center" vertical="center"/>
    </xf>
    <xf numFmtId="0" fontId="120" fillId="0" borderId="145" xfId="20" applyFont="1" applyBorder="1" applyAlignment="1">
      <alignment horizontal="center"/>
    </xf>
    <xf numFmtId="0" fontId="120" fillId="0" borderId="137" xfId="20" applyFont="1" applyBorder="1" applyAlignment="1">
      <alignment horizontal="center"/>
    </xf>
    <xf numFmtId="4" fontId="123" fillId="32" borderId="145" xfId="20" applyNumberFormat="1" applyFont="1" applyFill="1" applyBorder="1" applyAlignment="1">
      <alignment horizontal="center" vertical="center"/>
    </xf>
    <xf numFmtId="4" fontId="123" fillId="32" borderId="137" xfId="20" applyNumberFormat="1" applyFont="1" applyFill="1" applyBorder="1" applyAlignment="1">
      <alignment horizontal="center" vertical="center"/>
    </xf>
    <xf numFmtId="171" fontId="126" fillId="0" borderId="145" xfId="20" applyNumberFormat="1" applyFont="1" applyBorder="1" applyAlignment="1">
      <alignment horizontal="center" vertical="center"/>
    </xf>
    <xf numFmtId="171" fontId="126" fillId="0" borderId="137" xfId="20" applyNumberFormat="1" applyFont="1" applyBorder="1" applyAlignment="1">
      <alignment horizontal="center" vertical="center"/>
    </xf>
    <xf numFmtId="171" fontId="126" fillId="32" borderId="153" xfId="20" applyNumberFormat="1" applyFont="1" applyFill="1" applyBorder="1" applyAlignment="1">
      <alignment horizontal="center" vertical="center"/>
    </xf>
    <xf numFmtId="169" fontId="124" fillId="0" borderId="123" xfId="20" applyNumberFormat="1" applyFont="1" applyBorder="1" applyAlignment="1">
      <alignment horizontal="center" vertical="center"/>
    </xf>
    <xf numFmtId="169" fontId="124" fillId="0" borderId="150" xfId="20" applyNumberFormat="1" applyFont="1" applyBorder="1" applyAlignment="1">
      <alignment horizontal="center" vertical="center"/>
    </xf>
    <xf numFmtId="169" fontId="124" fillId="0" borderId="156" xfId="20" applyNumberFormat="1" applyFont="1" applyBorder="1" applyAlignment="1">
      <alignment horizontal="center" vertical="center"/>
    </xf>
    <xf numFmtId="0" fontId="15" fillId="30" borderId="145" xfId="20" applyFont="1" applyFill="1" applyBorder="1" applyAlignment="1">
      <alignment horizontal="center" vertical="center"/>
    </xf>
    <xf numFmtId="0" fontId="15" fillId="30" borderId="137" xfId="20" applyFont="1" applyFill="1" applyBorder="1" applyAlignment="1">
      <alignment horizontal="center" vertical="center"/>
    </xf>
    <xf numFmtId="0" fontId="15" fillId="0" borderId="145" xfId="20" applyFont="1" applyBorder="1" applyAlignment="1">
      <alignment horizontal="center" vertical="center"/>
    </xf>
    <xf numFmtId="0" fontId="15" fillId="0" borderId="137" xfId="20" applyFont="1" applyBorder="1" applyAlignment="1">
      <alignment horizontal="center" vertical="center"/>
    </xf>
    <xf numFmtId="0" fontId="15" fillId="0" borderId="153" xfId="20" applyFont="1" applyBorder="1" applyAlignment="1">
      <alignment horizontal="center" vertical="center"/>
    </xf>
    <xf numFmtId="0" fontId="15" fillId="0" borderId="155" xfId="20" applyFont="1" applyBorder="1" applyAlignment="1">
      <alignment horizontal="center" vertical="center"/>
    </xf>
    <xf numFmtId="43" fontId="0" fillId="0" borderId="0" xfId="9" applyFont="1"/>
    <xf numFmtId="166" fontId="26" fillId="0" borderId="0" xfId="20" applyNumberFormat="1"/>
    <xf numFmtId="0" fontId="158" fillId="36" borderId="125" xfId="20" applyFont="1" applyFill="1" applyBorder="1" applyAlignment="1">
      <alignment horizontal="center" vertical="center"/>
    </xf>
    <xf numFmtId="0" fontId="27" fillId="0" borderId="0" xfId="20" applyFont="1" applyAlignment="1">
      <alignment horizontal="center" vertical="center"/>
    </xf>
    <xf numFmtId="4" fontId="212" fillId="0" borderId="125" xfId="20" applyNumberFormat="1" applyFont="1" applyBorder="1" applyAlignment="1">
      <alignment horizontal="right" vertical="center"/>
    </xf>
    <xf numFmtId="4" fontId="213" fillId="0" borderId="125" xfId="20" applyNumberFormat="1" applyFont="1" applyBorder="1" applyAlignment="1">
      <alignment horizontal="right" vertical="center"/>
    </xf>
    <xf numFmtId="4" fontId="214" fillId="0" borderId="125" xfId="20" applyNumberFormat="1" applyFont="1" applyBorder="1" applyAlignment="1">
      <alignment horizontal="right" vertical="center"/>
    </xf>
    <xf numFmtId="0" fontId="27" fillId="37" borderId="0" xfId="20" applyFont="1" applyFill="1" applyAlignment="1">
      <alignment horizontal="center" vertical="center"/>
    </xf>
    <xf numFmtId="4" fontId="212" fillId="36" borderId="125" xfId="20" applyNumberFormat="1" applyFont="1" applyFill="1" applyBorder="1" applyAlignment="1">
      <alignment horizontal="right" vertical="center"/>
    </xf>
    <xf numFmtId="4" fontId="213" fillId="36" borderId="125" xfId="20" applyNumberFormat="1" applyFont="1" applyFill="1" applyBorder="1" applyAlignment="1">
      <alignment horizontal="right" vertical="center"/>
    </xf>
    <xf numFmtId="0" fontId="27" fillId="38" borderId="125" xfId="20" applyFont="1" applyFill="1" applyBorder="1" applyAlignment="1">
      <alignment horizontal="left" vertical="center"/>
    </xf>
    <xf numFmtId="0" fontId="27" fillId="38" borderId="125" xfId="20" applyFont="1" applyFill="1" applyBorder="1" applyAlignment="1">
      <alignment horizontal="center" vertical="center"/>
    </xf>
    <xf numFmtId="0" fontId="27" fillId="38" borderId="0" xfId="20" applyFont="1" applyFill="1" applyAlignment="1">
      <alignment horizontal="center" vertical="center"/>
    </xf>
    <xf numFmtId="4" fontId="214" fillId="38" borderId="125" xfId="20" applyNumberFormat="1" applyFont="1" applyFill="1" applyBorder="1" applyAlignment="1">
      <alignment horizontal="right" vertical="center"/>
    </xf>
    <xf numFmtId="4" fontId="212" fillId="38" borderId="125" xfId="20" applyNumberFormat="1" applyFont="1" applyFill="1" applyBorder="1" applyAlignment="1">
      <alignment horizontal="right" vertical="center"/>
    </xf>
    <xf numFmtId="4" fontId="213" fillId="38" borderId="125" xfId="20" applyNumberFormat="1" applyFont="1" applyFill="1" applyBorder="1" applyAlignment="1">
      <alignment horizontal="right" vertical="center"/>
    </xf>
    <xf numFmtId="4" fontId="104" fillId="38" borderId="125" xfId="20" applyNumberFormat="1" applyFont="1" applyFill="1" applyBorder="1" applyAlignment="1">
      <alignment horizontal="right" vertical="center"/>
    </xf>
    <xf numFmtId="4" fontId="215" fillId="38" borderId="125" xfId="20" applyNumberFormat="1" applyFont="1" applyFill="1" applyBorder="1" applyAlignment="1">
      <alignment horizontal="right" vertical="center"/>
    </xf>
    <xf numFmtId="4" fontId="215" fillId="0" borderId="125" xfId="20" applyNumberFormat="1" applyFont="1" applyBorder="1" applyAlignment="1">
      <alignment horizontal="right" vertical="center"/>
    </xf>
    <xf numFmtId="4" fontId="215" fillId="36" borderId="125" xfId="20" applyNumberFormat="1" applyFont="1" applyFill="1" applyBorder="1" applyAlignment="1">
      <alignment horizontal="right" vertical="center"/>
    </xf>
    <xf numFmtId="0" fontId="27" fillId="38" borderId="129" xfId="20" applyFont="1" applyFill="1" applyBorder="1" applyAlignment="1">
      <alignment horizontal="left" vertical="center"/>
    </xf>
    <xf numFmtId="0" fontId="27" fillId="38" borderId="129" xfId="20" applyFont="1" applyFill="1" applyBorder="1" applyAlignment="1">
      <alignment horizontal="center" vertical="center"/>
    </xf>
    <xf numFmtId="4" fontId="104" fillId="38" borderId="129" xfId="20" applyNumberFormat="1" applyFont="1" applyFill="1" applyBorder="1" applyAlignment="1">
      <alignment horizontal="right" vertical="center"/>
    </xf>
    <xf numFmtId="4" fontId="215" fillId="38" borderId="129" xfId="20" applyNumberFormat="1" applyFont="1" applyFill="1" applyBorder="1" applyAlignment="1">
      <alignment horizontal="right" vertical="center"/>
    </xf>
    <xf numFmtId="4" fontId="213" fillId="38" borderId="129" xfId="20" applyNumberFormat="1" applyFont="1" applyFill="1" applyBorder="1" applyAlignment="1">
      <alignment horizontal="right" vertical="center"/>
    </xf>
    <xf numFmtId="4" fontId="104" fillId="38" borderId="118" xfId="20" applyNumberFormat="1" applyFont="1" applyFill="1" applyBorder="1" applyAlignment="1">
      <alignment horizontal="right" vertical="center"/>
    </xf>
    <xf numFmtId="4" fontId="214" fillId="0" borderId="129" xfId="20" applyNumberFormat="1" applyFont="1" applyBorder="1" applyAlignment="1">
      <alignment horizontal="right" vertical="center"/>
    </xf>
    <xf numFmtId="4" fontId="212" fillId="0" borderId="129" xfId="20" applyNumberFormat="1" applyFont="1" applyBorder="1" applyAlignment="1">
      <alignment horizontal="right" vertical="center"/>
    </xf>
    <xf numFmtId="4" fontId="213" fillId="0" borderId="129" xfId="20" applyNumberFormat="1" applyFont="1" applyBorder="1" applyAlignment="1">
      <alignment horizontal="right" vertical="center"/>
    </xf>
    <xf numFmtId="4" fontId="104" fillId="0" borderId="118" xfId="20" applyNumberFormat="1" applyFont="1" applyBorder="1" applyAlignment="1">
      <alignment horizontal="right" vertical="center"/>
    </xf>
    <xf numFmtId="0" fontId="216" fillId="0" borderId="134" xfId="22" applyFont="1" applyBorder="1"/>
    <xf numFmtId="0" fontId="169" fillId="27" borderId="135" xfId="22" applyFont="1" applyFill="1" applyBorder="1" applyAlignment="1">
      <alignment vertical="center"/>
    </xf>
    <xf numFmtId="0" fontId="169" fillId="0" borderId="138" xfId="22" applyFont="1" applyBorder="1" applyAlignment="1">
      <alignment horizontal="center" vertical="center"/>
    </xf>
    <xf numFmtId="0" fontId="217" fillId="0" borderId="138" xfId="22" applyFont="1" applyBorder="1" applyAlignment="1">
      <alignment horizontal="center"/>
    </xf>
    <xf numFmtId="0" fontId="186" fillId="0" borderId="138" xfId="22" applyFont="1" applyBorder="1" applyAlignment="1">
      <alignment horizontal="center" vertical="center" wrapText="1"/>
    </xf>
    <xf numFmtId="0" fontId="175" fillId="0" borderId="138" xfId="22" applyFont="1" applyBorder="1" applyAlignment="1">
      <alignment horizontal="center" vertical="center" wrapText="1"/>
    </xf>
    <xf numFmtId="170" fontId="172" fillId="29" borderId="140" xfId="22" applyNumberFormat="1" applyFont="1" applyFill="1" applyBorder="1" applyAlignment="1">
      <alignment horizontal="center" vertical="center"/>
    </xf>
    <xf numFmtId="3" fontId="175" fillId="0" borderId="138" xfId="22" applyNumberFormat="1" applyFont="1" applyBorder="1" applyAlignment="1">
      <alignment horizontal="center" vertical="center"/>
    </xf>
    <xf numFmtId="3" fontId="180" fillId="0" borderId="138" xfId="22" applyNumberFormat="1" applyFont="1" applyBorder="1" applyAlignment="1">
      <alignment horizontal="center" vertical="center"/>
    </xf>
    <xf numFmtId="0" fontId="166" fillId="0" borderId="125" xfId="22" applyFont="1" applyBorder="1" applyAlignment="1">
      <alignment horizontal="left"/>
    </xf>
    <xf numFmtId="3" fontId="175" fillId="0" borderId="125" xfId="22" applyNumberFormat="1" applyFont="1" applyBorder="1" applyAlignment="1">
      <alignment horizontal="center"/>
    </xf>
    <xf numFmtId="3" fontId="175" fillId="0" borderId="138" xfId="22" applyNumberFormat="1" applyFont="1" applyBorder="1" applyAlignment="1">
      <alignment horizontal="center"/>
    </xf>
    <xf numFmtId="169" fontId="182" fillId="0" borderId="125" xfId="22" applyNumberFormat="1" applyFont="1" applyBorder="1" applyAlignment="1">
      <alignment horizontal="center" vertical="center" wrapText="1"/>
    </xf>
    <xf numFmtId="3" fontId="175" fillId="0" borderId="138" xfId="22" applyNumberFormat="1" applyFont="1" applyBorder="1" applyAlignment="1">
      <alignment horizontal="center" vertical="center" wrapText="1"/>
    </xf>
    <xf numFmtId="3" fontId="172" fillId="0" borderId="0" xfId="22" applyNumberFormat="1" applyFont="1" applyAlignment="1">
      <alignment horizontal="center" vertical="center" wrapText="1"/>
    </xf>
    <xf numFmtId="2" fontId="185" fillId="30" borderId="0" xfId="22" applyNumberFormat="1" applyFont="1" applyFill="1" applyAlignment="1">
      <alignment horizontal="center" vertical="center"/>
    </xf>
    <xf numFmtId="3" fontId="218" fillId="0" borderId="138" xfId="22" applyNumberFormat="1" applyFont="1" applyBorder="1" applyAlignment="1">
      <alignment horizontal="center" vertical="center"/>
    </xf>
    <xf numFmtId="2" fontId="190" fillId="0" borderId="0" xfId="22" applyNumberFormat="1" applyFont="1" applyAlignment="1">
      <alignment horizontal="center" vertical="center"/>
    </xf>
    <xf numFmtId="171" fontId="188" fillId="32" borderId="139" xfId="22" applyNumberFormat="1" applyFont="1" applyFill="1" applyBorder="1" applyAlignment="1">
      <alignment horizontal="center" vertical="center"/>
    </xf>
    <xf numFmtId="169" fontId="186" fillId="0" borderId="122" xfId="22" applyNumberFormat="1" applyFont="1" applyBorder="1" applyAlignment="1">
      <alignment horizontal="center" vertical="center"/>
    </xf>
    <xf numFmtId="0" fontId="172" fillId="30" borderId="138" xfId="22" applyFont="1" applyFill="1" applyBorder="1" applyAlignment="1">
      <alignment horizontal="center" vertical="center"/>
    </xf>
    <xf numFmtId="4" fontId="219" fillId="36" borderId="122" xfId="22" applyNumberFormat="1" applyFont="1" applyFill="1" applyBorder="1" applyAlignment="1">
      <alignment horizontal="right" vertical="center"/>
    </xf>
    <xf numFmtId="4" fontId="219" fillId="0" borderId="125" xfId="22" applyNumberFormat="1" applyFont="1" applyBorder="1" applyAlignment="1">
      <alignment horizontal="right" vertical="center"/>
    </xf>
    <xf numFmtId="4" fontId="219" fillId="36" borderId="125" xfId="22" applyNumberFormat="1" applyFont="1" applyFill="1" applyBorder="1" applyAlignment="1">
      <alignment horizontal="right" vertical="center"/>
    </xf>
    <xf numFmtId="4" fontId="221" fillId="0" borderId="125" xfId="22" applyNumberFormat="1" applyFont="1" applyBorder="1" applyAlignment="1">
      <alignment horizontal="right" vertical="center"/>
    </xf>
    <xf numFmtId="164" fontId="7" fillId="0" borderId="0" xfId="23" applyNumberFormat="1" applyFont="1" applyAlignment="1">
      <alignment horizontal="center"/>
    </xf>
    <xf numFmtId="0" fontId="7" fillId="0" borderId="0" xfId="22" applyFont="1"/>
    <xf numFmtId="4" fontId="197" fillId="36" borderId="122" xfId="22" applyNumberFormat="1" applyFont="1" applyFill="1" applyBorder="1" applyAlignment="1">
      <alignment horizontal="right" vertical="center"/>
    </xf>
    <xf numFmtId="4" fontId="219" fillId="36" borderId="0" xfId="22" applyNumberFormat="1" applyFont="1" applyFill="1" applyAlignment="1">
      <alignment horizontal="right" vertical="center"/>
    </xf>
    <xf numFmtId="4" fontId="165" fillId="0" borderId="125" xfId="22" applyNumberFormat="1" applyFont="1" applyBorder="1" applyAlignment="1">
      <alignment horizontal="right" vertical="center"/>
    </xf>
    <xf numFmtId="4" fontId="219" fillId="0" borderId="0" xfId="22" applyNumberFormat="1" applyFont="1" applyAlignment="1">
      <alignment horizontal="right" vertical="center"/>
    </xf>
    <xf numFmtId="0" fontId="165" fillId="37" borderId="0" xfId="22" applyFont="1" applyFill="1" applyAlignment="1">
      <alignment horizontal="center" vertical="center"/>
    </xf>
    <xf numFmtId="4" fontId="165" fillId="36" borderId="125" xfId="22" applyNumberFormat="1" applyFont="1" applyFill="1" applyBorder="1" applyAlignment="1">
      <alignment horizontal="right" vertical="center"/>
    </xf>
    <xf numFmtId="0" fontId="165" fillId="0" borderId="129" xfId="22" applyFont="1" applyBorder="1" applyAlignment="1">
      <alignment horizontal="center" vertical="center"/>
    </xf>
    <xf numFmtId="4" fontId="165" fillId="0" borderId="129" xfId="22" applyNumberFormat="1" applyFont="1" applyBorder="1" applyAlignment="1">
      <alignment horizontal="right" vertical="center"/>
    </xf>
    <xf numFmtId="0" fontId="222" fillId="0" borderId="0" xfId="22" applyFont="1"/>
    <xf numFmtId="0" fontId="223" fillId="0" borderId="0" xfId="22" applyFont="1"/>
    <xf numFmtId="0" fontId="223" fillId="40" borderId="0" xfId="22" applyFont="1" applyFill="1" applyAlignment="1">
      <alignment horizontal="center"/>
    </xf>
    <xf numFmtId="0" fontId="223" fillId="0" borderId="0" xfId="22" applyFont="1" applyAlignment="1">
      <alignment horizontal="left"/>
    </xf>
    <xf numFmtId="0" fontId="224" fillId="0" borderId="0" xfId="24" applyBorder="1"/>
    <xf numFmtId="0" fontId="222" fillId="0" borderId="0" xfId="22" applyFont="1" applyAlignment="1">
      <alignment horizontal="right"/>
    </xf>
    <xf numFmtId="0" fontId="161" fillId="0" borderId="0" xfId="22" applyAlignment="1">
      <alignment horizontal="left"/>
    </xf>
    <xf numFmtId="171" fontId="165" fillId="0" borderId="0" xfId="22" applyNumberFormat="1" applyFont="1" applyAlignment="1">
      <alignment vertical="center"/>
    </xf>
    <xf numFmtId="0" fontId="108" fillId="27" borderId="161" xfId="20" applyFont="1" applyFill="1" applyBorder="1" applyAlignment="1">
      <alignment horizontal="center" vertical="center"/>
    </xf>
    <xf numFmtId="0" fontId="110" fillId="0" borderId="162" xfId="20" applyFont="1" applyBorder="1" applyAlignment="1">
      <alignment horizontal="center"/>
    </xf>
    <xf numFmtId="0" fontId="15" fillId="36" borderId="125" xfId="20" applyFont="1" applyFill="1" applyBorder="1" applyAlignment="1">
      <alignment horizontal="left" vertical="center" wrapText="1"/>
    </xf>
    <xf numFmtId="4" fontId="219" fillId="36" borderId="122" xfId="20" applyNumberFormat="1" applyFont="1" applyFill="1" applyBorder="1" applyAlignment="1">
      <alignment horizontal="right" vertical="center"/>
    </xf>
    <xf numFmtId="4" fontId="219" fillId="36" borderId="0" xfId="20" applyNumberFormat="1" applyFont="1" applyFill="1" applyAlignment="1">
      <alignment horizontal="right" vertical="center"/>
    </xf>
    <xf numFmtId="0" fontId="15" fillId="0" borderId="125" xfId="20" applyFont="1" applyBorder="1" applyAlignment="1">
      <alignment horizontal="left" vertical="center" wrapText="1"/>
    </xf>
    <xf numFmtId="4" fontId="219" fillId="0" borderId="125" xfId="20" applyNumberFormat="1" applyFont="1" applyBorder="1" applyAlignment="1">
      <alignment horizontal="right" vertical="center"/>
    </xf>
    <xf numFmtId="4" fontId="219" fillId="0" borderId="0" xfId="20" applyNumberFormat="1" applyFont="1" applyAlignment="1">
      <alignment horizontal="right" vertical="center"/>
    </xf>
    <xf numFmtId="4" fontId="219" fillId="36" borderId="125" xfId="20" applyNumberFormat="1" applyFont="1" applyFill="1" applyBorder="1" applyAlignment="1">
      <alignment horizontal="right" vertical="center"/>
    </xf>
    <xf numFmtId="9" fontId="15" fillId="0" borderId="125" xfId="5" applyFont="1" applyBorder="1" applyAlignment="1">
      <alignment horizontal="right" vertical="center"/>
    </xf>
    <xf numFmtId="9" fontId="219" fillId="0" borderId="125" xfId="5" applyFont="1" applyBorder="1" applyAlignment="1">
      <alignment horizontal="right" vertical="center"/>
    </xf>
    <xf numFmtId="9" fontId="219" fillId="0" borderId="0" xfId="5" applyFont="1" applyAlignment="1">
      <alignment horizontal="right" vertical="center"/>
    </xf>
    <xf numFmtId="0" fontId="15" fillId="38" borderId="125" xfId="5" applyNumberFormat="1" applyFont="1" applyFill="1" applyBorder="1" applyAlignment="1">
      <alignment horizontal="right" vertical="center"/>
    </xf>
    <xf numFmtId="9" fontId="219" fillId="38" borderId="125" xfId="5" applyFont="1" applyFill="1" applyBorder="1" applyAlignment="1">
      <alignment horizontal="right" vertical="center"/>
    </xf>
    <xf numFmtId="9" fontId="219" fillId="38" borderId="0" xfId="5" applyFont="1" applyFill="1" applyAlignment="1">
      <alignment horizontal="right" vertical="center"/>
    </xf>
    <xf numFmtId="4" fontId="219" fillId="38" borderId="0" xfId="20" applyNumberFormat="1" applyFont="1" applyFill="1" applyAlignment="1">
      <alignment horizontal="right" vertical="center"/>
    </xf>
    <xf numFmtId="0" fontId="225" fillId="0" borderId="0" xfId="20" applyFont="1"/>
    <xf numFmtId="0" fontId="225" fillId="0" borderId="0" xfId="20" applyFont="1" applyAlignment="1">
      <alignment horizontal="left" vertical="center"/>
    </xf>
    <xf numFmtId="0" fontId="226" fillId="0" borderId="0" xfId="20" applyFont="1" applyAlignment="1">
      <alignment horizontal="right"/>
    </xf>
    <xf numFmtId="6" fontId="225" fillId="0" borderId="0" xfId="20" applyNumberFormat="1" applyFont="1" applyAlignment="1">
      <alignment horizontal="center"/>
    </xf>
    <xf numFmtId="0" fontId="225" fillId="0" borderId="0" xfId="20" applyFont="1" applyAlignment="1">
      <alignment horizontal="right"/>
    </xf>
    <xf numFmtId="0" fontId="227" fillId="0" borderId="0" xfId="20" applyFont="1"/>
    <xf numFmtId="0" fontId="105" fillId="0" borderId="0" xfId="20" applyFont="1" applyAlignment="1">
      <alignment horizontal="left" vertical="center"/>
    </xf>
    <xf numFmtId="165" fontId="0" fillId="0" borderId="53" xfId="0" applyNumberFormat="1" applyBorder="1" applyAlignment="1">
      <alignment horizontal="center" vertical="center"/>
    </xf>
    <xf numFmtId="0" fontId="107" fillId="0" borderId="135" xfId="20" applyFont="1" applyBorder="1" applyAlignment="1">
      <alignment horizontal="center" vertical="center"/>
    </xf>
    <xf numFmtId="0" fontId="110" fillId="0" borderId="138" xfId="20" applyFont="1" applyBorder="1" applyAlignment="1">
      <alignment horizontal="center"/>
    </xf>
    <xf numFmtId="0" fontId="110" fillId="0" borderId="125" xfId="20" applyFont="1" applyBorder="1" applyAlignment="1">
      <alignment horizontal="center"/>
    </xf>
    <xf numFmtId="3" fontId="120" fillId="0" borderId="123" xfId="20" applyNumberFormat="1" applyFont="1" applyBorder="1" applyAlignment="1">
      <alignment horizontal="center"/>
    </xf>
    <xf numFmtId="4" fontId="150" fillId="0" borderId="165" xfId="20" applyNumberFormat="1" applyFont="1" applyBorder="1" applyAlignment="1">
      <alignment horizontal="right" vertical="center"/>
    </xf>
    <xf numFmtId="4" fontId="150" fillId="36" borderId="166" xfId="20" applyNumberFormat="1" applyFont="1" applyFill="1" applyBorder="1" applyAlignment="1">
      <alignment horizontal="right" vertical="center"/>
    </xf>
    <xf numFmtId="4" fontId="14" fillId="36" borderId="167" xfId="20" applyNumberFormat="1" applyFont="1" applyFill="1" applyBorder="1" applyAlignment="1">
      <alignment horizontal="right" vertical="center"/>
    </xf>
    <xf numFmtId="0" fontId="27" fillId="0" borderId="168" xfId="20" applyFont="1" applyBorder="1" applyAlignment="1">
      <alignment horizontal="left" vertical="center"/>
    </xf>
    <xf numFmtId="0" fontId="27" fillId="0" borderId="169" xfId="20" applyFont="1" applyBorder="1" applyAlignment="1">
      <alignment horizontal="left" vertical="center"/>
    </xf>
    <xf numFmtId="0" fontId="27" fillId="0" borderId="169" xfId="20" applyFont="1" applyBorder="1" applyAlignment="1">
      <alignment horizontal="center" vertical="center"/>
    </xf>
    <xf numFmtId="0" fontId="27" fillId="0" borderId="169" xfId="20" applyFont="1" applyBorder="1" applyAlignment="1">
      <alignment horizontal="left" vertical="center" wrapText="1"/>
    </xf>
    <xf numFmtId="0" fontId="15" fillId="0" borderId="169" xfId="20" applyFont="1" applyBorder="1" applyAlignment="1">
      <alignment horizontal="center" vertical="center"/>
    </xf>
    <xf numFmtId="3" fontId="143" fillId="0" borderId="170" xfId="20" applyNumberFormat="1" applyFont="1" applyBorder="1" applyAlignment="1">
      <alignment horizontal="center" vertical="center"/>
    </xf>
    <xf numFmtId="0" fontId="27" fillId="38" borderId="170" xfId="20" applyFont="1" applyFill="1" applyBorder="1" applyAlignment="1">
      <alignment horizontal="left" vertical="center"/>
    </xf>
    <xf numFmtId="0" fontId="27" fillId="38" borderId="170" xfId="20" applyFont="1" applyFill="1" applyBorder="1" applyAlignment="1">
      <alignment horizontal="center" vertical="center"/>
    </xf>
    <xf numFmtId="0" fontId="27" fillId="38" borderId="170" xfId="20" applyFont="1" applyFill="1" applyBorder="1" applyAlignment="1">
      <alignment horizontal="left" vertical="center" wrapText="1"/>
    </xf>
    <xf numFmtId="0" fontId="15" fillId="39" borderId="171" xfId="20" applyFont="1" applyFill="1" applyBorder="1" applyAlignment="1">
      <alignment horizontal="center" vertical="center"/>
    </xf>
    <xf numFmtId="4" fontId="15" fillId="38" borderId="170" xfId="20" applyNumberFormat="1" applyFont="1" applyFill="1" applyBorder="1" applyAlignment="1">
      <alignment horizontal="right" vertical="center"/>
    </xf>
    <xf numFmtId="4" fontId="228" fillId="38" borderId="170" xfId="20" applyNumberFormat="1" applyFont="1" applyFill="1" applyBorder="1" applyAlignment="1">
      <alignment horizontal="right" vertical="center"/>
    </xf>
    <xf numFmtId="4" fontId="15" fillId="38" borderId="171" xfId="20" applyNumberFormat="1" applyFont="1" applyFill="1" applyBorder="1" applyAlignment="1">
      <alignment horizontal="right" vertical="center"/>
    </xf>
    <xf numFmtId="164" fontId="228" fillId="0" borderId="125" xfId="5" applyNumberFormat="1" applyFont="1" applyFill="1" applyBorder="1" applyAlignment="1">
      <alignment horizontal="right" vertical="center"/>
    </xf>
    <xf numFmtId="43" fontId="138" fillId="0" borderId="125" xfId="9" applyFont="1" applyFill="1" applyBorder="1" applyAlignment="1">
      <alignment horizontal="right" vertical="center"/>
    </xf>
    <xf numFmtId="4" fontId="15" fillId="36" borderId="160" xfId="20" applyNumberFormat="1" applyFont="1" applyFill="1" applyBorder="1" applyAlignment="1">
      <alignment horizontal="right" vertical="center"/>
    </xf>
    <xf numFmtId="4" fontId="228" fillId="36" borderId="125" xfId="20" applyNumberFormat="1" applyFont="1" applyFill="1" applyBorder="1" applyAlignment="1">
      <alignment horizontal="right" vertical="center"/>
    </xf>
    <xf numFmtId="3" fontId="143" fillId="0" borderId="160" xfId="20" applyNumberFormat="1" applyFont="1" applyBorder="1" applyAlignment="1">
      <alignment horizontal="center" vertical="center"/>
    </xf>
    <xf numFmtId="0" fontId="27" fillId="36" borderId="160" xfId="20" applyFont="1" applyFill="1" applyBorder="1" applyAlignment="1">
      <alignment horizontal="left" vertical="center" wrapText="1"/>
    </xf>
    <xf numFmtId="0" fontId="15" fillId="37" borderId="160" xfId="20" applyFont="1" applyFill="1" applyBorder="1" applyAlignment="1">
      <alignment horizontal="center" vertical="center"/>
    </xf>
    <xf numFmtId="4" fontId="15" fillId="36" borderId="172" xfId="20" applyNumberFormat="1" applyFont="1" applyFill="1" applyBorder="1" applyAlignment="1">
      <alignment horizontal="right" vertical="center"/>
    </xf>
    <xf numFmtId="4" fontId="204" fillId="36" borderId="122" xfId="20" applyNumberFormat="1" applyFont="1" applyFill="1" applyBorder="1" applyAlignment="1">
      <alignment horizontal="right" vertical="center"/>
    </xf>
    <xf numFmtId="4" fontId="229" fillId="0" borderId="125" xfId="20" applyNumberFormat="1" applyFont="1" applyBorder="1" applyAlignment="1">
      <alignment horizontal="right" vertical="center"/>
    </xf>
    <xf numFmtId="0" fontId="230" fillId="0" borderId="0" xfId="20" applyFont="1"/>
    <xf numFmtId="0" fontId="27" fillId="0" borderId="0" xfId="20" applyFont="1" applyAlignment="1">
      <alignment horizontal="left" vertical="center"/>
    </xf>
    <xf numFmtId="0" fontId="27" fillId="23" borderId="0" xfId="20" applyFont="1" applyFill="1"/>
    <xf numFmtId="9" fontId="27" fillId="23" borderId="0" xfId="20" applyNumberFormat="1" applyFont="1" applyFill="1" applyAlignment="1">
      <alignment horizontal="center"/>
    </xf>
    <xf numFmtId="0" fontId="27" fillId="0" borderId="0" xfId="20" applyFont="1"/>
    <xf numFmtId="9" fontId="27" fillId="0" borderId="0" xfId="20" applyNumberFormat="1" applyFont="1" applyAlignment="1">
      <alignment horizontal="center"/>
    </xf>
    <xf numFmtId="10" fontId="27" fillId="0" borderId="0" xfId="20" applyNumberFormat="1" applyFont="1" applyAlignment="1">
      <alignment horizontal="center"/>
    </xf>
    <xf numFmtId="0" fontId="54" fillId="19" borderId="52" xfId="0" applyFont="1" applyFill="1" applyBorder="1" applyAlignment="1">
      <alignment horizontal="center" vertical="center"/>
    </xf>
    <xf numFmtId="0" fontId="0" fillId="41" borderId="52" xfId="0" applyFill="1" applyBorder="1" applyAlignment="1">
      <alignment horizontal="center" vertical="center"/>
    </xf>
    <xf numFmtId="0" fontId="231" fillId="0" borderId="125" xfId="20" applyFont="1" applyBorder="1" applyAlignment="1">
      <alignment horizontal="center" vertical="center" wrapText="1"/>
    </xf>
    <xf numFmtId="0" fontId="232" fillId="0" borderId="129" xfId="20" applyFont="1" applyBorder="1" applyAlignment="1">
      <alignment horizontal="center" vertical="center" wrapText="1"/>
    </xf>
    <xf numFmtId="0" fontId="233" fillId="35" borderId="119" xfId="20" applyFont="1" applyFill="1" applyBorder="1" applyAlignment="1">
      <alignment horizontal="center"/>
    </xf>
    <xf numFmtId="0" fontId="234" fillId="35" borderId="133" xfId="20" applyFont="1" applyFill="1" applyBorder="1" applyAlignment="1">
      <alignment horizontal="center"/>
    </xf>
    <xf numFmtId="0" fontId="234" fillId="35" borderId="119" xfId="20" applyFont="1" applyFill="1" applyBorder="1" applyAlignment="1">
      <alignment horizontal="center"/>
    </xf>
    <xf numFmtId="0" fontId="234" fillId="28" borderId="134" xfId="20" applyFont="1" applyFill="1" applyBorder="1" applyAlignment="1">
      <alignment horizontal="center"/>
    </xf>
    <xf numFmtId="0" fontId="235" fillId="0" borderId="125" xfId="20" applyFont="1" applyBorder="1" applyAlignment="1">
      <alignment horizontal="center" vertical="center"/>
    </xf>
    <xf numFmtId="0" fontId="222" fillId="36" borderId="122" xfId="20" applyFont="1" applyFill="1" applyBorder="1" applyAlignment="1">
      <alignment horizontal="left" vertical="center"/>
    </xf>
    <xf numFmtId="0" fontId="222" fillId="36" borderId="125" xfId="20" applyFont="1" applyFill="1" applyBorder="1" applyAlignment="1">
      <alignment horizontal="left" vertical="center"/>
    </xf>
    <xf numFmtId="0" fontId="222" fillId="36" borderId="125" xfId="20" applyFont="1" applyFill="1" applyBorder="1" applyAlignment="1">
      <alignment horizontal="center" vertical="center"/>
    </xf>
    <xf numFmtId="0" fontId="95" fillId="37" borderId="173" xfId="20" applyFont="1" applyFill="1" applyBorder="1" applyAlignment="1">
      <alignment horizontal="center" vertical="center" wrapText="1"/>
    </xf>
    <xf numFmtId="166" fontId="236" fillId="36" borderId="0" xfId="20" applyNumberFormat="1" applyFont="1" applyFill="1" applyAlignment="1">
      <alignment horizontal="right" vertical="center"/>
    </xf>
    <xf numFmtId="0" fontId="238" fillId="36" borderId="122" xfId="20" applyFont="1" applyFill="1" applyBorder="1" applyAlignment="1">
      <alignment horizontal="right" vertical="center"/>
    </xf>
    <xf numFmtId="0" fontId="222" fillId="0" borderId="125" xfId="20" applyFont="1" applyBorder="1" applyAlignment="1">
      <alignment horizontal="left" vertical="center"/>
    </xf>
    <xf numFmtId="0" fontId="222" fillId="0" borderId="125" xfId="20" applyFont="1" applyBorder="1" applyAlignment="1">
      <alignment horizontal="center" vertical="center"/>
    </xf>
    <xf numFmtId="0" fontId="95" fillId="0" borderId="174" xfId="20" applyFont="1" applyBorder="1" applyAlignment="1">
      <alignment horizontal="center" vertical="center"/>
    </xf>
    <xf numFmtId="0" fontId="236" fillId="0" borderId="0" xfId="20" applyFont="1" applyAlignment="1">
      <alignment horizontal="right" vertical="center"/>
    </xf>
    <xf numFmtId="0" fontId="95" fillId="0" borderId="125" xfId="20" applyFont="1" applyBorder="1" applyAlignment="1">
      <alignment horizontal="right" vertical="center"/>
    </xf>
    <xf numFmtId="170" fontId="15" fillId="29" borderId="175" xfId="20" applyNumberFormat="1" applyFont="1" applyFill="1" applyBorder="1" applyAlignment="1">
      <alignment horizontal="center" vertical="center"/>
    </xf>
    <xf numFmtId="0" fontId="27" fillId="42" borderId="125" xfId="20" applyFont="1" applyFill="1" applyBorder="1" applyAlignment="1">
      <alignment horizontal="left" vertical="center"/>
    </xf>
    <xf numFmtId="0" fontId="27" fillId="42" borderId="125" xfId="20" applyFont="1" applyFill="1" applyBorder="1" applyAlignment="1">
      <alignment horizontal="center" vertical="center"/>
    </xf>
    <xf numFmtId="0" fontId="27" fillId="42" borderId="125" xfId="20" applyFont="1" applyFill="1" applyBorder="1" applyAlignment="1">
      <alignment horizontal="left" vertical="center" wrapText="1"/>
    </xf>
    <xf numFmtId="0" fontId="15" fillId="43" borderId="0" xfId="20" applyFont="1" applyFill="1" applyAlignment="1">
      <alignment horizontal="center" vertical="center" wrapText="1"/>
    </xf>
    <xf numFmtId="4" fontId="15" fillId="42" borderId="125" xfId="20" applyNumberFormat="1" applyFont="1" applyFill="1" applyBorder="1" applyAlignment="1">
      <alignment horizontal="right" vertical="center"/>
    </xf>
    <xf numFmtId="4" fontId="228" fillId="42" borderId="125" xfId="20" applyNumberFormat="1" applyFont="1" applyFill="1" applyBorder="1" applyAlignment="1">
      <alignment horizontal="right" vertical="center"/>
    </xf>
    <xf numFmtId="4" fontId="150" fillId="42" borderId="125" xfId="20" applyNumberFormat="1" applyFont="1" applyFill="1" applyBorder="1" applyAlignment="1">
      <alignment horizontal="right" vertical="center"/>
    </xf>
    <xf numFmtId="4" fontId="15" fillId="42" borderId="0" xfId="20" applyNumberFormat="1" applyFont="1" applyFill="1" applyAlignment="1">
      <alignment horizontal="right" vertical="center"/>
    </xf>
    <xf numFmtId="4" fontId="150" fillId="36" borderId="157" xfId="20" applyNumberFormat="1" applyFont="1" applyFill="1" applyBorder="1" applyAlignment="1">
      <alignment horizontal="right" vertical="center"/>
    </xf>
    <xf numFmtId="0" fontId="239" fillId="0" borderId="0" xfId="20" applyFont="1"/>
    <xf numFmtId="0" fontId="7" fillId="0" borderId="0" xfId="20" applyFont="1" applyAlignment="1">
      <alignment horizontal="center"/>
    </xf>
    <xf numFmtId="0" fontId="26" fillId="0" borderId="0" xfId="20" applyAlignment="1">
      <alignment horizontal="left"/>
    </xf>
    <xf numFmtId="4" fontId="204" fillId="36" borderId="125" xfId="20" applyNumberFormat="1" applyFont="1" applyFill="1" applyBorder="1" applyAlignment="1">
      <alignment horizontal="right" vertical="center"/>
    </xf>
    <xf numFmtId="4" fontId="27" fillId="0" borderId="125" xfId="20" applyNumberFormat="1" applyFont="1" applyBorder="1" applyAlignment="1">
      <alignment horizontal="right" vertical="center"/>
    </xf>
    <xf numFmtId="4" fontId="204" fillId="36" borderId="0" xfId="20" applyNumberFormat="1" applyFont="1" applyFill="1" applyAlignment="1">
      <alignment horizontal="right" vertical="center"/>
    </xf>
    <xf numFmtId="0" fontId="57" fillId="19" borderId="52" xfId="0" applyFont="1" applyFill="1" applyBorder="1" applyAlignment="1">
      <alignment horizontal="center" vertical="center"/>
    </xf>
    <xf numFmtId="0" fontId="104" fillId="0" borderId="176" xfId="20" applyFont="1" applyBorder="1" applyAlignment="1">
      <alignment vertical="center"/>
    </xf>
    <xf numFmtId="2" fontId="26" fillId="19" borderId="177" xfId="20" applyNumberFormat="1" applyFill="1" applyBorder="1" applyAlignment="1">
      <alignment horizontal="center" vertical="center"/>
    </xf>
    <xf numFmtId="2" fontId="26" fillId="19" borderId="178" xfId="20" applyNumberFormat="1" applyFill="1" applyBorder="1" applyAlignment="1">
      <alignment horizontal="center" vertical="center"/>
    </xf>
    <xf numFmtId="3" fontId="113" fillId="0" borderId="0" xfId="20" applyNumberFormat="1" applyFont="1" applyAlignment="1">
      <alignment horizontal="center" vertical="center"/>
    </xf>
    <xf numFmtId="0" fontId="104" fillId="34" borderId="0" xfId="3" applyFont="1" applyFill="1"/>
    <xf numFmtId="0" fontId="135" fillId="0" borderId="0" xfId="3" applyFont="1"/>
    <xf numFmtId="0" fontId="26" fillId="0" borderId="0" xfId="3"/>
    <xf numFmtId="0" fontId="136" fillId="0" borderId="118" xfId="3" applyFont="1" applyBorder="1"/>
    <xf numFmtId="0" fontId="104" fillId="0" borderId="118" xfId="3" applyFont="1" applyBorder="1"/>
    <xf numFmtId="174" fontId="15" fillId="0" borderId="0" xfId="3" applyNumberFormat="1" applyFont="1"/>
    <xf numFmtId="174" fontId="15" fillId="4" borderId="0" xfId="3" applyNumberFormat="1" applyFont="1" applyFill="1" applyAlignment="1">
      <alignment vertical="center"/>
    </xf>
    <xf numFmtId="0" fontId="26" fillId="4" borderId="0" xfId="3" applyFill="1"/>
    <xf numFmtId="0" fontId="139" fillId="0" borderId="0" xfId="3" applyFont="1"/>
    <xf numFmtId="15" fontId="141" fillId="0" borderId="0" xfId="3" applyNumberFormat="1" applyFont="1"/>
    <xf numFmtId="0" fontId="104" fillId="0" borderId="0" xfId="3" applyFont="1"/>
    <xf numFmtId="3" fontId="142" fillId="35" borderId="119" xfId="3" quotePrefix="1" applyNumberFormat="1" applyFont="1" applyFill="1" applyBorder="1" applyAlignment="1">
      <alignment horizontal="center"/>
    </xf>
    <xf numFmtId="0" fontId="105" fillId="35" borderId="133" xfId="3" applyFont="1" applyFill="1" applyBorder="1" applyAlignment="1">
      <alignment horizontal="center"/>
    </xf>
    <xf numFmtId="0" fontId="105" fillId="35" borderId="119" xfId="3" applyFont="1" applyFill="1" applyBorder="1" applyAlignment="1">
      <alignment horizontal="center"/>
    </xf>
    <xf numFmtId="0" fontId="105" fillId="28" borderId="134" xfId="3" applyFont="1" applyFill="1" applyBorder="1" applyAlignment="1">
      <alignment horizontal="center"/>
    </xf>
    <xf numFmtId="0" fontId="105" fillId="35" borderId="135" xfId="3" applyFont="1" applyFill="1" applyBorder="1" applyAlignment="1">
      <alignment horizontal="center" vertical="center"/>
    </xf>
    <xf numFmtId="0" fontId="105" fillId="35" borderId="133" xfId="3" applyFont="1" applyFill="1" applyBorder="1" applyAlignment="1">
      <alignment horizontal="center" vertical="center"/>
    </xf>
    <xf numFmtId="0" fontId="105" fillId="35" borderId="134" xfId="3" applyFont="1" applyFill="1" applyBorder="1" applyAlignment="1">
      <alignment horizontal="center" vertical="center"/>
    </xf>
    <xf numFmtId="0" fontId="104" fillId="0" borderId="0" xfId="3" applyFont="1" applyAlignment="1">
      <alignment horizontal="left" vertical="center"/>
    </xf>
    <xf numFmtId="3" fontId="143" fillId="0" borderId="125" xfId="3" quotePrefix="1" applyNumberFormat="1" applyFont="1" applyBorder="1" applyAlignment="1">
      <alignment horizontal="center" vertical="center"/>
    </xf>
    <xf numFmtId="0" fontId="27" fillId="36" borderId="122" xfId="3" applyFont="1" applyFill="1" applyBorder="1" applyAlignment="1">
      <alignment horizontal="left" vertical="center"/>
    </xf>
    <xf numFmtId="0" fontId="27" fillId="36" borderId="125" xfId="3" applyFont="1" applyFill="1" applyBorder="1" applyAlignment="1">
      <alignment horizontal="left" vertical="center"/>
    </xf>
    <xf numFmtId="0" fontId="158" fillId="36" borderId="125" xfId="3" applyFont="1" applyFill="1" applyBorder="1" applyAlignment="1">
      <alignment horizontal="center" vertical="center"/>
    </xf>
    <xf numFmtId="0" fontId="158" fillId="36" borderId="125" xfId="3" applyFont="1" applyFill="1" applyBorder="1" applyAlignment="1">
      <alignment horizontal="left" vertical="center"/>
    </xf>
    <xf numFmtId="0" fontId="15" fillId="37" borderId="0" xfId="3" applyFont="1" applyFill="1" applyAlignment="1">
      <alignment horizontal="center" vertical="center" wrapText="1"/>
    </xf>
    <xf numFmtId="4" fontId="15" fillId="36" borderId="122" xfId="3" applyNumberFormat="1" applyFont="1" applyFill="1" applyBorder="1" applyAlignment="1">
      <alignment horizontal="right" vertical="center"/>
    </xf>
    <xf numFmtId="4" fontId="156" fillId="36" borderId="122" xfId="3" applyNumberFormat="1" applyFont="1" applyFill="1" applyBorder="1" applyAlignment="1">
      <alignment horizontal="right" vertical="center" wrapText="1"/>
    </xf>
    <xf numFmtId="4" fontId="156" fillId="36" borderId="122" xfId="3" applyNumberFormat="1" applyFont="1" applyFill="1" applyBorder="1" applyAlignment="1">
      <alignment horizontal="right" vertical="center"/>
    </xf>
    <xf numFmtId="4" fontId="150" fillId="36" borderId="122" xfId="3" applyNumberFormat="1" applyFont="1" applyFill="1" applyBorder="1" applyAlignment="1">
      <alignment horizontal="right" vertical="center"/>
    </xf>
    <xf numFmtId="4" fontId="159" fillId="36" borderId="122" xfId="3" applyNumberFormat="1" applyFont="1" applyFill="1" applyBorder="1" applyAlignment="1">
      <alignment horizontal="right" vertical="center"/>
    </xf>
    <xf numFmtId="4" fontId="159" fillId="36" borderId="0" xfId="3" applyNumberFormat="1" applyFont="1" applyFill="1" applyAlignment="1">
      <alignment horizontal="right" vertical="center"/>
    </xf>
    <xf numFmtId="4" fontId="241" fillId="36" borderId="0" xfId="3" applyNumberFormat="1" applyFont="1" applyFill="1" applyAlignment="1">
      <alignment horizontal="right" vertical="center"/>
    </xf>
    <xf numFmtId="3" fontId="143" fillId="0" borderId="125" xfId="3" applyNumberFormat="1" applyFont="1" applyBorder="1" applyAlignment="1">
      <alignment horizontal="center" vertical="center"/>
    </xf>
    <xf numFmtId="0" fontId="27" fillId="0" borderId="125" xfId="3" applyFont="1" applyBorder="1" applyAlignment="1">
      <alignment horizontal="left" vertical="center"/>
    </xf>
    <xf numFmtId="0" fontId="27" fillId="0" borderId="125" xfId="3" applyFont="1" applyBorder="1" applyAlignment="1">
      <alignment horizontal="center" vertical="center"/>
    </xf>
    <xf numFmtId="0" fontId="15" fillId="0" borderId="0" xfId="3" applyFont="1" applyAlignment="1">
      <alignment horizontal="center" vertical="center"/>
    </xf>
    <xf numFmtId="4" fontId="15" fillId="0" borderId="125" xfId="3" applyNumberFormat="1" applyFont="1" applyBorder="1" applyAlignment="1">
      <alignment horizontal="right" vertical="center"/>
    </xf>
    <xf numFmtId="4" fontId="156" fillId="0" borderId="125" xfId="3" applyNumberFormat="1" applyFont="1" applyBorder="1" applyAlignment="1">
      <alignment horizontal="right" vertical="center"/>
    </xf>
    <xf numFmtId="4" fontId="150" fillId="0" borderId="125" xfId="3" applyNumberFormat="1" applyFont="1" applyBorder="1" applyAlignment="1">
      <alignment horizontal="right" vertical="center"/>
    </xf>
    <xf numFmtId="4" fontId="150" fillId="0" borderId="0" xfId="3" applyNumberFormat="1" applyFont="1" applyAlignment="1">
      <alignment horizontal="right" vertical="center"/>
    </xf>
    <xf numFmtId="4" fontId="219" fillId="0" borderId="0" xfId="3" applyNumberFormat="1" applyFont="1" applyAlignment="1">
      <alignment horizontal="right" vertical="center"/>
    </xf>
    <xf numFmtId="4" fontId="138" fillId="0" borderId="125" xfId="3" applyNumberFormat="1" applyFont="1" applyBorder="1" applyAlignment="1">
      <alignment horizontal="right" vertical="center"/>
    </xf>
    <xf numFmtId="0" fontId="27" fillId="36" borderId="125" xfId="3" applyFont="1" applyFill="1" applyBorder="1" applyAlignment="1">
      <alignment horizontal="center" vertical="center"/>
    </xf>
    <xf numFmtId="0" fontId="15" fillId="37" borderId="0" xfId="3" applyFont="1" applyFill="1" applyAlignment="1">
      <alignment horizontal="center" vertical="center"/>
    </xf>
    <xf numFmtId="4" fontId="15" fillId="36" borderId="125" xfId="3" applyNumberFormat="1" applyFont="1" applyFill="1" applyBorder="1" applyAlignment="1">
      <alignment horizontal="right" vertical="center"/>
    </xf>
    <xf numFmtId="4" fontId="138" fillId="36" borderId="125" xfId="3" applyNumberFormat="1" applyFont="1" applyFill="1" applyBorder="1" applyAlignment="1">
      <alignment horizontal="right" vertical="center"/>
    </xf>
    <xf numFmtId="4" fontId="156" fillId="36" borderId="125" xfId="3" applyNumberFormat="1" applyFont="1" applyFill="1" applyBorder="1" applyAlignment="1">
      <alignment horizontal="right" vertical="center"/>
    </xf>
    <xf numFmtId="4" fontId="150" fillId="36" borderId="125" xfId="3" applyNumberFormat="1" applyFont="1" applyFill="1" applyBorder="1" applyAlignment="1">
      <alignment horizontal="right" vertical="center"/>
    </xf>
    <xf numFmtId="4" fontId="150" fillId="36" borderId="0" xfId="3" applyNumberFormat="1" applyFont="1" applyFill="1" applyAlignment="1">
      <alignment horizontal="right" vertical="center"/>
    </xf>
    <xf numFmtId="3" fontId="160" fillId="36" borderId="0" xfId="3" applyNumberFormat="1" applyFont="1" applyFill="1" applyAlignment="1">
      <alignment horizontal="right" vertical="center"/>
    </xf>
    <xf numFmtId="3" fontId="160" fillId="0" borderId="0" xfId="3" applyNumberFormat="1" applyFont="1" applyAlignment="1">
      <alignment horizontal="right" vertical="center"/>
    </xf>
    <xf numFmtId="4" fontId="15" fillId="38" borderId="125" xfId="3" applyNumberFormat="1" applyFont="1" applyFill="1" applyBorder="1" applyAlignment="1">
      <alignment horizontal="right" vertical="center"/>
    </xf>
    <xf numFmtId="3" fontId="156" fillId="36" borderId="125" xfId="3" applyNumberFormat="1" applyFont="1" applyFill="1" applyBorder="1" applyAlignment="1">
      <alignment horizontal="right" vertical="center"/>
    </xf>
    <xf numFmtId="3" fontId="150" fillId="36" borderId="125" xfId="3" applyNumberFormat="1" applyFont="1" applyFill="1" applyBorder="1" applyAlignment="1">
      <alignment horizontal="right" vertical="center"/>
    </xf>
    <xf numFmtId="3" fontId="150" fillId="36" borderId="0" xfId="3" applyNumberFormat="1" applyFont="1" applyFill="1" applyAlignment="1">
      <alignment horizontal="right" vertical="center"/>
    </xf>
    <xf numFmtId="9" fontId="156" fillId="0" borderId="125" xfId="3" applyNumberFormat="1" applyFont="1" applyBorder="1" applyAlignment="1">
      <alignment horizontal="right" vertical="center"/>
    </xf>
    <xf numFmtId="9" fontId="156" fillId="0" borderId="125" xfId="25" applyFont="1" applyBorder="1" applyAlignment="1">
      <alignment horizontal="right" vertical="center"/>
    </xf>
    <xf numFmtId="9" fontId="150" fillId="0" borderId="125" xfId="25" applyFont="1" applyBorder="1" applyAlignment="1">
      <alignment horizontal="right" vertical="center"/>
    </xf>
    <xf numFmtId="9" fontId="150" fillId="0" borderId="0" xfId="25" applyFont="1" applyAlignment="1">
      <alignment horizontal="right" vertical="center"/>
    </xf>
    <xf numFmtId="0" fontId="15" fillId="37" borderId="125" xfId="3" applyFont="1" applyFill="1" applyBorder="1" applyAlignment="1">
      <alignment horizontal="center" vertical="center"/>
    </xf>
    <xf numFmtId="165" fontId="156" fillId="36" borderId="125" xfId="3" applyNumberFormat="1" applyFont="1" applyFill="1" applyBorder="1" applyAlignment="1">
      <alignment horizontal="right" vertical="center"/>
    </xf>
    <xf numFmtId="165" fontId="150" fillId="36" borderId="125" xfId="3" applyNumberFormat="1" applyFont="1" applyFill="1" applyBorder="1" applyAlignment="1">
      <alignment horizontal="right" vertical="center"/>
    </xf>
    <xf numFmtId="4" fontId="219" fillId="36" borderId="0" xfId="3" applyNumberFormat="1" applyFont="1" applyFill="1" applyAlignment="1">
      <alignment horizontal="right" vertical="center"/>
    </xf>
    <xf numFmtId="0" fontId="15" fillId="0" borderId="125" xfId="3" applyFont="1" applyBorder="1" applyAlignment="1">
      <alignment horizontal="center" vertical="center"/>
    </xf>
    <xf numFmtId="165" fontId="156" fillId="0" borderId="125" xfId="3" applyNumberFormat="1" applyFont="1" applyBorder="1" applyAlignment="1">
      <alignment horizontal="right" vertical="center"/>
    </xf>
    <xf numFmtId="165" fontId="150" fillId="0" borderId="125" xfId="3" applyNumberFormat="1" applyFont="1" applyBorder="1" applyAlignment="1">
      <alignment horizontal="right" vertical="center"/>
    </xf>
    <xf numFmtId="0" fontId="27" fillId="24" borderId="125" xfId="26" applyFont="1" applyFill="1" applyBorder="1" applyAlignment="1">
      <alignment horizontal="left" vertical="center"/>
    </xf>
    <xf numFmtId="4" fontId="219" fillId="0" borderId="125" xfId="3" applyNumberFormat="1" applyFont="1" applyBorder="1" applyAlignment="1">
      <alignment horizontal="right" vertical="center"/>
    </xf>
    <xf numFmtId="0" fontId="27" fillId="0" borderId="129" xfId="26" applyFont="1" applyBorder="1" applyAlignment="1">
      <alignment horizontal="left" vertical="center"/>
    </xf>
    <xf numFmtId="0" fontId="27" fillId="0" borderId="129" xfId="26" applyFont="1" applyBorder="1" applyAlignment="1">
      <alignment horizontal="center" vertical="center"/>
    </xf>
    <xf numFmtId="0" fontId="15" fillId="0" borderId="129" xfId="26" applyFont="1" applyBorder="1" applyAlignment="1">
      <alignment horizontal="center" vertical="center"/>
    </xf>
    <xf numFmtId="4" fontId="156" fillId="0" borderId="179" xfId="3" applyNumberFormat="1" applyFont="1" applyBorder="1" applyAlignment="1">
      <alignment horizontal="right" vertical="center"/>
    </xf>
    <xf numFmtId="4" fontId="150" fillId="0" borderId="179" xfId="3" applyNumberFormat="1" applyFont="1" applyBorder="1" applyAlignment="1">
      <alignment horizontal="right" vertical="center"/>
    </xf>
    <xf numFmtId="4" fontId="150" fillId="0" borderId="180" xfId="3" applyNumberFormat="1" applyFont="1" applyBorder="1" applyAlignment="1">
      <alignment horizontal="right" vertical="center"/>
    </xf>
    <xf numFmtId="4" fontId="219" fillId="0" borderId="179" xfId="3" applyNumberFormat="1" applyFont="1" applyBorder="1" applyAlignment="1">
      <alignment horizontal="right" vertical="center"/>
    </xf>
    <xf numFmtId="0" fontId="27" fillId="36" borderId="125" xfId="3" applyFont="1" applyFill="1" applyBorder="1" applyAlignment="1">
      <alignment horizontal="left" vertical="center" wrapText="1"/>
    </xf>
    <xf numFmtId="4" fontId="15" fillId="36" borderId="0" xfId="3" applyNumberFormat="1" applyFont="1" applyFill="1" applyAlignment="1">
      <alignment horizontal="right" vertical="center"/>
    </xf>
    <xf numFmtId="3" fontId="143" fillId="0" borderId="129" xfId="3" applyNumberFormat="1" applyFont="1" applyBorder="1" applyAlignment="1">
      <alignment horizontal="center" vertical="center"/>
    </xf>
    <xf numFmtId="0" fontId="27" fillId="0" borderId="129" xfId="3" applyFont="1" applyBorder="1" applyAlignment="1">
      <alignment horizontal="left" vertical="center"/>
    </xf>
    <xf numFmtId="0" fontId="27" fillId="0" borderId="129" xfId="3" applyFont="1" applyBorder="1" applyAlignment="1">
      <alignment horizontal="center" vertical="center"/>
    </xf>
    <xf numFmtId="0" fontId="27" fillId="0" borderId="129" xfId="3" applyFont="1" applyBorder="1" applyAlignment="1">
      <alignment horizontal="left" vertical="center" wrapText="1"/>
    </xf>
    <xf numFmtId="0" fontId="15" fillId="0" borderId="129" xfId="3" applyFont="1" applyBorder="1" applyAlignment="1">
      <alignment horizontal="center" vertical="center"/>
    </xf>
    <xf numFmtId="4" fontId="15" fillId="0" borderId="129" xfId="3" applyNumberFormat="1" applyFont="1" applyBorder="1" applyAlignment="1">
      <alignment horizontal="right" vertical="center"/>
    </xf>
    <xf numFmtId="4" fontId="15" fillId="0" borderId="118" xfId="3" applyNumberFormat="1" applyFont="1" applyBorder="1" applyAlignment="1">
      <alignment horizontal="right" vertical="center"/>
    </xf>
    <xf numFmtId="3" fontId="147" fillId="0" borderId="0" xfId="3" applyNumberFormat="1" applyFont="1" applyAlignment="1">
      <alignment horizontal="center" vertical="center"/>
    </xf>
    <xf numFmtId="0" fontId="104" fillId="0" borderId="0" xfId="3" applyFont="1" applyAlignment="1">
      <alignment horizontal="center" vertical="center"/>
    </xf>
    <xf numFmtId="4" fontId="104" fillId="0" borderId="0" xfId="3" applyNumberFormat="1" applyFont="1" applyAlignment="1">
      <alignment horizontal="right" vertical="center"/>
    </xf>
    <xf numFmtId="3" fontId="143" fillId="0" borderId="0" xfId="3" quotePrefix="1" applyNumberFormat="1" applyFont="1" applyAlignment="1">
      <alignment horizontal="center" vertical="center"/>
    </xf>
    <xf numFmtId="0" fontId="15" fillId="0" borderId="0" xfId="3" applyFont="1" applyAlignment="1">
      <alignment horizontal="left" vertical="center"/>
    </xf>
    <xf numFmtId="2" fontId="104" fillId="0" borderId="0" xfId="3" applyNumberFormat="1" applyFont="1" applyAlignment="1">
      <alignment horizontal="center" vertical="center"/>
    </xf>
    <xf numFmtId="175" fontId="104" fillId="0" borderId="0" xfId="3" applyNumberFormat="1" applyFont="1" applyAlignment="1">
      <alignment horizontal="right" vertical="center"/>
    </xf>
    <xf numFmtId="15" fontId="149" fillId="0" borderId="0" xfId="3" quotePrefix="1" applyNumberFormat="1" applyFont="1"/>
    <xf numFmtId="9" fontId="15" fillId="0" borderId="0" xfId="3" applyNumberFormat="1" applyFont="1" applyAlignment="1">
      <alignment horizontal="center" wrapText="1"/>
    </xf>
    <xf numFmtId="166" fontId="104" fillId="0" borderId="0" xfId="26" applyNumberFormat="1" applyFont="1" applyAlignment="1">
      <alignment horizontal="right" vertical="center"/>
    </xf>
    <xf numFmtId="0" fontId="104" fillId="0" borderId="0" xfId="26" applyFont="1" applyAlignment="1">
      <alignment horizontal="left" vertical="center"/>
    </xf>
    <xf numFmtId="9" fontId="15" fillId="0" borderId="181" xfId="3" applyNumberFormat="1" applyFont="1" applyBorder="1" applyAlignment="1">
      <alignment horizontal="center" wrapText="1"/>
    </xf>
    <xf numFmtId="0" fontId="26" fillId="0" borderId="22" xfId="3" applyBorder="1"/>
    <xf numFmtId="4" fontId="141" fillId="36" borderId="122" xfId="3" applyNumberFormat="1" applyFont="1" applyFill="1" applyBorder="1" applyAlignment="1">
      <alignment horizontal="right" vertical="center"/>
    </xf>
    <xf numFmtId="4" fontId="204" fillId="36" borderId="122" xfId="3" applyNumberFormat="1" applyFont="1" applyFill="1" applyBorder="1" applyAlignment="1">
      <alignment horizontal="right" vertical="center"/>
    </xf>
    <xf numFmtId="165" fontId="242" fillId="36" borderId="122" xfId="3" applyNumberFormat="1" applyFont="1" applyFill="1" applyBorder="1" applyAlignment="1">
      <alignment horizontal="right" vertical="center"/>
    </xf>
    <xf numFmtId="165" fontId="243" fillId="36" borderId="122" xfId="3" applyNumberFormat="1" applyFont="1" applyFill="1" applyBorder="1" applyAlignment="1">
      <alignment horizontal="right" vertical="center"/>
    </xf>
    <xf numFmtId="4" fontId="243" fillId="36" borderId="122" xfId="3" applyNumberFormat="1" applyFont="1" applyFill="1" applyBorder="1" applyAlignment="1">
      <alignment horizontal="right" vertical="center"/>
    </xf>
    <xf numFmtId="4" fontId="244" fillId="36" borderId="122" xfId="3" applyNumberFormat="1" applyFont="1" applyFill="1" applyBorder="1" applyAlignment="1">
      <alignment horizontal="right" vertical="center"/>
    </xf>
    <xf numFmtId="0" fontId="27" fillId="0" borderId="125" xfId="3" applyFont="1" applyBorder="1" applyAlignment="1">
      <alignment horizontal="left" vertical="center" wrapText="1"/>
    </xf>
    <xf numFmtId="4" fontId="104" fillId="0" borderId="125" xfId="3" applyNumberFormat="1" applyFont="1" applyBorder="1" applyAlignment="1">
      <alignment horizontal="right" vertical="center"/>
    </xf>
    <xf numFmtId="4" fontId="229" fillId="0" borderId="125" xfId="3" applyNumberFormat="1" applyFont="1" applyBorder="1" applyAlignment="1">
      <alignment horizontal="right" vertical="center"/>
    </xf>
    <xf numFmtId="165" fontId="242" fillId="0" borderId="125" xfId="3" applyNumberFormat="1" applyFont="1" applyBorder="1" applyAlignment="1">
      <alignment horizontal="right" vertical="center"/>
    </xf>
    <xf numFmtId="165" fontId="243" fillId="0" borderId="125" xfId="3" applyNumberFormat="1" applyFont="1" applyBorder="1" applyAlignment="1">
      <alignment horizontal="right" vertical="center"/>
    </xf>
    <xf numFmtId="4" fontId="243" fillId="0" borderId="125" xfId="3" applyNumberFormat="1" applyFont="1" applyBorder="1" applyAlignment="1">
      <alignment horizontal="right" vertical="center"/>
    </xf>
    <xf numFmtId="0" fontId="104" fillId="37" borderId="125" xfId="3" applyFont="1" applyFill="1" applyBorder="1" applyAlignment="1">
      <alignment horizontal="center" vertical="center"/>
    </xf>
    <xf numFmtId="4" fontId="104" fillId="36" borderId="125" xfId="3" applyNumberFormat="1" applyFont="1" applyFill="1" applyBorder="1" applyAlignment="1">
      <alignment horizontal="right" vertical="center"/>
    </xf>
    <xf numFmtId="9" fontId="27" fillId="36" borderId="125" xfId="3" applyNumberFormat="1" applyFont="1" applyFill="1" applyBorder="1" applyAlignment="1">
      <alignment horizontal="right" vertical="center"/>
    </xf>
    <xf numFmtId="10" fontId="27" fillId="36" borderId="125" xfId="3" applyNumberFormat="1" applyFont="1" applyFill="1" applyBorder="1" applyAlignment="1">
      <alignment horizontal="right" vertical="center"/>
    </xf>
    <xf numFmtId="10" fontId="27" fillId="36" borderId="0" xfId="3" applyNumberFormat="1" applyFont="1" applyFill="1" applyAlignment="1">
      <alignment horizontal="right" vertical="center"/>
    </xf>
    <xf numFmtId="0" fontId="104" fillId="0" borderId="129" xfId="3" applyFont="1" applyBorder="1" applyAlignment="1">
      <alignment horizontal="center" vertical="center"/>
    </xf>
    <xf numFmtId="4" fontId="104" fillId="0" borderId="129" xfId="3" applyNumberFormat="1" applyFont="1" applyBorder="1" applyAlignment="1">
      <alignment horizontal="right" vertical="center"/>
    </xf>
    <xf numFmtId="4" fontId="27" fillId="0" borderId="129" xfId="3" applyNumberFormat="1" applyFont="1" applyBorder="1" applyAlignment="1">
      <alignment horizontal="right" vertical="center"/>
    </xf>
    <xf numFmtId="4" fontId="104" fillId="0" borderId="118" xfId="3" applyNumberFormat="1" applyFont="1" applyBorder="1" applyAlignment="1">
      <alignment horizontal="right" vertical="center"/>
    </xf>
    <xf numFmtId="9" fontId="26" fillId="0" borderId="0" xfId="3" applyNumberFormat="1"/>
    <xf numFmtId="0" fontId="43" fillId="0" borderId="0" xfId="17"/>
    <xf numFmtId="0" fontId="101" fillId="26" borderId="0" xfId="27" applyFont="1" applyFill="1"/>
    <xf numFmtId="0" fontId="102" fillId="0" borderId="0" xfId="27" applyFont="1"/>
    <xf numFmtId="0" fontId="245" fillId="0" borderId="0" xfId="27"/>
    <xf numFmtId="0" fontId="104" fillId="0" borderId="0" xfId="27" applyFont="1"/>
    <xf numFmtId="0" fontId="105" fillId="0" borderId="118" xfId="27" applyFont="1" applyBorder="1"/>
    <xf numFmtId="0" fontId="104" fillId="0" borderId="118" xfId="27" applyFont="1" applyBorder="1"/>
    <xf numFmtId="0" fontId="105" fillId="0" borderId="0" xfId="27" applyFont="1"/>
    <xf numFmtId="0" fontId="106" fillId="0" borderId="0" xfId="27" applyFont="1" applyAlignment="1">
      <alignment vertical="center"/>
    </xf>
    <xf numFmtId="0" fontId="107" fillId="0" borderId="119" xfId="27" applyFont="1" applyBorder="1" applyAlignment="1">
      <alignment horizontal="center" vertical="center"/>
    </xf>
    <xf numFmtId="0" fontId="108" fillId="27" borderId="120" xfId="27" applyFont="1" applyFill="1" applyBorder="1" applyAlignment="1">
      <alignment horizontal="center" vertical="center"/>
    </xf>
    <xf numFmtId="0" fontId="108" fillId="28" borderId="121" xfId="27" applyFont="1" applyFill="1" applyBorder="1" applyAlignment="1">
      <alignment horizontal="center" vertical="center"/>
    </xf>
    <xf numFmtId="0" fontId="109" fillId="0" borderId="122" xfId="27" applyFont="1" applyBorder="1" applyAlignment="1">
      <alignment horizontal="left"/>
    </xf>
    <xf numFmtId="0" fontId="110" fillId="0" borderId="122" xfId="27" applyFont="1" applyBorder="1" applyAlignment="1">
      <alignment horizontal="center"/>
    </xf>
    <xf numFmtId="0" fontId="15" fillId="0" borderId="124" xfId="27" applyFont="1" applyBorder="1"/>
    <xf numFmtId="0" fontId="111" fillId="0" borderId="125" xfId="27" applyFont="1" applyBorder="1" applyAlignment="1">
      <alignment horizontal="left" vertical="center"/>
    </xf>
    <xf numFmtId="169" fontId="112" fillId="0" borderId="125" xfId="27" applyNumberFormat="1" applyFont="1" applyBorder="1" applyAlignment="1">
      <alignment horizontal="center" vertical="center" wrapText="1"/>
    </xf>
    <xf numFmtId="0" fontId="113" fillId="0" borderId="136" xfId="27" applyFont="1" applyBorder="1" applyAlignment="1">
      <alignment horizontal="center" vertical="center" wrapText="1"/>
    </xf>
    <xf numFmtId="0" fontId="15" fillId="0" borderId="128" xfId="27" applyFont="1" applyBorder="1" applyAlignment="1">
      <alignment horizontal="center" vertical="center" wrapText="1"/>
    </xf>
    <xf numFmtId="0" fontId="113" fillId="0" borderId="0" xfId="27" applyFont="1" applyAlignment="1">
      <alignment horizontal="center" vertical="center" wrapText="1"/>
    </xf>
    <xf numFmtId="0" fontId="114" fillId="0" borderId="129" xfId="27" applyFont="1" applyBorder="1" applyAlignment="1">
      <alignment horizontal="left" vertical="center"/>
    </xf>
    <xf numFmtId="169" fontId="116" fillId="0" borderId="129" xfId="27" applyNumberFormat="1" applyFont="1" applyBorder="1" applyAlignment="1">
      <alignment horizontal="center" vertical="center" wrapText="1"/>
    </xf>
    <xf numFmtId="0" fontId="15" fillId="0" borderId="130" xfId="27" applyFont="1" applyBorder="1" applyAlignment="1">
      <alignment horizontal="center" vertical="center" wrapText="1"/>
    </xf>
    <xf numFmtId="0" fontId="104" fillId="0" borderId="0" xfId="27" applyFont="1" applyAlignment="1">
      <alignment vertical="center"/>
    </xf>
    <xf numFmtId="0" fontId="27" fillId="29" borderId="125" xfId="27" applyFont="1" applyFill="1" applyBorder="1" applyAlignment="1">
      <alignment horizontal="left" vertical="center"/>
    </xf>
    <xf numFmtId="170" fontId="15" fillId="29" borderId="122" xfId="27" applyNumberFormat="1" applyFont="1" applyFill="1" applyBorder="1" applyAlignment="1">
      <alignment horizontal="center" vertical="center"/>
    </xf>
    <xf numFmtId="166" fontId="14" fillId="0" borderId="136" xfId="27" applyNumberFormat="1" applyFont="1" applyBorder="1" applyAlignment="1">
      <alignment horizontal="center" vertical="center"/>
    </xf>
    <xf numFmtId="2" fontId="15" fillId="29" borderId="124" xfId="27" applyNumberFormat="1" applyFont="1" applyFill="1" applyBorder="1" applyAlignment="1">
      <alignment horizontal="center" vertical="center"/>
    </xf>
    <xf numFmtId="166" fontId="14" fillId="0" borderId="0" xfId="27" applyNumberFormat="1" applyFont="1" applyAlignment="1">
      <alignment horizontal="center" vertical="center"/>
    </xf>
    <xf numFmtId="0" fontId="27" fillId="0" borderId="125" xfId="27" applyFont="1" applyBorder="1" applyAlignment="1">
      <alignment horizontal="left" vertical="center"/>
    </xf>
    <xf numFmtId="170" fontId="15" fillId="0" borderId="125" xfId="27" applyNumberFormat="1" applyFont="1" applyBorder="1" applyAlignment="1">
      <alignment horizontal="center" vertical="center"/>
    </xf>
    <xf numFmtId="3" fontId="14" fillId="0" borderId="127" xfId="27" applyNumberFormat="1" applyFont="1" applyBorder="1" applyAlignment="1">
      <alignment horizontal="center" vertical="center"/>
    </xf>
    <xf numFmtId="2" fontId="15" fillId="0" borderId="128" xfId="27" applyNumberFormat="1" applyFont="1" applyBorder="1" applyAlignment="1">
      <alignment horizontal="center" vertical="center"/>
    </xf>
    <xf numFmtId="3" fontId="14" fillId="0" borderId="0" xfId="27" applyNumberFormat="1" applyFont="1" applyAlignment="1">
      <alignment horizontal="center" vertical="center"/>
    </xf>
    <xf numFmtId="170" fontId="16" fillId="29" borderId="125" xfId="27" applyNumberFormat="1" applyFont="1" applyFill="1" applyBorder="1" applyAlignment="1">
      <alignment horizontal="center" vertical="center"/>
    </xf>
    <xf numFmtId="0" fontId="113" fillId="0" borderId="127" xfId="27" applyFont="1" applyBorder="1" applyAlignment="1">
      <alignment horizontal="center" vertical="center"/>
    </xf>
    <xf numFmtId="0" fontId="15" fillId="29" borderId="128" xfId="27" applyFont="1" applyFill="1" applyBorder="1" applyAlignment="1">
      <alignment horizontal="center" vertical="center"/>
    </xf>
    <xf numFmtId="0" fontId="113" fillId="0" borderId="0" xfId="27" applyFont="1" applyAlignment="1">
      <alignment horizontal="center" vertical="center"/>
    </xf>
    <xf numFmtId="0" fontId="27" fillId="0" borderId="129" xfId="27" applyFont="1" applyBorder="1" applyAlignment="1">
      <alignment horizontal="left" vertical="center"/>
    </xf>
    <xf numFmtId="170" fontId="15" fillId="0" borderId="129" xfId="27" applyNumberFormat="1" applyFont="1" applyBorder="1" applyAlignment="1">
      <alignment horizontal="center" vertical="center"/>
    </xf>
    <xf numFmtId="2" fontId="105" fillId="0" borderId="130" xfId="27" applyNumberFormat="1" applyFont="1" applyBorder="1" applyAlignment="1">
      <alignment horizontal="center" vertical="center"/>
    </xf>
    <xf numFmtId="0" fontId="118" fillId="0" borderId="125" xfId="27" applyFont="1" applyBorder="1" applyAlignment="1">
      <alignment horizontal="left"/>
    </xf>
    <xf numFmtId="3" fontId="120" fillId="0" borderId="137" xfId="27" applyNumberFormat="1" applyFont="1" applyBorder="1" applyAlignment="1">
      <alignment horizontal="center"/>
    </xf>
    <xf numFmtId="3" fontId="14" fillId="0" borderId="0" xfId="27" applyNumberFormat="1" applyFont="1" applyAlignment="1">
      <alignment horizontal="center"/>
    </xf>
    <xf numFmtId="3" fontId="14" fillId="0" borderId="132" xfId="27" applyNumberFormat="1" applyFont="1" applyBorder="1" applyAlignment="1">
      <alignment horizontal="center"/>
    </xf>
    <xf numFmtId="0" fontId="121" fillId="0" borderId="125" xfId="27" applyFont="1" applyBorder="1" applyAlignment="1">
      <alignment horizontal="left" vertical="center"/>
    </xf>
    <xf numFmtId="169" fontId="120" fillId="0" borderId="125" xfId="27" applyNumberFormat="1" applyFont="1" applyBorder="1" applyAlignment="1">
      <alignment horizontal="center" vertical="center" wrapText="1"/>
    </xf>
    <xf numFmtId="3" fontId="14" fillId="0" borderId="138" xfId="27" applyNumberFormat="1" applyFont="1" applyBorder="1" applyAlignment="1">
      <alignment horizontal="center" vertical="center"/>
    </xf>
    <xf numFmtId="3" fontId="122" fillId="0" borderId="0" xfId="27" applyNumberFormat="1" applyFont="1" applyAlignment="1">
      <alignment horizontal="center" vertical="center" wrapText="1"/>
    </xf>
    <xf numFmtId="0" fontId="121" fillId="30" borderId="125" xfId="27" applyFont="1" applyFill="1" applyBorder="1" applyAlignment="1">
      <alignment horizontal="left" vertical="center" wrapText="1"/>
    </xf>
    <xf numFmtId="4" fontId="123" fillId="30" borderId="0" xfId="27" applyNumberFormat="1" applyFont="1" applyFill="1" applyAlignment="1">
      <alignment horizontal="center" vertical="center"/>
    </xf>
    <xf numFmtId="2" fontId="124" fillId="0" borderId="138" xfId="27" applyNumberFormat="1" applyFont="1" applyBorder="1" applyAlignment="1">
      <alignment horizontal="center" vertical="center"/>
    </xf>
    <xf numFmtId="166" fontId="124" fillId="0" borderId="0" xfId="27" applyNumberFormat="1" applyFont="1" applyAlignment="1">
      <alignment horizontal="center" vertical="center"/>
    </xf>
    <xf numFmtId="0" fontId="121" fillId="31" borderId="125" xfId="27" applyFont="1" applyFill="1" applyBorder="1" applyAlignment="1">
      <alignment horizontal="left" vertical="center"/>
    </xf>
    <xf numFmtId="171" fontId="126" fillId="31" borderId="125" xfId="27" applyNumberFormat="1" applyFont="1" applyFill="1" applyBorder="1" applyAlignment="1">
      <alignment horizontal="center" vertical="center"/>
    </xf>
    <xf numFmtId="171" fontId="104" fillId="0" borderId="0" xfId="27" applyNumberFormat="1" applyFont="1" applyAlignment="1">
      <alignment horizontal="center" vertical="center"/>
    </xf>
    <xf numFmtId="0" fontId="104" fillId="0" borderId="0" xfId="27" applyFont="1" applyAlignment="1">
      <alignment horizontal="center" vertical="center"/>
    </xf>
    <xf numFmtId="0" fontId="121" fillId="30" borderId="129" xfId="27" applyFont="1" applyFill="1" applyBorder="1" applyAlignment="1">
      <alignment horizontal="left" vertical="center"/>
    </xf>
    <xf numFmtId="171" fontId="126" fillId="30" borderId="139" xfId="27" applyNumberFormat="1" applyFont="1" applyFill="1" applyBorder="1" applyAlignment="1">
      <alignment horizontal="center" vertical="center"/>
    </xf>
    <xf numFmtId="171" fontId="104" fillId="0" borderId="138" xfId="27" applyNumberFormat="1" applyFont="1" applyBorder="1" applyAlignment="1">
      <alignment horizontal="center" vertical="center"/>
    </xf>
    <xf numFmtId="0" fontId="120" fillId="0" borderId="125" xfId="27" applyFont="1" applyBorder="1" applyAlignment="1">
      <alignment horizontal="center"/>
    </xf>
    <xf numFmtId="0" fontId="104" fillId="0" borderId="0" xfId="27" applyFont="1" applyAlignment="1">
      <alignment horizontal="center"/>
    </xf>
    <xf numFmtId="0" fontId="128" fillId="0" borderId="0" xfId="27" applyFont="1" applyAlignment="1">
      <alignment horizontal="center"/>
    </xf>
    <xf numFmtId="0" fontId="104" fillId="0" borderId="138" xfId="27" applyFont="1" applyBorder="1" applyAlignment="1">
      <alignment horizontal="center" vertical="center"/>
    </xf>
    <xf numFmtId="0" fontId="128" fillId="0" borderId="0" xfId="27" applyFont="1" applyAlignment="1">
      <alignment horizontal="center" vertical="center"/>
    </xf>
    <xf numFmtId="0" fontId="121" fillId="32" borderId="125" xfId="27" applyFont="1" applyFill="1" applyBorder="1" applyAlignment="1">
      <alignment horizontal="left" vertical="center" wrapText="1"/>
    </xf>
    <xf numFmtId="4" fontId="123" fillId="32" borderId="125" xfId="27" applyNumberFormat="1" applyFont="1" applyFill="1" applyBorder="1" applyAlignment="1">
      <alignment horizontal="center" vertical="center"/>
    </xf>
    <xf numFmtId="4" fontId="129" fillId="0" borderId="0" xfId="27" applyNumberFormat="1" applyFont="1" applyAlignment="1">
      <alignment horizontal="center" vertical="center"/>
    </xf>
    <xf numFmtId="0" fontId="121" fillId="33" borderId="125" xfId="27" applyFont="1" applyFill="1" applyBorder="1" applyAlignment="1">
      <alignment horizontal="left" vertical="center"/>
    </xf>
    <xf numFmtId="173" fontId="126" fillId="0" borderId="125" xfId="27" applyNumberFormat="1" applyFont="1" applyBorder="1" applyAlignment="1">
      <alignment horizontal="center" vertical="center"/>
    </xf>
    <xf numFmtId="172" fontId="15" fillId="0" borderId="0" xfId="27" applyNumberFormat="1" applyFont="1" applyAlignment="1">
      <alignment horizontal="center" vertical="center"/>
    </xf>
    <xf numFmtId="0" fontId="121" fillId="32" borderId="129" xfId="27" applyFont="1" applyFill="1" applyBorder="1" applyAlignment="1">
      <alignment horizontal="left" vertical="center"/>
    </xf>
    <xf numFmtId="171" fontId="126" fillId="32" borderId="118" xfId="27" applyNumberFormat="1" applyFont="1" applyFill="1" applyBorder="1" applyAlignment="1">
      <alignment horizontal="center" vertical="center"/>
    </xf>
    <xf numFmtId="2" fontId="15" fillId="0" borderId="0" xfId="27" applyNumberFormat="1" applyFont="1" applyAlignment="1">
      <alignment horizontal="center" vertical="center"/>
    </xf>
    <xf numFmtId="0" fontId="125" fillId="0" borderId="125" xfId="27" applyFont="1" applyBorder="1" applyAlignment="1">
      <alignment horizontal="left" vertical="center"/>
    </xf>
    <xf numFmtId="169" fontId="130" fillId="0" borderId="122" xfId="27" applyNumberFormat="1" applyFont="1" applyBorder="1" applyAlignment="1">
      <alignment horizontal="center" vertical="center" wrapText="1"/>
    </xf>
    <xf numFmtId="0" fontId="131" fillId="0" borderId="138" xfId="27" applyFont="1" applyBorder="1" applyAlignment="1">
      <alignment horizontal="center" vertical="center"/>
    </xf>
    <xf numFmtId="0" fontId="126" fillId="0" borderId="0" xfId="27" applyFont="1" applyAlignment="1">
      <alignment horizontal="center" vertical="center"/>
    </xf>
    <xf numFmtId="0" fontId="131" fillId="0" borderId="0" xfId="27" applyFont="1" applyAlignment="1">
      <alignment horizontal="center" vertical="center"/>
    </xf>
    <xf numFmtId="0" fontId="125" fillId="30" borderId="125" xfId="27" applyFont="1" applyFill="1" applyBorder="1" applyAlignment="1">
      <alignment horizontal="left" vertical="center"/>
    </xf>
    <xf numFmtId="0" fontId="126" fillId="30" borderId="125" xfId="27" applyFont="1" applyFill="1" applyBorder="1" applyAlignment="1">
      <alignment horizontal="center" vertical="center"/>
    </xf>
    <xf numFmtId="0" fontId="131" fillId="0" borderId="0" xfId="27" applyFont="1" applyAlignment="1">
      <alignment horizontal="center"/>
    </xf>
    <xf numFmtId="0" fontId="126" fillId="0" borderId="0" xfId="27" applyFont="1" applyAlignment="1">
      <alignment horizontal="center"/>
    </xf>
    <xf numFmtId="0" fontId="27" fillId="0" borderId="125" xfId="27" applyFont="1" applyBorder="1" applyAlignment="1">
      <alignment horizontal="left" vertical="center" wrapText="1"/>
    </xf>
    <xf numFmtId="0" fontId="15" fillId="0" borderId="125" xfId="27" applyFont="1" applyBorder="1" applyAlignment="1">
      <alignment horizontal="center" vertical="center"/>
    </xf>
    <xf numFmtId="0" fontId="15" fillId="0" borderId="0" xfId="27" applyFont="1" applyAlignment="1">
      <alignment horizontal="center" vertical="center"/>
    </xf>
    <xf numFmtId="0" fontId="27" fillId="30" borderId="125" xfId="27" applyFont="1" applyFill="1" applyBorder="1" applyAlignment="1">
      <alignment horizontal="left" vertical="center" wrapText="1"/>
    </xf>
    <xf numFmtId="0" fontId="15" fillId="30" borderId="125" xfId="27" applyFont="1" applyFill="1" applyBorder="1" applyAlignment="1">
      <alignment horizontal="center" vertical="center"/>
    </xf>
    <xf numFmtId="0" fontId="27" fillId="30" borderId="125" xfId="27" applyFont="1" applyFill="1" applyBorder="1" applyAlignment="1">
      <alignment horizontal="left" vertical="center"/>
    </xf>
    <xf numFmtId="0" fontId="15" fillId="0" borderId="0" xfId="27" applyFont="1" applyAlignment="1">
      <alignment horizontal="center"/>
    </xf>
    <xf numFmtId="0" fontId="15" fillId="0" borderId="129" xfId="27" applyFont="1" applyBorder="1" applyAlignment="1">
      <alignment horizontal="center" vertical="center"/>
    </xf>
    <xf numFmtId="2" fontId="133" fillId="0" borderId="0" xfId="27" applyNumberFormat="1" applyFont="1" applyAlignment="1">
      <alignment horizontal="left" vertical="center"/>
    </xf>
    <xf numFmtId="0" fontId="104" fillId="34" borderId="0" xfId="27" applyFont="1" applyFill="1"/>
    <xf numFmtId="0" fontId="135" fillId="0" borderId="0" xfId="27" applyFont="1"/>
    <xf numFmtId="0" fontId="136" fillId="0" borderId="118" xfId="27" applyFont="1" applyBorder="1"/>
    <xf numFmtId="174" fontId="15" fillId="0" borderId="0" xfId="27" applyNumberFormat="1" applyFont="1"/>
    <xf numFmtId="174" fontId="15" fillId="4" borderId="0" xfId="27" applyNumberFormat="1" applyFont="1" applyFill="1" applyAlignment="1">
      <alignment vertical="center"/>
    </xf>
    <xf numFmtId="0" fontId="245" fillId="4" borderId="0" xfId="27" applyFill="1"/>
    <xf numFmtId="0" fontId="139" fillId="0" borderId="0" xfId="27" applyFont="1"/>
    <xf numFmtId="15" fontId="141" fillId="0" borderId="0" xfId="27" applyNumberFormat="1" applyFont="1"/>
    <xf numFmtId="3" fontId="142" fillId="35" borderId="119" xfId="27" quotePrefix="1" applyNumberFormat="1" applyFont="1" applyFill="1" applyBorder="1" applyAlignment="1">
      <alignment horizontal="center"/>
    </xf>
    <xf numFmtId="0" fontId="105" fillId="35" borderId="133" xfId="27" applyFont="1" applyFill="1" applyBorder="1" applyAlignment="1">
      <alignment horizontal="center"/>
    </xf>
    <xf numFmtId="0" fontId="105" fillId="35" borderId="119" xfId="27" applyFont="1" applyFill="1" applyBorder="1" applyAlignment="1">
      <alignment horizontal="center"/>
    </xf>
    <xf numFmtId="0" fontId="105" fillId="28" borderId="134" xfId="27" applyFont="1" applyFill="1" applyBorder="1" applyAlignment="1">
      <alignment horizontal="center"/>
    </xf>
    <xf numFmtId="0" fontId="105" fillId="35" borderId="135" xfId="27" applyFont="1" applyFill="1" applyBorder="1" applyAlignment="1">
      <alignment horizontal="center" vertical="center"/>
    </xf>
    <xf numFmtId="0" fontId="105" fillId="35" borderId="133" xfId="27" applyFont="1" applyFill="1" applyBorder="1" applyAlignment="1">
      <alignment horizontal="center" vertical="center"/>
    </xf>
    <xf numFmtId="0" fontId="105" fillId="35" borderId="134" xfId="27" applyFont="1" applyFill="1" applyBorder="1" applyAlignment="1">
      <alignment horizontal="center" vertical="center"/>
    </xf>
    <xf numFmtId="0" fontId="104" fillId="0" borderId="0" xfId="27" applyFont="1" applyAlignment="1">
      <alignment horizontal="left" vertical="center"/>
    </xf>
    <xf numFmtId="3" fontId="143" fillId="0" borderId="125" xfId="27" applyNumberFormat="1" applyFont="1" applyBorder="1" applyAlignment="1">
      <alignment horizontal="center" vertical="center"/>
    </xf>
    <xf numFmtId="0" fontId="27" fillId="36" borderId="122" xfId="27" applyFont="1" applyFill="1" applyBorder="1" applyAlignment="1">
      <alignment horizontal="left" vertical="center"/>
    </xf>
    <xf numFmtId="0" fontId="27" fillId="36" borderId="125" xfId="27" applyFont="1" applyFill="1" applyBorder="1" applyAlignment="1">
      <alignment horizontal="left" vertical="center"/>
    </xf>
    <xf numFmtId="0" fontId="27" fillId="36" borderId="125" xfId="27" applyFont="1" applyFill="1" applyBorder="1" applyAlignment="1">
      <alignment horizontal="center" vertical="center"/>
    </xf>
    <xf numFmtId="0" fontId="27" fillId="36" borderId="125" xfId="27" applyFont="1" applyFill="1" applyBorder="1" applyAlignment="1">
      <alignment horizontal="left" vertical="center" wrapText="1"/>
    </xf>
    <xf numFmtId="0" fontId="15" fillId="37" borderId="0" xfId="27" applyFont="1" applyFill="1" applyAlignment="1">
      <alignment horizontal="center" vertical="center" wrapText="1"/>
    </xf>
    <xf numFmtId="4" fontId="15" fillId="36" borderId="122" xfId="27" applyNumberFormat="1" applyFont="1" applyFill="1" applyBorder="1" applyAlignment="1">
      <alignment horizontal="right" vertical="center"/>
    </xf>
    <xf numFmtId="4" fontId="146" fillId="36" borderId="122" xfId="27" applyNumberFormat="1" applyFont="1" applyFill="1" applyBorder="1" applyAlignment="1">
      <alignment horizontal="right" vertical="center"/>
    </xf>
    <xf numFmtId="4" fontId="150" fillId="36" borderId="122" xfId="27" applyNumberFormat="1" applyFont="1" applyFill="1" applyBorder="1" applyAlignment="1">
      <alignment horizontal="right" vertical="center"/>
    </xf>
    <xf numFmtId="4" fontId="15" fillId="36" borderId="0" xfId="27" applyNumberFormat="1" applyFont="1" applyFill="1" applyAlignment="1">
      <alignment horizontal="right" vertical="center"/>
    </xf>
    <xf numFmtId="0" fontId="27" fillId="0" borderId="125" xfId="27" applyFont="1" applyBorder="1" applyAlignment="1">
      <alignment horizontal="center" vertical="center"/>
    </xf>
    <xf numFmtId="4" fontId="15" fillId="0" borderId="125" xfId="27" applyNumberFormat="1" applyFont="1" applyBorder="1" applyAlignment="1">
      <alignment horizontal="right" vertical="center"/>
    </xf>
    <xf numFmtId="4" fontId="138" fillId="0" borderId="125" xfId="27" applyNumberFormat="1" applyFont="1" applyBorder="1" applyAlignment="1">
      <alignment horizontal="right" vertical="center"/>
    </xf>
    <xf numFmtId="4" fontId="146" fillId="0" borderId="125" xfId="27" applyNumberFormat="1" applyFont="1" applyBorder="1" applyAlignment="1">
      <alignment horizontal="right" vertical="center"/>
    </xf>
    <xf numFmtId="4" fontId="150" fillId="0" borderId="125" xfId="27" applyNumberFormat="1" applyFont="1" applyBorder="1" applyAlignment="1">
      <alignment horizontal="right" vertical="center"/>
    </xf>
    <xf numFmtId="4" fontId="15" fillId="0" borderId="0" xfId="27" applyNumberFormat="1" applyFont="1" applyAlignment="1">
      <alignment horizontal="right" vertical="center"/>
    </xf>
    <xf numFmtId="0" fontId="15" fillId="37" borderId="0" xfId="27" applyFont="1" applyFill="1" applyAlignment="1">
      <alignment horizontal="center" vertical="center"/>
    </xf>
    <xf numFmtId="4" fontId="15" fillId="36" borderId="125" xfId="27" applyNumberFormat="1" applyFont="1" applyFill="1" applyBorder="1" applyAlignment="1">
      <alignment horizontal="right" vertical="center"/>
    </xf>
    <xf numFmtId="3" fontId="143" fillId="0" borderId="129" xfId="27" applyNumberFormat="1" applyFont="1" applyBorder="1" applyAlignment="1">
      <alignment horizontal="center" vertical="center"/>
    </xf>
    <xf numFmtId="0" fontId="27" fillId="0" borderId="129" xfId="27" applyFont="1" applyBorder="1" applyAlignment="1">
      <alignment horizontal="center" vertical="center"/>
    </xf>
    <xf numFmtId="0" fontId="27" fillId="0" borderId="129" xfId="27" applyFont="1" applyBorder="1" applyAlignment="1">
      <alignment horizontal="left" vertical="center" wrapText="1"/>
    </xf>
    <xf numFmtId="4" fontId="15" fillId="0" borderId="129" xfId="27" applyNumberFormat="1" applyFont="1" applyBorder="1" applyAlignment="1">
      <alignment horizontal="right" vertical="center"/>
    </xf>
    <xf numFmtId="4" fontId="15" fillId="0" borderId="118" xfId="27" applyNumberFormat="1" applyFont="1" applyBorder="1" applyAlignment="1">
      <alignment horizontal="right" vertical="center"/>
    </xf>
    <xf numFmtId="3" fontId="147" fillId="0" borderId="0" xfId="27" applyNumberFormat="1" applyFont="1" applyAlignment="1">
      <alignment horizontal="center" vertical="center"/>
    </xf>
    <xf numFmtId="4" fontId="104" fillId="0" borderId="0" xfId="27" applyNumberFormat="1" applyFont="1" applyAlignment="1">
      <alignment horizontal="right" vertical="center"/>
    </xf>
    <xf numFmtId="3" fontId="143" fillId="0" borderId="0" xfId="27" quotePrefix="1" applyNumberFormat="1" applyFont="1" applyAlignment="1">
      <alignment horizontal="center" vertical="center"/>
    </xf>
    <xf numFmtId="0" fontId="15" fillId="0" borderId="0" xfId="27" applyFont="1" applyAlignment="1">
      <alignment horizontal="left" vertical="center"/>
    </xf>
    <xf numFmtId="15" fontId="149" fillId="0" borderId="0" xfId="27" quotePrefix="1" applyNumberFormat="1" applyFont="1"/>
    <xf numFmtId="4" fontId="160" fillId="36" borderId="122" xfId="27" applyNumberFormat="1" applyFont="1" applyFill="1" applyBorder="1" applyAlignment="1">
      <alignment horizontal="right" vertical="center"/>
    </xf>
    <xf numFmtId="0" fontId="27" fillId="36" borderId="125" xfId="3" applyFont="1" applyFill="1" applyBorder="1" applyAlignment="1">
      <alignment horizontal="center" vertical="center" wrapText="1"/>
    </xf>
    <xf numFmtId="4" fontId="137" fillId="36" borderId="122" xfId="3" applyNumberFormat="1" applyFont="1" applyFill="1" applyBorder="1" applyAlignment="1">
      <alignment horizontal="right" vertical="center"/>
    </xf>
    <xf numFmtId="0" fontId="27" fillId="0" borderId="125" xfId="3" applyFont="1" applyBorder="1" applyAlignment="1">
      <alignment horizontal="center" vertical="center" wrapText="1"/>
    </xf>
    <xf numFmtId="4" fontId="146" fillId="0" borderId="125" xfId="3" applyNumberFormat="1" applyFont="1" applyBorder="1" applyAlignment="1">
      <alignment horizontal="right" vertical="center"/>
    </xf>
    <xf numFmtId="4" fontId="15" fillId="0" borderId="0" xfId="3" applyNumberFormat="1" applyFont="1" applyAlignment="1">
      <alignment horizontal="right" vertical="center"/>
    </xf>
    <xf numFmtId="4" fontId="146" fillId="36" borderId="125" xfId="3" applyNumberFormat="1" applyFont="1" applyFill="1" applyBorder="1" applyAlignment="1">
      <alignment horizontal="right" vertical="center"/>
    </xf>
    <xf numFmtId="4" fontId="160" fillId="44" borderId="125" xfId="3" applyNumberFormat="1" applyFont="1" applyFill="1" applyBorder="1" applyAlignment="1">
      <alignment horizontal="right" vertical="center"/>
    </xf>
    <xf numFmtId="4" fontId="160" fillId="0" borderId="125" xfId="3" applyNumberFormat="1" applyFont="1" applyBorder="1" applyAlignment="1">
      <alignment horizontal="right" vertical="center"/>
    </xf>
    <xf numFmtId="0" fontId="108" fillId="27" borderId="135" xfId="3" applyFont="1" applyFill="1" applyBorder="1" applyAlignment="1">
      <alignment horizontal="center" vertical="center"/>
    </xf>
    <xf numFmtId="169" fontId="112" fillId="0" borderId="125" xfId="3" applyNumberFormat="1" applyFont="1" applyBorder="1" applyAlignment="1">
      <alignment horizontal="center" vertical="center" wrapText="1"/>
    </xf>
    <xf numFmtId="169" fontId="116" fillId="0" borderId="129" xfId="3" applyNumberFormat="1" applyFont="1" applyBorder="1" applyAlignment="1">
      <alignment horizontal="center" vertical="center" wrapText="1"/>
    </xf>
    <xf numFmtId="169" fontId="120" fillId="0" borderId="125" xfId="3" applyNumberFormat="1" applyFont="1" applyBorder="1" applyAlignment="1">
      <alignment horizontal="center" vertical="center" wrapText="1"/>
    </xf>
    <xf numFmtId="4" fontId="123" fillId="30" borderId="157" xfId="20" applyNumberFormat="1" applyFont="1" applyFill="1" applyBorder="1" applyAlignment="1">
      <alignment horizontal="center" vertical="center"/>
    </xf>
    <xf numFmtId="4" fontId="150" fillId="36" borderId="182" xfId="20" applyNumberFormat="1" applyFont="1" applyFill="1" applyBorder="1" applyAlignment="1">
      <alignment horizontal="right" vertical="center"/>
    </xf>
    <xf numFmtId="0" fontId="26" fillId="38" borderId="0" xfId="20" applyFill="1"/>
    <xf numFmtId="9" fontId="150" fillId="0" borderId="0" xfId="5" applyFont="1" applyAlignment="1">
      <alignment horizontal="right" vertical="center"/>
    </xf>
    <xf numFmtId="4" fontId="150" fillId="0" borderId="168" xfId="20" applyNumberFormat="1" applyFont="1" applyBorder="1" applyAlignment="1">
      <alignment horizontal="right" vertical="center"/>
    </xf>
    <xf numFmtId="4" fontId="200" fillId="36" borderId="125" xfId="20" applyNumberFormat="1" applyFont="1" applyFill="1" applyBorder="1" applyAlignment="1">
      <alignment horizontal="right" vertical="center"/>
    </xf>
    <xf numFmtId="0" fontId="26" fillId="38" borderId="168" xfId="20" applyFill="1" applyBorder="1"/>
    <xf numFmtId="0" fontId="26" fillId="0" borderId="168" xfId="20" applyBorder="1"/>
    <xf numFmtId="0" fontId="26" fillId="0" borderId="0" xfId="20" applyAlignment="1">
      <alignment vertical="center"/>
    </xf>
    <xf numFmtId="4" fontId="160" fillId="0" borderId="125" xfId="20" applyNumberFormat="1" applyFont="1" applyBorder="1" applyAlignment="1">
      <alignment horizontal="right" vertical="center"/>
    </xf>
    <xf numFmtId="4" fontId="246" fillId="21" borderId="125" xfId="20" applyNumberFormat="1" applyFont="1" applyFill="1" applyBorder="1" applyAlignment="1">
      <alignment horizontal="right" vertical="center"/>
    </xf>
    <xf numFmtId="0" fontId="247" fillId="0" borderId="0" xfId="20" applyFont="1" applyAlignment="1">
      <alignment horizontal="right" vertical="center"/>
    </xf>
    <xf numFmtId="0" fontId="247" fillId="0" borderId="0" xfId="20" applyFont="1" applyAlignment="1">
      <alignment horizontal="left" vertical="center"/>
    </xf>
    <xf numFmtId="4" fontId="200" fillId="36" borderId="122" xfId="20" applyNumberFormat="1" applyFont="1" applyFill="1" applyBorder="1" applyAlignment="1">
      <alignment horizontal="right" vertical="center"/>
    </xf>
    <xf numFmtId="4" fontId="248" fillId="36" borderId="122" xfId="20" applyNumberFormat="1" applyFont="1" applyFill="1" applyBorder="1" applyAlignment="1">
      <alignment horizontal="right" vertical="center"/>
    </xf>
    <xf numFmtId="4" fontId="160" fillId="44" borderId="125" xfId="20" applyNumberFormat="1" applyFont="1" applyFill="1" applyBorder="1" applyAlignment="1">
      <alignment horizontal="right" vertical="center"/>
    </xf>
    <xf numFmtId="9" fontId="150" fillId="36" borderId="125" xfId="5" applyFont="1" applyFill="1" applyBorder="1" applyAlignment="1">
      <alignment horizontal="right" vertical="center"/>
    </xf>
    <xf numFmtId="9" fontId="150" fillId="0" borderId="125" xfId="5" applyFont="1" applyFill="1" applyBorder="1" applyAlignment="1">
      <alignment horizontal="right" vertical="center"/>
    </xf>
    <xf numFmtId="9" fontId="150" fillId="0" borderId="0" xfId="5" applyFont="1" applyFill="1" applyBorder="1" applyAlignment="1">
      <alignment horizontal="right" vertical="center"/>
    </xf>
    <xf numFmtId="9" fontId="104" fillId="0" borderId="0" xfId="5" applyFont="1" applyAlignment="1">
      <alignment horizontal="left" vertical="center"/>
    </xf>
    <xf numFmtId="9" fontId="104" fillId="0" borderId="0" xfId="5" applyFont="1" applyAlignment="1">
      <alignment horizontal="center"/>
    </xf>
    <xf numFmtId="9" fontId="0" fillId="0" borderId="0" xfId="5" applyFont="1" applyAlignment="1">
      <alignment horizontal="left"/>
    </xf>
    <xf numFmtId="0" fontId="26" fillId="0" borderId="0" xfId="20" applyAlignment="1">
      <alignment horizontal="right"/>
    </xf>
    <xf numFmtId="9" fontId="0" fillId="0" borderId="0" xfId="5" applyFont="1" applyAlignment="1">
      <alignment horizontal="center"/>
    </xf>
    <xf numFmtId="9" fontId="26" fillId="0" borderId="0" xfId="5" applyFont="1" applyAlignment="1">
      <alignment horizontal="left"/>
    </xf>
    <xf numFmtId="0" fontId="26" fillId="0" borderId="0" xfId="20" applyAlignment="1">
      <alignment horizontal="center"/>
    </xf>
    <xf numFmtId="4" fontId="219" fillId="36" borderId="122" xfId="20" applyNumberFormat="1" applyFont="1" applyFill="1" applyBorder="1" applyAlignment="1">
      <alignment horizontal="left" vertical="center"/>
    </xf>
    <xf numFmtId="4" fontId="219" fillId="0" borderId="125" xfId="20" applyNumberFormat="1" applyFont="1" applyBorder="1" applyAlignment="1">
      <alignment horizontal="left" vertical="center"/>
    </xf>
    <xf numFmtId="4" fontId="219" fillId="36" borderId="125" xfId="20" applyNumberFormat="1" applyFont="1" applyFill="1" applyBorder="1" applyAlignment="1">
      <alignment horizontal="left" vertical="center"/>
    </xf>
    <xf numFmtId="3" fontId="143" fillId="0" borderId="183" xfId="20" applyNumberFormat="1" applyFont="1" applyBorder="1" applyAlignment="1">
      <alignment horizontal="center" vertical="center"/>
    </xf>
    <xf numFmtId="0" fontId="27" fillId="36" borderId="183" xfId="20" applyFont="1" applyFill="1" applyBorder="1" applyAlignment="1">
      <alignment horizontal="left" vertical="center"/>
    </xf>
    <xf numFmtId="0" fontId="27" fillId="36" borderId="183" xfId="20" applyFont="1" applyFill="1" applyBorder="1" applyAlignment="1">
      <alignment horizontal="center" vertical="center"/>
    </xf>
    <xf numFmtId="0" fontId="27" fillId="36" borderId="183" xfId="20" applyFont="1" applyFill="1" applyBorder="1" applyAlignment="1">
      <alignment horizontal="left" vertical="center" wrapText="1"/>
    </xf>
    <xf numFmtId="0" fontId="15" fillId="37" borderId="184" xfId="20" applyFont="1" applyFill="1" applyBorder="1" applyAlignment="1">
      <alignment horizontal="center" vertical="center"/>
    </xf>
    <xf numFmtId="4" fontId="15" fillId="36" borderId="183" xfId="20" applyNumberFormat="1" applyFont="1" applyFill="1" applyBorder="1" applyAlignment="1">
      <alignment horizontal="right" vertical="center"/>
    </xf>
    <xf numFmtId="4" fontId="219" fillId="36" borderId="183" xfId="20" applyNumberFormat="1" applyFont="1" applyFill="1" applyBorder="1" applyAlignment="1">
      <alignment horizontal="right" vertical="center"/>
    </xf>
    <xf numFmtId="4" fontId="219" fillId="36" borderId="183" xfId="20" applyNumberFormat="1" applyFont="1" applyFill="1" applyBorder="1" applyAlignment="1">
      <alignment horizontal="left" vertical="center"/>
    </xf>
    <xf numFmtId="4" fontId="15" fillId="36" borderId="184" xfId="20" applyNumberFormat="1" applyFont="1" applyFill="1" applyBorder="1" applyAlignment="1">
      <alignment horizontal="right" vertical="center"/>
    </xf>
    <xf numFmtId="0" fontId="15" fillId="37" borderId="183" xfId="20" applyFont="1" applyFill="1" applyBorder="1" applyAlignment="1">
      <alignment horizontal="center" vertical="center"/>
    </xf>
    <xf numFmtId="4" fontId="138" fillId="0" borderId="129" xfId="20" applyNumberFormat="1" applyFont="1" applyBorder="1" applyAlignment="1">
      <alignment horizontal="right" vertical="center"/>
    </xf>
    <xf numFmtId="4" fontId="219" fillId="0" borderId="129" xfId="20" applyNumberFormat="1" applyFont="1" applyBorder="1" applyAlignment="1">
      <alignment horizontal="right" vertical="center"/>
    </xf>
    <xf numFmtId="4" fontId="219" fillId="0" borderId="129" xfId="20" applyNumberFormat="1" applyFont="1" applyBorder="1" applyAlignment="1">
      <alignment horizontal="left" vertical="center"/>
    </xf>
    <xf numFmtId="0" fontId="110" fillId="0" borderId="185" xfId="20" applyFont="1" applyBorder="1" applyAlignment="1">
      <alignment horizontal="center"/>
    </xf>
    <xf numFmtId="169" fontId="112" fillId="0" borderId="138" xfId="20" applyNumberFormat="1" applyFont="1" applyBorder="1" applyAlignment="1">
      <alignment horizontal="center" vertical="center" wrapText="1"/>
    </xf>
    <xf numFmtId="169" fontId="112" fillId="0" borderId="186" xfId="20" applyNumberFormat="1" applyFont="1" applyBorder="1" applyAlignment="1">
      <alignment horizontal="center" vertical="center" wrapText="1"/>
    </xf>
    <xf numFmtId="169" fontId="116" fillId="0" borderId="139" xfId="20" applyNumberFormat="1" applyFont="1" applyBorder="1" applyAlignment="1">
      <alignment horizontal="center" vertical="center" wrapText="1"/>
    </xf>
    <xf numFmtId="169" fontId="116" fillId="0" borderId="187" xfId="20" applyNumberFormat="1" applyFont="1" applyBorder="1" applyAlignment="1">
      <alignment horizontal="center" vertical="center" wrapText="1"/>
    </xf>
    <xf numFmtId="170" fontId="15" fillId="29" borderId="188" xfId="20" applyNumberFormat="1" applyFont="1" applyFill="1" applyBorder="1" applyAlignment="1">
      <alignment horizontal="center" vertical="center"/>
    </xf>
    <xf numFmtId="170" fontId="15" fillId="29" borderId="156" xfId="20" applyNumberFormat="1" applyFont="1" applyFill="1" applyBorder="1" applyAlignment="1">
      <alignment horizontal="center" vertical="center"/>
    </xf>
    <xf numFmtId="170" fontId="15" fillId="0" borderId="186" xfId="20" applyNumberFormat="1" applyFont="1" applyBorder="1" applyAlignment="1">
      <alignment horizontal="center" vertical="center"/>
    </xf>
    <xf numFmtId="170" fontId="16" fillId="29" borderId="186" xfId="20" applyNumberFormat="1" applyFont="1" applyFill="1" applyBorder="1" applyAlignment="1">
      <alignment horizontal="center" vertical="center"/>
    </xf>
    <xf numFmtId="170" fontId="15" fillId="0" borderId="167" xfId="20" applyNumberFormat="1" applyFont="1" applyBorder="1" applyAlignment="1">
      <alignment horizontal="center" vertical="center"/>
    </xf>
    <xf numFmtId="4" fontId="123" fillId="30" borderId="152" xfId="20" applyNumberFormat="1" applyFont="1" applyFill="1" applyBorder="1" applyAlignment="1">
      <alignment horizontal="center" vertical="center"/>
    </xf>
    <xf numFmtId="171" fontId="126" fillId="32" borderId="189" xfId="20" applyNumberFormat="1" applyFont="1" applyFill="1" applyBorder="1" applyAlignment="1">
      <alignment horizontal="center" vertical="center"/>
    </xf>
    <xf numFmtId="171" fontId="126" fillId="32" borderId="190" xfId="20" applyNumberFormat="1" applyFont="1" applyFill="1" applyBorder="1" applyAlignment="1">
      <alignment horizontal="center" vertical="center"/>
    </xf>
    <xf numFmtId="0" fontId="15" fillId="36" borderId="122" xfId="20" applyFont="1" applyFill="1" applyBorder="1" applyAlignment="1">
      <alignment horizontal="left" vertical="center"/>
    </xf>
    <xf numFmtId="0" fontId="15" fillId="36" borderId="125" xfId="20" applyFont="1" applyFill="1" applyBorder="1" applyAlignment="1">
      <alignment horizontal="left" vertical="center"/>
    </xf>
    <xf numFmtId="0" fontId="15" fillId="36" borderId="125" xfId="20" applyFont="1" applyFill="1" applyBorder="1" applyAlignment="1">
      <alignment horizontal="center" vertical="center"/>
    </xf>
    <xf numFmtId="0" fontId="15" fillId="0" borderId="125" xfId="20" applyFont="1" applyBorder="1" applyAlignment="1">
      <alignment horizontal="left" vertical="center"/>
    </xf>
    <xf numFmtId="4" fontId="14" fillId="36" borderId="125" xfId="20" applyNumberFormat="1" applyFont="1" applyFill="1" applyBorder="1" applyAlignment="1">
      <alignment horizontal="right" vertical="center"/>
    </xf>
    <xf numFmtId="4" fontId="14" fillId="36" borderId="0" xfId="20" applyNumberFormat="1" applyFont="1" applyFill="1" applyAlignment="1">
      <alignment horizontal="right" vertical="center"/>
    </xf>
    <xf numFmtId="3" fontId="143" fillId="0" borderId="191" xfId="20" applyNumberFormat="1" applyFont="1" applyBorder="1" applyAlignment="1">
      <alignment horizontal="center" vertical="center"/>
    </xf>
    <xf numFmtId="0" fontId="15" fillId="0" borderId="191" xfId="20" applyFont="1" applyBorder="1" applyAlignment="1">
      <alignment horizontal="left" vertical="center"/>
    </xf>
    <xf numFmtId="0" fontId="15" fillId="0" borderId="191" xfId="20" applyFont="1" applyBorder="1" applyAlignment="1">
      <alignment horizontal="center" vertical="center"/>
    </xf>
    <xf numFmtId="0" fontId="15" fillId="0" borderId="191" xfId="20" applyFont="1" applyBorder="1" applyAlignment="1">
      <alignment horizontal="left" vertical="center" wrapText="1"/>
    </xf>
    <xf numFmtId="0" fontId="15" fillId="0" borderId="192" xfId="20" applyFont="1" applyBorder="1" applyAlignment="1">
      <alignment horizontal="center" vertical="center"/>
    </xf>
    <xf numFmtId="4" fontId="15" fillId="0" borderId="191" xfId="20" applyNumberFormat="1" applyFont="1" applyBorder="1" applyAlignment="1">
      <alignment horizontal="right" vertical="center"/>
    </xf>
    <xf numFmtId="4" fontId="150" fillId="0" borderId="191" xfId="20" applyNumberFormat="1" applyFont="1" applyBorder="1" applyAlignment="1">
      <alignment horizontal="right" vertical="center"/>
    </xf>
    <xf numFmtId="4" fontId="150" fillId="0" borderId="192" xfId="20" applyNumberFormat="1" applyFont="1" applyBorder="1" applyAlignment="1">
      <alignment horizontal="right" vertical="center"/>
    </xf>
    <xf numFmtId="0" fontId="15" fillId="36" borderId="191" xfId="20" applyFont="1" applyFill="1" applyBorder="1" applyAlignment="1">
      <alignment horizontal="left" vertical="center"/>
    </xf>
    <xf numFmtId="0" fontId="15" fillId="36" borderId="191" xfId="20" applyFont="1" applyFill="1" applyBorder="1" applyAlignment="1">
      <alignment horizontal="center" vertical="center"/>
    </xf>
    <xf numFmtId="0" fontId="15" fillId="36" borderId="191" xfId="20" applyFont="1" applyFill="1" applyBorder="1" applyAlignment="1">
      <alignment horizontal="left" vertical="center" wrapText="1"/>
    </xf>
    <xf numFmtId="0" fontId="15" fillId="37" borderId="192" xfId="20" applyFont="1" applyFill="1" applyBorder="1" applyAlignment="1">
      <alignment horizontal="center" vertical="center"/>
    </xf>
    <xf numFmtId="4" fontId="15" fillId="36" borderId="191" xfId="20" applyNumberFormat="1" applyFont="1" applyFill="1" applyBorder="1" applyAlignment="1">
      <alignment horizontal="right" vertical="center"/>
    </xf>
    <xf numFmtId="4" fontId="150" fillId="36" borderId="191" xfId="20" applyNumberFormat="1" applyFont="1" applyFill="1" applyBorder="1" applyAlignment="1">
      <alignment horizontal="right" vertical="center"/>
    </xf>
    <xf numFmtId="4" fontId="150" fillId="36" borderId="192" xfId="20" applyNumberFormat="1" applyFont="1" applyFill="1" applyBorder="1" applyAlignment="1">
      <alignment horizontal="right" vertical="center"/>
    </xf>
    <xf numFmtId="4" fontId="205" fillId="0" borderId="125" xfId="20" applyNumberFormat="1" applyFont="1" applyBorder="1" applyAlignment="1">
      <alignment horizontal="right" vertical="center"/>
    </xf>
    <xf numFmtId="4" fontId="15" fillId="36" borderId="193" xfId="20" applyNumberFormat="1" applyFont="1" applyFill="1" applyBorder="1" applyAlignment="1">
      <alignment horizontal="right" vertical="center"/>
    </xf>
    <xf numFmtId="4" fontId="138" fillId="36" borderId="194" xfId="20" applyNumberFormat="1" applyFont="1" applyFill="1" applyBorder="1" applyAlignment="1">
      <alignment horizontal="right" vertical="center"/>
    </xf>
    <xf numFmtId="4" fontId="150" fillId="36" borderId="195" xfId="20" applyNumberFormat="1" applyFont="1" applyFill="1" applyBorder="1" applyAlignment="1">
      <alignment horizontal="right" vertical="center"/>
    </xf>
    <xf numFmtId="4" fontId="205" fillId="36" borderId="191" xfId="20" applyNumberFormat="1" applyFont="1" applyFill="1" applyBorder="1" applyAlignment="1">
      <alignment horizontal="right" vertical="center"/>
    </xf>
    <xf numFmtId="4" fontId="205" fillId="36" borderId="125" xfId="20" applyNumberFormat="1" applyFont="1" applyFill="1" applyBorder="1" applyAlignment="1">
      <alignment horizontal="right" vertical="center"/>
    </xf>
    <xf numFmtId="0" fontId="235" fillId="0" borderId="0" xfId="20" applyFont="1"/>
    <xf numFmtId="0" fontId="90" fillId="0" borderId="0" xfId="12"/>
    <xf numFmtId="4" fontId="160" fillId="0" borderId="191" xfId="20" applyNumberFormat="1" applyFont="1" applyBorder="1" applyAlignment="1">
      <alignment horizontal="right" vertical="center"/>
    </xf>
    <xf numFmtId="4" fontId="160" fillId="36" borderId="191" xfId="20" applyNumberFormat="1" applyFont="1" applyFill="1" applyBorder="1" applyAlignment="1">
      <alignment horizontal="right" vertical="center"/>
    </xf>
    <xf numFmtId="4" fontId="160" fillId="0" borderId="0" xfId="20" applyNumberFormat="1" applyFont="1" applyAlignment="1">
      <alignment horizontal="right" vertical="center"/>
    </xf>
    <xf numFmtId="4" fontId="160" fillId="36" borderId="0" xfId="20" applyNumberFormat="1" applyFont="1" applyFill="1" applyAlignment="1">
      <alignment horizontal="right" vertical="center"/>
    </xf>
    <xf numFmtId="9" fontId="219" fillId="36" borderId="125" xfId="5" applyFont="1" applyFill="1" applyBorder="1" applyAlignment="1">
      <alignment horizontal="right" vertical="center"/>
    </xf>
    <xf numFmtId="9" fontId="219" fillId="36" borderId="0" xfId="5" applyFont="1" applyFill="1" applyBorder="1" applyAlignment="1">
      <alignment horizontal="right" vertical="center"/>
    </xf>
    <xf numFmtId="9" fontId="160" fillId="36" borderId="125" xfId="5" applyFont="1" applyFill="1" applyBorder="1" applyAlignment="1">
      <alignment horizontal="right" vertical="center"/>
    </xf>
    <xf numFmtId="0" fontId="121" fillId="30" borderId="125" xfId="20" applyFont="1" applyFill="1" applyBorder="1" applyAlignment="1">
      <alignment horizontal="left" vertical="center"/>
    </xf>
    <xf numFmtId="171" fontId="126" fillId="30" borderId="138" xfId="20" applyNumberFormat="1" applyFont="1" applyFill="1" applyBorder="1" applyAlignment="1">
      <alignment horizontal="center" vertical="center"/>
    </xf>
    <xf numFmtId="0" fontId="121" fillId="30" borderId="160" xfId="20" applyFont="1" applyFill="1" applyBorder="1" applyAlignment="1">
      <alignment horizontal="left" vertical="center"/>
    </xf>
    <xf numFmtId="171" fontId="126" fillId="30" borderId="160" xfId="20" applyNumberFormat="1" applyFont="1" applyFill="1" applyBorder="1" applyAlignment="1">
      <alignment horizontal="center" vertical="center"/>
    </xf>
    <xf numFmtId="0" fontId="121" fillId="32" borderId="125" xfId="20" applyFont="1" applyFill="1" applyBorder="1" applyAlignment="1">
      <alignment horizontal="left" vertical="center"/>
    </xf>
    <xf numFmtId="171" fontId="126" fillId="32" borderId="138" xfId="20" applyNumberFormat="1" applyFont="1" applyFill="1" applyBorder="1" applyAlignment="1">
      <alignment horizontal="center" vertical="center"/>
    </xf>
    <xf numFmtId="0" fontId="121" fillId="32" borderId="160" xfId="20" applyFont="1" applyFill="1" applyBorder="1" applyAlignment="1">
      <alignment horizontal="left" vertical="center"/>
    </xf>
    <xf numFmtId="0" fontId="104" fillId="0" borderId="145" xfId="20" applyFont="1" applyBorder="1" applyAlignment="1">
      <alignment horizontal="center"/>
    </xf>
    <xf numFmtId="0" fontId="27" fillId="0" borderId="177" xfId="20" applyFont="1" applyBorder="1"/>
    <xf numFmtId="2" fontId="26" fillId="0" borderId="0" xfId="20" applyNumberFormat="1"/>
    <xf numFmtId="176" fontId="26" fillId="0" borderId="0" xfId="20" applyNumberFormat="1"/>
    <xf numFmtId="4" fontId="240" fillId="0" borderId="125" xfId="20" applyNumberFormat="1" applyFont="1" applyBorder="1" applyAlignment="1">
      <alignment horizontal="right" vertical="center"/>
    </xf>
    <xf numFmtId="15" fontId="149" fillId="0" borderId="0" xfId="20" quotePrefix="1" applyNumberFormat="1" applyFont="1" applyAlignment="1">
      <alignment vertical="center"/>
    </xf>
    <xf numFmtId="177" fontId="104" fillId="0" borderId="0" xfId="9" applyNumberFormat="1" applyFont="1" applyAlignment="1">
      <alignment horizontal="center" vertical="center"/>
    </xf>
    <xf numFmtId="4" fontId="104" fillId="0" borderId="0" xfId="20" applyNumberFormat="1" applyFont="1" applyAlignment="1">
      <alignment horizontal="left" vertical="center"/>
    </xf>
    <xf numFmtId="166" fontId="104" fillId="0" borderId="0" xfId="20" applyNumberFormat="1" applyFont="1" applyAlignment="1">
      <alignment horizontal="center" vertical="center"/>
    </xf>
    <xf numFmtId="0" fontId="90" fillId="0" borderId="0" xfId="12" applyAlignment="1">
      <alignment vertical="center"/>
    </xf>
    <xf numFmtId="0" fontId="105" fillId="45" borderId="0" xfId="20" applyFont="1" applyFill="1" applyAlignment="1">
      <alignment horizontal="left" vertical="center"/>
    </xf>
    <xf numFmtId="0" fontId="26" fillId="45" borderId="0" xfId="20" applyFill="1"/>
    <xf numFmtId="0" fontId="104" fillId="45" borderId="0" xfId="20" applyFont="1" applyFill="1" applyAlignment="1">
      <alignment horizontal="right" vertical="center"/>
    </xf>
    <xf numFmtId="164" fontId="104" fillId="0" borderId="0" xfId="5" applyNumberFormat="1" applyFont="1" applyAlignment="1">
      <alignment horizontal="center" vertical="center"/>
    </xf>
    <xf numFmtId="0" fontId="104" fillId="21" borderId="0" xfId="20" applyFont="1" applyFill="1" applyAlignment="1">
      <alignment horizontal="left" vertical="center"/>
    </xf>
    <xf numFmtId="0" fontId="7" fillId="21" borderId="0" xfId="20" applyFont="1" applyFill="1"/>
    <xf numFmtId="164" fontId="105" fillId="21" borderId="0" xfId="5" applyNumberFormat="1" applyFont="1" applyFill="1" applyAlignment="1">
      <alignment horizontal="right" vertical="center"/>
    </xf>
    <xf numFmtId="164" fontId="104" fillId="0" borderId="0" xfId="20" applyNumberFormat="1" applyFont="1" applyAlignment="1">
      <alignment horizontal="center" vertical="center"/>
    </xf>
    <xf numFmtId="0" fontId="26" fillId="21" borderId="0" xfId="20" applyFill="1"/>
    <xf numFmtId="164" fontId="104" fillId="21" borderId="0" xfId="5" applyNumberFormat="1" applyFont="1" applyFill="1" applyAlignment="1">
      <alignment horizontal="right" vertical="center"/>
    </xf>
    <xf numFmtId="164" fontId="0" fillId="21" borderId="0" xfId="5" applyNumberFormat="1" applyFont="1" applyFill="1" applyAlignment="1">
      <alignment horizontal="right"/>
    </xf>
    <xf numFmtId="0" fontId="90" fillId="0" borderId="0" xfId="12" applyAlignment="1">
      <alignment horizontal="right"/>
    </xf>
    <xf numFmtId="164" fontId="0" fillId="0" borderId="0" xfId="5" applyNumberFormat="1" applyFont="1" applyFill="1" applyAlignment="1">
      <alignment horizontal="right"/>
    </xf>
    <xf numFmtId="164" fontId="26" fillId="0" borderId="0" xfId="20" applyNumberFormat="1" applyAlignment="1">
      <alignment horizontal="center" vertical="center"/>
    </xf>
    <xf numFmtId="0" fontId="105" fillId="35" borderId="196" xfId="20" applyFont="1" applyFill="1" applyBorder="1" applyAlignment="1">
      <alignment horizontal="center" vertical="center"/>
    </xf>
    <xf numFmtId="0" fontId="105" fillId="35" borderId="142" xfId="20" applyFont="1" applyFill="1" applyBorder="1" applyAlignment="1">
      <alignment horizontal="center" vertical="center"/>
    </xf>
    <xf numFmtId="4" fontId="141" fillId="36" borderId="140" xfId="20" applyNumberFormat="1" applyFont="1" applyFill="1" applyBorder="1" applyAlignment="1">
      <alignment horizontal="right" vertical="center"/>
    </xf>
    <xf numFmtId="4" fontId="138" fillId="36" borderId="197" xfId="20" applyNumberFormat="1" applyFont="1" applyFill="1" applyBorder="1" applyAlignment="1">
      <alignment horizontal="right" vertical="center"/>
    </xf>
    <xf numFmtId="4" fontId="146" fillId="36" borderId="197" xfId="20" applyNumberFormat="1" applyFont="1" applyFill="1" applyBorder="1" applyAlignment="1">
      <alignment horizontal="right" vertical="center"/>
    </xf>
    <xf numFmtId="4" fontId="150" fillId="36" borderId="156" xfId="20" applyNumberFormat="1" applyFont="1" applyFill="1" applyBorder="1" applyAlignment="1">
      <alignment horizontal="right" vertical="center"/>
    </xf>
    <xf numFmtId="4" fontId="141" fillId="0" borderId="138" xfId="20" applyNumberFormat="1" applyFont="1" applyBorder="1" applyAlignment="1">
      <alignment horizontal="right" vertical="center"/>
    </xf>
    <xf numFmtId="4" fontId="240" fillId="0" borderId="152" xfId="20" applyNumberFormat="1" applyFont="1" applyBorder="1" applyAlignment="1">
      <alignment horizontal="right" vertical="center"/>
    </xf>
    <xf numFmtId="4" fontId="146" fillId="0" borderId="0" xfId="20" applyNumberFormat="1" applyFont="1" applyAlignment="1">
      <alignment horizontal="right" vertical="center"/>
    </xf>
    <xf numFmtId="4" fontId="150" fillId="0" borderId="157" xfId="20" applyNumberFormat="1" applyFont="1" applyBorder="1" applyAlignment="1">
      <alignment horizontal="right" vertical="center"/>
    </xf>
    <xf numFmtId="4" fontId="141" fillId="36" borderId="138" xfId="20" applyNumberFormat="1" applyFont="1" applyFill="1" applyBorder="1" applyAlignment="1">
      <alignment horizontal="right" vertical="center"/>
    </xf>
    <xf numFmtId="4" fontId="156" fillId="36" borderId="152" xfId="20" applyNumberFormat="1" applyFont="1" applyFill="1" applyBorder="1" applyAlignment="1">
      <alignment horizontal="right" vertical="center"/>
    </xf>
    <xf numFmtId="4" fontId="146" fillId="36" borderId="0" xfId="20" applyNumberFormat="1" applyFont="1" applyFill="1" applyAlignment="1">
      <alignment horizontal="right" vertical="center"/>
    </xf>
    <xf numFmtId="0" fontId="27" fillId="46" borderId="125" xfId="20" applyFont="1" applyFill="1" applyBorder="1" applyAlignment="1">
      <alignment horizontal="left" vertical="center"/>
    </xf>
    <xf numFmtId="0" fontId="27" fillId="46" borderId="125" xfId="20" applyFont="1" applyFill="1" applyBorder="1" applyAlignment="1">
      <alignment horizontal="center" vertical="center"/>
    </xf>
    <xf numFmtId="0" fontId="15" fillId="47" borderId="0" xfId="20" applyFont="1" applyFill="1" applyAlignment="1">
      <alignment horizontal="center" vertical="center" wrapText="1"/>
    </xf>
    <xf numFmtId="4" fontId="141" fillId="46" borderId="138" xfId="20" applyNumberFormat="1" applyFont="1" applyFill="1" applyBorder="1" applyAlignment="1">
      <alignment horizontal="right" vertical="center"/>
    </xf>
    <xf numFmtId="4" fontId="240" fillId="46" borderId="152" xfId="20" applyNumberFormat="1" applyFont="1" applyFill="1" applyBorder="1" applyAlignment="1">
      <alignment horizontal="right" vertical="center"/>
    </xf>
    <xf numFmtId="4" fontId="146" fillId="46" borderId="0" xfId="20" applyNumberFormat="1" applyFont="1" applyFill="1" applyAlignment="1">
      <alignment horizontal="right" vertical="center"/>
    </xf>
    <xf numFmtId="4" fontId="150" fillId="46" borderId="157" xfId="20" applyNumberFormat="1" applyFont="1" applyFill="1" applyBorder="1" applyAlignment="1">
      <alignment horizontal="right" vertical="center"/>
    </xf>
    <xf numFmtId="4" fontId="150" fillId="46" borderId="125" xfId="20" applyNumberFormat="1" applyFont="1" applyFill="1" applyBorder="1" applyAlignment="1">
      <alignment horizontal="right" vertical="center"/>
    </xf>
    <xf numFmtId="4" fontId="150" fillId="46" borderId="0" xfId="20" applyNumberFormat="1" applyFont="1" applyFill="1" applyAlignment="1">
      <alignment horizontal="right" vertical="center"/>
    </xf>
    <xf numFmtId="4" fontId="15" fillId="46" borderId="0" xfId="20" applyNumberFormat="1" applyFont="1" applyFill="1" applyAlignment="1">
      <alignment horizontal="right" vertical="center"/>
    </xf>
    <xf numFmtId="4" fontId="15" fillId="48" borderId="125" xfId="20" applyNumberFormat="1" applyFont="1" applyFill="1" applyBorder="1" applyAlignment="1">
      <alignment horizontal="right" vertical="center"/>
    </xf>
    <xf numFmtId="4" fontId="240" fillId="0" borderId="22" xfId="20" applyNumberFormat="1" applyFont="1" applyBorder="1" applyAlignment="1">
      <alignment horizontal="right" vertical="center"/>
    </xf>
    <xf numFmtId="4" fontId="146" fillId="0" borderId="22" xfId="20" applyNumberFormat="1" applyFont="1" applyBorder="1" applyAlignment="1">
      <alignment horizontal="right" vertical="center"/>
    </xf>
    <xf numFmtId="4" fontId="240" fillId="36" borderId="152" xfId="20" applyNumberFormat="1" applyFont="1" applyFill="1" applyBorder="1" applyAlignment="1">
      <alignment horizontal="right" vertical="center"/>
    </xf>
    <xf numFmtId="4" fontId="240" fillId="0" borderId="126" xfId="20" applyNumberFormat="1" applyFont="1" applyBorder="1" applyAlignment="1">
      <alignment horizontal="right" vertical="center"/>
    </xf>
    <xf numFmtId="4" fontId="138" fillId="0" borderId="137" xfId="20" applyNumberFormat="1" applyFont="1" applyBorder="1" applyAlignment="1">
      <alignment horizontal="right" vertical="center"/>
    </xf>
    <xf numFmtId="0" fontId="138" fillId="23" borderId="129" xfId="20" applyFont="1" applyFill="1" applyBorder="1" applyAlignment="1">
      <alignment horizontal="left" vertical="center"/>
    </xf>
    <xf numFmtId="4" fontId="138" fillId="23" borderId="129" xfId="20" applyNumberFormat="1" applyFont="1" applyFill="1" applyBorder="1" applyAlignment="1">
      <alignment horizontal="right" vertical="center"/>
    </xf>
    <xf numFmtId="165" fontId="0" fillId="0" borderId="198" xfId="0" applyNumberFormat="1" applyBorder="1" applyAlignment="1">
      <alignment horizontal="center" vertical="center"/>
    </xf>
    <xf numFmtId="0" fontId="101" fillId="26" borderId="0" xfId="3" applyFont="1" applyFill="1"/>
    <xf numFmtId="0" fontId="102" fillId="0" borderId="0" xfId="3" applyFont="1"/>
    <xf numFmtId="0" fontId="105" fillId="0" borderId="118" xfId="3" applyFont="1" applyBorder="1"/>
    <xf numFmtId="0" fontId="105" fillId="0" borderId="0" xfId="3" applyFont="1"/>
    <xf numFmtId="0" fontId="106" fillId="0" borderId="0" xfId="3" applyFont="1" applyAlignment="1">
      <alignment vertical="center"/>
    </xf>
    <xf numFmtId="0" fontId="107" fillId="0" borderId="119" xfId="3" applyFont="1" applyBorder="1" applyAlignment="1">
      <alignment horizontal="center" vertical="center"/>
    </xf>
    <xf numFmtId="0" fontId="108" fillId="0" borderId="138" xfId="3" applyFont="1" applyBorder="1" applyAlignment="1">
      <alignment horizontal="center" vertical="center"/>
    </xf>
    <xf numFmtId="0" fontId="108" fillId="28" borderId="121" xfId="3" applyFont="1" applyFill="1" applyBorder="1" applyAlignment="1">
      <alignment horizontal="center" vertical="center"/>
    </xf>
    <xf numFmtId="0" fontId="109" fillId="0" borderId="122" xfId="3" applyFont="1" applyBorder="1" applyAlignment="1">
      <alignment horizontal="left"/>
    </xf>
    <xf numFmtId="0" fontId="110" fillId="0" borderId="140" xfId="3" applyFont="1" applyBorder="1" applyAlignment="1">
      <alignment horizontal="center"/>
    </xf>
    <xf numFmtId="0" fontId="110" fillId="0" borderId="197" xfId="3" applyFont="1" applyBorder="1" applyAlignment="1">
      <alignment horizontal="center"/>
    </xf>
    <xf numFmtId="0" fontId="110" fillId="0" borderId="141" xfId="3" applyFont="1" applyBorder="1" applyAlignment="1">
      <alignment horizontal="center"/>
    </xf>
    <xf numFmtId="0" fontId="110" fillId="0" borderId="122" xfId="3" applyFont="1" applyBorder="1" applyAlignment="1">
      <alignment horizontal="center"/>
    </xf>
    <xf numFmtId="0" fontId="153" fillId="0" borderId="138" xfId="3" applyFont="1" applyBorder="1" applyAlignment="1">
      <alignment horizontal="center"/>
    </xf>
    <xf numFmtId="0" fontId="15" fillId="0" borderId="124" xfId="3" applyFont="1" applyBorder="1"/>
    <xf numFmtId="0" fontId="111" fillId="0" borderId="125" xfId="3" applyFont="1" applyBorder="1" applyAlignment="1">
      <alignment horizontal="left" vertical="center"/>
    </xf>
    <xf numFmtId="169" fontId="112" fillId="0" borderId="138" xfId="3" applyNumberFormat="1" applyFont="1" applyBorder="1" applyAlignment="1">
      <alignment horizontal="center" vertical="center" wrapText="1"/>
    </xf>
    <xf numFmtId="169" fontId="112" fillId="0" borderId="152" xfId="3" applyNumberFormat="1" applyFont="1" applyBorder="1" applyAlignment="1">
      <alignment horizontal="center" vertical="center" wrapText="1"/>
    </xf>
    <xf numFmtId="169" fontId="112" fillId="0" borderId="0" xfId="3" applyNumberFormat="1" applyFont="1" applyAlignment="1">
      <alignment horizontal="center" vertical="center" wrapText="1"/>
    </xf>
    <xf numFmtId="169" fontId="112" fillId="0" borderId="137" xfId="3" applyNumberFormat="1" applyFont="1" applyBorder="1" applyAlignment="1">
      <alignment horizontal="center" vertical="center" wrapText="1"/>
    </xf>
    <xf numFmtId="0" fontId="124" fillId="0" borderId="138" xfId="3" applyFont="1" applyBorder="1" applyAlignment="1">
      <alignment horizontal="center" vertical="center" wrapText="1"/>
    </xf>
    <xf numFmtId="0" fontId="15" fillId="0" borderId="128" xfId="3" applyFont="1" applyBorder="1" applyAlignment="1">
      <alignment horizontal="center" vertical="center" wrapText="1"/>
    </xf>
    <xf numFmtId="0" fontId="114" fillId="0" borderId="129" xfId="3" applyFont="1" applyBorder="1" applyAlignment="1">
      <alignment horizontal="left" vertical="center"/>
    </xf>
    <xf numFmtId="169" fontId="116" fillId="0" borderId="118" xfId="3" applyNumberFormat="1" applyFont="1" applyBorder="1" applyAlignment="1">
      <alignment horizontal="center" vertical="center" wrapText="1"/>
    </xf>
    <xf numFmtId="0" fontId="113" fillId="0" borderId="138" xfId="3" applyFont="1" applyBorder="1" applyAlignment="1">
      <alignment horizontal="center" vertical="center" wrapText="1"/>
    </xf>
    <xf numFmtId="0" fontId="15" fillId="0" borderId="130" xfId="3" applyFont="1" applyBorder="1" applyAlignment="1">
      <alignment horizontal="center" vertical="center" wrapText="1"/>
    </xf>
    <xf numFmtId="0" fontId="104" fillId="0" borderId="0" xfId="3" applyFont="1" applyAlignment="1">
      <alignment vertical="center"/>
    </xf>
    <xf numFmtId="0" fontId="27" fillId="29" borderId="125" xfId="3" applyFont="1" applyFill="1" applyBorder="1" applyAlignment="1">
      <alignment horizontal="left" vertical="center"/>
    </xf>
    <xf numFmtId="170" fontId="15" fillId="29" borderId="123" xfId="3" applyNumberFormat="1" applyFont="1" applyFill="1" applyBorder="1" applyAlignment="1">
      <alignment horizontal="center" vertical="center"/>
    </xf>
    <xf numFmtId="170" fontId="15" fillId="29" borderId="140" xfId="3" applyNumberFormat="1" applyFont="1" applyFill="1" applyBorder="1" applyAlignment="1">
      <alignment horizontal="center" vertical="center"/>
    </xf>
    <xf numFmtId="170" fontId="15" fillId="29" borderId="151" xfId="3" applyNumberFormat="1" applyFont="1" applyFill="1" applyBorder="1" applyAlignment="1">
      <alignment horizontal="center" vertical="center"/>
    </xf>
    <xf numFmtId="170" fontId="15" fillId="29" borderId="141" xfId="3" applyNumberFormat="1" applyFont="1" applyFill="1" applyBorder="1" applyAlignment="1">
      <alignment horizontal="center" vertical="center"/>
    </xf>
    <xf numFmtId="170" fontId="15" fillId="29" borderId="0" xfId="3" applyNumberFormat="1" applyFont="1" applyFill="1" applyAlignment="1">
      <alignment horizontal="center" vertical="center"/>
    </xf>
    <xf numFmtId="170" fontId="15" fillId="29" borderId="142" xfId="3" applyNumberFormat="1" applyFont="1" applyFill="1" applyBorder="1" applyAlignment="1">
      <alignment horizontal="center" vertical="center"/>
    </xf>
    <xf numFmtId="3" fontId="113" fillId="0" borderId="138" xfId="3" applyNumberFormat="1" applyFont="1" applyBorder="1" applyAlignment="1">
      <alignment horizontal="center" vertical="center"/>
    </xf>
    <xf numFmtId="2" fontId="15" fillId="29" borderId="124" xfId="3" applyNumberFormat="1" applyFont="1" applyFill="1" applyBorder="1" applyAlignment="1">
      <alignment horizontal="center" vertical="center"/>
    </xf>
    <xf numFmtId="170" fontId="15" fillId="0" borderId="125" xfId="3" applyNumberFormat="1" applyFont="1" applyBorder="1" applyAlignment="1">
      <alignment horizontal="center" vertical="center"/>
    </xf>
    <xf numFmtId="170" fontId="15" fillId="0" borderId="138" xfId="3" applyNumberFormat="1" applyFont="1" applyBorder="1" applyAlignment="1">
      <alignment horizontal="center" vertical="center"/>
    </xf>
    <xf numFmtId="170" fontId="15" fillId="0" borderId="152" xfId="3" applyNumberFormat="1" applyFont="1" applyBorder="1" applyAlignment="1">
      <alignment horizontal="center" vertical="center"/>
    </xf>
    <xf numFmtId="170" fontId="15" fillId="0" borderId="0" xfId="3" applyNumberFormat="1" applyFont="1" applyAlignment="1">
      <alignment horizontal="center" vertical="center"/>
    </xf>
    <xf numFmtId="170" fontId="15" fillId="0" borderId="137" xfId="3" applyNumberFormat="1" applyFont="1" applyBorder="1" applyAlignment="1">
      <alignment horizontal="center" vertical="center"/>
    </xf>
    <xf numFmtId="2" fontId="15" fillId="0" borderId="128" xfId="3" applyNumberFormat="1" applyFont="1" applyBorder="1" applyAlignment="1">
      <alignment horizontal="center" vertical="center"/>
    </xf>
    <xf numFmtId="170" fontId="16" fillId="29" borderId="126" xfId="3" applyNumberFormat="1" applyFont="1" applyFill="1" applyBorder="1" applyAlignment="1">
      <alignment horizontal="center" vertical="center"/>
    </xf>
    <xf numFmtId="170" fontId="16" fillId="29" borderId="152" xfId="3" applyNumberFormat="1" applyFont="1" applyFill="1" applyBorder="1" applyAlignment="1">
      <alignment horizontal="center" vertical="center"/>
    </xf>
    <xf numFmtId="170" fontId="16" fillId="29" borderId="0" xfId="3" applyNumberFormat="1" applyFont="1" applyFill="1" applyAlignment="1">
      <alignment horizontal="center" vertical="center"/>
    </xf>
    <xf numFmtId="170" fontId="16" fillId="29" borderId="22" xfId="3" applyNumberFormat="1" applyFont="1" applyFill="1" applyBorder="1" applyAlignment="1">
      <alignment horizontal="center" vertical="center"/>
    </xf>
    <xf numFmtId="170" fontId="16" fillId="29" borderId="125" xfId="3" applyNumberFormat="1" applyFont="1" applyFill="1" applyBorder="1" applyAlignment="1">
      <alignment horizontal="center" vertical="center"/>
    </xf>
    <xf numFmtId="3" fontId="16" fillId="0" borderId="138" xfId="3" applyNumberFormat="1" applyFont="1" applyBorder="1" applyAlignment="1">
      <alignment horizontal="center" vertical="center"/>
    </xf>
    <xf numFmtId="0" fontId="15" fillId="29" borderId="128" xfId="3" applyFont="1" applyFill="1" applyBorder="1" applyAlignment="1">
      <alignment horizontal="center" vertical="center"/>
    </xf>
    <xf numFmtId="170" fontId="15" fillId="0" borderId="131" xfId="3" applyNumberFormat="1" applyFont="1" applyBorder="1" applyAlignment="1">
      <alignment horizontal="center" vertical="center"/>
    </xf>
    <xf numFmtId="170" fontId="15" fillId="0" borderId="154" xfId="3" applyNumberFormat="1" applyFont="1" applyBorder="1" applyAlignment="1">
      <alignment horizontal="center" vertical="center"/>
    </xf>
    <xf numFmtId="170" fontId="15" fillId="0" borderId="118" xfId="3" applyNumberFormat="1" applyFont="1" applyBorder="1" applyAlignment="1">
      <alignment horizontal="center" vertical="center"/>
    </xf>
    <xf numFmtId="170" fontId="15" fillId="0" borderId="190" xfId="3" applyNumberFormat="1" applyFont="1" applyBorder="1" applyAlignment="1">
      <alignment horizontal="center" vertical="center"/>
    </xf>
    <xf numFmtId="170" fontId="15" fillId="0" borderId="129" xfId="3" applyNumberFormat="1" applyFont="1" applyBorder="1" applyAlignment="1">
      <alignment horizontal="center" vertical="center"/>
    </xf>
    <xf numFmtId="2" fontId="105" fillId="0" borderId="130" xfId="3" applyNumberFormat="1" applyFont="1" applyBorder="1" applyAlignment="1">
      <alignment horizontal="center" vertical="center"/>
    </xf>
    <xf numFmtId="0" fontId="105" fillId="0" borderId="125" xfId="3" applyFont="1" applyBorder="1" applyAlignment="1">
      <alignment horizontal="left"/>
    </xf>
    <xf numFmtId="3" fontId="113" fillId="0" borderId="126" xfId="3" applyNumberFormat="1" applyFont="1" applyBorder="1" applyAlignment="1">
      <alignment horizontal="center"/>
    </xf>
    <xf numFmtId="3" fontId="113" fillId="0" borderId="152" xfId="3" applyNumberFormat="1" applyFont="1" applyBorder="1" applyAlignment="1">
      <alignment horizontal="center"/>
    </xf>
    <xf numFmtId="3" fontId="113" fillId="0" borderId="0" xfId="3" applyNumberFormat="1" applyFont="1" applyAlignment="1">
      <alignment horizontal="center"/>
    </xf>
    <xf numFmtId="3" fontId="113" fillId="0" borderId="175" xfId="3" applyNumberFormat="1" applyFont="1" applyBorder="1" applyAlignment="1">
      <alignment horizontal="center"/>
    </xf>
    <xf numFmtId="3" fontId="113" fillId="0" borderId="151" xfId="3" applyNumberFormat="1" applyFont="1" applyBorder="1" applyAlignment="1">
      <alignment horizontal="center"/>
    </xf>
    <xf numFmtId="3" fontId="113" fillId="0" borderId="125" xfId="3" applyNumberFormat="1" applyFont="1" applyBorder="1" applyAlignment="1">
      <alignment horizontal="center"/>
    </xf>
    <xf numFmtId="3" fontId="113" fillId="0" borderId="138" xfId="3" applyNumberFormat="1" applyFont="1" applyBorder="1" applyAlignment="1">
      <alignment horizontal="center"/>
    </xf>
    <xf numFmtId="3" fontId="14" fillId="0" borderId="132" xfId="3" applyNumberFormat="1" applyFont="1" applyBorder="1" applyAlignment="1">
      <alignment horizontal="center"/>
    </xf>
    <xf numFmtId="0" fontId="121" fillId="0" borderId="125" xfId="3" applyFont="1" applyBorder="1" applyAlignment="1">
      <alignment horizontal="left" vertical="center"/>
    </xf>
    <xf numFmtId="3" fontId="113" fillId="0" borderId="138" xfId="3" applyNumberFormat="1" applyFont="1" applyBorder="1" applyAlignment="1">
      <alignment horizontal="center" vertical="center" wrapText="1"/>
    </xf>
    <xf numFmtId="3" fontId="15" fillId="0" borderId="0" xfId="3" applyNumberFormat="1" applyFont="1" applyAlignment="1">
      <alignment horizontal="center" vertical="center" wrapText="1"/>
    </xf>
    <xf numFmtId="0" fontId="121" fillId="30" borderId="125" xfId="3" applyFont="1" applyFill="1" applyBorder="1" applyAlignment="1">
      <alignment horizontal="left" vertical="center" wrapText="1"/>
    </xf>
    <xf numFmtId="4" fontId="123" fillId="30" borderId="125" xfId="3" applyNumberFormat="1" applyFont="1" applyFill="1" applyBorder="1" applyAlignment="1">
      <alignment horizontal="center" vertical="center"/>
    </xf>
    <xf numFmtId="4" fontId="123" fillId="30" borderId="138" xfId="3" applyNumberFormat="1" applyFont="1" applyFill="1" applyBorder="1" applyAlignment="1">
      <alignment horizontal="center" vertical="center"/>
    </xf>
    <xf numFmtId="4" fontId="123" fillId="30" borderId="152" xfId="3" applyNumberFormat="1" applyFont="1" applyFill="1" applyBorder="1" applyAlignment="1">
      <alignment horizontal="center" vertical="center"/>
    </xf>
    <xf numFmtId="4" fontId="123" fillId="30" borderId="0" xfId="3" applyNumberFormat="1" applyFont="1" applyFill="1" applyAlignment="1">
      <alignment horizontal="center" vertical="center"/>
    </xf>
    <xf numFmtId="4" fontId="123" fillId="30" borderId="137" xfId="3" applyNumberFormat="1" applyFont="1" applyFill="1" applyBorder="1" applyAlignment="1">
      <alignment horizontal="center" vertical="center"/>
    </xf>
    <xf numFmtId="3" fontId="155" fillId="0" borderId="138" xfId="3" applyNumberFormat="1" applyFont="1" applyBorder="1" applyAlignment="1">
      <alignment horizontal="center" vertical="center"/>
    </xf>
    <xf numFmtId="2" fontId="129" fillId="0" borderId="0" xfId="3" applyNumberFormat="1" applyFont="1" applyAlignment="1">
      <alignment horizontal="center" vertical="center"/>
    </xf>
    <xf numFmtId="0" fontId="126" fillId="0" borderId="125" xfId="3" applyFont="1" applyBorder="1" applyAlignment="1">
      <alignment horizontal="center" vertical="center"/>
    </xf>
    <xf numFmtId="0" fontId="126" fillId="0" borderId="138" xfId="3" applyFont="1" applyBorder="1" applyAlignment="1">
      <alignment horizontal="center" vertical="center"/>
    </xf>
    <xf numFmtId="0" fontId="126" fillId="0" borderId="152" xfId="3" applyFont="1" applyBorder="1" applyAlignment="1">
      <alignment horizontal="center" vertical="center"/>
    </xf>
    <xf numFmtId="0" fontId="126" fillId="0" borderId="0" xfId="3" applyFont="1" applyAlignment="1">
      <alignment horizontal="center" vertical="center"/>
    </xf>
    <xf numFmtId="0" fontId="126" fillId="0" borderId="137" xfId="3" applyFont="1" applyBorder="1" applyAlignment="1">
      <alignment horizontal="center" vertical="center"/>
    </xf>
    <xf numFmtId="0" fontId="121" fillId="31" borderId="125" xfId="3" applyFont="1" applyFill="1" applyBorder="1" applyAlignment="1">
      <alignment horizontal="left" vertical="center"/>
    </xf>
    <xf numFmtId="171" fontId="126" fillId="31" borderId="125" xfId="3" applyNumberFormat="1" applyFont="1" applyFill="1" applyBorder="1" applyAlignment="1">
      <alignment horizontal="center" vertical="center"/>
    </xf>
    <xf numFmtId="171" fontId="126" fillId="31" borderId="138" xfId="3" applyNumberFormat="1" applyFont="1" applyFill="1" applyBorder="1" applyAlignment="1">
      <alignment horizontal="center" vertical="center"/>
    </xf>
    <xf numFmtId="171" fontId="126" fillId="31" borderId="152" xfId="3" applyNumberFormat="1" applyFont="1" applyFill="1" applyBorder="1" applyAlignment="1">
      <alignment horizontal="center" vertical="center"/>
    </xf>
    <xf numFmtId="171" fontId="126" fillId="31" borderId="0" xfId="3" applyNumberFormat="1" applyFont="1" applyFill="1" applyAlignment="1">
      <alignment horizontal="center" vertical="center"/>
    </xf>
    <xf numFmtId="171" fontId="126" fillId="31" borderId="137" xfId="3" applyNumberFormat="1" applyFont="1" applyFill="1" applyBorder="1" applyAlignment="1">
      <alignment horizontal="center" vertical="center"/>
    </xf>
    <xf numFmtId="172" fontId="15" fillId="0" borderId="0" xfId="3" applyNumberFormat="1" applyFont="1" applyAlignment="1">
      <alignment horizontal="center" vertical="center"/>
    </xf>
    <xf numFmtId="0" fontId="121" fillId="30" borderId="129" xfId="3" applyFont="1" applyFill="1" applyBorder="1" applyAlignment="1">
      <alignment horizontal="left" vertical="center"/>
    </xf>
    <xf numFmtId="170" fontId="126" fillId="30" borderId="131" xfId="3" applyNumberFormat="1" applyFont="1" applyFill="1" applyBorder="1" applyAlignment="1">
      <alignment horizontal="center" vertical="center"/>
    </xf>
    <xf numFmtId="170" fontId="126" fillId="30" borderId="154" xfId="3" applyNumberFormat="1" applyFont="1" applyFill="1" applyBorder="1" applyAlignment="1">
      <alignment horizontal="center" vertical="center"/>
    </xf>
    <xf numFmtId="170" fontId="126" fillId="30" borderId="118" xfId="3" applyNumberFormat="1" applyFont="1" applyFill="1" applyBorder="1" applyAlignment="1">
      <alignment horizontal="center" vertical="center"/>
    </xf>
    <xf numFmtId="170" fontId="126" fillId="30" borderId="190" xfId="3" applyNumberFormat="1" applyFont="1" applyFill="1" applyBorder="1" applyAlignment="1">
      <alignment horizontal="center" vertical="center"/>
    </xf>
    <xf numFmtId="170" fontId="126" fillId="30" borderId="139" xfId="3" applyNumberFormat="1" applyFont="1" applyFill="1" applyBorder="1" applyAlignment="1">
      <alignment horizontal="center" vertical="center"/>
    </xf>
    <xf numFmtId="2" fontId="15" fillId="0" borderId="0" xfId="3" applyNumberFormat="1" applyFont="1" applyAlignment="1">
      <alignment horizontal="center" vertical="center"/>
    </xf>
    <xf numFmtId="0" fontId="118" fillId="0" borderId="125" xfId="3" applyFont="1" applyBorder="1" applyAlignment="1">
      <alignment horizontal="left"/>
    </xf>
    <xf numFmtId="0" fontId="120" fillId="0" borderId="126" xfId="3" applyFont="1" applyBorder="1" applyAlignment="1">
      <alignment horizontal="center"/>
    </xf>
    <xf numFmtId="0" fontId="120" fillId="0" borderId="152" xfId="3" applyFont="1" applyBorder="1" applyAlignment="1">
      <alignment horizontal="center"/>
    </xf>
    <xf numFmtId="0" fontId="120" fillId="0" borderId="0" xfId="3" applyFont="1" applyAlignment="1">
      <alignment horizontal="center"/>
    </xf>
    <xf numFmtId="0" fontId="120" fillId="0" borderId="175" xfId="3" applyFont="1" applyBorder="1" applyAlignment="1">
      <alignment horizontal="center"/>
    </xf>
    <xf numFmtId="0" fontId="120" fillId="0" borderId="151" xfId="3" applyFont="1" applyBorder="1" applyAlignment="1">
      <alignment horizontal="center"/>
    </xf>
    <xf numFmtId="0" fontId="120" fillId="0" borderId="125" xfId="3" applyFont="1" applyBorder="1" applyAlignment="1">
      <alignment horizontal="center"/>
    </xf>
    <xf numFmtId="0" fontId="15" fillId="0" borderId="0" xfId="3" applyFont="1" applyAlignment="1">
      <alignment horizontal="center"/>
    </xf>
    <xf numFmtId="169" fontId="120" fillId="0" borderId="138" xfId="3" applyNumberFormat="1" applyFont="1" applyBorder="1" applyAlignment="1">
      <alignment horizontal="center" vertical="center" wrapText="1"/>
    </xf>
    <xf numFmtId="169" fontId="120" fillId="0" borderId="152" xfId="3" applyNumberFormat="1" applyFont="1" applyBorder="1" applyAlignment="1">
      <alignment horizontal="center" vertical="center" wrapText="1"/>
    </xf>
    <xf numFmtId="169" fontId="120" fillId="0" borderId="0" xfId="3" applyNumberFormat="1" applyFont="1" applyAlignment="1">
      <alignment horizontal="center" vertical="center" wrapText="1"/>
    </xf>
    <xf numFmtId="169" fontId="120" fillId="0" borderId="137" xfId="3" applyNumberFormat="1" applyFont="1" applyBorder="1" applyAlignment="1">
      <alignment horizontal="center" vertical="center" wrapText="1"/>
    </xf>
    <xf numFmtId="0" fontId="121" fillId="32" borderId="125" xfId="3" applyFont="1" applyFill="1" applyBorder="1" applyAlignment="1">
      <alignment horizontal="left" vertical="center" wrapText="1"/>
    </xf>
    <xf numFmtId="4" fontId="123" fillId="32" borderId="126" xfId="3" applyNumberFormat="1" applyFont="1" applyFill="1" applyBorder="1" applyAlignment="1">
      <alignment horizontal="center" vertical="center"/>
    </xf>
    <xf numFmtId="4" fontId="123" fillId="32" borderId="0" xfId="3" applyNumberFormat="1" applyFont="1" applyFill="1" applyAlignment="1">
      <alignment horizontal="center" vertical="center"/>
    </xf>
    <xf numFmtId="4" fontId="123" fillId="32" borderId="152" xfId="3" applyNumberFormat="1" applyFont="1" applyFill="1" applyBorder="1" applyAlignment="1">
      <alignment horizontal="center" vertical="center"/>
    </xf>
    <xf numFmtId="4" fontId="123" fillId="32" borderId="22" xfId="3" applyNumberFormat="1" applyFont="1" applyFill="1" applyBorder="1" applyAlignment="1">
      <alignment horizontal="center" vertical="center"/>
    </xf>
    <xf numFmtId="4" fontId="123" fillId="32" borderId="125" xfId="3" applyNumberFormat="1" applyFont="1" applyFill="1" applyBorder="1" applyAlignment="1">
      <alignment horizontal="center" vertical="center"/>
    </xf>
    <xf numFmtId="0" fontId="121" fillId="33" borderId="125" xfId="3" applyFont="1" applyFill="1" applyBorder="1" applyAlignment="1">
      <alignment horizontal="left" vertical="center"/>
    </xf>
    <xf numFmtId="171" fontId="126" fillId="0" borderId="125" xfId="3" applyNumberFormat="1" applyFont="1" applyBorder="1" applyAlignment="1">
      <alignment horizontal="center" vertical="center"/>
    </xf>
    <xf numFmtId="171" fontId="126" fillId="0" borderId="138" xfId="3" applyNumberFormat="1" applyFont="1" applyBorder="1" applyAlignment="1">
      <alignment horizontal="center" vertical="center"/>
    </xf>
    <xf numFmtId="171" fontId="126" fillId="0" borderId="152" xfId="3" applyNumberFormat="1" applyFont="1" applyBorder="1" applyAlignment="1">
      <alignment horizontal="center" vertical="center"/>
    </xf>
    <xf numFmtId="171" fontId="126" fillId="0" borderId="0" xfId="3" applyNumberFormat="1" applyFont="1" applyAlignment="1">
      <alignment horizontal="center" vertical="center"/>
    </xf>
    <xf numFmtId="171" fontId="126" fillId="0" borderId="137" xfId="3" applyNumberFormat="1" applyFont="1" applyBorder="1" applyAlignment="1">
      <alignment horizontal="center" vertical="center"/>
    </xf>
    <xf numFmtId="0" fontId="121" fillId="32" borderId="129" xfId="3" applyFont="1" applyFill="1" applyBorder="1" applyAlignment="1">
      <alignment horizontal="left" vertical="center"/>
    </xf>
    <xf numFmtId="170" fontId="126" fillId="32" borderId="129" xfId="3" applyNumberFormat="1" applyFont="1" applyFill="1" applyBorder="1" applyAlignment="1">
      <alignment horizontal="center" vertical="center"/>
    </xf>
    <xf numFmtId="170" fontId="126" fillId="32" borderId="139" xfId="3" applyNumberFormat="1" applyFont="1" applyFill="1" applyBorder="1" applyAlignment="1">
      <alignment horizontal="center" vertical="center"/>
    </xf>
    <xf numFmtId="170" fontId="126" fillId="32" borderId="154" xfId="3" applyNumberFormat="1" applyFont="1" applyFill="1" applyBorder="1" applyAlignment="1">
      <alignment horizontal="center" vertical="center"/>
    </xf>
    <xf numFmtId="170" fontId="126" fillId="32" borderId="118" xfId="3" applyNumberFormat="1" applyFont="1" applyFill="1" applyBorder="1" applyAlignment="1">
      <alignment horizontal="center" vertical="center"/>
    </xf>
    <xf numFmtId="0" fontId="125" fillId="0" borderId="125" xfId="3" applyFont="1" applyBorder="1" applyAlignment="1">
      <alignment horizontal="left" vertical="center"/>
    </xf>
    <xf numFmtId="169" fontId="124" fillId="0" borderId="122" xfId="3" applyNumberFormat="1" applyFont="1" applyBorder="1" applyAlignment="1">
      <alignment horizontal="center" vertical="center"/>
    </xf>
    <xf numFmtId="169" fontId="124" fillId="0" borderId="140" xfId="3" applyNumberFormat="1" applyFont="1" applyBorder="1" applyAlignment="1">
      <alignment horizontal="center" vertical="center"/>
    </xf>
    <xf numFmtId="169" fontId="124" fillId="0" borderId="151" xfId="3" applyNumberFormat="1" applyFont="1" applyBorder="1" applyAlignment="1">
      <alignment horizontal="center" vertical="center"/>
    </xf>
    <xf numFmtId="169" fontId="124" fillId="0" borderId="141" xfId="3" applyNumberFormat="1" applyFont="1" applyBorder="1" applyAlignment="1">
      <alignment horizontal="center" vertical="center"/>
    </xf>
    <xf numFmtId="169" fontId="124" fillId="0" borderId="156" xfId="3" applyNumberFormat="1" applyFont="1" applyBorder="1" applyAlignment="1">
      <alignment horizontal="center" vertical="center"/>
    </xf>
    <xf numFmtId="0" fontId="15" fillId="0" borderId="22" xfId="3" applyFont="1" applyBorder="1" applyAlignment="1">
      <alignment horizontal="center" vertical="center"/>
    </xf>
    <xf numFmtId="0" fontId="15" fillId="0" borderId="152" xfId="3" applyFont="1" applyBorder="1" applyAlignment="1">
      <alignment horizontal="center" vertical="center"/>
    </xf>
    <xf numFmtId="0" fontId="27" fillId="30" borderId="125" xfId="3" applyFont="1" applyFill="1" applyBorder="1" applyAlignment="1">
      <alignment horizontal="left" vertical="center" wrapText="1"/>
    </xf>
    <xf numFmtId="0" fontId="15" fillId="30" borderId="0" xfId="3" applyFont="1" applyFill="1" applyAlignment="1">
      <alignment horizontal="center" vertical="center"/>
    </xf>
    <xf numFmtId="0" fontId="15" fillId="30" borderId="125" xfId="3" applyFont="1" applyFill="1" applyBorder="1" applyAlignment="1">
      <alignment horizontal="center" vertical="center"/>
    </xf>
    <xf numFmtId="0" fontId="15" fillId="30" borderId="138" xfId="3" applyFont="1" applyFill="1" applyBorder="1" applyAlignment="1">
      <alignment horizontal="center" vertical="center"/>
    </xf>
    <xf numFmtId="0" fontId="15" fillId="30" borderId="126" xfId="3" applyFont="1" applyFill="1" applyBorder="1" applyAlignment="1">
      <alignment horizontal="center" vertical="center"/>
    </xf>
    <xf numFmtId="0" fontId="15" fillId="30" borderId="152" xfId="3" applyFont="1" applyFill="1" applyBorder="1" applyAlignment="1">
      <alignment horizontal="center" vertical="center"/>
    </xf>
    <xf numFmtId="0" fontId="15" fillId="0" borderId="126" xfId="3" applyFont="1" applyBorder="1" applyAlignment="1">
      <alignment horizontal="center" vertical="center"/>
    </xf>
    <xf numFmtId="0" fontId="15" fillId="0" borderId="137" xfId="3" applyFont="1" applyBorder="1" applyAlignment="1">
      <alignment horizontal="center" vertical="center"/>
    </xf>
    <xf numFmtId="0" fontId="27" fillId="30" borderId="125" xfId="3" applyFont="1" applyFill="1" applyBorder="1" applyAlignment="1">
      <alignment horizontal="left" vertical="center"/>
    </xf>
    <xf numFmtId="0" fontId="15" fillId="30" borderId="137" xfId="3" applyFont="1" applyFill="1" applyBorder="1" applyAlignment="1">
      <alignment horizontal="center" vertical="center"/>
    </xf>
    <xf numFmtId="3" fontId="14" fillId="0" borderId="0" xfId="3" applyNumberFormat="1" applyFont="1" applyAlignment="1">
      <alignment horizontal="center"/>
    </xf>
    <xf numFmtId="0" fontId="27" fillId="30" borderId="160" xfId="3" applyFont="1" applyFill="1" applyBorder="1" applyAlignment="1">
      <alignment horizontal="left" vertical="center"/>
    </xf>
    <xf numFmtId="0" fontId="15" fillId="30" borderId="199" xfId="3" applyFont="1" applyFill="1" applyBorder="1" applyAlignment="1">
      <alignment horizontal="center" vertical="center"/>
    </xf>
    <xf numFmtId="0" fontId="15" fillId="30" borderId="172" xfId="3" applyFont="1" applyFill="1" applyBorder="1" applyAlignment="1">
      <alignment horizontal="center" vertical="center"/>
    </xf>
    <xf numFmtId="0" fontId="15" fillId="30" borderId="194" xfId="3" applyFont="1" applyFill="1" applyBorder="1" applyAlignment="1">
      <alignment horizontal="center" vertical="center"/>
    </xf>
    <xf numFmtId="0" fontId="15" fillId="30" borderId="200" xfId="3" applyFont="1" applyFill="1" applyBorder="1" applyAlignment="1">
      <alignment horizontal="center" vertical="center"/>
    </xf>
    <xf numFmtId="0" fontId="15" fillId="30" borderId="160" xfId="3" applyFont="1" applyFill="1" applyBorder="1" applyAlignment="1">
      <alignment horizontal="center" vertical="center"/>
    </xf>
    <xf numFmtId="0" fontId="26" fillId="0" borderId="0" xfId="3" applyAlignment="1">
      <alignment vertical="center"/>
    </xf>
    <xf numFmtId="0" fontId="104" fillId="0" borderId="118" xfId="3" applyFont="1" applyBorder="1" applyAlignment="1">
      <alignment vertical="center"/>
    </xf>
    <xf numFmtId="0" fontId="105" fillId="35" borderId="119" xfId="3" applyFont="1" applyFill="1" applyBorder="1" applyAlignment="1">
      <alignment horizontal="center" vertical="center"/>
    </xf>
    <xf numFmtId="3" fontId="143" fillId="0" borderId="201" xfId="3" applyNumberFormat="1" applyFont="1" applyBorder="1" applyAlignment="1">
      <alignment horizontal="center" vertical="center"/>
    </xf>
    <xf numFmtId="0" fontId="15" fillId="36" borderId="202" xfId="3" applyFont="1" applyFill="1" applyBorder="1" applyAlignment="1">
      <alignment horizontal="left" vertical="center"/>
    </xf>
    <xf numFmtId="0" fontId="141" fillId="36" borderId="202" xfId="3" applyFont="1" applyFill="1" applyBorder="1" applyAlignment="1">
      <alignment horizontal="left" vertical="center"/>
    </xf>
    <xf numFmtId="0" fontId="141" fillId="36" borderId="138" xfId="3" applyFont="1" applyFill="1" applyBorder="1" applyAlignment="1">
      <alignment horizontal="center" vertical="center"/>
    </xf>
    <xf numFmtId="0" fontId="141" fillId="36" borderId="201" xfId="3" applyFont="1" applyFill="1" applyBorder="1" applyAlignment="1">
      <alignment vertical="center"/>
    </xf>
    <xf numFmtId="0" fontId="104" fillId="49" borderId="202" xfId="3" applyFont="1" applyFill="1" applyBorder="1" applyAlignment="1">
      <alignment horizontal="center" vertical="center" wrapText="1"/>
    </xf>
    <xf numFmtId="4" fontId="138" fillId="36" borderId="122" xfId="3" applyNumberFormat="1" applyFont="1" applyFill="1" applyBorder="1" applyAlignment="1">
      <alignment horizontal="right" vertical="center"/>
    </xf>
    <xf numFmtId="4" fontId="144" fillId="36" borderId="156" xfId="3" applyNumberFormat="1" applyFont="1" applyFill="1" applyBorder="1" applyAlignment="1">
      <alignment horizontal="right" vertical="center"/>
    </xf>
    <xf numFmtId="4" fontId="146" fillId="36" borderId="156" xfId="3" applyNumberFormat="1" applyFont="1" applyFill="1" applyBorder="1" applyAlignment="1">
      <alignment horizontal="right" vertical="center"/>
    </xf>
    <xf numFmtId="4" fontId="146" fillId="36" borderId="122" xfId="3" applyNumberFormat="1" applyFont="1" applyFill="1" applyBorder="1" applyAlignment="1">
      <alignment horizontal="right" vertical="center"/>
    </xf>
    <xf numFmtId="4" fontId="251" fillId="36" borderId="122" xfId="3" applyNumberFormat="1" applyFont="1" applyFill="1" applyBorder="1" applyAlignment="1">
      <alignment horizontal="right" vertical="center"/>
    </xf>
    <xf numFmtId="4" fontId="141" fillId="36" borderId="0" xfId="3" applyNumberFormat="1" applyFont="1" applyFill="1" applyAlignment="1">
      <alignment horizontal="right" vertical="center"/>
    </xf>
    <xf numFmtId="3" fontId="143" fillId="0" borderId="203" xfId="3" applyNumberFormat="1" applyFont="1" applyBorder="1" applyAlignment="1">
      <alignment horizontal="center" vertical="center"/>
    </xf>
    <xf numFmtId="0" fontId="15" fillId="0" borderId="204" xfId="3" applyFont="1" applyBorder="1" applyAlignment="1">
      <alignment horizontal="left" vertical="center"/>
    </xf>
    <xf numFmtId="0" fontId="141" fillId="0" borderId="204" xfId="3" applyFont="1" applyBorder="1" applyAlignment="1">
      <alignment horizontal="left" vertical="center"/>
    </xf>
    <xf numFmtId="0" fontId="141" fillId="0" borderId="138" xfId="3" applyFont="1" applyBorder="1" applyAlignment="1">
      <alignment horizontal="center" vertical="center"/>
    </xf>
    <xf numFmtId="0" fontId="141" fillId="0" borderId="203" xfId="3" applyFont="1" applyBorder="1" applyAlignment="1">
      <alignment vertical="center"/>
    </xf>
    <xf numFmtId="0" fontId="104" fillId="50" borderId="204" xfId="3" applyFont="1" applyFill="1" applyBorder="1" applyAlignment="1">
      <alignment horizontal="center" vertical="center" wrapText="1"/>
    </xf>
    <xf numFmtId="4" fontId="146" fillId="0" borderId="137" xfId="3" applyNumberFormat="1" applyFont="1" applyBorder="1" applyAlignment="1">
      <alignment horizontal="right" vertical="center"/>
    </xf>
    <xf numFmtId="4" fontId="251" fillId="0" borderId="125" xfId="3" applyNumberFormat="1" applyFont="1" applyBorder="1" applyAlignment="1">
      <alignment horizontal="right" vertical="center"/>
    </xf>
    <xf numFmtId="4" fontId="144" fillId="0" borderId="137" xfId="3" applyNumberFormat="1" applyFont="1" applyBorder="1" applyAlignment="1">
      <alignment horizontal="right" vertical="center"/>
    </xf>
    <xf numFmtId="0" fontId="15" fillId="36" borderId="204" xfId="3" applyFont="1" applyFill="1" applyBorder="1" applyAlignment="1">
      <alignment horizontal="left" vertical="center"/>
    </xf>
    <xf numFmtId="0" fontId="141" fillId="36" borderId="204" xfId="3" applyFont="1" applyFill="1" applyBorder="1" applyAlignment="1">
      <alignment horizontal="left" vertical="center"/>
    </xf>
    <xf numFmtId="0" fontId="141" fillId="36" borderId="203" xfId="3" applyFont="1" applyFill="1" applyBorder="1" applyAlignment="1">
      <alignment vertical="center"/>
    </xf>
    <xf numFmtId="0" fontId="104" fillId="49" borderId="204" xfId="3" applyFont="1" applyFill="1" applyBorder="1" applyAlignment="1">
      <alignment horizontal="center" vertical="center" wrapText="1"/>
    </xf>
    <xf numFmtId="4" fontId="144" fillId="36" borderId="137" xfId="3" applyNumberFormat="1" applyFont="1" applyFill="1" applyBorder="1" applyAlignment="1">
      <alignment horizontal="right" vertical="center"/>
    </xf>
    <xf numFmtId="4" fontId="146" fillId="36" borderId="137" xfId="3" applyNumberFormat="1" applyFont="1" applyFill="1" applyBorder="1" applyAlignment="1">
      <alignment horizontal="right" vertical="center"/>
    </xf>
    <xf numFmtId="4" fontId="251" fillId="36" borderId="125" xfId="3" applyNumberFormat="1" applyFont="1" applyFill="1" applyBorder="1" applyAlignment="1">
      <alignment horizontal="right" vertical="center"/>
    </xf>
    <xf numFmtId="4" fontId="104" fillId="36" borderId="0" xfId="3" applyNumberFormat="1" applyFont="1" applyFill="1" applyAlignment="1">
      <alignment horizontal="right" vertical="center"/>
    </xf>
    <xf numFmtId="4" fontId="144" fillId="36" borderId="125" xfId="3" applyNumberFormat="1" applyFont="1" applyFill="1" applyBorder="1" applyAlignment="1">
      <alignment horizontal="right" vertical="center"/>
    </xf>
    <xf numFmtId="4" fontId="141" fillId="36" borderId="205" xfId="3" applyNumberFormat="1" applyFont="1" applyFill="1" applyBorder="1" applyAlignment="1">
      <alignment horizontal="right" vertical="center"/>
    </xf>
    <xf numFmtId="4" fontId="156" fillId="36" borderId="137" xfId="3" applyNumberFormat="1" applyFont="1" applyFill="1" applyBorder="1" applyAlignment="1">
      <alignment horizontal="right" vertical="center"/>
    </xf>
    <xf numFmtId="4" fontId="252" fillId="36" borderId="125" xfId="3" applyNumberFormat="1" applyFont="1" applyFill="1" applyBorder="1" applyAlignment="1">
      <alignment horizontal="right" vertical="center"/>
    </xf>
    <xf numFmtId="4" fontId="141" fillId="36" borderId="125" xfId="3" applyNumberFormat="1" applyFont="1" applyFill="1" applyBorder="1" applyAlignment="1">
      <alignment horizontal="right" vertical="center"/>
    </xf>
    <xf numFmtId="4" fontId="252" fillId="0" borderId="125" xfId="3" applyNumberFormat="1" applyFont="1" applyBorder="1" applyAlignment="1">
      <alignment horizontal="right" vertical="center"/>
    </xf>
    <xf numFmtId="0" fontId="22" fillId="0" borderId="0" xfId="3" applyFont="1"/>
    <xf numFmtId="4" fontId="15" fillId="36" borderId="138" xfId="3" applyNumberFormat="1" applyFont="1" applyFill="1" applyBorder="1" applyAlignment="1">
      <alignment horizontal="right" vertical="center"/>
    </xf>
    <xf numFmtId="0" fontId="141" fillId="0" borderId="204" xfId="3" applyFont="1" applyBorder="1" applyAlignment="1">
      <alignment horizontal="center" vertical="center"/>
    </xf>
    <xf numFmtId="4" fontId="146" fillId="0" borderId="204" xfId="3" applyNumberFormat="1" applyFont="1" applyBorder="1" applyAlignment="1">
      <alignment horizontal="right" vertical="center"/>
    </xf>
    <xf numFmtId="4" fontId="146" fillId="0" borderId="206" xfId="3" applyNumberFormat="1" applyFont="1" applyBorder="1" applyAlignment="1">
      <alignment horizontal="right" vertical="center"/>
    </xf>
    <xf numFmtId="4" fontId="251" fillId="0" borderId="206" xfId="3" applyNumberFormat="1" applyFont="1" applyBorder="1" applyAlignment="1">
      <alignment horizontal="right" vertical="center"/>
    </xf>
    <xf numFmtId="4" fontId="252" fillId="0" borderId="206" xfId="3" applyNumberFormat="1" applyFont="1" applyBorder="1" applyAlignment="1">
      <alignment horizontal="right" vertical="center"/>
    </xf>
    <xf numFmtId="0" fontId="141" fillId="36" borderId="204" xfId="3" applyFont="1" applyFill="1" applyBorder="1" applyAlignment="1">
      <alignment horizontal="center" vertical="center"/>
    </xf>
    <xf numFmtId="4" fontId="146" fillId="36" borderId="206" xfId="3" applyNumberFormat="1" applyFont="1" applyFill="1" applyBorder="1" applyAlignment="1">
      <alignment horizontal="right" vertical="center"/>
    </xf>
    <xf numFmtId="4" fontId="251" fillId="36" borderId="206" xfId="3" applyNumberFormat="1" applyFont="1" applyFill="1" applyBorder="1" applyAlignment="1">
      <alignment horizontal="right" vertical="center"/>
    </xf>
    <xf numFmtId="4" fontId="252" fillId="36" borderId="206" xfId="3" applyNumberFormat="1" applyFont="1" applyFill="1" applyBorder="1" applyAlignment="1">
      <alignment horizontal="right" vertical="center"/>
    </xf>
    <xf numFmtId="3" fontId="143" fillId="0" borderId="204" xfId="3" applyNumberFormat="1" applyFont="1" applyBorder="1" applyAlignment="1">
      <alignment horizontal="center" vertical="center"/>
    </xf>
    <xf numFmtId="4" fontId="150" fillId="0" borderId="204" xfId="3" applyNumberFormat="1" applyFont="1" applyBorder="1" applyAlignment="1">
      <alignment horizontal="right" vertical="center"/>
    </xf>
    <xf numFmtId="4" fontId="251" fillId="0" borderId="204" xfId="3" applyNumberFormat="1" applyFont="1" applyBorder="1" applyAlignment="1">
      <alignment horizontal="right" vertical="center"/>
    </xf>
    <xf numFmtId="4" fontId="252" fillId="0" borderId="204" xfId="3" applyNumberFormat="1" applyFont="1" applyBorder="1" applyAlignment="1">
      <alignment horizontal="right" vertical="center"/>
    </xf>
    <xf numFmtId="0" fontId="27" fillId="0" borderId="204" xfId="3" applyFont="1" applyBorder="1" applyAlignment="1">
      <alignment horizontal="center" vertical="center"/>
    </xf>
    <xf numFmtId="0" fontId="141" fillId="0" borderId="204" xfId="3" applyFont="1" applyBorder="1" applyAlignment="1">
      <alignment vertical="center"/>
    </xf>
    <xf numFmtId="4" fontId="104" fillId="0" borderId="205" xfId="3" applyNumberFormat="1" applyFont="1" applyBorder="1" applyAlignment="1">
      <alignment horizontal="right" vertical="center"/>
    </xf>
    <xf numFmtId="0" fontId="27" fillId="36" borderId="138" xfId="3" applyFont="1" applyFill="1" applyBorder="1" applyAlignment="1">
      <alignment horizontal="center" vertical="center"/>
    </xf>
    <xf numFmtId="0" fontId="141" fillId="36" borderId="204" xfId="3" applyFont="1" applyFill="1" applyBorder="1" applyAlignment="1">
      <alignment vertical="center"/>
    </xf>
    <xf numFmtId="4" fontId="158" fillId="36" borderId="125" xfId="3" applyNumberFormat="1" applyFont="1" applyFill="1" applyBorder="1" applyAlignment="1">
      <alignment horizontal="right" vertical="center"/>
    </xf>
    <xf numFmtId="4" fontId="253" fillId="36" borderId="125" xfId="3" applyNumberFormat="1" applyFont="1" applyFill="1" applyBorder="1" applyAlignment="1">
      <alignment horizontal="right" vertical="center"/>
    </xf>
    <xf numFmtId="0" fontId="27" fillId="0" borderId="138" xfId="3" applyFont="1" applyBorder="1" applyAlignment="1">
      <alignment horizontal="center" vertical="center"/>
    </xf>
    <xf numFmtId="4" fontId="27" fillId="0" borderId="125" xfId="3" applyNumberFormat="1" applyFont="1" applyBorder="1" applyAlignment="1">
      <alignment horizontal="right" vertical="center"/>
    </xf>
    <xf numFmtId="0" fontId="15" fillId="36" borderId="125" xfId="3" applyFont="1" applyFill="1" applyBorder="1" applyAlignment="1">
      <alignment horizontal="left" vertical="center"/>
    </xf>
    <xf numFmtId="4" fontId="27" fillId="36" borderId="125" xfId="3" applyNumberFormat="1" applyFont="1" applyFill="1" applyBorder="1" applyAlignment="1">
      <alignment horizontal="right" vertical="center"/>
    </xf>
    <xf numFmtId="4" fontId="104" fillId="0" borderId="207" xfId="3" applyNumberFormat="1" applyFont="1" applyBorder="1" applyAlignment="1">
      <alignment horizontal="right" vertical="center"/>
    </xf>
    <xf numFmtId="3" fontId="143" fillId="0" borderId="208" xfId="3" applyNumberFormat="1" applyFont="1" applyBorder="1" applyAlignment="1">
      <alignment horizontal="center" vertical="center"/>
    </xf>
    <xf numFmtId="4" fontId="156" fillId="0" borderId="129" xfId="3" applyNumberFormat="1" applyFont="1" applyBorder="1" applyAlignment="1">
      <alignment horizontal="right" vertical="center"/>
    </xf>
    <xf numFmtId="4" fontId="104" fillId="0" borderId="0" xfId="3" applyNumberFormat="1" applyFont="1" applyAlignment="1">
      <alignment horizontal="center" vertical="center"/>
    </xf>
    <xf numFmtId="2" fontId="104" fillId="0" borderId="0" xfId="3" applyNumberFormat="1" applyFont="1" applyAlignment="1">
      <alignment horizontal="left" vertical="center"/>
    </xf>
    <xf numFmtId="0" fontId="254" fillId="0" borderId="0" xfId="3" applyFont="1"/>
    <xf numFmtId="171" fontId="104" fillId="0" borderId="0" xfId="3" applyNumberFormat="1" applyFont="1" applyAlignment="1">
      <alignment vertical="center"/>
    </xf>
    <xf numFmtId="4" fontId="156" fillId="38" borderId="125" xfId="3" applyNumberFormat="1" applyFont="1" applyFill="1" applyBorder="1" applyAlignment="1">
      <alignment horizontal="right" vertical="center"/>
    </xf>
    <xf numFmtId="4" fontId="144" fillId="38" borderId="125" xfId="3" applyNumberFormat="1" applyFont="1" applyFill="1" applyBorder="1" applyAlignment="1">
      <alignment horizontal="right" vertical="center"/>
    </xf>
    <xf numFmtId="4" fontId="144" fillId="0" borderId="125" xfId="3" applyNumberFormat="1" applyFont="1" applyBorder="1" applyAlignment="1">
      <alignment horizontal="right" vertical="center"/>
    </xf>
    <xf numFmtId="4" fontId="255" fillId="0" borderId="0" xfId="3" applyNumberFormat="1" applyFont="1" applyAlignment="1">
      <alignment vertical="center"/>
    </xf>
    <xf numFmtId="4" fontId="144" fillId="0" borderId="160" xfId="3" applyNumberFormat="1" applyFont="1" applyBorder="1" applyAlignment="1">
      <alignment horizontal="right" vertical="center"/>
    </xf>
    <xf numFmtId="0" fontId="106" fillId="0" borderId="209" xfId="20" applyFont="1" applyBorder="1" applyAlignment="1">
      <alignment vertical="center"/>
    </xf>
    <xf numFmtId="0" fontId="108" fillId="0" borderId="0" xfId="20" applyFont="1" applyAlignment="1">
      <alignment horizontal="center" vertical="center"/>
    </xf>
    <xf numFmtId="0" fontId="110" fillId="0" borderId="213" xfId="20" applyFont="1" applyBorder="1" applyAlignment="1">
      <alignment horizontal="center"/>
    </xf>
    <xf numFmtId="0" fontId="110" fillId="0" borderId="0" xfId="20" applyFont="1" applyAlignment="1">
      <alignment horizontal="center"/>
    </xf>
    <xf numFmtId="169" fontId="112" fillId="0" borderId="214" xfId="20" applyNumberFormat="1" applyFont="1" applyBorder="1" applyAlignment="1">
      <alignment horizontal="center" vertical="center" wrapText="1"/>
    </xf>
    <xf numFmtId="169" fontId="116" fillId="0" borderId="214" xfId="20" applyNumberFormat="1" applyFont="1" applyBorder="1" applyAlignment="1">
      <alignment horizontal="center" vertical="center" wrapText="1"/>
    </xf>
    <xf numFmtId="170" fontId="15" fillId="29" borderId="213" xfId="20" applyNumberFormat="1" applyFont="1" applyFill="1" applyBorder="1" applyAlignment="1">
      <alignment horizontal="center" vertical="center"/>
    </xf>
    <xf numFmtId="170" fontId="15" fillId="0" borderId="214" xfId="20" applyNumberFormat="1" applyFont="1" applyBorder="1" applyAlignment="1">
      <alignment horizontal="center" vertical="center"/>
    </xf>
    <xf numFmtId="2" fontId="15" fillId="0" borderId="124" xfId="20" applyNumberFormat="1" applyFont="1" applyBorder="1" applyAlignment="1">
      <alignment horizontal="center" vertical="center"/>
    </xf>
    <xf numFmtId="170" fontId="16" fillId="29" borderId="214" xfId="20" applyNumberFormat="1" applyFont="1" applyFill="1" applyBorder="1" applyAlignment="1">
      <alignment horizontal="center" vertical="center"/>
    </xf>
    <xf numFmtId="170" fontId="15" fillId="0" borderId="179" xfId="20" applyNumberFormat="1" applyFont="1" applyBorder="1" applyAlignment="1">
      <alignment horizontal="center" vertical="center"/>
    </xf>
    <xf numFmtId="3" fontId="113" fillId="0" borderId="214" xfId="20" applyNumberFormat="1" applyFont="1" applyBorder="1" applyAlignment="1">
      <alignment horizontal="center"/>
    </xf>
    <xf numFmtId="2" fontId="123" fillId="30" borderId="138" xfId="20" applyNumberFormat="1" applyFont="1" applyFill="1" applyBorder="1" applyAlignment="1">
      <alignment horizontal="center" vertical="center"/>
    </xf>
    <xf numFmtId="2" fontId="123" fillId="30" borderId="214" xfId="20" applyNumberFormat="1" applyFont="1" applyFill="1" applyBorder="1" applyAlignment="1">
      <alignment horizontal="center" vertical="center"/>
    </xf>
    <xf numFmtId="2" fontId="123" fillId="30" borderId="137" xfId="20" applyNumberFormat="1" applyFont="1" applyFill="1" applyBorder="1" applyAlignment="1">
      <alignment horizontal="center" vertical="center"/>
    </xf>
    <xf numFmtId="171" fontId="126" fillId="31" borderId="138" xfId="20" applyNumberFormat="1" applyFont="1" applyFill="1" applyBorder="1" applyAlignment="1">
      <alignment horizontal="center" vertical="center"/>
    </xf>
    <xf numFmtId="0" fontId="120" fillId="0" borderId="214" xfId="20" applyFont="1" applyBorder="1" applyAlignment="1">
      <alignment horizontal="center"/>
    </xf>
    <xf numFmtId="4" fontId="123" fillId="32" borderId="214" xfId="20" applyNumberFormat="1" applyFont="1" applyFill="1" applyBorder="1" applyAlignment="1">
      <alignment horizontal="center" vertical="center"/>
    </xf>
    <xf numFmtId="171" fontId="126" fillId="0" borderId="214" xfId="20" applyNumberFormat="1" applyFont="1" applyBorder="1" applyAlignment="1">
      <alignment horizontal="center" vertical="center"/>
    </xf>
    <xf numFmtId="171" fontId="126" fillId="32" borderId="179" xfId="20" applyNumberFormat="1" applyFont="1" applyFill="1" applyBorder="1" applyAlignment="1">
      <alignment horizontal="center" vertical="center"/>
    </xf>
    <xf numFmtId="171" fontId="126" fillId="32" borderId="155" xfId="20" applyNumberFormat="1" applyFont="1" applyFill="1" applyBorder="1" applyAlignment="1">
      <alignment horizontal="center" vertical="center"/>
    </xf>
    <xf numFmtId="0" fontId="125" fillId="0" borderId="138" xfId="20" applyFont="1" applyBorder="1" applyAlignment="1">
      <alignment horizontal="left" vertical="center"/>
    </xf>
    <xf numFmtId="169" fontId="124" fillId="0" borderId="213" xfId="20" applyNumberFormat="1" applyFont="1" applyBorder="1" applyAlignment="1">
      <alignment horizontal="center" vertical="center"/>
    </xf>
    <xf numFmtId="0" fontId="125" fillId="30" borderId="138" xfId="20" applyFont="1" applyFill="1" applyBorder="1" applyAlignment="1">
      <alignment horizontal="left" vertical="center"/>
    </xf>
    <xf numFmtId="0" fontId="15" fillId="30" borderId="214" xfId="20" applyFont="1" applyFill="1" applyBorder="1" applyAlignment="1">
      <alignment horizontal="center" vertical="center"/>
    </xf>
    <xf numFmtId="0" fontId="27" fillId="0" borderId="138" xfId="20" applyFont="1" applyBorder="1" applyAlignment="1">
      <alignment horizontal="left" vertical="center" wrapText="1"/>
    </xf>
    <xf numFmtId="0" fontId="15" fillId="0" borderId="214" xfId="20" applyFont="1" applyBorder="1" applyAlignment="1">
      <alignment horizontal="center" vertical="center"/>
    </xf>
    <xf numFmtId="0" fontId="27" fillId="30" borderId="138" xfId="20" applyFont="1" applyFill="1" applyBorder="1" applyAlignment="1">
      <alignment horizontal="left" vertical="center" wrapText="1"/>
    </xf>
    <xf numFmtId="0" fontId="27" fillId="30" borderId="138" xfId="20" applyFont="1" applyFill="1" applyBorder="1" applyAlignment="1">
      <alignment horizontal="left" vertical="center"/>
    </xf>
    <xf numFmtId="0" fontId="27" fillId="0" borderId="138" xfId="20" applyFont="1" applyBorder="1" applyAlignment="1">
      <alignment horizontal="left" vertical="center"/>
    </xf>
    <xf numFmtId="0" fontId="27" fillId="0" borderId="84" xfId="20" applyFont="1" applyBorder="1"/>
    <xf numFmtId="0" fontId="27" fillId="51" borderId="125" xfId="20" applyFont="1" applyFill="1" applyBorder="1" applyAlignment="1">
      <alignment horizontal="left" vertical="center"/>
    </xf>
    <xf numFmtId="0" fontId="27" fillId="51" borderId="125" xfId="20" applyFont="1" applyFill="1" applyBorder="1" applyAlignment="1">
      <alignment horizontal="center" vertical="center"/>
    </xf>
    <xf numFmtId="0" fontId="27" fillId="51" borderId="125" xfId="20" applyFont="1" applyFill="1" applyBorder="1" applyAlignment="1">
      <alignment horizontal="left" vertical="center" wrapText="1"/>
    </xf>
    <xf numFmtId="0" fontId="15" fillId="51" borderId="0" xfId="20" applyFont="1" applyFill="1" applyAlignment="1">
      <alignment horizontal="center" vertical="center"/>
    </xf>
    <xf numFmtId="4" fontId="15" fillId="51" borderId="125" xfId="20" applyNumberFormat="1" applyFont="1" applyFill="1" applyBorder="1" applyAlignment="1">
      <alignment horizontal="right" vertical="center"/>
    </xf>
    <xf numFmtId="4" fontId="160" fillId="51" borderId="125" xfId="20" applyNumberFormat="1" applyFont="1" applyFill="1" applyBorder="1" applyAlignment="1">
      <alignment horizontal="right" vertical="center"/>
    </xf>
    <xf numFmtId="4" fontId="15" fillId="51" borderId="0" xfId="20" applyNumberFormat="1" applyFont="1" applyFill="1" applyAlignment="1">
      <alignment horizontal="right" vertical="center"/>
    </xf>
    <xf numFmtId="3" fontId="15" fillId="36" borderId="125" xfId="20" applyNumberFormat="1" applyFont="1" applyFill="1" applyBorder="1" applyAlignment="1">
      <alignment horizontal="right" vertical="center"/>
    </xf>
    <xf numFmtId="3" fontId="15" fillId="0" borderId="125" xfId="20" applyNumberFormat="1" applyFont="1" applyBorder="1" applyAlignment="1">
      <alignment horizontal="right" vertical="center"/>
    </xf>
    <xf numFmtId="9" fontId="15" fillId="0" borderId="125" xfId="20" applyNumberFormat="1" applyFont="1" applyBorder="1" applyAlignment="1">
      <alignment horizontal="right" vertical="center"/>
    </xf>
    <xf numFmtId="4" fontId="229" fillId="36" borderId="125" xfId="20" applyNumberFormat="1" applyFont="1" applyFill="1" applyBorder="1" applyAlignment="1">
      <alignment horizontal="right" vertical="center"/>
    </xf>
    <xf numFmtId="166" fontId="93" fillId="19" borderId="59" xfId="20" applyNumberFormat="1" applyFont="1" applyFill="1" applyBorder="1"/>
    <xf numFmtId="166" fontId="93" fillId="19" borderId="63" xfId="20" applyNumberFormat="1" applyFont="1" applyFill="1" applyBorder="1"/>
    <xf numFmtId="170" fontId="15" fillId="0" borderId="155" xfId="20" applyNumberFormat="1" applyFont="1" applyBorder="1" applyAlignment="1">
      <alignment horizontal="center" vertical="center"/>
    </xf>
    <xf numFmtId="4" fontId="123" fillId="30" borderId="137" xfId="20" applyNumberFormat="1" applyFont="1" applyFill="1" applyBorder="1" applyAlignment="1">
      <alignment horizontal="center" vertical="center"/>
    </xf>
    <xf numFmtId="0" fontId="26" fillId="0" borderId="141" xfId="20" applyBorder="1"/>
    <xf numFmtId="169" fontId="130" fillId="0" borderId="156" xfId="20" applyNumberFormat="1" applyFont="1" applyBorder="1" applyAlignment="1">
      <alignment horizontal="center" vertical="center" wrapText="1"/>
    </xf>
    <xf numFmtId="0" fontId="126" fillId="30" borderId="137" xfId="20" applyFont="1" applyFill="1" applyBorder="1" applyAlignment="1">
      <alignment horizontal="center" vertical="center"/>
    </xf>
    <xf numFmtId="3" fontId="142" fillId="35" borderId="215" xfId="3" quotePrefix="1" applyNumberFormat="1" applyFont="1" applyFill="1" applyBorder="1" applyAlignment="1">
      <alignment horizontal="center"/>
    </xf>
    <xf numFmtId="0" fontId="105" fillId="35" borderId="215" xfId="3" applyFont="1" applyFill="1" applyBorder="1" applyAlignment="1">
      <alignment horizontal="center"/>
    </xf>
    <xf numFmtId="0" fontId="105" fillId="28" borderId="215" xfId="3" applyFont="1" applyFill="1" applyBorder="1" applyAlignment="1">
      <alignment horizontal="center"/>
    </xf>
    <xf numFmtId="0" fontId="105" fillId="35" borderId="211" xfId="3" applyFont="1" applyFill="1" applyBorder="1" applyAlignment="1">
      <alignment horizontal="center" vertical="center"/>
    </xf>
    <xf numFmtId="0" fontId="105" fillId="35" borderId="210" xfId="3" applyFont="1" applyFill="1" applyBorder="1" applyAlignment="1">
      <alignment horizontal="center" vertical="center"/>
    </xf>
    <xf numFmtId="0" fontId="105" fillId="35" borderId="215" xfId="3" applyFont="1" applyFill="1" applyBorder="1" applyAlignment="1">
      <alignment horizontal="center" vertical="center"/>
    </xf>
    <xf numFmtId="0" fontId="105" fillId="35" borderId="212" xfId="3" applyFont="1" applyFill="1" applyBorder="1" applyAlignment="1">
      <alignment horizontal="center" vertical="center"/>
    </xf>
    <xf numFmtId="0" fontId="143" fillId="0" borderId="214" xfId="3" applyFont="1" applyBorder="1"/>
    <xf numFmtId="0" fontId="230" fillId="36" borderId="214" xfId="3" applyFont="1" applyFill="1" applyBorder="1"/>
    <xf numFmtId="0" fontId="230" fillId="36" borderId="0" xfId="3" applyFont="1" applyFill="1"/>
    <xf numFmtId="0" fontId="256" fillId="36" borderId="214" xfId="3" applyFont="1" applyFill="1" applyBorder="1" applyAlignment="1">
      <alignment horizontal="center"/>
    </xf>
    <xf numFmtId="0" fontId="230" fillId="37" borderId="214" xfId="3" applyFont="1" applyFill="1" applyBorder="1" applyAlignment="1">
      <alignment horizontal="center" wrapText="1"/>
    </xf>
    <xf numFmtId="4" fontId="138" fillId="36" borderId="0" xfId="3" applyNumberFormat="1" applyFont="1" applyFill="1" applyAlignment="1">
      <alignment horizontal="right"/>
    </xf>
    <xf numFmtId="4" fontId="146" fillId="38" borderId="216" xfId="3" applyNumberFormat="1" applyFont="1" applyFill="1" applyBorder="1" applyAlignment="1">
      <alignment horizontal="right"/>
    </xf>
    <xf numFmtId="4" fontId="257" fillId="36" borderId="214" xfId="3" applyNumberFormat="1" applyFont="1" applyFill="1" applyBorder="1"/>
    <xf numFmtId="4" fontId="257" fillId="36" borderId="0" xfId="3" applyNumberFormat="1" applyFont="1" applyFill="1"/>
    <xf numFmtId="0" fontId="258" fillId="36" borderId="0" xfId="3" applyFont="1" applyFill="1"/>
    <xf numFmtId="0" fontId="258" fillId="36" borderId="214" xfId="3" applyFont="1" applyFill="1" applyBorder="1"/>
    <xf numFmtId="4" fontId="259" fillId="36" borderId="214" xfId="3" applyNumberFormat="1" applyFont="1" applyFill="1" applyBorder="1"/>
    <xf numFmtId="4" fontId="259" fillId="36" borderId="0" xfId="3" applyNumberFormat="1" applyFont="1" applyFill="1"/>
    <xf numFmtId="0" fontId="250" fillId="36" borderId="0" xfId="3" applyFont="1" applyFill="1"/>
    <xf numFmtId="0" fontId="261" fillId="36" borderId="214" xfId="3" applyFont="1" applyFill="1" applyBorder="1"/>
    <xf numFmtId="0" fontId="261" fillId="36" borderId="217" xfId="3" applyFont="1" applyFill="1" applyBorder="1"/>
    <xf numFmtId="0" fontId="230" fillId="0" borderId="214" xfId="3" applyFont="1" applyBorder="1"/>
    <xf numFmtId="0" fontId="230" fillId="0" borderId="0" xfId="3" applyFont="1"/>
    <xf numFmtId="0" fontId="230" fillId="0" borderId="214" xfId="3" applyFont="1" applyBorder="1" applyAlignment="1">
      <alignment horizontal="center"/>
    </xf>
    <xf numFmtId="4" fontId="138" fillId="0" borderId="0" xfId="3" applyNumberFormat="1" applyFont="1" applyAlignment="1">
      <alignment horizontal="right"/>
    </xf>
    <xf numFmtId="4" fontId="146" fillId="0" borderId="216" xfId="3" applyNumberFormat="1" applyFont="1" applyBorder="1" applyAlignment="1">
      <alignment horizontal="right"/>
    </xf>
    <xf numFmtId="4" fontId="257" fillId="0" borderId="214" xfId="3" applyNumberFormat="1" applyFont="1" applyBorder="1"/>
    <xf numFmtId="4" fontId="257" fillId="0" borderId="0" xfId="3" applyNumberFormat="1" applyFont="1"/>
    <xf numFmtId="0" fontId="250" fillId="0" borderId="0" xfId="3" applyFont="1"/>
    <xf numFmtId="4" fontId="259" fillId="0" borderId="0" xfId="3" applyNumberFormat="1" applyFont="1"/>
    <xf numFmtId="0" fontId="250" fillId="0" borderId="214" xfId="3" applyFont="1" applyBorder="1"/>
    <xf numFmtId="0" fontId="250" fillId="0" borderId="217" xfId="3" applyFont="1" applyBorder="1"/>
    <xf numFmtId="0" fontId="230" fillId="36" borderId="214" xfId="3" applyFont="1" applyFill="1" applyBorder="1" applyAlignment="1">
      <alignment horizontal="center"/>
    </xf>
    <xf numFmtId="0" fontId="230" fillId="37" borderId="214" xfId="3" applyFont="1" applyFill="1" applyBorder="1" applyAlignment="1">
      <alignment horizontal="center"/>
    </xf>
    <xf numFmtId="4" fontId="15" fillId="36" borderId="0" xfId="3" applyNumberFormat="1" applyFont="1" applyFill="1" applyAlignment="1">
      <alignment horizontal="right"/>
    </xf>
    <xf numFmtId="4" fontId="150" fillId="36" borderId="216" xfId="3" applyNumberFormat="1" applyFont="1" applyFill="1" applyBorder="1" applyAlignment="1">
      <alignment horizontal="right"/>
    </xf>
    <xf numFmtId="0" fontId="250" fillId="36" borderId="214" xfId="3" applyFont="1" applyFill="1" applyBorder="1"/>
    <xf numFmtId="0" fontId="259" fillId="36" borderId="0" xfId="3" applyFont="1" applyFill="1"/>
    <xf numFmtId="0" fontId="250" fillId="36" borderId="217" xfId="3" applyFont="1" applyFill="1" applyBorder="1"/>
    <xf numFmtId="4" fontId="146" fillId="36" borderId="216" xfId="3" applyNumberFormat="1" applyFont="1" applyFill="1" applyBorder="1" applyAlignment="1">
      <alignment horizontal="right"/>
    </xf>
    <xf numFmtId="4" fontId="160" fillId="0" borderId="0" xfId="3" applyNumberFormat="1" applyFont="1" applyAlignment="1">
      <alignment horizontal="right"/>
    </xf>
    <xf numFmtId="4" fontId="259" fillId="0" borderId="214" xfId="3" applyNumberFormat="1" applyFont="1" applyBorder="1"/>
    <xf numFmtId="0" fontId="259" fillId="0" borderId="0" xfId="3" applyFont="1"/>
    <xf numFmtId="4" fontId="259" fillId="53" borderId="214" xfId="3" applyNumberFormat="1" applyFont="1" applyFill="1" applyBorder="1"/>
    <xf numFmtId="4" fontId="259" fillId="53" borderId="0" xfId="3" applyNumberFormat="1" applyFont="1" applyFill="1"/>
    <xf numFmtId="0" fontId="259" fillId="36" borderId="214" xfId="3" applyFont="1" applyFill="1" applyBorder="1"/>
    <xf numFmtId="4" fontId="15" fillId="0" borderId="0" xfId="3" applyNumberFormat="1" applyFont="1" applyAlignment="1">
      <alignment horizontal="right"/>
    </xf>
    <xf numFmtId="10" fontId="150" fillId="36" borderId="216" xfId="3" applyNumberFormat="1" applyFont="1" applyFill="1" applyBorder="1" applyAlignment="1">
      <alignment horizontal="right"/>
    </xf>
    <xf numFmtId="10" fontId="259" fillId="36" borderId="214" xfId="3" applyNumberFormat="1" applyFont="1" applyFill="1" applyBorder="1"/>
    <xf numFmtId="10" fontId="259" fillId="36" borderId="0" xfId="3" applyNumberFormat="1" applyFont="1" applyFill="1"/>
    <xf numFmtId="4" fontId="150" fillId="0" borderId="216" xfId="3" applyNumberFormat="1" applyFont="1" applyBorder="1" applyAlignment="1">
      <alignment horizontal="right"/>
    </xf>
    <xf numFmtId="0" fontId="259" fillId="0" borderId="214" xfId="3" applyFont="1" applyBorder="1"/>
    <xf numFmtId="4" fontId="150" fillId="36" borderId="216" xfId="3" applyNumberFormat="1" applyFont="1" applyFill="1" applyBorder="1" applyAlignment="1">
      <alignment horizontal="right" vertical="center"/>
    </xf>
    <xf numFmtId="3" fontId="143" fillId="0" borderId="179" xfId="3" quotePrefix="1" applyNumberFormat="1" applyFont="1" applyBorder="1" applyAlignment="1">
      <alignment horizontal="center" vertical="center"/>
    </xf>
    <xf numFmtId="0" fontId="15" fillId="0" borderId="179" xfId="3" applyFont="1" applyBorder="1" applyAlignment="1">
      <alignment horizontal="left" vertical="center"/>
    </xf>
    <xf numFmtId="0" fontId="104" fillId="0" borderId="179" xfId="3" applyFont="1" applyBorder="1" applyAlignment="1">
      <alignment horizontal="left" vertical="center"/>
    </xf>
    <xf numFmtId="0" fontId="104" fillId="0" borderId="179" xfId="3" applyFont="1" applyBorder="1" applyAlignment="1">
      <alignment horizontal="center" vertical="center"/>
    </xf>
    <xf numFmtId="0" fontId="104" fillId="0" borderId="218" xfId="3" applyFont="1" applyBorder="1" applyAlignment="1">
      <alignment horizontal="center" vertical="center"/>
    </xf>
    <xf numFmtId="0" fontId="104" fillId="0" borderId="180" xfId="3" applyFont="1" applyBorder="1" applyAlignment="1">
      <alignment horizontal="center" vertical="center"/>
    </xf>
    <xf numFmtId="4" fontId="257" fillId="0" borderId="179" xfId="3" applyNumberFormat="1" applyFont="1" applyBorder="1"/>
    <xf numFmtId="0" fontId="104" fillId="0" borderId="192" xfId="3" applyFont="1" applyBorder="1" applyAlignment="1">
      <alignment horizontal="center" vertical="center"/>
    </xf>
    <xf numFmtId="4" fontId="104" fillId="0" borderId="179" xfId="3" applyNumberFormat="1" applyFont="1" applyBorder="1" applyAlignment="1">
      <alignment horizontal="right" vertical="center"/>
    </xf>
    <xf numFmtId="4" fontId="104" fillId="0" borderId="192" xfId="3" applyNumberFormat="1" applyFont="1" applyBorder="1" applyAlignment="1">
      <alignment horizontal="right" vertical="center"/>
    </xf>
    <xf numFmtId="4" fontId="104" fillId="0" borderId="219" xfId="3" applyNumberFormat="1" applyFont="1" applyBorder="1" applyAlignment="1">
      <alignment horizontal="right" vertical="center"/>
    </xf>
    <xf numFmtId="0" fontId="104" fillId="0" borderId="220" xfId="3" applyFont="1" applyBorder="1" applyAlignment="1">
      <alignment horizontal="left" vertical="center"/>
    </xf>
    <xf numFmtId="0" fontId="262" fillId="35" borderId="133" xfId="3" applyFont="1" applyFill="1" applyBorder="1"/>
    <xf numFmtId="0" fontId="262" fillId="35" borderId="119" xfId="3" applyFont="1" applyFill="1" applyBorder="1"/>
    <xf numFmtId="0" fontId="262" fillId="35" borderId="134" xfId="3" applyFont="1" applyFill="1" applyBorder="1"/>
    <xf numFmtId="0" fontId="262" fillId="35" borderId="135" xfId="3" applyFont="1" applyFill="1" applyBorder="1" applyAlignment="1">
      <alignment horizontal="center"/>
    </xf>
    <xf numFmtId="0" fontId="262" fillId="35" borderId="133" xfId="3" applyFont="1" applyFill="1" applyBorder="1" applyAlignment="1">
      <alignment horizontal="center"/>
    </xf>
    <xf numFmtId="0" fontId="230" fillId="36" borderId="125" xfId="3" applyFont="1" applyFill="1" applyBorder="1" applyAlignment="1">
      <alignment vertical="center"/>
    </xf>
    <xf numFmtId="0" fontId="230" fillId="36" borderId="137" xfId="3" applyFont="1" applyFill="1" applyBorder="1" applyAlignment="1">
      <alignment vertical="center"/>
    </xf>
    <xf numFmtId="0" fontId="27" fillId="37" borderId="0" xfId="3" applyFont="1" applyFill="1" applyAlignment="1">
      <alignment horizontal="center" vertical="center" wrapText="1"/>
    </xf>
    <xf numFmtId="4" fontId="144" fillId="36" borderId="122" xfId="3" applyNumberFormat="1" applyFont="1" applyFill="1" applyBorder="1" applyAlignment="1">
      <alignment horizontal="right" vertical="center"/>
    </xf>
    <xf numFmtId="4" fontId="259" fillId="36" borderId="137" xfId="3" applyNumberFormat="1" applyFont="1" applyFill="1" applyBorder="1" applyAlignment="1">
      <alignment vertical="center"/>
    </xf>
    <xf numFmtId="4" fontId="259" fillId="36" borderId="0" xfId="3" applyNumberFormat="1" applyFont="1" applyFill="1" applyAlignment="1">
      <alignment vertical="center"/>
    </xf>
    <xf numFmtId="0" fontId="261" fillId="36" borderId="125" xfId="3" applyFont="1" applyFill="1" applyBorder="1" applyAlignment="1">
      <alignment vertical="center"/>
    </xf>
    <xf numFmtId="0" fontId="261" fillId="36" borderId="0" xfId="3" applyFont="1" applyFill="1" applyAlignment="1">
      <alignment vertical="center"/>
    </xf>
    <xf numFmtId="0" fontId="230" fillId="0" borderId="125" xfId="3" applyFont="1" applyBorder="1"/>
    <xf numFmtId="0" fontId="230" fillId="0" borderId="137" xfId="3" applyFont="1" applyBorder="1"/>
    <xf numFmtId="4" fontId="204" fillId="0" borderId="125" xfId="3" applyNumberFormat="1" applyFont="1" applyBorder="1" applyAlignment="1">
      <alignment horizontal="right" vertical="center"/>
    </xf>
    <xf numFmtId="0" fontId="254" fillId="0" borderId="125" xfId="3" applyFont="1" applyBorder="1"/>
    <xf numFmtId="0" fontId="254" fillId="0" borderId="137" xfId="3" applyFont="1" applyBorder="1"/>
    <xf numFmtId="0" fontId="230" fillId="36" borderId="125" xfId="3" applyFont="1" applyFill="1" applyBorder="1"/>
    <xf numFmtId="0" fontId="230" fillId="36" borderId="137" xfId="3" applyFont="1" applyFill="1" applyBorder="1"/>
    <xf numFmtId="0" fontId="104" fillId="37" borderId="0" xfId="3" applyFont="1" applyFill="1" applyAlignment="1">
      <alignment horizontal="center" vertical="center"/>
    </xf>
    <xf numFmtId="0" fontId="254" fillId="36" borderId="125" xfId="3" applyFont="1" applyFill="1" applyBorder="1"/>
    <xf numFmtId="0" fontId="254" fillId="36" borderId="137" xfId="3" applyFont="1" applyFill="1" applyBorder="1"/>
    <xf numFmtId="0" fontId="254" fillId="36" borderId="0" xfId="3" applyFont="1" applyFill="1"/>
    <xf numFmtId="3" fontId="143" fillId="0" borderId="221" xfId="3" applyNumberFormat="1" applyFont="1" applyBorder="1" applyAlignment="1">
      <alignment horizontal="center" vertical="center"/>
    </xf>
    <xf numFmtId="0" fontId="230" fillId="0" borderId="221" xfId="3" applyFont="1" applyBorder="1"/>
    <xf numFmtId="0" fontId="230" fillId="0" borderId="222" xfId="3" applyFont="1" applyBorder="1"/>
    <xf numFmtId="4" fontId="104" fillId="0" borderId="221" xfId="3" applyNumberFormat="1" applyFont="1" applyBorder="1" applyAlignment="1">
      <alignment horizontal="right" vertical="center"/>
    </xf>
    <xf numFmtId="4" fontId="27" fillId="0" borderId="221" xfId="3" applyNumberFormat="1" applyFont="1" applyBorder="1" applyAlignment="1">
      <alignment horizontal="right" vertical="center"/>
    </xf>
    <xf numFmtId="0" fontId="254" fillId="0" borderId="221" xfId="3" applyFont="1" applyBorder="1"/>
    <xf numFmtId="0" fontId="254" fillId="0" borderId="222" xfId="3" applyFont="1" applyBorder="1"/>
    <xf numFmtId="0" fontId="254" fillId="0" borderId="218" xfId="3" applyFont="1" applyBorder="1"/>
    <xf numFmtId="0" fontId="239" fillId="0" borderId="0" xfId="3" applyFont="1"/>
    <xf numFmtId="0" fontId="263" fillId="54" borderId="0" xfId="3" applyFont="1" applyFill="1"/>
    <xf numFmtId="0" fontId="262" fillId="55" borderId="223" xfId="3" applyFont="1" applyFill="1" applyBorder="1"/>
    <xf numFmtId="0" fontId="262" fillId="55" borderId="224" xfId="3" applyFont="1" applyFill="1" applyBorder="1"/>
    <xf numFmtId="4" fontId="22" fillId="0" borderId="0" xfId="3" applyNumberFormat="1" applyFont="1"/>
    <xf numFmtId="4" fontId="240" fillId="56" borderId="0" xfId="3" applyNumberFormat="1" applyFont="1" applyFill="1"/>
    <xf numFmtId="4" fontId="240" fillId="0" borderId="0" xfId="3" applyNumberFormat="1" applyFont="1"/>
    <xf numFmtId="4" fontId="250" fillId="0" borderId="0" xfId="3" applyNumberFormat="1" applyFont="1"/>
    <xf numFmtId="3" fontId="250" fillId="0" borderId="0" xfId="3" applyNumberFormat="1" applyFont="1"/>
    <xf numFmtId="0" fontId="240" fillId="0" borderId="0" xfId="3" applyFont="1"/>
    <xf numFmtId="0" fontId="250" fillId="56" borderId="0" xfId="3" applyFont="1" applyFill="1"/>
    <xf numFmtId="0" fontId="262" fillId="0" borderId="0" xfId="3" applyFont="1"/>
    <xf numFmtId="3" fontId="264" fillId="0" borderId="0" xfId="3" applyNumberFormat="1" applyFont="1"/>
    <xf numFmtId="3" fontId="265" fillId="0" borderId="0" xfId="3" applyNumberFormat="1" applyFont="1"/>
    <xf numFmtId="0" fontId="265" fillId="0" borderId="0" xfId="3" applyFont="1"/>
    <xf numFmtId="3" fontId="265" fillId="56" borderId="0" xfId="3" applyNumberFormat="1" applyFont="1" applyFill="1"/>
    <xf numFmtId="0" fontId="265" fillId="56" borderId="0" xfId="3" applyFont="1" applyFill="1"/>
    <xf numFmtId="4" fontId="265" fillId="0" borderId="0" xfId="3" applyNumberFormat="1" applyFont="1"/>
    <xf numFmtId="3" fontId="266" fillId="0" borderId="0" xfId="3" applyNumberFormat="1" applyFont="1"/>
    <xf numFmtId="0" fontId="239" fillId="57" borderId="0" xfId="3" applyFont="1" applyFill="1" applyAlignment="1">
      <alignment wrapText="1"/>
    </xf>
    <xf numFmtId="4" fontId="236" fillId="12" borderId="0" xfId="3" applyNumberFormat="1" applyFont="1" applyFill="1"/>
    <xf numFmtId="3" fontId="205" fillId="57" borderId="0" xfId="3" applyNumberFormat="1" applyFont="1" applyFill="1"/>
    <xf numFmtId="3" fontId="250" fillId="57" borderId="0" xfId="3" applyNumberFormat="1" applyFont="1" applyFill="1"/>
    <xf numFmtId="4" fontId="267" fillId="0" borderId="0" xfId="3" applyNumberFormat="1" applyFont="1"/>
    <xf numFmtId="4" fontId="77" fillId="0" borderId="0" xfId="3" applyNumberFormat="1" applyFont="1"/>
    <xf numFmtId="4" fontId="268" fillId="0" borderId="0" xfId="3" applyNumberFormat="1" applyFont="1"/>
    <xf numFmtId="3" fontId="268" fillId="0" borderId="0" xfId="3" applyNumberFormat="1" applyFont="1"/>
    <xf numFmtId="3" fontId="268" fillId="54" borderId="0" xfId="3" applyNumberFormat="1" applyFont="1" applyFill="1"/>
    <xf numFmtId="9" fontId="267" fillId="0" borderId="0" xfId="3" applyNumberFormat="1" applyFont="1"/>
    <xf numFmtId="9" fontId="77" fillId="0" borderId="0" xfId="3" applyNumberFormat="1" applyFont="1"/>
    <xf numFmtId="9" fontId="268" fillId="0" borderId="0" xfId="3" applyNumberFormat="1" applyFont="1"/>
    <xf numFmtId="0" fontId="268" fillId="0" borderId="0" xfId="3" applyFont="1"/>
    <xf numFmtId="0" fontId="239" fillId="0" borderId="0" xfId="3" applyFont="1" applyAlignment="1">
      <alignment horizontal="center" vertical="center"/>
    </xf>
    <xf numFmtId="165" fontId="0" fillId="0" borderId="39" xfId="0" applyNumberFormat="1" applyBorder="1" applyAlignment="1">
      <alignment horizontal="center" vertical="center"/>
    </xf>
    <xf numFmtId="0" fontId="269" fillId="0" borderId="125" xfId="20" applyFont="1" applyBorder="1" applyAlignment="1">
      <alignment horizontal="center" wrapText="1"/>
    </xf>
    <xf numFmtId="0" fontId="111" fillId="0" borderId="125" xfId="20" applyFont="1" applyBorder="1" applyAlignment="1">
      <alignment horizontal="left" vertical="center" wrapText="1"/>
    </xf>
    <xf numFmtId="4" fontId="146" fillId="38" borderId="125" xfId="20" applyNumberFormat="1" applyFont="1" applyFill="1" applyBorder="1" applyAlignment="1">
      <alignment horizontal="right" vertical="center"/>
    </xf>
    <xf numFmtId="4" fontId="150" fillId="38" borderId="125" xfId="20" applyNumberFormat="1" applyFont="1" applyFill="1" applyBorder="1" applyAlignment="1">
      <alignment horizontal="right" vertical="center"/>
    </xf>
    <xf numFmtId="4" fontId="150" fillId="38" borderId="129" xfId="20" applyNumberFormat="1" applyFont="1" applyFill="1" applyBorder="1" applyAlignment="1">
      <alignment horizontal="right" vertical="center"/>
    </xf>
    <xf numFmtId="0" fontId="254" fillId="0" borderId="0" xfId="20" applyFont="1"/>
    <xf numFmtId="10" fontId="254" fillId="0" borderId="0" xfId="20" applyNumberFormat="1" applyFont="1"/>
    <xf numFmtId="10" fontId="230" fillId="0" borderId="0" xfId="20" applyNumberFormat="1" applyFont="1"/>
    <xf numFmtId="0" fontId="104" fillId="0" borderId="0" xfId="20" applyFont="1" applyAlignment="1">
      <alignment vertical="top" wrapText="1"/>
    </xf>
    <xf numFmtId="0" fontId="254" fillId="25" borderId="0" xfId="20" applyFont="1" applyFill="1"/>
    <xf numFmtId="0" fontId="26" fillId="0" borderId="0" xfId="20" applyAlignment="1">
      <alignment wrapText="1"/>
    </xf>
    <xf numFmtId="0" fontId="254" fillId="58" borderId="0" xfId="20" applyFont="1" applyFill="1"/>
    <xf numFmtId="0" fontId="90" fillId="0" borderId="0" xfId="12" applyBorder="1" applyAlignment="1">
      <alignment horizontal="left" vertical="center"/>
    </xf>
    <xf numFmtId="0" fontId="262" fillId="60" borderId="0" xfId="20" applyFont="1" applyFill="1"/>
    <xf numFmtId="0" fontId="152" fillId="0" borderId="0" xfId="20" applyFont="1"/>
    <xf numFmtId="0" fontId="270" fillId="25" borderId="0" xfId="20" applyFont="1" applyFill="1"/>
    <xf numFmtId="0" fontId="262" fillId="25" borderId="0" xfId="20" applyFont="1" applyFill="1"/>
    <xf numFmtId="0" fontId="270" fillId="25" borderId="0" xfId="20" applyFont="1" applyFill="1" applyAlignment="1">
      <alignment wrapText="1"/>
    </xf>
    <xf numFmtId="0" fontId="271" fillId="61" borderId="0" xfId="20" applyFont="1" applyFill="1" applyAlignment="1">
      <alignment wrapText="1"/>
    </xf>
    <xf numFmtId="0" fontId="271" fillId="31" borderId="0" xfId="20" applyFont="1" applyFill="1" applyAlignment="1">
      <alignment wrapText="1"/>
    </xf>
    <xf numFmtId="0" fontId="250" fillId="0" borderId="0" xfId="20" applyFont="1"/>
    <xf numFmtId="4" fontId="230" fillId="0" borderId="0" xfId="20" applyNumberFormat="1" applyFont="1"/>
    <xf numFmtId="0" fontId="250" fillId="62" borderId="0" xfId="20" applyFont="1" applyFill="1" applyAlignment="1">
      <alignment wrapText="1"/>
    </xf>
    <xf numFmtId="9" fontId="250" fillId="30" borderId="0" xfId="20" applyNumberFormat="1" applyFont="1" applyFill="1" applyAlignment="1">
      <alignment wrapText="1"/>
    </xf>
    <xf numFmtId="10" fontId="250" fillId="54" borderId="0" xfId="20" applyNumberFormat="1" applyFont="1" applyFill="1" applyAlignment="1">
      <alignment wrapText="1"/>
    </xf>
    <xf numFmtId="10" fontId="250" fillId="63" borderId="0" xfId="20" applyNumberFormat="1" applyFont="1" applyFill="1" applyAlignment="1">
      <alignment wrapText="1"/>
    </xf>
    <xf numFmtId="0" fontId="268" fillId="0" borderId="0" xfId="20" applyFont="1"/>
    <xf numFmtId="4" fontId="250" fillId="0" borderId="0" xfId="20" applyNumberFormat="1" applyFont="1"/>
    <xf numFmtId="10" fontId="250" fillId="30" borderId="0" xfId="20" applyNumberFormat="1" applyFont="1" applyFill="1" applyAlignment="1">
      <alignment wrapText="1"/>
    </xf>
    <xf numFmtId="0" fontId="270" fillId="58" borderId="0" xfId="20" applyFont="1" applyFill="1"/>
    <xf numFmtId="4" fontId="270" fillId="58" borderId="0" xfId="20" applyNumberFormat="1" applyFont="1" applyFill="1" applyAlignment="1">
      <alignment wrapText="1"/>
    </xf>
    <xf numFmtId="165" fontId="0" fillId="0" borderId="54" xfId="0" applyNumberFormat="1" applyBorder="1" applyAlignment="1">
      <alignment horizontal="center" vertical="center"/>
    </xf>
    <xf numFmtId="4" fontId="200" fillId="52" borderId="125" xfId="20" applyNumberFormat="1" applyFont="1" applyFill="1" applyBorder="1" applyAlignment="1">
      <alignment horizontal="right" vertical="center"/>
    </xf>
    <xf numFmtId="0" fontId="101" fillId="26" borderId="0" xfId="28" applyFont="1" applyFill="1"/>
    <xf numFmtId="0" fontId="102" fillId="0" borderId="0" xfId="28" applyFont="1"/>
    <xf numFmtId="0" fontId="103" fillId="0" borderId="0" xfId="28" applyFont="1"/>
    <xf numFmtId="0" fontId="272" fillId="0" borderId="0" xfId="28"/>
    <xf numFmtId="0" fontId="104" fillId="0" borderId="0" xfId="28" applyFont="1"/>
    <xf numFmtId="0" fontId="105" fillId="0" borderId="118" xfId="28" applyFont="1" applyBorder="1"/>
    <xf numFmtId="0" fontId="104" fillId="0" borderId="118" xfId="28" applyFont="1" applyBorder="1"/>
    <xf numFmtId="0" fontId="105" fillId="0" borderId="0" xfId="28" applyFont="1"/>
    <xf numFmtId="0" fontId="106" fillId="0" borderId="0" xfId="28" applyFont="1" applyAlignment="1">
      <alignment vertical="center"/>
    </xf>
    <xf numFmtId="0" fontId="107" fillId="0" borderId="119" xfId="28" applyFont="1" applyBorder="1" applyAlignment="1">
      <alignment horizontal="center" vertical="center"/>
    </xf>
    <xf numFmtId="0" fontId="108" fillId="28" borderId="121" xfId="28" applyFont="1" applyFill="1" applyBorder="1" applyAlignment="1">
      <alignment horizontal="center" vertical="center"/>
    </xf>
    <xf numFmtId="0" fontId="109" fillId="0" borderId="122" xfId="28" applyFont="1" applyBorder="1" applyAlignment="1">
      <alignment horizontal="left"/>
    </xf>
    <xf numFmtId="0" fontId="110" fillId="0" borderId="140" xfId="28" applyFont="1" applyBorder="1" applyAlignment="1">
      <alignment horizontal="center"/>
    </xf>
    <xf numFmtId="0" fontId="110" fillId="0" borderId="122" xfId="28" applyFont="1" applyBorder="1" applyAlignment="1">
      <alignment horizontal="center"/>
    </xf>
    <xf numFmtId="0" fontId="15" fillId="0" borderId="124" xfId="28" applyFont="1" applyBorder="1"/>
    <xf numFmtId="0" fontId="111" fillId="0" borderId="125" xfId="28" applyFont="1" applyBorder="1" applyAlignment="1">
      <alignment horizontal="left" vertical="center"/>
    </xf>
    <xf numFmtId="169" fontId="112" fillId="0" borderId="125" xfId="28" applyNumberFormat="1" applyFont="1" applyBorder="1" applyAlignment="1">
      <alignment horizontal="center" vertical="center" wrapText="1"/>
    </xf>
    <xf numFmtId="0" fontId="113" fillId="0" borderId="136" xfId="28" applyFont="1" applyBorder="1" applyAlignment="1">
      <alignment horizontal="center" vertical="center" wrapText="1"/>
    </xf>
    <xf numFmtId="0" fontId="15" fillId="0" borderId="128" xfId="28" applyFont="1" applyBorder="1" applyAlignment="1">
      <alignment horizontal="center" vertical="center" wrapText="1"/>
    </xf>
    <xf numFmtId="0" fontId="113" fillId="0" borderId="0" xfId="28" applyFont="1" applyAlignment="1">
      <alignment horizontal="center" vertical="center" wrapText="1"/>
    </xf>
    <xf numFmtId="0" fontId="114" fillId="0" borderId="129" xfId="28" applyFont="1" applyBorder="1" applyAlignment="1">
      <alignment horizontal="left" vertical="center"/>
    </xf>
    <xf numFmtId="169" fontId="116" fillId="0" borderId="129" xfId="28" applyNumberFormat="1" applyFont="1" applyBorder="1" applyAlignment="1">
      <alignment horizontal="center" vertical="center" wrapText="1"/>
    </xf>
    <xf numFmtId="0" fontId="15" fillId="0" borderId="130" xfId="28" applyFont="1" applyBorder="1" applyAlignment="1">
      <alignment horizontal="center" vertical="center" wrapText="1"/>
    </xf>
    <xf numFmtId="0" fontId="104" fillId="0" borderId="0" xfId="28" applyFont="1" applyAlignment="1">
      <alignment vertical="center"/>
    </xf>
    <xf numFmtId="0" fontId="27" fillId="29" borderId="125" xfId="28" applyFont="1" applyFill="1" applyBorder="1" applyAlignment="1">
      <alignment horizontal="left" vertical="center"/>
    </xf>
    <xf numFmtId="170" fontId="15" fillId="29" borderId="122" xfId="28" applyNumberFormat="1" applyFont="1" applyFill="1" applyBorder="1" applyAlignment="1">
      <alignment horizontal="center" vertical="center"/>
    </xf>
    <xf numFmtId="166" fontId="14" fillId="0" borderId="136" xfId="28" applyNumberFormat="1" applyFont="1" applyBorder="1" applyAlignment="1">
      <alignment horizontal="center" vertical="center"/>
    </xf>
    <xf numFmtId="2" fontId="15" fillId="29" borderId="124" xfId="28" applyNumberFormat="1" applyFont="1" applyFill="1" applyBorder="1" applyAlignment="1">
      <alignment horizontal="center" vertical="center"/>
    </xf>
    <xf numFmtId="166" fontId="14" fillId="0" borderId="0" xfId="28" applyNumberFormat="1" applyFont="1" applyAlignment="1">
      <alignment horizontal="center" vertical="center"/>
    </xf>
    <xf numFmtId="0" fontId="27" fillId="0" borderId="125" xfId="28" applyFont="1" applyBorder="1" applyAlignment="1">
      <alignment horizontal="left" vertical="center"/>
    </xf>
    <xf numFmtId="170" fontId="15" fillId="0" borderId="125" xfId="28" applyNumberFormat="1" applyFont="1" applyBorder="1" applyAlignment="1">
      <alignment horizontal="center" vertical="center"/>
    </xf>
    <xf numFmtId="3" fontId="14" fillId="0" borderId="127" xfId="28" applyNumberFormat="1" applyFont="1" applyBorder="1" applyAlignment="1">
      <alignment horizontal="center" vertical="center"/>
    </xf>
    <xf numFmtId="2" fontId="15" fillId="0" borderId="128" xfId="28" applyNumberFormat="1" applyFont="1" applyBorder="1" applyAlignment="1">
      <alignment horizontal="center" vertical="center"/>
    </xf>
    <xf numFmtId="3" fontId="14" fillId="0" borderId="0" xfId="28" applyNumberFormat="1" applyFont="1" applyAlignment="1">
      <alignment horizontal="center" vertical="center"/>
    </xf>
    <xf numFmtId="170" fontId="16" fillId="29" borderId="0" xfId="28" applyNumberFormat="1" applyFont="1" applyFill="1" applyAlignment="1">
      <alignment horizontal="center" vertical="center"/>
    </xf>
    <xf numFmtId="170" fontId="16" fillId="29" borderId="125" xfId="28" applyNumberFormat="1" applyFont="1" applyFill="1" applyBorder="1" applyAlignment="1">
      <alignment horizontal="center" vertical="center"/>
    </xf>
    <xf numFmtId="0" fontId="113" fillId="0" borderId="127" xfId="28" applyFont="1" applyBorder="1" applyAlignment="1">
      <alignment horizontal="center" vertical="center"/>
    </xf>
    <xf numFmtId="0" fontId="15" fillId="29" borderId="128" xfId="28" applyFont="1" applyFill="1" applyBorder="1" applyAlignment="1">
      <alignment horizontal="center" vertical="center"/>
    </xf>
    <xf numFmtId="0" fontId="113" fillId="0" borderId="0" xfId="28" applyFont="1" applyAlignment="1">
      <alignment horizontal="center" vertical="center"/>
    </xf>
    <xf numFmtId="0" fontId="27" fillId="0" borderId="129" xfId="28" applyFont="1" applyBorder="1" applyAlignment="1">
      <alignment horizontal="left" vertical="center"/>
    </xf>
    <xf numFmtId="170" fontId="15" fillId="0" borderId="118" xfId="28" applyNumberFormat="1" applyFont="1" applyBorder="1" applyAlignment="1">
      <alignment horizontal="center" vertical="center"/>
    </xf>
    <xf numFmtId="170" fontId="15" fillId="0" borderId="129" xfId="28" applyNumberFormat="1" applyFont="1" applyBorder="1" applyAlignment="1">
      <alignment horizontal="center" vertical="center"/>
    </xf>
    <xf numFmtId="2" fontId="105" fillId="0" borderId="130" xfId="28" applyNumberFormat="1" applyFont="1" applyBorder="1" applyAlignment="1">
      <alignment horizontal="center" vertical="center"/>
    </xf>
    <xf numFmtId="0" fontId="118" fillId="0" borderId="125" xfId="28" applyFont="1" applyBorder="1" applyAlignment="1">
      <alignment horizontal="left"/>
    </xf>
    <xf numFmtId="3" fontId="120" fillId="0" borderId="123" xfId="28" applyNumberFormat="1" applyFont="1" applyBorder="1" applyAlignment="1">
      <alignment horizontal="center"/>
    </xf>
    <xf numFmtId="3" fontId="120" fillId="0" borderId="137" xfId="28" applyNumberFormat="1" applyFont="1" applyBorder="1" applyAlignment="1">
      <alignment horizontal="center"/>
    </xf>
    <xf numFmtId="3" fontId="14" fillId="0" borderId="0" xfId="28" applyNumberFormat="1" applyFont="1" applyAlignment="1">
      <alignment horizontal="center"/>
    </xf>
    <xf numFmtId="3" fontId="14" fillId="0" borderId="132" xfId="28" applyNumberFormat="1" applyFont="1" applyBorder="1" applyAlignment="1">
      <alignment horizontal="center"/>
    </xf>
    <xf numFmtId="0" fontId="121" fillId="0" borderId="125" xfId="28" applyFont="1" applyBorder="1" applyAlignment="1">
      <alignment horizontal="left" vertical="center"/>
    </xf>
    <xf numFmtId="169" fontId="120" fillId="0" borderId="126" xfId="28" applyNumberFormat="1" applyFont="1" applyBorder="1" applyAlignment="1">
      <alignment horizontal="center" vertical="center" wrapText="1"/>
    </xf>
    <xf numFmtId="169" fontId="120" fillId="0" borderId="137" xfId="28" applyNumberFormat="1" applyFont="1" applyBorder="1" applyAlignment="1">
      <alignment horizontal="center" vertical="center" wrapText="1"/>
    </xf>
    <xf numFmtId="3" fontId="14" fillId="0" borderId="138" xfId="28" applyNumberFormat="1" applyFont="1" applyBorder="1" applyAlignment="1">
      <alignment horizontal="center" vertical="center"/>
    </xf>
    <xf numFmtId="3" fontId="122" fillId="0" borderId="0" xfId="28" applyNumberFormat="1" applyFont="1" applyAlignment="1">
      <alignment horizontal="center" vertical="center" wrapText="1"/>
    </xf>
    <xf numFmtId="0" fontId="121" fillId="30" borderId="125" xfId="28" applyFont="1" applyFill="1" applyBorder="1" applyAlignment="1">
      <alignment horizontal="left" vertical="center" wrapText="1"/>
    </xf>
    <xf numFmtId="4" fontId="123" fillId="30" borderId="126" xfId="28" applyNumberFormat="1" applyFont="1" applyFill="1" applyBorder="1" applyAlignment="1">
      <alignment horizontal="center" vertical="center"/>
    </xf>
    <xf numFmtId="4" fontId="123" fillId="30" borderId="0" xfId="28" applyNumberFormat="1" applyFont="1" applyFill="1" applyAlignment="1">
      <alignment horizontal="center" vertical="center"/>
    </xf>
    <xf numFmtId="2" fontId="124" fillId="0" borderId="138" xfId="28" applyNumberFormat="1" applyFont="1" applyBorder="1" applyAlignment="1">
      <alignment horizontal="center" vertical="center"/>
    </xf>
    <xf numFmtId="166" fontId="124" fillId="0" borderId="0" xfId="28" applyNumberFormat="1" applyFont="1" applyAlignment="1">
      <alignment horizontal="center" vertical="center"/>
    </xf>
    <xf numFmtId="0" fontId="121" fillId="31" borderId="125" xfId="28" applyFont="1" applyFill="1" applyBorder="1" applyAlignment="1">
      <alignment horizontal="left" vertical="center"/>
    </xf>
    <xf numFmtId="171" fontId="126" fillId="31" borderId="126" xfId="28" applyNumberFormat="1" applyFont="1" applyFill="1" applyBorder="1" applyAlignment="1">
      <alignment horizontal="center" vertical="center"/>
    </xf>
    <xf numFmtId="171" fontId="126" fillId="31" borderId="137" xfId="28" applyNumberFormat="1" applyFont="1" applyFill="1" applyBorder="1" applyAlignment="1">
      <alignment horizontal="center" vertical="center"/>
    </xf>
    <xf numFmtId="171" fontId="104" fillId="0" borderId="0" xfId="28" applyNumberFormat="1" applyFont="1" applyAlignment="1">
      <alignment horizontal="center" vertical="center"/>
    </xf>
    <xf numFmtId="0" fontId="104" fillId="0" borderId="0" xfId="28" applyFont="1" applyAlignment="1">
      <alignment horizontal="center" vertical="center"/>
    </xf>
    <xf numFmtId="0" fontId="121" fillId="30" borderId="129" xfId="28" applyFont="1" applyFill="1" applyBorder="1" applyAlignment="1">
      <alignment horizontal="left" vertical="center"/>
    </xf>
    <xf numFmtId="171" fontId="126" fillId="30" borderId="131" xfId="28" applyNumberFormat="1" applyFont="1" applyFill="1" applyBorder="1" applyAlignment="1">
      <alignment horizontal="center" vertical="center"/>
    </xf>
    <xf numFmtId="171" fontId="126" fillId="30" borderId="118" xfId="28" applyNumberFormat="1" applyFont="1" applyFill="1" applyBorder="1" applyAlignment="1">
      <alignment horizontal="center" vertical="center"/>
    </xf>
    <xf numFmtId="171" fontId="104" fillId="0" borderId="138" xfId="28" applyNumberFormat="1" applyFont="1" applyBorder="1" applyAlignment="1">
      <alignment horizontal="center" vertical="center"/>
    </xf>
    <xf numFmtId="3" fontId="120" fillId="0" borderId="126" xfId="28" applyNumberFormat="1" applyFont="1" applyBorder="1" applyAlignment="1">
      <alignment horizontal="center"/>
    </xf>
    <xf numFmtId="0" fontId="269" fillId="0" borderId="126" xfId="28" applyFont="1" applyBorder="1" applyAlignment="1">
      <alignment horizontal="center" vertical="center" wrapText="1"/>
    </xf>
    <xf numFmtId="169" fontId="120" fillId="0" borderId="138" xfId="28" applyNumberFormat="1" applyFont="1" applyBorder="1" applyAlignment="1">
      <alignment horizontal="center" vertical="center" wrapText="1"/>
    </xf>
    <xf numFmtId="4" fontId="123" fillId="30" borderId="137" xfId="28" applyNumberFormat="1" applyFont="1" applyFill="1" applyBorder="1" applyAlignment="1">
      <alignment horizontal="center" vertical="center"/>
    </xf>
    <xf numFmtId="172" fontId="128" fillId="0" borderId="0" xfId="28" applyNumberFormat="1" applyFont="1" applyAlignment="1">
      <alignment horizontal="center" vertical="center"/>
    </xf>
    <xf numFmtId="2" fontId="128" fillId="0" borderId="0" xfId="28" applyNumberFormat="1" applyFont="1" applyAlignment="1">
      <alignment horizontal="center" vertical="center"/>
    </xf>
    <xf numFmtId="0" fontId="120" fillId="0" borderId="126" xfId="28" applyFont="1" applyBorder="1" applyAlignment="1">
      <alignment horizontal="center"/>
    </xf>
    <xf numFmtId="0" fontId="120" fillId="0" borderId="137" xfId="28" applyFont="1" applyBorder="1" applyAlignment="1">
      <alignment horizontal="center"/>
    </xf>
    <xf numFmtId="0" fontId="104" fillId="0" borderId="0" xfId="28" applyFont="1" applyAlignment="1">
      <alignment horizontal="center"/>
    </xf>
    <xf numFmtId="0" fontId="128" fillId="0" borderId="0" xfId="28" applyFont="1" applyAlignment="1">
      <alignment horizontal="center"/>
    </xf>
    <xf numFmtId="0" fontId="104" fillId="0" borderId="138" xfId="28" applyFont="1" applyBorder="1" applyAlignment="1">
      <alignment horizontal="center" vertical="center"/>
    </xf>
    <xf numFmtId="0" fontId="128" fillId="0" borderId="0" xfId="28" applyFont="1" applyAlignment="1">
      <alignment horizontal="center" vertical="center"/>
    </xf>
    <xf numFmtId="0" fontId="121" fillId="32" borderId="125" xfId="28" applyFont="1" applyFill="1" applyBorder="1" applyAlignment="1">
      <alignment horizontal="left" vertical="center" wrapText="1"/>
    </xf>
    <xf numFmtId="4" fontId="123" fillId="32" borderId="126" xfId="28" applyNumberFormat="1" applyFont="1" applyFill="1" applyBorder="1" applyAlignment="1">
      <alignment horizontal="center" vertical="center"/>
    </xf>
    <xf numFmtId="4" fontId="123" fillId="32" borderId="137" xfId="28" applyNumberFormat="1" applyFont="1" applyFill="1" applyBorder="1" applyAlignment="1">
      <alignment horizontal="center" vertical="center"/>
    </xf>
    <xf numFmtId="4" fontId="129" fillId="0" borderId="0" xfId="28" applyNumberFormat="1" applyFont="1" applyAlignment="1">
      <alignment horizontal="center" vertical="center"/>
    </xf>
    <xf numFmtId="0" fontId="121" fillId="33" borderId="125" xfId="28" applyFont="1" applyFill="1" applyBorder="1" applyAlignment="1">
      <alignment horizontal="left" vertical="center"/>
    </xf>
    <xf numFmtId="171" fontId="126" fillId="0" borderId="126" xfId="28" applyNumberFormat="1" applyFont="1" applyBorder="1" applyAlignment="1">
      <alignment horizontal="center" vertical="center"/>
    </xf>
    <xf numFmtId="171" fontId="126" fillId="0" borderId="137" xfId="28" applyNumberFormat="1" applyFont="1" applyBorder="1" applyAlignment="1">
      <alignment horizontal="center" vertical="center"/>
    </xf>
    <xf numFmtId="172" fontId="15" fillId="0" borderId="0" xfId="28" applyNumberFormat="1" applyFont="1" applyAlignment="1">
      <alignment horizontal="center" vertical="center"/>
    </xf>
    <xf numFmtId="0" fontId="121" fillId="32" borderId="129" xfId="28" applyFont="1" applyFill="1" applyBorder="1" applyAlignment="1">
      <alignment horizontal="left" vertical="center"/>
    </xf>
    <xf numFmtId="171" fontId="126" fillId="32" borderId="131" xfId="28" applyNumberFormat="1" applyFont="1" applyFill="1" applyBorder="1" applyAlignment="1">
      <alignment horizontal="center" vertical="center"/>
    </xf>
    <xf numFmtId="171" fontId="126" fillId="32" borderId="118" xfId="28" applyNumberFormat="1" applyFont="1" applyFill="1" applyBorder="1" applyAlignment="1">
      <alignment horizontal="center" vertical="center"/>
    </xf>
    <xf numFmtId="2" fontId="15" fillId="0" borderId="0" xfId="28" applyNumberFormat="1" applyFont="1" applyAlignment="1">
      <alignment horizontal="center" vertical="center"/>
    </xf>
    <xf numFmtId="0" fontId="15" fillId="0" borderId="0" xfId="28" applyFont="1" applyAlignment="1">
      <alignment horizontal="center"/>
    </xf>
    <xf numFmtId="0" fontId="15" fillId="0" borderId="0" xfId="28" applyFont="1" applyAlignment="1">
      <alignment horizontal="center" vertical="center"/>
    </xf>
    <xf numFmtId="0" fontId="125" fillId="0" borderId="125" xfId="28" applyFont="1" applyBorder="1" applyAlignment="1">
      <alignment horizontal="left" vertical="center"/>
    </xf>
    <xf numFmtId="169" fontId="130" fillId="0" borderId="123" xfId="28" applyNumberFormat="1" applyFont="1" applyBorder="1" applyAlignment="1">
      <alignment horizontal="center" vertical="center" wrapText="1"/>
    </xf>
    <xf numFmtId="169" fontId="130" fillId="0" borderId="156" xfId="28" applyNumberFormat="1" applyFont="1" applyBorder="1" applyAlignment="1">
      <alignment horizontal="center" vertical="center" wrapText="1"/>
    </xf>
    <xf numFmtId="0" fontId="131" fillId="0" borderId="138" xfId="28" applyFont="1" applyBorder="1" applyAlignment="1">
      <alignment horizontal="center" vertical="center"/>
    </xf>
    <xf numFmtId="0" fontId="126" fillId="0" borderId="0" xfId="28" applyFont="1" applyAlignment="1">
      <alignment horizontal="center" vertical="center"/>
    </xf>
    <xf numFmtId="0" fontId="131" fillId="0" borderId="0" xfId="28" applyFont="1" applyAlignment="1">
      <alignment horizontal="center" vertical="center"/>
    </xf>
    <xf numFmtId="0" fontId="125" fillId="30" borderId="125" xfId="28" applyFont="1" applyFill="1" applyBorder="1" applyAlignment="1">
      <alignment horizontal="left" vertical="center"/>
    </xf>
    <xf numFmtId="0" fontId="126" fillId="30" borderId="126" xfId="28" applyFont="1" applyFill="1" applyBorder="1" applyAlignment="1">
      <alignment horizontal="center" vertical="center"/>
    </xf>
    <xf numFmtId="0" fontId="126" fillId="30" borderId="137" xfId="28" applyFont="1" applyFill="1" applyBorder="1" applyAlignment="1">
      <alignment horizontal="center" vertical="center"/>
    </xf>
    <xf numFmtId="0" fontId="131" fillId="0" borderId="0" xfId="28" applyFont="1" applyAlignment="1">
      <alignment horizontal="center"/>
    </xf>
    <xf numFmtId="0" fontId="126" fillId="0" borderId="0" xfId="28" applyFont="1" applyAlignment="1">
      <alignment horizontal="center"/>
    </xf>
    <xf numFmtId="0" fontId="27" fillId="0" borderId="125" xfId="28" applyFont="1" applyBorder="1" applyAlignment="1">
      <alignment horizontal="left" vertical="center" wrapText="1"/>
    </xf>
    <xf numFmtId="0" fontId="15" fillId="0" borderId="126" xfId="28" applyFont="1" applyBorder="1" applyAlignment="1">
      <alignment horizontal="center" vertical="center"/>
    </xf>
    <xf numFmtId="0" fontId="15" fillId="0" borderId="137" xfId="28" applyFont="1" applyBorder="1" applyAlignment="1">
      <alignment horizontal="center" vertical="center"/>
    </xf>
    <xf numFmtId="0" fontId="27" fillId="30" borderId="125" xfId="28" applyFont="1" applyFill="1" applyBorder="1" applyAlignment="1">
      <alignment horizontal="left" vertical="center" wrapText="1"/>
    </xf>
    <xf numFmtId="0" fontId="15" fillId="30" borderId="126" xfId="28" applyFont="1" applyFill="1" applyBorder="1" applyAlignment="1">
      <alignment horizontal="center" vertical="center"/>
    </xf>
    <xf numFmtId="0" fontId="15" fillId="30" borderId="137" xfId="28" applyFont="1" applyFill="1" applyBorder="1" applyAlignment="1">
      <alignment horizontal="center" vertical="center"/>
    </xf>
    <xf numFmtId="0" fontId="27" fillId="30" borderId="125" xfId="28" applyFont="1" applyFill="1" applyBorder="1" applyAlignment="1">
      <alignment horizontal="left" vertical="center"/>
    </xf>
    <xf numFmtId="0" fontId="15" fillId="0" borderId="131" xfId="28" applyFont="1" applyBorder="1" applyAlignment="1">
      <alignment horizontal="center" vertical="center"/>
    </xf>
    <xf numFmtId="0" fontId="15" fillId="0" borderId="155" xfId="28" applyFont="1" applyBorder="1" applyAlignment="1">
      <alignment horizontal="center" vertical="center"/>
    </xf>
    <xf numFmtId="2" fontId="133" fillId="0" borderId="0" xfId="28" applyNumberFormat="1" applyFont="1" applyAlignment="1">
      <alignment horizontal="left" vertical="center"/>
    </xf>
    <xf numFmtId="0" fontId="104" fillId="34" borderId="0" xfId="28" applyFont="1" applyFill="1"/>
    <xf numFmtId="0" fontId="135" fillId="0" borderId="0" xfId="28" applyFont="1"/>
    <xf numFmtId="0" fontId="136" fillId="0" borderId="118" xfId="28" applyFont="1" applyBorder="1"/>
    <xf numFmtId="174" fontId="15" fillId="0" borderId="0" xfId="28" applyNumberFormat="1" applyFont="1"/>
    <xf numFmtId="174" fontId="15" fillId="4" borderId="0" xfId="28" applyNumberFormat="1" applyFont="1" applyFill="1" applyAlignment="1">
      <alignment vertical="center"/>
    </xf>
    <xf numFmtId="0" fontId="272" fillId="4" borderId="0" xfId="28" applyFill="1"/>
    <xf numFmtId="0" fontId="139" fillId="0" borderId="0" xfId="28" applyFont="1"/>
    <xf numFmtId="15" fontId="141" fillId="0" borderId="0" xfId="28" applyNumberFormat="1" applyFont="1"/>
    <xf numFmtId="3" fontId="142" fillId="35" borderId="119" xfId="28" quotePrefix="1" applyNumberFormat="1" applyFont="1" applyFill="1" applyBorder="1" applyAlignment="1">
      <alignment horizontal="center"/>
    </xf>
    <xf numFmtId="0" fontId="105" fillId="35" borderId="133" xfId="28" applyFont="1" applyFill="1" applyBorder="1" applyAlignment="1">
      <alignment horizontal="center"/>
    </xf>
    <xf numFmtId="0" fontId="105" fillId="35" borderId="119" xfId="28" applyFont="1" applyFill="1" applyBorder="1" applyAlignment="1">
      <alignment horizontal="center"/>
    </xf>
    <xf numFmtId="0" fontId="105" fillId="28" borderId="134" xfId="28" applyFont="1" applyFill="1" applyBorder="1" applyAlignment="1">
      <alignment horizontal="center"/>
    </xf>
    <xf numFmtId="0" fontId="105" fillId="35" borderId="135" xfId="28" applyFont="1" applyFill="1" applyBorder="1" applyAlignment="1">
      <alignment horizontal="center" vertical="center"/>
    </xf>
    <xf numFmtId="0" fontId="105" fillId="35" borderId="133" xfId="28" applyFont="1" applyFill="1" applyBorder="1" applyAlignment="1">
      <alignment horizontal="center" vertical="center"/>
    </xf>
    <xf numFmtId="0" fontId="105" fillId="35" borderId="134" xfId="28" applyFont="1" applyFill="1" applyBorder="1" applyAlignment="1">
      <alignment horizontal="center" vertical="center"/>
    </xf>
    <xf numFmtId="0" fontId="104" fillId="0" borderId="0" xfId="28" applyFont="1" applyAlignment="1">
      <alignment horizontal="left" vertical="center"/>
    </xf>
    <xf numFmtId="3" fontId="143" fillId="0" borderId="125" xfId="28" applyNumberFormat="1" applyFont="1" applyBorder="1" applyAlignment="1">
      <alignment horizontal="center" vertical="center"/>
    </xf>
    <xf numFmtId="0" fontId="27" fillId="36" borderId="122" xfId="28" applyFont="1" applyFill="1" applyBorder="1" applyAlignment="1">
      <alignment horizontal="left" vertical="center"/>
    </xf>
    <xf numFmtId="0" fontId="27" fillId="36" borderId="125" xfId="28" applyFont="1" applyFill="1" applyBorder="1" applyAlignment="1">
      <alignment horizontal="left" vertical="center"/>
    </xf>
    <xf numFmtId="0" fontId="27" fillId="36" borderId="125" xfId="28" applyFont="1" applyFill="1" applyBorder="1" applyAlignment="1">
      <alignment horizontal="center" vertical="center"/>
    </xf>
    <xf numFmtId="0" fontId="27" fillId="36" borderId="125" xfId="28" applyFont="1" applyFill="1" applyBorder="1" applyAlignment="1">
      <alignment horizontal="left" vertical="center" wrapText="1"/>
    </xf>
    <xf numFmtId="0" fontId="15" fillId="37" borderId="123" xfId="28" applyFont="1" applyFill="1" applyBorder="1" applyAlignment="1">
      <alignment horizontal="center" vertical="center" wrapText="1"/>
    </xf>
    <xf numFmtId="4" fontId="22" fillId="38" borderId="0" xfId="28" applyNumberFormat="1" applyFont="1" applyFill="1"/>
    <xf numFmtId="4" fontId="15" fillId="36" borderId="122" xfId="28" applyNumberFormat="1" applyFont="1" applyFill="1" applyBorder="1" applyAlignment="1">
      <alignment horizontal="right" vertical="center"/>
    </xf>
    <xf numFmtId="4" fontId="150" fillId="36" borderId="122" xfId="28" applyNumberFormat="1" applyFont="1" applyFill="1" applyBorder="1" applyAlignment="1">
      <alignment horizontal="right" vertical="center"/>
    </xf>
    <xf numFmtId="4" fontId="150" fillId="36" borderId="0" xfId="28" applyNumberFormat="1" applyFont="1" applyFill="1" applyAlignment="1">
      <alignment horizontal="right" vertical="center"/>
    </xf>
    <xf numFmtId="4" fontId="15" fillId="36" borderId="0" xfId="28" applyNumberFormat="1" applyFont="1" applyFill="1" applyAlignment="1">
      <alignment horizontal="right" vertical="center"/>
    </xf>
    <xf numFmtId="0" fontId="27" fillId="0" borderId="125" xfId="28" applyFont="1" applyBorder="1" applyAlignment="1">
      <alignment horizontal="center" vertical="center"/>
    </xf>
    <xf numFmtId="0" fontId="15" fillId="0" borderId="126" xfId="28" applyFont="1" applyBorder="1" applyAlignment="1">
      <alignment horizontal="center" vertical="center" wrapText="1"/>
    </xf>
    <xf numFmtId="9" fontId="22" fillId="0" borderId="0" xfId="29" applyFont="1" applyFill="1"/>
    <xf numFmtId="9" fontId="150" fillId="0" borderId="125" xfId="29" applyFont="1" applyFill="1" applyBorder="1" applyAlignment="1">
      <alignment horizontal="right" vertical="center"/>
    </xf>
    <xf numFmtId="9" fontId="150" fillId="0" borderId="0" xfId="29" applyFont="1" applyFill="1" applyBorder="1" applyAlignment="1">
      <alignment horizontal="right" vertical="center"/>
    </xf>
    <xf numFmtId="4" fontId="15" fillId="0" borderId="125" xfId="28" applyNumberFormat="1" applyFont="1" applyBorder="1" applyAlignment="1">
      <alignment horizontal="right" vertical="center"/>
    </xf>
    <xf numFmtId="4" fontId="15" fillId="0" borderId="0" xfId="28" applyNumberFormat="1" applyFont="1" applyAlignment="1">
      <alignment horizontal="right" vertical="center"/>
    </xf>
    <xf numFmtId="0" fontId="15" fillId="37" borderId="126" xfId="28" applyFont="1" applyFill="1" applyBorder="1" applyAlignment="1">
      <alignment horizontal="center" vertical="center" wrapText="1"/>
    </xf>
    <xf numFmtId="4" fontId="15" fillId="36" borderId="125" xfId="28" applyNumberFormat="1" applyFont="1" applyFill="1" applyBorder="1" applyAlignment="1">
      <alignment horizontal="right" vertical="center"/>
    </xf>
    <xf numFmtId="4" fontId="150" fillId="36" borderId="125" xfId="28" applyNumberFormat="1" applyFont="1" applyFill="1" applyBorder="1" applyAlignment="1">
      <alignment horizontal="right" vertical="center"/>
    </xf>
    <xf numFmtId="4" fontId="22" fillId="0" borderId="0" xfId="28" applyNumberFormat="1" applyFont="1"/>
    <xf numFmtId="4" fontId="150" fillId="0" borderId="125" xfId="28" applyNumberFormat="1" applyFont="1" applyBorder="1" applyAlignment="1">
      <alignment horizontal="right" vertical="center"/>
    </xf>
    <xf numFmtId="4" fontId="150" fillId="0" borderId="0" xfId="28" applyNumberFormat="1" applyFont="1" applyAlignment="1">
      <alignment horizontal="right" vertical="center"/>
    </xf>
    <xf numFmtId="4" fontId="273" fillId="38" borderId="0" xfId="28" applyNumberFormat="1" applyFont="1" applyFill="1"/>
    <xf numFmtId="4" fontId="273" fillId="0" borderId="0" xfId="28" applyNumberFormat="1" applyFont="1"/>
    <xf numFmtId="3" fontId="143" fillId="0" borderId="225" xfId="28" applyNumberFormat="1" applyFont="1" applyBorder="1" applyAlignment="1">
      <alignment horizontal="center" vertical="center"/>
    </xf>
    <xf numFmtId="0" fontId="27" fillId="36" borderId="225" xfId="28" applyFont="1" applyFill="1" applyBorder="1" applyAlignment="1">
      <alignment horizontal="left" vertical="center"/>
    </xf>
    <xf numFmtId="0" fontId="27" fillId="36" borderId="225" xfId="28" applyFont="1" applyFill="1" applyBorder="1" applyAlignment="1">
      <alignment horizontal="center" vertical="center"/>
    </xf>
    <xf numFmtId="0" fontId="27" fillId="36" borderId="225" xfId="28" applyFont="1" applyFill="1" applyBorder="1" applyAlignment="1">
      <alignment horizontal="left" vertical="center" wrapText="1"/>
    </xf>
    <xf numFmtId="0" fontId="15" fillId="37" borderId="226" xfId="28" applyFont="1" applyFill="1" applyBorder="1" applyAlignment="1">
      <alignment horizontal="center" vertical="center" wrapText="1"/>
    </xf>
    <xf numFmtId="4" fontId="22" fillId="38" borderId="227" xfId="28" applyNumberFormat="1" applyFont="1" applyFill="1" applyBorder="1" applyAlignment="1">
      <alignment horizontal="right" vertical="center"/>
    </xf>
    <xf numFmtId="4" fontId="15" fillId="36" borderId="225" xfId="28" applyNumberFormat="1" applyFont="1" applyFill="1" applyBorder="1" applyAlignment="1">
      <alignment horizontal="right" vertical="center"/>
    </xf>
    <xf numFmtId="4" fontId="150" fillId="36" borderId="225" xfId="28" applyNumberFormat="1" applyFont="1" applyFill="1" applyBorder="1" applyAlignment="1">
      <alignment horizontal="right" vertical="center"/>
    </xf>
    <xf numFmtId="4" fontId="150" fillId="36" borderId="88" xfId="28" applyNumberFormat="1" applyFont="1" applyFill="1" applyBorder="1" applyAlignment="1">
      <alignment horizontal="right" vertical="center"/>
    </xf>
    <xf numFmtId="4" fontId="15" fillId="36" borderId="88" xfId="28" applyNumberFormat="1" applyFont="1" applyFill="1" applyBorder="1" applyAlignment="1">
      <alignment horizontal="right" vertical="center"/>
    </xf>
    <xf numFmtId="9" fontId="22" fillId="0" borderId="0" xfId="29" applyFont="1" applyAlignment="1">
      <alignment horizontal="right" vertical="center"/>
    </xf>
    <xf numFmtId="9" fontId="150" fillId="0" borderId="125" xfId="29" applyFont="1" applyBorder="1" applyAlignment="1">
      <alignment horizontal="right" vertical="center"/>
    </xf>
    <xf numFmtId="9" fontId="150" fillId="0" borderId="0" xfId="29" applyFont="1" applyBorder="1" applyAlignment="1">
      <alignment horizontal="right" vertical="center"/>
    </xf>
    <xf numFmtId="4" fontId="22" fillId="38" borderId="0" xfId="28" applyNumberFormat="1" applyFont="1" applyFill="1" applyAlignment="1">
      <alignment horizontal="right" vertical="center"/>
    </xf>
    <xf numFmtId="4" fontId="22" fillId="0" borderId="0" xfId="28" applyNumberFormat="1" applyFont="1" applyAlignment="1">
      <alignment horizontal="right" vertical="center"/>
    </xf>
    <xf numFmtId="4" fontId="273" fillId="38" borderId="0" xfId="28" applyNumberFormat="1" applyFont="1" applyFill="1" applyAlignment="1">
      <alignment horizontal="right" vertical="center"/>
    </xf>
    <xf numFmtId="0" fontId="15" fillId="37" borderId="126" xfId="28" applyFont="1" applyFill="1" applyBorder="1" applyAlignment="1">
      <alignment horizontal="center" vertical="center"/>
    </xf>
    <xf numFmtId="4" fontId="273" fillId="0" borderId="0" xfId="28" applyNumberFormat="1" applyFont="1" applyAlignment="1">
      <alignment horizontal="right" vertical="center"/>
    </xf>
    <xf numFmtId="0" fontId="15" fillId="37" borderId="125" xfId="28" applyFont="1" applyFill="1" applyBorder="1" applyAlignment="1">
      <alignment horizontal="center" vertical="center"/>
    </xf>
    <xf numFmtId="3" fontId="143" fillId="0" borderId="129" xfId="28" applyNumberFormat="1" applyFont="1" applyBorder="1" applyAlignment="1">
      <alignment horizontal="center" vertical="center"/>
    </xf>
    <xf numFmtId="0" fontId="27" fillId="0" borderId="129" xfId="28" applyFont="1" applyBorder="1" applyAlignment="1">
      <alignment horizontal="center" vertical="center"/>
    </xf>
    <xf numFmtId="0" fontId="27" fillId="0" borderId="129" xfId="28" applyFont="1" applyBorder="1" applyAlignment="1">
      <alignment horizontal="left" vertical="center" wrapText="1"/>
    </xf>
    <xf numFmtId="0" fontId="15" fillId="0" borderId="129" xfId="28" applyFont="1" applyBorder="1" applyAlignment="1">
      <alignment horizontal="center" vertical="center"/>
    </xf>
    <xf numFmtId="4" fontId="15" fillId="0" borderId="129" xfId="28" applyNumberFormat="1" applyFont="1" applyBorder="1" applyAlignment="1">
      <alignment horizontal="right" vertical="center"/>
    </xf>
    <xf numFmtId="4" fontId="15" fillId="0" borderId="118" xfId="28" applyNumberFormat="1" applyFont="1" applyBorder="1" applyAlignment="1">
      <alignment horizontal="right" vertical="center"/>
    </xf>
    <xf numFmtId="3" fontId="147" fillId="0" borderId="0" xfId="28" applyNumberFormat="1" applyFont="1" applyAlignment="1">
      <alignment horizontal="center" vertical="center"/>
    </xf>
    <xf numFmtId="4" fontId="104" fillId="0" borderId="0" xfId="28" applyNumberFormat="1" applyFont="1" applyAlignment="1">
      <alignment horizontal="right" vertical="center"/>
    </xf>
    <xf numFmtId="3" fontId="143" fillId="0" borderId="0" xfId="28" quotePrefix="1" applyNumberFormat="1" applyFont="1" applyAlignment="1">
      <alignment horizontal="center" vertical="center"/>
    </xf>
    <xf numFmtId="0" fontId="15" fillId="0" borderId="0" xfId="28" applyFont="1" applyAlignment="1">
      <alignment horizontal="left" vertical="center"/>
    </xf>
    <xf numFmtId="15" fontId="149" fillId="0" borderId="0" xfId="28" quotePrefix="1" applyNumberFormat="1" applyFont="1"/>
    <xf numFmtId="9" fontId="254" fillId="0" borderId="0" xfId="28" applyNumberFormat="1" applyFont="1" applyAlignment="1">
      <alignment wrapText="1"/>
    </xf>
    <xf numFmtId="0" fontId="254" fillId="0" borderId="0" xfId="28" applyFont="1"/>
    <xf numFmtId="0" fontId="90" fillId="0" borderId="0" xfId="12" applyFill="1" applyBorder="1" applyAlignment="1">
      <alignment horizontal="center"/>
    </xf>
    <xf numFmtId="0" fontId="261" fillId="0" borderId="0" xfId="28" applyFont="1" applyAlignment="1">
      <alignment horizontal="left" vertical="center"/>
    </xf>
    <xf numFmtId="0" fontId="261" fillId="0" borderId="0" xfId="28" applyFont="1"/>
    <xf numFmtId="0" fontId="104" fillId="0" borderId="171" xfId="3" applyFont="1" applyBorder="1" applyAlignment="1">
      <alignment horizontal="center" vertical="center"/>
    </xf>
    <xf numFmtId="170" fontId="15" fillId="29" borderId="151" xfId="20" applyNumberFormat="1" applyFont="1" applyFill="1" applyBorder="1" applyAlignment="1">
      <alignment horizontal="center" vertical="center"/>
    </xf>
    <xf numFmtId="169" fontId="120" fillId="0" borderId="0" xfId="20" applyNumberFormat="1" applyFont="1" applyAlignment="1">
      <alignment horizontal="center" vertical="center" wrapText="1"/>
    </xf>
    <xf numFmtId="0" fontId="105" fillId="64" borderId="133" xfId="3" applyFont="1" applyFill="1" applyBorder="1" applyAlignment="1">
      <alignment horizontal="center"/>
    </xf>
    <xf numFmtId="0" fontId="105" fillId="35" borderId="228" xfId="3" applyFont="1" applyFill="1" applyBorder="1" applyAlignment="1">
      <alignment horizontal="center" vertical="center"/>
    </xf>
    <xf numFmtId="0" fontId="15" fillId="37" borderId="150" xfId="3" applyFont="1" applyFill="1" applyBorder="1" applyAlignment="1">
      <alignment horizontal="center" vertical="center" wrapText="1"/>
    </xf>
    <xf numFmtId="4" fontId="138" fillId="65" borderId="150" xfId="9" applyNumberFormat="1" applyFont="1" applyFill="1" applyBorder="1" applyAlignment="1">
      <alignment horizontal="right" vertical="center" wrapText="1"/>
    </xf>
    <xf numFmtId="4" fontId="160" fillId="66" borderId="0" xfId="9" applyNumberFormat="1" applyFont="1" applyFill="1" applyBorder="1" applyAlignment="1">
      <alignment horizontal="right" vertical="center" wrapText="1"/>
    </xf>
    <xf numFmtId="4" fontId="15" fillId="36" borderId="145" xfId="3" applyNumberFormat="1" applyFont="1" applyFill="1" applyBorder="1" applyAlignment="1">
      <alignment horizontal="right" vertical="center"/>
    </xf>
    <xf numFmtId="0" fontId="15" fillId="0" borderId="145" xfId="3" applyFont="1" applyBorder="1" applyAlignment="1">
      <alignment horizontal="center" vertical="center"/>
    </xf>
    <xf numFmtId="4" fontId="138" fillId="0" borderId="145" xfId="9" applyNumberFormat="1" applyFont="1" applyBorder="1" applyAlignment="1">
      <alignment horizontal="right" vertical="center"/>
    </xf>
    <xf numFmtId="4" fontId="150" fillId="0" borderId="0" xfId="9" applyNumberFormat="1" applyFont="1" applyBorder="1" applyAlignment="1">
      <alignment horizontal="right" vertical="center"/>
    </xf>
    <xf numFmtId="4" fontId="160" fillId="21" borderId="125" xfId="9" applyNumberFormat="1" applyFont="1" applyFill="1" applyBorder="1" applyAlignment="1">
      <alignment horizontal="right" vertical="center"/>
    </xf>
    <xf numFmtId="4" fontId="15" fillId="0" borderId="145" xfId="3" applyNumberFormat="1" applyFont="1" applyBorder="1" applyAlignment="1">
      <alignment horizontal="right" vertical="center"/>
    </xf>
    <xf numFmtId="0" fontId="15" fillId="37" borderId="145" xfId="3" applyFont="1" applyFill="1" applyBorder="1" applyAlignment="1">
      <alignment horizontal="center" vertical="center"/>
    </xf>
    <xf numFmtId="4" fontId="15" fillId="65" borderId="145" xfId="3" applyNumberFormat="1" applyFont="1" applyFill="1" applyBorder="1" applyAlignment="1">
      <alignment horizontal="right" vertical="center"/>
    </xf>
    <xf numFmtId="4" fontId="240" fillId="0" borderId="145" xfId="9" applyNumberFormat="1" applyFont="1" applyBorder="1" applyAlignment="1">
      <alignment horizontal="right" vertical="center"/>
    </xf>
    <xf numFmtId="0" fontId="15" fillId="37" borderId="126" xfId="3" applyFont="1" applyFill="1" applyBorder="1" applyAlignment="1">
      <alignment horizontal="center" vertical="center"/>
    </xf>
    <xf numFmtId="4" fontId="138" fillId="65" borderId="145" xfId="3" applyNumberFormat="1" applyFont="1" applyFill="1" applyBorder="1" applyAlignment="1">
      <alignment horizontal="right" vertical="center"/>
    </xf>
    <xf numFmtId="4" fontId="15" fillId="65" borderId="137" xfId="3" applyNumberFormat="1" applyFont="1" applyFill="1" applyBorder="1" applyAlignment="1">
      <alignment horizontal="right" vertical="center"/>
    </xf>
    <xf numFmtId="4" fontId="15" fillId="0" borderId="153" xfId="3" applyNumberFormat="1" applyFont="1" applyBorder="1" applyAlignment="1">
      <alignment horizontal="right" vertical="center"/>
    </xf>
    <xf numFmtId="0" fontId="142" fillId="35" borderId="119" xfId="3" applyFont="1" applyFill="1" applyBorder="1"/>
    <xf numFmtId="0" fontId="262" fillId="28" borderId="134" xfId="3" applyFont="1" applyFill="1" applyBorder="1"/>
    <xf numFmtId="0" fontId="262" fillId="64" borderId="133" xfId="3" applyFont="1" applyFill="1" applyBorder="1" applyAlignment="1">
      <alignment horizontal="center" vertical="center"/>
    </xf>
    <xf numFmtId="0" fontId="262" fillId="35" borderId="135" xfId="3" applyFont="1" applyFill="1" applyBorder="1" applyAlignment="1">
      <alignment horizontal="center" vertical="center"/>
    </xf>
    <xf numFmtId="0" fontId="262" fillId="35" borderId="133" xfId="3" applyFont="1" applyFill="1" applyBorder="1" applyAlignment="1">
      <alignment horizontal="center" vertical="center"/>
    </xf>
    <xf numFmtId="0" fontId="262" fillId="35" borderId="134" xfId="3" applyFont="1" applyFill="1" applyBorder="1" applyAlignment="1">
      <alignment horizontal="center" vertical="center"/>
    </xf>
    <xf numFmtId="0" fontId="143" fillId="0" borderId="125" xfId="3" applyFont="1" applyBorder="1"/>
    <xf numFmtId="0" fontId="254" fillId="36" borderId="122" xfId="3" applyFont="1" applyFill="1" applyBorder="1"/>
    <xf numFmtId="0" fontId="254" fillId="37" borderId="123" xfId="3" applyFont="1" applyFill="1" applyBorder="1" applyAlignment="1">
      <alignment wrapText="1"/>
    </xf>
    <xf numFmtId="0" fontId="229" fillId="65" borderId="0" xfId="3" applyFont="1" applyFill="1" applyAlignment="1">
      <alignment wrapText="1"/>
    </xf>
    <xf numFmtId="0" fontId="212" fillId="38" borderId="122" xfId="3" applyFont="1" applyFill="1" applyBorder="1"/>
    <xf numFmtId="0" fontId="212" fillId="36" borderId="122" xfId="3" applyFont="1" applyFill="1" applyBorder="1"/>
    <xf numFmtId="0" fontId="215" fillId="36" borderId="122" xfId="3" applyFont="1" applyFill="1" applyBorder="1"/>
    <xf numFmtId="0" fontId="215" fillId="36" borderId="0" xfId="3" applyFont="1" applyFill="1"/>
    <xf numFmtId="0" fontId="274" fillId="36" borderId="122" xfId="3" applyFont="1" applyFill="1" applyBorder="1"/>
    <xf numFmtId="0" fontId="274" fillId="36" borderId="0" xfId="3" applyFont="1" applyFill="1"/>
    <xf numFmtId="0" fontId="254" fillId="0" borderId="126" xfId="3" applyFont="1" applyBorder="1"/>
    <xf numFmtId="0" fontId="229" fillId="0" borderId="0" xfId="3" applyFont="1"/>
    <xf numFmtId="4" fontId="212" fillId="0" borderId="125" xfId="3" applyNumberFormat="1" applyFont="1" applyBorder="1"/>
    <xf numFmtId="4" fontId="215" fillId="0" borderId="125" xfId="3" applyNumberFormat="1" applyFont="1" applyBorder="1"/>
    <xf numFmtId="0" fontId="215" fillId="0" borderId="125" xfId="3" applyFont="1" applyBorder="1"/>
    <xf numFmtId="0" fontId="215" fillId="0" borderId="0" xfId="3" applyFont="1"/>
    <xf numFmtId="4" fontId="215" fillId="0" borderId="0" xfId="3" applyNumberFormat="1" applyFont="1"/>
    <xf numFmtId="0" fontId="254" fillId="37" borderId="126" xfId="3" applyFont="1" applyFill="1" applyBorder="1"/>
    <xf numFmtId="0" fontId="229" fillId="65" borderId="0" xfId="3" applyFont="1" applyFill="1"/>
    <xf numFmtId="4" fontId="212" fillId="36" borderId="125" xfId="3" applyNumberFormat="1" applyFont="1" applyFill="1" applyBorder="1"/>
    <xf numFmtId="4" fontId="215" fillId="36" borderId="125" xfId="3" applyNumberFormat="1" applyFont="1" applyFill="1" applyBorder="1"/>
    <xf numFmtId="0" fontId="215" fillId="36" borderId="125" xfId="3" applyFont="1" applyFill="1" applyBorder="1"/>
    <xf numFmtId="9" fontId="254" fillId="65" borderId="0" xfId="3" applyNumberFormat="1" applyFont="1" applyFill="1"/>
    <xf numFmtId="9" fontId="215" fillId="36" borderId="125" xfId="3" applyNumberFormat="1" applyFont="1" applyFill="1" applyBorder="1"/>
    <xf numFmtId="9" fontId="215" fillId="36" borderId="0" xfId="3" applyNumberFormat="1" applyFont="1" applyFill="1"/>
    <xf numFmtId="0" fontId="254" fillId="37" borderId="125" xfId="3" applyFont="1" applyFill="1" applyBorder="1"/>
    <xf numFmtId="0" fontId="254" fillId="65" borderId="125" xfId="3" applyFont="1" applyFill="1" applyBorder="1"/>
    <xf numFmtId="0" fontId="143" fillId="0" borderId="129" xfId="3" applyFont="1" applyBorder="1"/>
    <xf numFmtId="0" fontId="254" fillId="0" borderId="129" xfId="3" applyFont="1" applyBorder="1"/>
    <xf numFmtId="0" fontId="254" fillId="0" borderId="118" xfId="3" applyFont="1" applyBorder="1"/>
    <xf numFmtId="0" fontId="275" fillId="0" borderId="0" xfId="3" applyFont="1" applyAlignment="1">
      <alignment wrapText="1"/>
    </xf>
    <xf numFmtId="0" fontId="7" fillId="0" borderId="0" xfId="3" applyFont="1" applyAlignment="1">
      <alignment horizontal="left"/>
    </xf>
    <xf numFmtId="0" fontId="277" fillId="0" borderId="0" xfId="3" applyFont="1" applyAlignment="1">
      <alignment wrapText="1"/>
    </xf>
    <xf numFmtId="0" fontId="278" fillId="0" borderId="0" xfId="3" applyFont="1" applyAlignment="1">
      <alignment wrapText="1"/>
    </xf>
    <xf numFmtId="0" fontId="279" fillId="0" borderId="0" xfId="3" applyFont="1"/>
    <xf numFmtId="2" fontId="279" fillId="0" borderId="0" xfId="3" applyNumberFormat="1" applyFont="1"/>
    <xf numFmtId="0" fontId="280" fillId="0" borderId="0" xfId="3" applyFont="1"/>
    <xf numFmtId="2" fontId="254" fillId="0" borderId="0" xfId="3" applyNumberFormat="1" applyFont="1"/>
    <xf numFmtId="170" fontId="15" fillId="29" borderId="126" xfId="20" applyNumberFormat="1" applyFont="1" applyFill="1" applyBorder="1" applyAlignment="1">
      <alignment horizontal="center" vertical="center"/>
    </xf>
    <xf numFmtId="3" fontId="113" fillId="0" borderId="126" xfId="20" applyNumberFormat="1" applyFont="1" applyBorder="1" applyAlignment="1">
      <alignment horizontal="center"/>
    </xf>
    <xf numFmtId="0" fontId="120" fillId="0" borderId="125" xfId="20" applyFont="1" applyBorder="1" applyAlignment="1">
      <alignment horizontal="center" vertical="center" wrapText="1"/>
    </xf>
    <xf numFmtId="0" fontId="27" fillId="37" borderId="0" xfId="20" applyFont="1" applyFill="1" applyAlignment="1">
      <alignment horizontal="center" vertical="center" wrapText="1"/>
    </xf>
    <xf numFmtId="0" fontId="281" fillId="0" borderId="0" xfId="20" applyFont="1"/>
    <xf numFmtId="2" fontId="123" fillId="30" borderId="157" xfId="20" applyNumberFormat="1" applyFont="1" applyFill="1" applyBorder="1" applyAlignment="1">
      <alignment horizontal="center" vertical="center"/>
    </xf>
    <xf numFmtId="0" fontId="223" fillId="36" borderId="122" xfId="3" applyFont="1" applyFill="1" applyBorder="1" applyAlignment="1">
      <alignment horizontal="left" vertical="center"/>
    </xf>
    <xf numFmtId="0" fontId="222" fillId="36" borderId="125" xfId="3" applyFont="1" applyFill="1" applyBorder="1" applyAlignment="1">
      <alignment horizontal="left" vertical="center"/>
    </xf>
    <xf numFmtId="0" fontId="223" fillId="36" borderId="125" xfId="3" applyFont="1" applyFill="1" applyBorder="1" applyAlignment="1">
      <alignment horizontal="center" vertical="center"/>
    </xf>
    <xf numFmtId="4" fontId="282" fillId="36" borderId="156" xfId="3" applyNumberFormat="1" applyFont="1" applyFill="1" applyBorder="1" applyAlignment="1">
      <alignment horizontal="right" vertical="center"/>
    </xf>
    <xf numFmtId="4" fontId="283" fillId="36" borderId="156" xfId="3" applyNumberFormat="1" applyFont="1" applyFill="1" applyBorder="1" applyAlignment="1">
      <alignment horizontal="right" vertical="center"/>
    </xf>
    <xf numFmtId="0" fontId="283" fillId="36" borderId="122" xfId="3" applyFont="1" applyFill="1" applyBorder="1" applyAlignment="1">
      <alignment horizontal="right" vertical="center"/>
    </xf>
    <xf numFmtId="4" fontId="284" fillId="36" borderId="122" xfId="3" applyNumberFormat="1" applyFont="1" applyFill="1" applyBorder="1" applyAlignment="1">
      <alignment horizontal="right" vertical="center"/>
    </xf>
    <xf numFmtId="4" fontId="284" fillId="36" borderId="0" xfId="3" applyNumberFormat="1" applyFont="1" applyFill="1" applyAlignment="1">
      <alignment horizontal="right" vertical="center"/>
    </xf>
    <xf numFmtId="0" fontId="284" fillId="36" borderId="0" xfId="3" applyFont="1" applyFill="1" applyAlignment="1">
      <alignment horizontal="right" vertical="center"/>
    </xf>
    <xf numFmtId="0" fontId="223" fillId="36" borderId="122" xfId="3" applyFont="1" applyFill="1" applyBorder="1" applyAlignment="1">
      <alignment horizontal="right" vertical="center"/>
    </xf>
    <xf numFmtId="0" fontId="223" fillId="36" borderId="0" xfId="3" applyFont="1" applyFill="1" applyAlignment="1">
      <alignment horizontal="right" vertical="center"/>
    </xf>
    <xf numFmtId="0" fontId="222" fillId="0" borderId="125" xfId="3" applyFont="1" applyBorder="1" applyAlignment="1">
      <alignment horizontal="left" vertical="center"/>
    </xf>
    <xf numFmtId="0" fontId="222" fillId="0" borderId="125" xfId="3" applyFont="1" applyBorder="1" applyAlignment="1">
      <alignment horizontal="center" vertical="center"/>
    </xf>
    <xf numFmtId="0" fontId="282" fillId="67" borderId="125" xfId="3" applyFont="1" applyFill="1" applyBorder="1" applyAlignment="1">
      <alignment horizontal="right" vertical="center"/>
    </xf>
    <xf numFmtId="0" fontId="283" fillId="67" borderId="125" xfId="3" applyFont="1" applyFill="1" applyBorder="1" applyAlignment="1">
      <alignment horizontal="right" vertical="center"/>
    </xf>
    <xf numFmtId="0" fontId="283" fillId="0" borderId="125" xfId="3" applyFont="1" applyBorder="1" applyAlignment="1">
      <alignment horizontal="right" vertical="center"/>
    </xf>
    <xf numFmtId="0" fontId="284" fillId="0" borderId="125" xfId="3" applyFont="1" applyBorder="1" applyAlignment="1">
      <alignment horizontal="right" vertical="center"/>
    </xf>
    <xf numFmtId="0" fontId="284" fillId="0" borderId="0" xfId="3" applyFont="1" applyAlignment="1">
      <alignment horizontal="right" vertical="center"/>
    </xf>
    <xf numFmtId="0" fontId="223" fillId="0" borderId="125" xfId="3" applyFont="1" applyBorder="1" applyAlignment="1">
      <alignment horizontal="right" vertical="center"/>
    </xf>
    <xf numFmtId="0" fontId="223" fillId="0" borderId="0" xfId="3" applyFont="1" applyAlignment="1">
      <alignment horizontal="right" vertical="center"/>
    </xf>
    <xf numFmtId="0" fontId="222" fillId="36" borderId="125" xfId="3" applyFont="1" applyFill="1" applyBorder="1" applyAlignment="1">
      <alignment horizontal="center" vertical="center"/>
    </xf>
    <xf numFmtId="4" fontId="285" fillId="36" borderId="125" xfId="3" applyNumberFormat="1" applyFont="1" applyFill="1" applyBorder="1" applyAlignment="1">
      <alignment horizontal="right" vertical="center"/>
    </xf>
    <xf numFmtId="4" fontId="286" fillId="36" borderId="125" xfId="3" applyNumberFormat="1" applyFont="1" applyFill="1" applyBorder="1" applyAlignment="1">
      <alignment horizontal="right" vertical="center"/>
    </xf>
    <xf numFmtId="4" fontId="284" fillId="36" borderId="125" xfId="3" applyNumberFormat="1" applyFont="1" applyFill="1" applyBorder="1" applyAlignment="1">
      <alignment horizontal="right" vertical="center"/>
    </xf>
    <xf numFmtId="0" fontId="223" fillId="36" borderId="125" xfId="3" applyFont="1" applyFill="1" applyBorder="1" applyAlignment="1">
      <alignment horizontal="right" vertical="center"/>
    </xf>
    <xf numFmtId="9" fontId="27" fillId="0" borderId="125" xfId="5" applyFont="1" applyBorder="1" applyAlignment="1">
      <alignment horizontal="right" vertical="center"/>
    </xf>
    <xf numFmtId="9" fontId="285" fillId="0" borderId="125" xfId="3" applyNumberFormat="1" applyFont="1" applyBorder="1" applyAlignment="1">
      <alignment horizontal="right" vertical="center"/>
    </xf>
    <xf numFmtId="9" fontId="286" fillId="0" borderId="125" xfId="3" applyNumberFormat="1" applyFont="1" applyBorder="1" applyAlignment="1">
      <alignment horizontal="right" vertical="center"/>
    </xf>
    <xf numFmtId="9" fontId="284" fillId="0" borderId="125" xfId="3" applyNumberFormat="1" applyFont="1" applyBorder="1" applyAlignment="1">
      <alignment horizontal="right" vertical="center"/>
    </xf>
    <xf numFmtId="9" fontId="284" fillId="0" borderId="0" xfId="3" applyNumberFormat="1" applyFont="1" applyAlignment="1">
      <alignment horizontal="right" vertical="center"/>
    </xf>
    <xf numFmtId="4" fontId="204" fillId="36" borderId="125" xfId="3" applyNumberFormat="1" applyFont="1" applyFill="1" applyBorder="1" applyAlignment="1">
      <alignment horizontal="right" vertical="center"/>
    </xf>
    <xf numFmtId="4" fontId="282" fillId="36" borderId="125" xfId="3" applyNumberFormat="1" applyFont="1" applyFill="1" applyBorder="1" applyAlignment="1">
      <alignment horizontal="right" vertical="center"/>
    </xf>
    <xf numFmtId="4" fontId="283" fillId="36" borderId="125" xfId="3" applyNumberFormat="1" applyFont="1" applyFill="1" applyBorder="1" applyAlignment="1">
      <alignment horizontal="right" vertical="center"/>
    </xf>
    <xf numFmtId="0" fontId="284" fillId="36" borderId="125" xfId="3" applyFont="1" applyFill="1" applyBorder="1" applyAlignment="1">
      <alignment horizontal="right" vertical="center"/>
    </xf>
    <xf numFmtId="4" fontId="282" fillId="0" borderId="125" xfId="3" applyNumberFormat="1" applyFont="1" applyBorder="1" applyAlignment="1">
      <alignment horizontal="right" vertical="center"/>
    </xf>
    <xf numFmtId="4" fontId="283" fillId="0" borderId="125" xfId="3" applyNumberFormat="1" applyFont="1" applyBorder="1" applyAlignment="1">
      <alignment horizontal="right" vertical="center"/>
    </xf>
    <xf numFmtId="4" fontId="284" fillId="0" borderId="125" xfId="3" applyNumberFormat="1" applyFont="1" applyBorder="1" applyAlignment="1">
      <alignment horizontal="right" vertical="center"/>
    </xf>
    <xf numFmtId="0" fontId="27" fillId="36" borderId="125" xfId="3" applyFont="1" applyFill="1" applyBorder="1" applyAlignment="1">
      <alignment horizontal="right" vertical="center"/>
    </xf>
    <xf numFmtId="0" fontId="223" fillId="0" borderId="0" xfId="3" applyFont="1"/>
    <xf numFmtId="0" fontId="52" fillId="41" borderId="52" xfId="0" applyFont="1" applyFill="1" applyBorder="1" applyAlignment="1">
      <alignment horizontal="center" vertical="center"/>
    </xf>
    <xf numFmtId="4" fontId="287" fillId="36" borderId="125" xfId="20" applyNumberFormat="1" applyFont="1" applyFill="1" applyBorder="1" applyAlignment="1">
      <alignment horizontal="right" vertical="center"/>
    </xf>
    <xf numFmtId="4" fontId="287" fillId="0" borderId="125" xfId="20" applyNumberFormat="1" applyFont="1" applyBorder="1" applyAlignment="1">
      <alignment horizontal="right" vertical="center"/>
    </xf>
    <xf numFmtId="0" fontId="254" fillId="34" borderId="0" xfId="3" applyFont="1" applyFill="1"/>
    <xf numFmtId="0" fontId="262" fillId="28" borderId="134" xfId="3" applyFont="1" applyFill="1" applyBorder="1" applyAlignment="1">
      <alignment horizontal="center"/>
    </xf>
    <xf numFmtId="0" fontId="262" fillId="35" borderId="135" xfId="3" applyFont="1" applyFill="1" applyBorder="1"/>
    <xf numFmtId="0" fontId="230" fillId="36" borderId="122" xfId="3" applyFont="1" applyFill="1" applyBorder="1"/>
    <xf numFmtId="0" fontId="256" fillId="36" borderId="125" xfId="3" applyFont="1" applyFill="1" applyBorder="1" applyAlignment="1">
      <alignment horizontal="center" vertical="center"/>
    </xf>
    <xf numFmtId="0" fontId="256" fillId="36" borderId="125" xfId="3" applyFont="1" applyFill="1" applyBorder="1"/>
    <xf numFmtId="0" fontId="250" fillId="37" borderId="0" xfId="3" applyFont="1" applyFill="1" applyAlignment="1">
      <alignment horizontal="center" wrapText="1"/>
    </xf>
    <xf numFmtId="0" fontId="261" fillId="36" borderId="122" xfId="3" applyFont="1" applyFill="1" applyBorder="1"/>
    <xf numFmtId="0" fontId="138" fillId="36" borderId="122" xfId="3" applyFont="1" applyFill="1" applyBorder="1"/>
    <xf numFmtId="4" fontId="146" fillId="36" borderId="125" xfId="3" applyNumberFormat="1" applyFont="1" applyFill="1" applyBorder="1"/>
    <xf numFmtId="4" fontId="145" fillId="36" borderId="122" xfId="3" applyNumberFormat="1" applyFont="1" applyFill="1" applyBorder="1"/>
    <xf numFmtId="4" fontId="258" fillId="36" borderId="122" xfId="3" applyNumberFormat="1" applyFont="1" applyFill="1" applyBorder="1"/>
    <xf numFmtId="4" fontId="258" fillId="36" borderId="0" xfId="3" applyNumberFormat="1" applyFont="1" applyFill="1"/>
    <xf numFmtId="0" fontId="258" fillId="36" borderId="122" xfId="3" applyFont="1" applyFill="1" applyBorder="1"/>
    <xf numFmtId="0" fontId="230" fillId="0" borderId="125" xfId="3" applyFont="1" applyBorder="1" applyAlignment="1">
      <alignment vertical="center"/>
    </xf>
    <xf numFmtId="0" fontId="230" fillId="0" borderId="125" xfId="3" applyFont="1" applyBorder="1" applyAlignment="1">
      <alignment wrapText="1"/>
    </xf>
    <xf numFmtId="0" fontId="230" fillId="0" borderId="125" xfId="3" applyFont="1" applyBorder="1" applyAlignment="1">
      <alignment horizontal="center" vertical="center"/>
    </xf>
    <xf numFmtId="0" fontId="250" fillId="0" borderId="125" xfId="3" applyFont="1" applyBorder="1"/>
    <xf numFmtId="0" fontId="150" fillId="0" borderId="125" xfId="3" applyFont="1" applyBorder="1"/>
    <xf numFmtId="0" fontId="146" fillId="0" borderId="125" xfId="3" applyFont="1" applyBorder="1"/>
    <xf numFmtId="0" fontId="259" fillId="0" borderId="125" xfId="3" applyFont="1" applyBorder="1"/>
    <xf numFmtId="0" fontId="260" fillId="0" borderId="0" xfId="3" applyFont="1"/>
    <xf numFmtId="0" fontId="230" fillId="36" borderId="125" xfId="3" applyFont="1" applyFill="1" applyBorder="1" applyAlignment="1">
      <alignment horizontal="center" vertical="center"/>
    </xf>
    <xf numFmtId="0" fontId="250" fillId="37" borderId="0" xfId="3" applyFont="1" applyFill="1"/>
    <xf numFmtId="0" fontId="250" fillId="36" borderId="125" xfId="3" applyFont="1" applyFill="1" applyBorder="1"/>
    <xf numFmtId="0" fontId="138" fillId="36" borderId="125" xfId="3" applyFont="1" applyFill="1" applyBorder="1"/>
    <xf numFmtId="0" fontId="146" fillId="36" borderId="125" xfId="3" applyFont="1" applyFill="1" applyBorder="1"/>
    <xf numFmtId="4" fontId="259" fillId="36" borderId="125" xfId="3" applyNumberFormat="1" applyFont="1" applyFill="1" applyBorder="1"/>
    <xf numFmtId="0" fontId="259" fillId="36" borderId="125" xfId="3" applyFont="1" applyFill="1" applyBorder="1"/>
    <xf numFmtId="0" fontId="250" fillId="37" borderId="125" xfId="3" applyFont="1" applyFill="1" applyBorder="1"/>
    <xf numFmtId="0" fontId="230" fillId="0" borderId="129" xfId="3" applyFont="1" applyBorder="1"/>
    <xf numFmtId="0" fontId="250" fillId="0" borderId="129" xfId="3" applyFont="1" applyBorder="1"/>
    <xf numFmtId="0" fontId="250" fillId="0" borderId="118" xfId="3" applyFont="1" applyBorder="1"/>
    <xf numFmtId="0" fontId="143" fillId="0" borderId="0" xfId="3" applyFont="1"/>
    <xf numFmtId="0" fontId="149" fillId="0" borderId="0" xfId="3" applyFont="1"/>
    <xf numFmtId="0" fontId="271" fillId="0" borderId="0" xfId="3" applyFont="1"/>
    <xf numFmtId="0" fontId="271" fillId="36" borderId="229" xfId="3" applyFont="1" applyFill="1" applyBorder="1" applyAlignment="1">
      <alignment vertical="center" wrapText="1"/>
    </xf>
    <xf numFmtId="0" fontId="271" fillId="36" borderId="230" xfId="3" applyFont="1" applyFill="1" applyBorder="1" applyAlignment="1">
      <alignment vertical="center" wrapText="1"/>
    </xf>
    <xf numFmtId="0" fontId="271" fillId="36" borderId="231" xfId="3" applyFont="1" applyFill="1" applyBorder="1" applyAlignment="1">
      <alignment horizontal="center" vertical="center" wrapText="1"/>
    </xf>
    <xf numFmtId="0" fontId="261" fillId="36" borderId="232" xfId="3" applyFont="1" applyFill="1" applyBorder="1" applyAlignment="1">
      <alignment horizontal="left" vertical="center" wrapText="1"/>
    </xf>
    <xf numFmtId="164" fontId="250" fillId="0" borderId="0" xfId="3" applyNumberFormat="1" applyFont="1" applyAlignment="1">
      <alignment horizontal="center" vertical="center" wrapText="1"/>
    </xf>
    <xf numFmtId="2" fontId="15" fillId="0" borderId="0" xfId="26" applyNumberFormat="1" applyFont="1" applyAlignment="1">
      <alignment horizontal="center" wrapText="1"/>
    </xf>
    <xf numFmtId="2" fontId="15" fillId="0" borderId="233" xfId="26" applyNumberFormat="1" applyFont="1" applyBorder="1" applyAlignment="1">
      <alignment horizontal="center" wrapText="1"/>
    </xf>
    <xf numFmtId="0" fontId="288" fillId="0" borderId="234" xfId="3" applyFont="1" applyBorder="1" applyAlignment="1">
      <alignment vertical="center" wrapText="1"/>
    </xf>
    <xf numFmtId="0" fontId="261" fillId="36" borderId="235" xfId="3" applyFont="1" applyFill="1" applyBorder="1" applyAlignment="1">
      <alignment horizontal="left" vertical="center" wrapText="1"/>
    </xf>
    <xf numFmtId="164" fontId="250" fillId="0" borderId="236" xfId="3" applyNumberFormat="1" applyFont="1" applyBorder="1" applyAlignment="1">
      <alignment horizontal="center" vertical="center" wrapText="1"/>
    </xf>
    <xf numFmtId="2" fontId="15" fillId="0" borderId="236" xfId="26" applyNumberFormat="1" applyFont="1" applyBorder="1" applyAlignment="1">
      <alignment horizontal="center" wrapText="1"/>
    </xf>
    <xf numFmtId="2" fontId="15" fillId="0" borderId="237" xfId="26" applyNumberFormat="1" applyFont="1" applyBorder="1" applyAlignment="1">
      <alignment horizontal="center" wrapText="1"/>
    </xf>
    <xf numFmtId="2" fontId="262" fillId="68" borderId="237" xfId="3" applyNumberFormat="1" applyFont="1" applyFill="1" applyBorder="1" applyAlignment="1">
      <alignment horizontal="center" vertical="center" wrapText="1"/>
    </xf>
    <xf numFmtId="0" fontId="261" fillId="0" borderId="238" xfId="3" applyFont="1" applyBorder="1"/>
    <xf numFmtId="2" fontId="239" fillId="0" borderId="0" xfId="3" applyNumberFormat="1" applyFont="1"/>
    <xf numFmtId="0" fontId="288" fillId="0" borderId="0" xfId="3" applyFont="1"/>
    <xf numFmtId="0" fontId="271" fillId="0" borderId="236" xfId="3" applyFont="1" applyBorder="1" applyAlignment="1">
      <alignment wrapText="1"/>
    </xf>
    <xf numFmtId="0" fontId="254" fillId="0" borderId="236" xfId="3" applyFont="1" applyBorder="1" applyAlignment="1">
      <alignment wrapText="1"/>
    </xf>
    <xf numFmtId="0" fontId="230" fillId="30" borderId="239" xfId="3" applyFont="1" applyFill="1" applyBorder="1" applyAlignment="1">
      <alignment horizontal="center" wrapText="1"/>
    </xf>
    <xf numFmtId="0" fontId="261" fillId="30" borderId="0" xfId="3" applyFont="1" applyFill="1" applyAlignment="1">
      <alignment vertical="center" wrapText="1"/>
    </xf>
    <xf numFmtId="0" fontId="254" fillId="30" borderId="0" xfId="3" applyFont="1" applyFill="1" applyAlignment="1">
      <alignment vertical="center" wrapText="1"/>
    </xf>
    <xf numFmtId="0" fontId="254" fillId="30" borderId="233" xfId="3" applyFont="1" applyFill="1" applyBorder="1" applyAlignment="1">
      <alignment vertical="center" wrapText="1"/>
    </xf>
    <xf numFmtId="0" fontId="239" fillId="0" borderId="0" xfId="3" applyFont="1" applyAlignment="1">
      <alignment vertical="center"/>
    </xf>
    <xf numFmtId="3" fontId="230" fillId="30" borderId="240" xfId="3" applyNumberFormat="1" applyFont="1" applyFill="1" applyBorder="1" applyAlignment="1">
      <alignment horizontal="center" wrapText="1"/>
    </xf>
    <xf numFmtId="170" fontId="230" fillId="30" borderId="240" xfId="3" applyNumberFormat="1" applyFont="1" applyFill="1" applyBorder="1" applyAlignment="1">
      <alignment horizontal="center" wrapText="1"/>
    </xf>
    <xf numFmtId="0" fontId="230" fillId="30" borderId="240" xfId="3" applyFont="1" applyFill="1" applyBorder="1" applyAlignment="1">
      <alignment horizontal="center" wrapText="1"/>
    </xf>
    <xf numFmtId="2" fontId="289" fillId="30" borderId="241" xfId="3" applyNumberFormat="1" applyFont="1" applyFill="1" applyBorder="1" applyAlignment="1">
      <alignment horizontal="center" wrapText="1"/>
    </xf>
    <xf numFmtId="0" fontId="261" fillId="30" borderId="236" xfId="3" applyFont="1" applyFill="1" applyBorder="1" applyAlignment="1">
      <alignment vertical="center" wrapText="1"/>
    </xf>
    <xf numFmtId="0" fontId="254" fillId="30" borderId="236" xfId="3" applyFont="1" applyFill="1" applyBorder="1" applyAlignment="1">
      <alignment vertical="center" wrapText="1"/>
    </xf>
    <xf numFmtId="0" fontId="254" fillId="30" borderId="237" xfId="3" applyFont="1" applyFill="1" applyBorder="1" applyAlignment="1">
      <alignment vertical="center" wrapText="1"/>
    </xf>
    <xf numFmtId="0" fontId="230" fillId="0" borderId="238" xfId="3" applyFont="1" applyBorder="1" applyAlignment="1">
      <alignment horizontal="center" wrapText="1"/>
    </xf>
    <xf numFmtId="0" fontId="261" fillId="0" borderId="0" xfId="3" applyFont="1" applyAlignment="1">
      <alignment vertical="center" wrapText="1"/>
    </xf>
    <xf numFmtId="0" fontId="240" fillId="0" borderId="0" xfId="3" applyFont="1" applyAlignment="1">
      <alignment vertical="center"/>
    </xf>
    <xf numFmtId="0" fontId="250" fillId="0" borderId="0" xfId="3" applyFont="1" applyAlignment="1">
      <alignment vertical="center" wrapText="1"/>
    </xf>
    <xf numFmtId="0" fontId="254" fillId="0" borderId="0" xfId="3" applyFont="1" applyAlignment="1">
      <alignment vertical="center" wrapText="1"/>
    </xf>
    <xf numFmtId="0" fontId="270" fillId="0" borderId="0" xfId="3" applyFont="1" applyAlignment="1">
      <alignment horizontal="center" wrapText="1"/>
    </xf>
    <xf numFmtId="0" fontId="270" fillId="0" borderId="236" xfId="3" applyFont="1" applyBorder="1" applyAlignment="1">
      <alignment horizontal="center" wrapText="1"/>
    </xf>
    <xf numFmtId="0" fontId="254" fillId="0" borderId="236" xfId="3" applyFont="1" applyBorder="1" applyAlignment="1">
      <alignment vertical="center" wrapText="1"/>
    </xf>
    <xf numFmtId="0" fontId="256" fillId="37" borderId="239" xfId="3" applyFont="1" applyFill="1" applyBorder="1" applyAlignment="1">
      <alignment horizontal="center" vertical="center" wrapText="1"/>
    </xf>
    <xf numFmtId="0" fontId="288" fillId="37" borderId="238" xfId="3" applyFont="1" applyFill="1" applyBorder="1" applyAlignment="1">
      <alignment vertical="center" wrapText="1"/>
    </xf>
    <xf numFmtId="0" fontId="254" fillId="37" borderId="238" xfId="3" applyFont="1" applyFill="1" applyBorder="1" applyAlignment="1">
      <alignment vertical="center" wrapText="1"/>
    </xf>
    <xf numFmtId="0" fontId="254" fillId="37" borderId="242" xfId="3" applyFont="1" applyFill="1" applyBorder="1" applyAlignment="1">
      <alignment vertical="center" wrapText="1"/>
    </xf>
    <xf numFmtId="1" fontId="230" fillId="37" borderId="240" xfId="3" applyNumberFormat="1" applyFont="1" applyFill="1" applyBorder="1" applyAlignment="1">
      <alignment horizontal="center" wrapText="1"/>
    </xf>
    <xf numFmtId="0" fontId="261" fillId="37" borderId="0" xfId="3" applyFont="1" applyFill="1" applyAlignment="1">
      <alignment vertical="center" wrapText="1"/>
    </xf>
    <xf numFmtId="3" fontId="230" fillId="37" borderId="240" xfId="3" applyNumberFormat="1" applyFont="1" applyFill="1" applyBorder="1" applyAlignment="1">
      <alignment horizontal="center" wrapText="1"/>
    </xf>
    <xf numFmtId="0" fontId="254" fillId="37" borderId="0" xfId="3" applyFont="1" applyFill="1" applyAlignment="1">
      <alignment vertical="center" wrapText="1"/>
    </xf>
    <xf numFmtId="0" fontId="254" fillId="37" borderId="233" xfId="3" applyFont="1" applyFill="1" applyBorder="1" applyAlignment="1">
      <alignment vertical="center" wrapText="1"/>
    </xf>
    <xf numFmtId="0" fontId="230" fillId="37" borderId="240" xfId="3" applyFont="1" applyFill="1" applyBorder="1" applyAlignment="1">
      <alignment horizontal="center" wrapText="1"/>
    </xf>
    <xf numFmtId="2" fontId="289" fillId="37" borderId="241" xfId="3" applyNumberFormat="1" applyFont="1" applyFill="1" applyBorder="1" applyAlignment="1">
      <alignment horizontal="center" wrapText="1"/>
    </xf>
    <xf numFmtId="0" fontId="261" fillId="37" borderId="236" xfId="3" applyFont="1" applyFill="1" applyBorder="1" applyAlignment="1">
      <alignment vertical="center" wrapText="1"/>
    </xf>
    <xf numFmtId="0" fontId="254" fillId="37" borderId="236" xfId="3" applyFont="1" applyFill="1" applyBorder="1" applyAlignment="1">
      <alignment vertical="center" wrapText="1"/>
    </xf>
    <xf numFmtId="0" fontId="254" fillId="37" borderId="237" xfId="3" applyFont="1" applyFill="1" applyBorder="1" applyAlignment="1">
      <alignment vertical="center" wrapText="1"/>
    </xf>
    <xf numFmtId="0" fontId="291" fillId="0" borderId="0" xfId="3" applyFont="1" applyAlignment="1">
      <alignment horizontal="center"/>
    </xf>
    <xf numFmtId="0" fontId="256" fillId="36" borderId="239" xfId="3" applyFont="1" applyFill="1" applyBorder="1" applyAlignment="1">
      <alignment horizontal="center" wrapText="1"/>
    </xf>
    <xf numFmtId="0" fontId="288" fillId="36" borderId="0" xfId="3" applyFont="1" applyFill="1" applyAlignment="1">
      <alignment vertical="center" wrapText="1"/>
    </xf>
    <xf numFmtId="0" fontId="254" fillId="36" borderId="233" xfId="3" applyFont="1" applyFill="1" applyBorder="1" applyAlignment="1">
      <alignment vertical="center" wrapText="1"/>
    </xf>
    <xf numFmtId="1" fontId="230" fillId="36" borderId="240" xfId="3" applyNumberFormat="1" applyFont="1" applyFill="1" applyBorder="1" applyAlignment="1">
      <alignment horizontal="center" wrapText="1"/>
    </xf>
    <xf numFmtId="3" fontId="230" fillId="36" borderId="240" xfId="3" applyNumberFormat="1" applyFont="1" applyFill="1" applyBorder="1" applyAlignment="1">
      <alignment horizontal="center" wrapText="1"/>
    </xf>
    <xf numFmtId="0" fontId="261" fillId="36" borderId="0" xfId="3" applyFont="1" applyFill="1" applyAlignment="1">
      <alignment vertical="center" wrapText="1"/>
    </xf>
    <xf numFmtId="0" fontId="254" fillId="36" borderId="0" xfId="3" applyFont="1" applyFill="1" applyAlignment="1">
      <alignment vertical="center" wrapText="1"/>
    </xf>
    <xf numFmtId="0" fontId="230" fillId="36" borderId="240" xfId="3" applyFont="1" applyFill="1" applyBorder="1" applyAlignment="1">
      <alignment horizontal="center" wrapText="1"/>
    </xf>
    <xf numFmtId="2" fontId="289" fillId="36" borderId="241" xfId="3" applyNumberFormat="1" applyFont="1" applyFill="1" applyBorder="1" applyAlignment="1">
      <alignment horizontal="center" wrapText="1"/>
    </xf>
    <xf numFmtId="0" fontId="261" fillId="36" borderId="236" xfId="3" applyFont="1" applyFill="1" applyBorder="1" applyAlignment="1">
      <alignment vertical="center" wrapText="1"/>
    </xf>
    <xf numFmtId="0" fontId="254" fillId="36" borderId="236" xfId="3" applyFont="1" applyFill="1" applyBorder="1" applyAlignment="1">
      <alignment vertical="center" wrapText="1"/>
    </xf>
    <xf numFmtId="0" fontId="254" fillId="36" borderId="237" xfId="3" applyFont="1" applyFill="1" applyBorder="1" applyAlignment="1">
      <alignment vertical="center" wrapText="1"/>
    </xf>
    <xf numFmtId="0" fontId="239" fillId="4" borderId="0" xfId="3" applyFont="1" applyFill="1"/>
    <xf numFmtId="0" fontId="52" fillId="19" borderId="52" xfId="0" applyFont="1" applyFill="1" applyBorder="1" applyAlignment="1">
      <alignment horizontal="center" vertical="center"/>
    </xf>
    <xf numFmtId="0" fontId="52" fillId="4" borderId="52" xfId="0" applyFont="1" applyFill="1" applyBorder="1" applyAlignment="1">
      <alignment horizontal="center" vertical="center"/>
    </xf>
    <xf numFmtId="0" fontId="206" fillId="0" borderId="134" xfId="3" applyFont="1" applyBorder="1" applyAlignment="1">
      <alignment horizontal="center" vertical="center"/>
    </xf>
    <xf numFmtId="0" fontId="231" fillId="0" borderId="125" xfId="3" applyFont="1" applyBorder="1" applyAlignment="1">
      <alignment horizontal="center" vertical="center" wrapText="1"/>
    </xf>
    <xf numFmtId="0" fontId="113" fillId="0" borderId="136" xfId="3" applyFont="1" applyBorder="1" applyAlignment="1">
      <alignment horizontal="center" vertical="center" wrapText="1"/>
    </xf>
    <xf numFmtId="0" fontId="113" fillId="0" borderId="0" xfId="3" applyFont="1" applyAlignment="1">
      <alignment horizontal="center" vertical="center" wrapText="1"/>
    </xf>
    <xf numFmtId="0" fontId="232" fillId="0" borderId="129" xfId="3" applyFont="1" applyBorder="1" applyAlignment="1">
      <alignment horizontal="center" vertical="center" wrapText="1"/>
    </xf>
    <xf numFmtId="170" fontId="15" fillId="29" borderId="122" xfId="3" applyNumberFormat="1" applyFont="1" applyFill="1" applyBorder="1" applyAlignment="1">
      <alignment horizontal="center" vertical="center"/>
    </xf>
    <xf numFmtId="166" fontId="14" fillId="0" borderId="136" xfId="3" applyNumberFormat="1" applyFont="1" applyBorder="1" applyAlignment="1">
      <alignment horizontal="center" vertical="center"/>
    </xf>
    <xf numFmtId="166" fontId="14" fillId="0" borderId="0" xfId="3" applyNumberFormat="1" applyFont="1" applyAlignment="1">
      <alignment horizontal="center" vertical="center"/>
    </xf>
    <xf numFmtId="3" fontId="14" fillId="0" borderId="127" xfId="3" applyNumberFormat="1" applyFont="1" applyBorder="1" applyAlignment="1">
      <alignment horizontal="center" vertical="center"/>
    </xf>
    <xf numFmtId="3" fontId="14" fillId="0" borderId="0" xfId="3" applyNumberFormat="1" applyFont="1" applyAlignment="1">
      <alignment horizontal="center" vertical="center"/>
    </xf>
    <xf numFmtId="0" fontId="113" fillId="0" borderId="127" xfId="3" applyFont="1" applyBorder="1" applyAlignment="1">
      <alignment horizontal="center" vertical="center"/>
    </xf>
    <xf numFmtId="0" fontId="113" fillId="0" borderId="0" xfId="3" applyFont="1" applyAlignment="1">
      <alignment horizontal="center" vertical="center"/>
    </xf>
    <xf numFmtId="3" fontId="120" fillId="0" borderId="137" xfId="3" applyNumberFormat="1" applyFont="1" applyBorder="1" applyAlignment="1">
      <alignment horizontal="center"/>
    </xf>
    <xf numFmtId="0" fontId="292" fillId="0" borderId="125" xfId="3" applyFont="1" applyBorder="1" applyAlignment="1">
      <alignment horizontal="center" vertical="center" wrapText="1"/>
    </xf>
    <xf numFmtId="3" fontId="14" fillId="0" borderId="138" xfId="3" applyNumberFormat="1" applyFont="1" applyBorder="1" applyAlignment="1">
      <alignment horizontal="center" vertical="center"/>
    </xf>
    <xf numFmtId="3" fontId="122" fillId="0" borderId="0" xfId="3" applyNumberFormat="1" applyFont="1" applyAlignment="1">
      <alignment horizontal="center" vertical="center" wrapText="1"/>
    </xf>
    <xf numFmtId="2" fontId="124" fillId="0" borderId="138" xfId="3" applyNumberFormat="1" applyFont="1" applyBorder="1" applyAlignment="1">
      <alignment horizontal="center" vertical="center"/>
    </xf>
    <xf numFmtId="166" fontId="124" fillId="0" borderId="0" xfId="3" applyNumberFormat="1" applyFont="1" applyAlignment="1">
      <alignment horizontal="center" vertical="center"/>
    </xf>
    <xf numFmtId="0" fontId="122" fillId="0" borderId="0" xfId="3" applyFont="1" applyAlignment="1">
      <alignment horizontal="center" vertical="center"/>
    </xf>
    <xf numFmtId="171" fontId="104" fillId="0" borderId="0" xfId="3" applyNumberFormat="1" applyFont="1" applyAlignment="1">
      <alignment horizontal="center" vertical="center"/>
    </xf>
    <xf numFmtId="171" fontId="104" fillId="0" borderId="138" xfId="3" applyNumberFormat="1" applyFont="1" applyBorder="1" applyAlignment="1">
      <alignment horizontal="center" vertical="center"/>
    </xf>
    <xf numFmtId="0" fontId="104" fillId="0" borderId="0" xfId="3" applyFont="1" applyAlignment="1">
      <alignment horizontal="center"/>
    </xf>
    <xf numFmtId="0" fontId="128" fillId="0" borderId="0" xfId="3" applyFont="1" applyAlignment="1">
      <alignment horizontal="center"/>
    </xf>
    <xf numFmtId="0" fontId="104" fillId="0" borderId="138" xfId="3" applyFont="1" applyBorder="1" applyAlignment="1">
      <alignment horizontal="center" vertical="center"/>
    </xf>
    <xf numFmtId="0" fontId="128" fillId="0" borderId="0" xfId="3" applyFont="1" applyAlignment="1">
      <alignment horizontal="center" vertical="center"/>
    </xf>
    <xf numFmtId="4" fontId="129" fillId="0" borderId="0" xfId="3" applyNumberFormat="1" applyFont="1" applyAlignment="1">
      <alignment horizontal="center" vertical="center"/>
    </xf>
    <xf numFmtId="0" fontId="125" fillId="4" borderId="125" xfId="3" applyFont="1" applyFill="1" applyBorder="1" applyAlignment="1">
      <alignment horizontal="left" vertical="center"/>
    </xf>
    <xf numFmtId="169" fontId="130" fillId="4" borderId="122" xfId="3" applyNumberFormat="1" applyFont="1" applyFill="1" applyBorder="1" applyAlignment="1">
      <alignment horizontal="center" vertical="center"/>
    </xf>
    <xf numFmtId="0" fontId="131" fillId="0" borderId="138" xfId="3" applyFont="1" applyBorder="1" applyAlignment="1">
      <alignment horizontal="center" vertical="center"/>
    </xf>
    <xf numFmtId="0" fontId="131" fillId="0" borderId="0" xfId="3" applyFont="1" applyAlignment="1">
      <alignment horizontal="center" vertical="center"/>
    </xf>
    <xf numFmtId="169" fontId="124" fillId="4" borderId="122" xfId="3" applyNumberFormat="1" applyFont="1" applyFill="1" applyBorder="1" applyAlignment="1">
      <alignment horizontal="center" vertical="center"/>
    </xf>
    <xf numFmtId="2" fontId="133" fillId="0" borderId="0" xfId="3" applyNumberFormat="1" applyFont="1" applyAlignment="1">
      <alignment horizontal="left" vertical="center"/>
    </xf>
    <xf numFmtId="0" fontId="88" fillId="0" borderId="0" xfId="3" applyFont="1"/>
    <xf numFmtId="0" fontId="222" fillId="36" borderId="122" xfId="3" applyFont="1" applyFill="1" applyBorder="1" applyAlignment="1">
      <alignment horizontal="left" vertical="center"/>
    </xf>
    <xf numFmtId="0" fontId="293" fillId="36" borderId="125" xfId="3" applyFont="1" applyFill="1" applyBorder="1" applyAlignment="1">
      <alignment horizontal="center" vertical="center"/>
    </xf>
    <xf numFmtId="0" fontId="293" fillId="36" borderId="125" xfId="3" applyFont="1" applyFill="1" applyBorder="1" applyAlignment="1">
      <alignment horizontal="left" vertical="center"/>
    </xf>
    <xf numFmtId="0" fontId="95" fillId="37" borderId="0" xfId="3" applyFont="1" applyFill="1" applyAlignment="1">
      <alignment horizontal="center" vertical="center" wrapText="1"/>
    </xf>
    <xf numFmtId="4" fontId="255" fillId="36" borderId="122" xfId="3" applyNumberFormat="1" applyFont="1" applyFill="1" applyBorder="1" applyAlignment="1">
      <alignment horizontal="right" vertical="center"/>
    </xf>
    <xf numFmtId="4" fontId="255" fillId="36" borderId="0" xfId="3" applyNumberFormat="1" applyFont="1" applyFill="1" applyAlignment="1">
      <alignment horizontal="right" vertical="center"/>
    </xf>
    <xf numFmtId="0" fontId="255" fillId="36" borderId="122" xfId="3" applyFont="1" applyFill="1" applyBorder="1" applyAlignment="1">
      <alignment horizontal="right" vertical="center"/>
    </xf>
    <xf numFmtId="0" fontId="294" fillId="36" borderId="0" xfId="3" applyFont="1" applyFill="1" applyAlignment="1">
      <alignment horizontal="right" vertical="center"/>
    </xf>
    <xf numFmtId="0" fontId="294" fillId="36" borderId="122" xfId="3" applyFont="1" applyFill="1" applyBorder="1" applyAlignment="1">
      <alignment horizontal="right" vertical="center"/>
    </xf>
    <xf numFmtId="0" fontId="222" fillId="69" borderId="125" xfId="3" applyFont="1" applyFill="1" applyBorder="1" applyAlignment="1">
      <alignment horizontal="left" vertical="center"/>
    </xf>
    <xf numFmtId="0" fontId="293" fillId="69" borderId="125" xfId="3" applyFont="1" applyFill="1" applyBorder="1" applyAlignment="1">
      <alignment horizontal="center" vertical="center"/>
    </xf>
    <xf numFmtId="0" fontId="95" fillId="70" borderId="0" xfId="3" applyFont="1" applyFill="1" applyAlignment="1">
      <alignment horizontal="center" vertical="center" wrapText="1"/>
    </xf>
    <xf numFmtId="4" fontId="15" fillId="69" borderId="125" xfId="3" applyNumberFormat="1" applyFont="1" applyFill="1" applyBorder="1" applyAlignment="1">
      <alignment horizontal="right" vertical="center"/>
    </xf>
    <xf numFmtId="4" fontId="138" fillId="69" borderId="125" xfId="3" applyNumberFormat="1" applyFont="1" applyFill="1" applyBorder="1" applyAlignment="1">
      <alignment horizontal="right" vertical="center"/>
    </xf>
    <xf numFmtId="4" fontId="146" fillId="69" borderId="125" xfId="3" applyNumberFormat="1" applyFont="1" applyFill="1" applyBorder="1" applyAlignment="1">
      <alignment horizontal="right" vertical="center"/>
    </xf>
    <xf numFmtId="4" fontId="156" fillId="69" borderId="125" xfId="3" applyNumberFormat="1" applyFont="1" applyFill="1" applyBorder="1" applyAlignment="1">
      <alignment horizontal="right" vertical="center"/>
    </xf>
    <xf numFmtId="0" fontId="255" fillId="69" borderId="125" xfId="3" applyFont="1" applyFill="1" applyBorder="1" applyAlignment="1">
      <alignment horizontal="right" vertical="center"/>
    </xf>
    <xf numFmtId="0" fontId="294" fillId="69" borderId="0" xfId="3" applyFont="1" applyFill="1" applyAlignment="1">
      <alignment horizontal="right" vertical="center"/>
    </xf>
    <xf numFmtId="0" fontId="294" fillId="69" borderId="125" xfId="3" applyFont="1" applyFill="1" applyBorder="1" applyAlignment="1">
      <alignment horizontal="right" vertical="center"/>
    </xf>
    <xf numFmtId="4" fontId="15" fillId="69" borderId="0" xfId="3" applyNumberFormat="1" applyFont="1" applyFill="1" applyAlignment="1">
      <alignment horizontal="right" vertical="center"/>
    </xf>
    <xf numFmtId="0" fontId="95" fillId="0" borderId="0" xfId="3" applyFont="1" applyAlignment="1">
      <alignment horizontal="center" vertical="center"/>
    </xf>
    <xf numFmtId="4" fontId="255" fillId="0" borderId="125" xfId="3" applyNumberFormat="1" applyFont="1" applyBorder="1" applyAlignment="1">
      <alignment horizontal="right" vertical="center"/>
    </xf>
    <xf numFmtId="4" fontId="255" fillId="0" borderId="0" xfId="3" applyNumberFormat="1" applyFont="1" applyAlignment="1">
      <alignment horizontal="right" vertical="center"/>
    </xf>
    <xf numFmtId="0" fontId="255" fillId="0" borderId="125" xfId="3" applyFont="1" applyBorder="1" applyAlignment="1">
      <alignment horizontal="right" vertical="center"/>
    </xf>
    <xf numFmtId="0" fontId="255" fillId="0" borderId="0" xfId="3" applyFont="1" applyAlignment="1">
      <alignment horizontal="right" vertical="center"/>
    </xf>
    <xf numFmtId="0" fontId="222" fillId="36" borderId="125" xfId="3" applyFont="1" applyFill="1" applyBorder="1" applyAlignment="1">
      <alignment horizontal="left" vertical="center" wrapText="1"/>
    </xf>
    <xf numFmtId="0" fontId="95" fillId="37" borderId="0" xfId="3" applyFont="1" applyFill="1" applyAlignment="1">
      <alignment horizontal="center" vertical="center"/>
    </xf>
    <xf numFmtId="4" fontId="295" fillId="36" borderId="125" xfId="3" applyNumberFormat="1" applyFont="1" applyFill="1" applyBorder="1" applyAlignment="1">
      <alignment horizontal="right" vertical="center"/>
    </xf>
    <xf numFmtId="4" fontId="255" fillId="36" borderId="125" xfId="3" applyNumberFormat="1" applyFont="1" applyFill="1" applyBorder="1" applyAlignment="1">
      <alignment horizontal="right" vertical="center"/>
    </xf>
    <xf numFmtId="0" fontId="255" fillId="36" borderId="125" xfId="3" applyFont="1" applyFill="1" applyBorder="1" applyAlignment="1">
      <alignment horizontal="right" vertical="center"/>
    </xf>
    <xf numFmtId="0" fontId="255" fillId="36" borderId="0" xfId="3" applyFont="1" applyFill="1" applyAlignment="1">
      <alignment horizontal="right" vertical="center"/>
    </xf>
    <xf numFmtId="3" fontId="255" fillId="0" borderId="125" xfId="3" applyNumberFormat="1" applyFont="1" applyBorder="1" applyAlignment="1">
      <alignment horizontal="right" vertical="center"/>
    </xf>
    <xf numFmtId="3" fontId="255" fillId="0" borderId="0" xfId="3" applyNumberFormat="1" applyFont="1" applyAlignment="1">
      <alignment horizontal="right" vertical="center"/>
    </xf>
    <xf numFmtId="9" fontId="95" fillId="36" borderId="125" xfId="3" applyNumberFormat="1" applyFont="1" applyFill="1" applyBorder="1" applyAlignment="1">
      <alignment horizontal="right" vertical="center"/>
    </xf>
    <xf numFmtId="9" fontId="296" fillId="36" borderId="125" xfId="3" applyNumberFormat="1" applyFont="1" applyFill="1" applyBorder="1" applyAlignment="1">
      <alignment horizontal="right" vertical="center"/>
    </xf>
    <xf numFmtId="9" fontId="255" fillId="36" borderId="125" xfId="3" applyNumberFormat="1" applyFont="1" applyFill="1" applyBorder="1" applyAlignment="1">
      <alignment horizontal="right" vertical="center"/>
    </xf>
    <xf numFmtId="9" fontId="255" fillId="36" borderId="0" xfId="3" applyNumberFormat="1" applyFont="1" applyFill="1" applyAlignment="1">
      <alignment horizontal="right" vertical="center"/>
    </xf>
    <xf numFmtId="0" fontId="95" fillId="37" borderId="125" xfId="3" applyFont="1" applyFill="1" applyBorder="1" applyAlignment="1">
      <alignment horizontal="center" vertical="center"/>
    </xf>
    <xf numFmtId="9" fontId="15" fillId="36" borderId="125" xfId="25" applyFont="1" applyFill="1" applyBorder="1" applyAlignment="1">
      <alignment horizontal="right" vertical="center"/>
    </xf>
    <xf numFmtId="9" fontId="150" fillId="36" borderId="125" xfId="25" applyFont="1" applyFill="1" applyBorder="1" applyAlignment="1">
      <alignment horizontal="right" vertical="center"/>
    </xf>
    <xf numFmtId="0" fontId="222" fillId="0" borderId="125" xfId="3" applyFont="1" applyBorder="1" applyAlignment="1">
      <alignment horizontal="left" vertical="center" wrapText="1"/>
    </xf>
    <xf numFmtId="0" fontId="95" fillId="0" borderId="125" xfId="3" applyFont="1" applyBorder="1" applyAlignment="1">
      <alignment horizontal="center" vertical="center"/>
    </xf>
    <xf numFmtId="4" fontId="210" fillId="36" borderId="122" xfId="3" applyNumberFormat="1" applyFont="1" applyFill="1" applyBorder="1" applyAlignment="1">
      <alignment horizontal="right" vertical="center"/>
    </xf>
    <xf numFmtId="3" fontId="282" fillId="36" borderId="122" xfId="3" applyNumberFormat="1" applyFont="1" applyFill="1" applyBorder="1" applyAlignment="1">
      <alignment horizontal="right" vertical="center"/>
    </xf>
    <xf numFmtId="3" fontId="285" fillId="36" borderId="122" xfId="3" applyNumberFormat="1" applyFont="1" applyFill="1" applyBorder="1" applyAlignment="1">
      <alignment horizontal="right" vertical="center"/>
    </xf>
    <xf numFmtId="4" fontId="160" fillId="36" borderId="125" xfId="3" applyNumberFormat="1" applyFont="1" applyFill="1" applyBorder="1" applyAlignment="1">
      <alignment horizontal="right" vertical="center"/>
    </xf>
    <xf numFmtId="0" fontId="101" fillId="26" borderId="0" xfId="30" applyFont="1" applyFill="1"/>
    <xf numFmtId="0" fontId="102" fillId="0" borderId="0" xfId="30" applyFont="1"/>
    <xf numFmtId="0" fontId="103" fillId="0" borderId="0" xfId="30" applyFont="1"/>
    <xf numFmtId="0" fontId="104" fillId="0" borderId="0" xfId="30" applyFont="1"/>
    <xf numFmtId="0" fontId="297" fillId="0" borderId="0" xfId="30"/>
    <xf numFmtId="0" fontId="105" fillId="0" borderId="118" xfId="30" applyFont="1" applyBorder="1"/>
    <xf numFmtId="0" fontId="104" fillId="0" borderId="118" xfId="30" applyFont="1" applyBorder="1"/>
    <xf numFmtId="0" fontId="105" fillId="0" borderId="0" xfId="30" applyFont="1"/>
    <xf numFmtId="0" fontId="106" fillId="0" borderId="0" xfId="30" applyFont="1" applyAlignment="1">
      <alignment vertical="center"/>
    </xf>
    <xf numFmtId="0" fontId="107" fillId="0" borderId="119" xfId="30" applyFont="1" applyBorder="1" applyAlignment="1">
      <alignment horizontal="center" vertical="center"/>
    </xf>
    <xf numFmtId="0" fontId="108" fillId="27" borderId="161" xfId="30" applyFont="1" applyFill="1" applyBorder="1" applyAlignment="1">
      <alignment horizontal="center" vertical="center"/>
    </xf>
    <xf numFmtId="0" fontId="108" fillId="28" borderId="121" xfId="30" applyFont="1" applyFill="1" applyBorder="1" applyAlignment="1">
      <alignment horizontal="center" vertical="center"/>
    </xf>
    <xf numFmtId="0" fontId="109" fillId="0" borderId="122" xfId="30" applyFont="1" applyBorder="1" applyAlignment="1">
      <alignment horizontal="left"/>
    </xf>
    <xf numFmtId="0" fontId="110" fillId="0" borderId="140" xfId="30" applyFont="1" applyBorder="1" applyAlignment="1">
      <alignment horizontal="center"/>
    </xf>
    <xf numFmtId="0" fontId="104" fillId="0" borderId="243" xfId="30" applyFont="1" applyBorder="1"/>
    <xf numFmtId="0" fontId="15" fillId="0" borderId="124" xfId="30" applyFont="1" applyBorder="1"/>
    <xf numFmtId="0" fontId="111" fillId="0" borderId="125" xfId="30" applyFont="1" applyBorder="1" applyAlignment="1">
      <alignment horizontal="left" vertical="center"/>
    </xf>
    <xf numFmtId="169" fontId="112" fillId="0" borderId="125" xfId="30" applyNumberFormat="1" applyFont="1" applyBorder="1" applyAlignment="1">
      <alignment horizontal="center" vertical="center" wrapText="1"/>
    </xf>
    <xf numFmtId="0" fontId="113" fillId="0" borderId="136" xfId="30" applyFont="1" applyBorder="1" applyAlignment="1">
      <alignment horizontal="center" vertical="center" wrapText="1"/>
    </xf>
    <xf numFmtId="0" fontId="15" fillId="0" borderId="128" xfId="30" applyFont="1" applyBorder="1" applyAlignment="1">
      <alignment horizontal="center" vertical="center" wrapText="1"/>
    </xf>
    <xf numFmtId="0" fontId="113" fillId="0" borderId="0" xfId="30" applyFont="1" applyAlignment="1">
      <alignment horizontal="center" vertical="center" wrapText="1"/>
    </xf>
    <xf numFmtId="0" fontId="114" fillId="0" borderId="129" xfId="30" applyFont="1" applyBorder="1" applyAlignment="1">
      <alignment horizontal="left" vertical="center"/>
    </xf>
    <xf numFmtId="169" fontId="116" fillId="0" borderId="129" xfId="30" applyNumberFormat="1" applyFont="1" applyBorder="1" applyAlignment="1">
      <alignment horizontal="center" vertical="center" wrapText="1"/>
    </xf>
    <xf numFmtId="0" fontId="15" fillId="0" borderId="130" xfId="30" applyFont="1" applyBorder="1" applyAlignment="1">
      <alignment horizontal="center" vertical="center" wrapText="1"/>
    </xf>
    <xf numFmtId="0" fontId="104" fillId="0" borderId="0" xfId="30" applyFont="1" applyAlignment="1">
      <alignment vertical="center"/>
    </xf>
    <xf numFmtId="0" fontId="27" fillId="29" borderId="125" xfId="30" applyFont="1" applyFill="1" applyBorder="1" applyAlignment="1">
      <alignment horizontal="left" vertical="center"/>
    </xf>
    <xf numFmtId="170" fontId="15" fillId="29" borderId="122" xfId="30" applyNumberFormat="1" applyFont="1" applyFill="1" applyBorder="1" applyAlignment="1">
      <alignment horizontal="center" vertical="center"/>
    </xf>
    <xf numFmtId="166" fontId="14" fillId="0" borderId="136" xfId="30" applyNumberFormat="1" applyFont="1" applyBorder="1" applyAlignment="1">
      <alignment horizontal="center" vertical="center"/>
    </xf>
    <xf numFmtId="2" fontId="15" fillId="29" borderId="124" xfId="30" applyNumberFormat="1" applyFont="1" applyFill="1" applyBorder="1" applyAlignment="1">
      <alignment horizontal="center" vertical="center"/>
    </xf>
    <xf numFmtId="166" fontId="14" fillId="0" borderId="0" xfId="30" applyNumberFormat="1" applyFont="1" applyAlignment="1">
      <alignment horizontal="center" vertical="center"/>
    </xf>
    <xf numFmtId="0" fontId="27" fillId="0" borderId="125" xfId="30" applyFont="1" applyBorder="1" applyAlignment="1">
      <alignment horizontal="left" vertical="center"/>
    </xf>
    <xf numFmtId="170" fontId="15" fillId="0" borderId="125" xfId="30" applyNumberFormat="1" applyFont="1" applyBorder="1" applyAlignment="1">
      <alignment horizontal="center" vertical="center"/>
    </xf>
    <xf numFmtId="3" fontId="14" fillId="0" borderId="127" xfId="30" applyNumberFormat="1" applyFont="1" applyBorder="1" applyAlignment="1">
      <alignment horizontal="center" vertical="center"/>
    </xf>
    <xf numFmtId="2" fontId="15" fillId="0" borderId="128" xfId="30" applyNumberFormat="1" applyFont="1" applyBorder="1" applyAlignment="1">
      <alignment horizontal="center" vertical="center"/>
    </xf>
    <xf numFmtId="3" fontId="14" fillId="0" borderId="0" xfId="30" applyNumberFormat="1" applyFont="1" applyAlignment="1">
      <alignment horizontal="center" vertical="center"/>
    </xf>
    <xf numFmtId="170" fontId="16" fillId="29" borderId="0" xfId="30" applyNumberFormat="1" applyFont="1" applyFill="1" applyAlignment="1">
      <alignment horizontal="center" vertical="center"/>
    </xf>
    <xf numFmtId="0" fontId="113" fillId="0" borderId="243" xfId="30" applyFont="1" applyBorder="1" applyAlignment="1">
      <alignment horizontal="center" vertical="center"/>
    </xf>
    <xf numFmtId="0" fontId="15" fillId="29" borderId="128" xfId="30" applyFont="1" applyFill="1" applyBorder="1" applyAlignment="1">
      <alignment horizontal="center" vertical="center"/>
    </xf>
    <xf numFmtId="0" fontId="113" fillId="0" borderId="0" xfId="30" applyFont="1" applyAlignment="1">
      <alignment horizontal="center" vertical="center"/>
    </xf>
    <xf numFmtId="0" fontId="27" fillId="0" borderId="129" xfId="30" applyFont="1" applyBorder="1" applyAlignment="1">
      <alignment horizontal="left" vertical="center"/>
    </xf>
    <xf numFmtId="170" fontId="15" fillId="0" borderId="118" xfId="30" applyNumberFormat="1" applyFont="1" applyBorder="1" applyAlignment="1">
      <alignment horizontal="center" vertical="center"/>
    </xf>
    <xf numFmtId="3" fontId="14" fillId="0" borderId="243" xfId="30" applyNumberFormat="1" applyFont="1" applyBorder="1" applyAlignment="1">
      <alignment horizontal="center" vertical="center"/>
    </xf>
    <xf numFmtId="2" fontId="105" fillId="0" borderId="130" xfId="30" applyNumberFormat="1" applyFont="1" applyBorder="1" applyAlignment="1">
      <alignment horizontal="center" vertical="center"/>
    </xf>
    <xf numFmtId="0" fontId="118" fillId="0" borderId="125" xfId="30" applyFont="1" applyBorder="1" applyAlignment="1">
      <alignment horizontal="left"/>
    </xf>
    <xf numFmtId="3" fontId="120" fillId="0" borderId="162" xfId="30" applyNumberFormat="1" applyFont="1" applyBorder="1" applyAlignment="1">
      <alignment horizontal="center"/>
    </xf>
    <xf numFmtId="3" fontId="14" fillId="0" borderId="0" xfId="30" applyNumberFormat="1" applyFont="1" applyAlignment="1">
      <alignment horizontal="center"/>
    </xf>
    <xf numFmtId="3" fontId="14" fillId="0" borderId="132" xfId="30" applyNumberFormat="1" applyFont="1" applyBorder="1" applyAlignment="1">
      <alignment horizontal="center"/>
    </xf>
    <xf numFmtId="0" fontId="121" fillId="0" borderId="125" xfId="30" applyFont="1" applyBorder="1" applyAlignment="1">
      <alignment horizontal="left" vertical="center"/>
    </xf>
    <xf numFmtId="169" fontId="120" fillId="0" borderId="125" xfId="30" applyNumberFormat="1" applyFont="1" applyBorder="1" applyAlignment="1">
      <alignment horizontal="center" vertical="center" wrapText="1"/>
    </xf>
    <xf numFmtId="3" fontId="14" fillId="0" borderId="138" xfId="30" applyNumberFormat="1" applyFont="1" applyBorder="1" applyAlignment="1">
      <alignment horizontal="center" vertical="center"/>
    </xf>
    <xf numFmtId="3" fontId="122" fillId="0" borderId="0" xfId="30" applyNumberFormat="1" applyFont="1" applyAlignment="1">
      <alignment horizontal="center" vertical="center" wrapText="1"/>
    </xf>
    <xf numFmtId="0" fontId="121" fillId="30" borderId="125" xfId="30" applyFont="1" applyFill="1" applyBorder="1" applyAlignment="1">
      <alignment horizontal="left" vertical="center" wrapText="1"/>
    </xf>
    <xf numFmtId="4" fontId="123" fillId="30" borderId="0" xfId="30" applyNumberFormat="1" applyFont="1" applyFill="1" applyAlignment="1">
      <alignment horizontal="center" vertical="center"/>
    </xf>
    <xf numFmtId="2" fontId="124" fillId="0" borderId="138" xfId="30" applyNumberFormat="1" applyFont="1" applyBorder="1" applyAlignment="1">
      <alignment horizontal="center" vertical="center"/>
    </xf>
    <xf numFmtId="166" fontId="124" fillId="0" borderId="0" xfId="30" applyNumberFormat="1" applyFont="1" applyAlignment="1">
      <alignment horizontal="center" vertical="center"/>
    </xf>
    <xf numFmtId="0" fontId="126" fillId="0" borderId="0" xfId="30" applyFont="1" applyAlignment="1">
      <alignment horizontal="center" vertical="center"/>
    </xf>
    <xf numFmtId="0" fontId="104" fillId="0" borderId="0" xfId="30" applyFont="1" applyAlignment="1">
      <alignment horizontal="center" vertical="center"/>
    </xf>
    <xf numFmtId="0" fontId="122" fillId="0" borderId="0" xfId="30" applyFont="1" applyAlignment="1">
      <alignment horizontal="center" vertical="center"/>
    </xf>
    <xf numFmtId="0" fontId="121" fillId="31" borderId="125" xfId="30" applyFont="1" applyFill="1" applyBorder="1" applyAlignment="1">
      <alignment horizontal="left" vertical="center"/>
    </xf>
    <xf numFmtId="171" fontId="126" fillId="31" borderId="125" xfId="30" applyNumberFormat="1" applyFont="1" applyFill="1" applyBorder="1" applyAlignment="1">
      <alignment horizontal="center" vertical="center"/>
    </xf>
    <xf numFmtId="171" fontId="104" fillId="0" borderId="0" xfId="30" applyNumberFormat="1" applyFont="1" applyAlignment="1">
      <alignment horizontal="center" vertical="center"/>
    </xf>
    <xf numFmtId="0" fontId="121" fillId="30" borderId="129" xfId="30" applyFont="1" applyFill="1" applyBorder="1" applyAlignment="1">
      <alignment horizontal="left" vertical="center"/>
    </xf>
    <xf numFmtId="171" fontId="126" fillId="30" borderId="129" xfId="30" applyNumberFormat="1" applyFont="1" applyFill="1" applyBorder="1" applyAlignment="1">
      <alignment horizontal="center" vertical="center"/>
    </xf>
    <xf numFmtId="171" fontId="104" fillId="0" borderId="138" xfId="30" applyNumberFormat="1" applyFont="1" applyBorder="1" applyAlignment="1">
      <alignment horizontal="center" vertical="center"/>
    </xf>
    <xf numFmtId="0" fontId="120" fillId="0" borderId="162" xfId="30" applyFont="1" applyBorder="1" applyAlignment="1">
      <alignment horizontal="center"/>
    </xf>
    <xf numFmtId="0" fontId="104" fillId="0" borderId="0" xfId="30" applyFont="1" applyAlignment="1">
      <alignment horizontal="center"/>
    </xf>
    <xf numFmtId="0" fontId="128" fillId="0" borderId="0" xfId="30" applyFont="1" applyAlignment="1">
      <alignment horizontal="center"/>
    </xf>
    <xf numFmtId="0" fontId="104" fillId="0" borderId="138" xfId="30" applyFont="1" applyBorder="1" applyAlignment="1">
      <alignment horizontal="center" vertical="center"/>
    </xf>
    <xf numFmtId="0" fontId="128" fillId="0" borderId="0" xfId="30" applyFont="1" applyAlignment="1">
      <alignment horizontal="center" vertical="center"/>
    </xf>
    <xf numFmtId="0" fontId="121" fillId="32" borderId="125" xfId="30" applyFont="1" applyFill="1" applyBorder="1" applyAlignment="1">
      <alignment horizontal="left" vertical="center" wrapText="1"/>
    </xf>
    <xf numFmtId="4" fontId="123" fillId="32" borderId="0" xfId="30" applyNumberFormat="1" applyFont="1" applyFill="1" applyAlignment="1">
      <alignment horizontal="center" vertical="center"/>
    </xf>
    <xf numFmtId="4" fontId="129" fillId="0" borderId="0" xfId="30" applyNumberFormat="1" applyFont="1" applyAlignment="1">
      <alignment horizontal="center" vertical="center"/>
    </xf>
    <xf numFmtId="0" fontId="121" fillId="33" borderId="125" xfId="30" applyFont="1" applyFill="1" applyBorder="1" applyAlignment="1">
      <alignment horizontal="left" vertical="center"/>
    </xf>
    <xf numFmtId="171" fontId="126" fillId="0" borderId="125" xfId="30" applyNumberFormat="1" applyFont="1" applyBorder="1" applyAlignment="1">
      <alignment horizontal="center" vertical="center"/>
    </xf>
    <xf numFmtId="172" fontId="15" fillId="0" borderId="0" xfId="30" applyNumberFormat="1" applyFont="1" applyAlignment="1">
      <alignment horizontal="center" vertical="center"/>
    </xf>
    <xf numFmtId="0" fontId="121" fillId="32" borderId="129" xfId="30" applyFont="1" applyFill="1" applyBorder="1" applyAlignment="1">
      <alignment horizontal="left" vertical="center"/>
    </xf>
    <xf numFmtId="171" fontId="126" fillId="32" borderId="129" xfId="30" applyNumberFormat="1" applyFont="1" applyFill="1" applyBorder="1" applyAlignment="1">
      <alignment horizontal="center" vertical="center"/>
    </xf>
    <xf numFmtId="2" fontId="15" fillId="0" borderId="0" xfId="30" applyNumberFormat="1" applyFont="1" applyAlignment="1">
      <alignment horizontal="center" vertical="center"/>
    </xf>
    <xf numFmtId="0" fontId="125" fillId="0" borderId="125" xfId="30" applyFont="1" applyBorder="1" applyAlignment="1">
      <alignment horizontal="left" vertical="center"/>
    </xf>
    <xf numFmtId="169" fontId="130" fillId="0" borderId="122" xfId="30" applyNumberFormat="1" applyFont="1" applyBorder="1" applyAlignment="1">
      <alignment horizontal="center" vertical="center"/>
    </xf>
    <xf numFmtId="0" fontId="131" fillId="0" borderId="138" xfId="30" applyFont="1" applyBorder="1" applyAlignment="1">
      <alignment horizontal="center" vertical="center"/>
    </xf>
    <xf numFmtId="0" fontId="131" fillId="0" borderId="0" xfId="30" applyFont="1" applyAlignment="1">
      <alignment horizontal="center" vertical="center"/>
    </xf>
    <xf numFmtId="0" fontId="125" fillId="30" borderId="125" xfId="30" applyFont="1" applyFill="1" applyBorder="1" applyAlignment="1">
      <alignment horizontal="left" vertical="center"/>
    </xf>
    <xf numFmtId="0" fontId="126" fillId="30" borderId="244" xfId="30" applyFont="1" applyFill="1" applyBorder="1" applyAlignment="1">
      <alignment horizontal="center" vertical="center"/>
    </xf>
    <xf numFmtId="0" fontId="131" fillId="0" borderId="0" xfId="30" applyFont="1" applyAlignment="1">
      <alignment horizontal="center"/>
    </xf>
    <xf numFmtId="0" fontId="126" fillId="0" borderId="0" xfId="30" applyFont="1" applyAlignment="1">
      <alignment horizontal="center"/>
    </xf>
    <xf numFmtId="0" fontId="27" fillId="0" borderId="125" xfId="30" applyFont="1" applyBorder="1" applyAlignment="1">
      <alignment horizontal="left" vertical="center" wrapText="1"/>
    </xf>
    <xf numFmtId="0" fontId="15" fillId="0" borderId="0" xfId="30" applyFont="1" applyAlignment="1">
      <alignment horizontal="center" vertical="center"/>
    </xf>
    <xf numFmtId="0" fontId="104" fillId="0" borderId="216" xfId="30" applyFont="1" applyBorder="1" applyAlignment="1">
      <alignment horizontal="center" vertical="center"/>
    </xf>
    <xf numFmtId="0" fontId="27" fillId="30" borderId="125" xfId="30" applyFont="1" applyFill="1" applyBorder="1" applyAlignment="1">
      <alignment horizontal="left" vertical="center" wrapText="1"/>
    </xf>
    <xf numFmtId="0" fontId="15" fillId="30" borderId="0" xfId="30" applyFont="1" applyFill="1" applyAlignment="1">
      <alignment horizontal="center" vertical="center"/>
    </xf>
    <xf numFmtId="0" fontId="15" fillId="0" borderId="125" xfId="30" applyFont="1" applyBorder="1" applyAlignment="1">
      <alignment horizontal="center" vertical="center"/>
    </xf>
    <xf numFmtId="0" fontId="27" fillId="30" borderId="125" xfId="30" applyFont="1" applyFill="1" applyBorder="1" applyAlignment="1">
      <alignment horizontal="left" vertical="center"/>
    </xf>
    <xf numFmtId="0" fontId="15" fillId="30" borderId="125" xfId="30" applyFont="1" applyFill="1" applyBorder="1" applyAlignment="1">
      <alignment horizontal="center" vertical="center"/>
    </xf>
    <xf numFmtId="0" fontId="104" fillId="0" borderId="216" xfId="30" applyFont="1" applyBorder="1" applyAlignment="1">
      <alignment horizontal="center"/>
    </xf>
    <xf numFmtId="0" fontId="15" fillId="0" borderId="0" xfId="30" applyFont="1" applyAlignment="1">
      <alignment horizontal="center"/>
    </xf>
    <xf numFmtId="0" fontId="15" fillId="0" borderId="139" xfId="30" applyFont="1" applyBorder="1" applyAlignment="1">
      <alignment horizontal="center" vertical="center"/>
    </xf>
    <xf numFmtId="2" fontId="133" fillId="0" borderId="0" xfId="30" applyNumberFormat="1" applyFont="1" applyAlignment="1">
      <alignment horizontal="left" vertical="center"/>
    </xf>
    <xf numFmtId="0" fontId="104" fillId="34" borderId="0" xfId="30" applyFont="1" applyFill="1"/>
    <xf numFmtId="0" fontId="135" fillId="0" borderId="0" xfId="30" applyFont="1"/>
    <xf numFmtId="0" fontId="136" fillId="0" borderId="118" xfId="30" applyFont="1" applyBorder="1"/>
    <xf numFmtId="174" fontId="15" fillId="0" borderId="0" xfId="30" applyNumberFormat="1" applyFont="1"/>
    <xf numFmtId="0" fontId="139" fillId="0" borderId="0" xfId="30" applyFont="1"/>
    <xf numFmtId="15" fontId="141" fillId="0" borderId="0" xfId="30" applyNumberFormat="1" applyFont="1"/>
    <xf numFmtId="3" fontId="142" fillId="35" borderId="119" xfId="30" quotePrefix="1" applyNumberFormat="1" applyFont="1" applyFill="1" applyBorder="1" applyAlignment="1">
      <alignment horizontal="center"/>
    </xf>
    <xf numFmtId="0" fontId="105" fillId="35" borderId="133" xfId="30" applyFont="1" applyFill="1" applyBorder="1" applyAlignment="1">
      <alignment horizontal="center"/>
    </xf>
    <xf numFmtId="0" fontId="105" fillId="35" borderId="119" xfId="30" applyFont="1" applyFill="1" applyBorder="1" applyAlignment="1">
      <alignment horizontal="center"/>
    </xf>
    <xf numFmtId="0" fontId="105" fillId="28" borderId="134" xfId="30" applyFont="1" applyFill="1" applyBorder="1" applyAlignment="1">
      <alignment horizontal="center"/>
    </xf>
    <xf numFmtId="0" fontId="105" fillId="35" borderId="135" xfId="30" applyFont="1" applyFill="1" applyBorder="1" applyAlignment="1">
      <alignment horizontal="center" vertical="center"/>
    </xf>
    <xf numFmtId="0" fontId="105" fillId="35" borderId="133" xfId="30" applyFont="1" applyFill="1" applyBorder="1" applyAlignment="1">
      <alignment horizontal="center" vertical="center"/>
    </xf>
    <xf numFmtId="0" fontId="105" fillId="35" borderId="134" xfId="30" applyFont="1" applyFill="1" applyBorder="1" applyAlignment="1">
      <alignment horizontal="center" vertical="center"/>
    </xf>
    <xf numFmtId="0" fontId="104" fillId="0" borderId="0" xfId="30" applyFont="1" applyAlignment="1">
      <alignment horizontal="left" vertical="center"/>
    </xf>
    <xf numFmtId="3" fontId="143" fillId="0" borderId="125" xfId="30" applyNumberFormat="1" applyFont="1" applyBorder="1" applyAlignment="1">
      <alignment horizontal="center" vertical="center"/>
    </xf>
    <xf numFmtId="0" fontId="27" fillId="36" borderId="122" xfId="30" applyFont="1" applyFill="1" applyBorder="1" applyAlignment="1">
      <alignment horizontal="left" vertical="center"/>
    </xf>
    <xf numFmtId="0" fontId="27" fillId="36" borderId="125" xfId="30" applyFont="1" applyFill="1" applyBorder="1" applyAlignment="1">
      <alignment horizontal="left" vertical="center"/>
    </xf>
    <xf numFmtId="0" fontId="158" fillId="36" borderId="125" xfId="30" applyFont="1" applyFill="1" applyBorder="1" applyAlignment="1">
      <alignment horizontal="center" vertical="center"/>
    </xf>
    <xf numFmtId="0" fontId="158" fillId="36" borderId="125" xfId="30" applyFont="1" applyFill="1" applyBorder="1" applyAlignment="1">
      <alignment horizontal="left" vertical="center"/>
    </xf>
    <xf numFmtId="0" fontId="15" fillId="37" borderId="0" xfId="30" applyFont="1" applyFill="1" applyAlignment="1">
      <alignment horizontal="center" vertical="center" wrapText="1"/>
    </xf>
    <xf numFmtId="4" fontId="138" fillId="36" borderId="122" xfId="30" applyNumberFormat="1" applyFont="1" applyFill="1" applyBorder="1" applyAlignment="1">
      <alignment horizontal="right" vertical="center"/>
    </xf>
    <xf numFmtId="4" fontId="219" fillId="36" borderId="122" xfId="30" applyNumberFormat="1" applyFont="1" applyFill="1" applyBorder="1" applyAlignment="1">
      <alignment horizontal="right" vertical="center"/>
    </xf>
    <xf numFmtId="4" fontId="141" fillId="36" borderId="122" xfId="30" applyNumberFormat="1" applyFont="1" applyFill="1" applyBorder="1" applyAlignment="1">
      <alignment horizontal="right" vertical="center"/>
    </xf>
    <xf numFmtId="4" fontId="141" fillId="36" borderId="0" xfId="30" applyNumberFormat="1" applyFont="1" applyFill="1" applyAlignment="1">
      <alignment horizontal="right" vertical="center"/>
    </xf>
    <xf numFmtId="0" fontId="27" fillId="0" borderId="125" xfId="30" applyFont="1" applyBorder="1" applyAlignment="1">
      <alignment horizontal="right" vertical="center"/>
    </xf>
    <xf numFmtId="4" fontId="15" fillId="0" borderId="125" xfId="30" applyNumberFormat="1" applyFont="1" applyBorder="1" applyAlignment="1">
      <alignment horizontal="right" vertical="center"/>
    </xf>
    <xf numFmtId="4" fontId="15" fillId="0" borderId="0" xfId="30" applyNumberFormat="1" applyFont="1" applyAlignment="1">
      <alignment horizontal="right" vertical="center"/>
    </xf>
    <xf numFmtId="0" fontId="27" fillId="36" borderId="125" xfId="30" applyFont="1" applyFill="1" applyBorder="1" applyAlignment="1">
      <alignment horizontal="right" vertical="center"/>
    </xf>
    <xf numFmtId="0" fontId="15" fillId="37" borderId="0" xfId="30" applyFont="1" applyFill="1" applyAlignment="1">
      <alignment horizontal="center" vertical="center"/>
    </xf>
    <xf numFmtId="4" fontId="15" fillId="36" borderId="125" xfId="30" applyNumberFormat="1" applyFont="1" applyFill="1" applyBorder="1" applyAlignment="1">
      <alignment horizontal="right" vertical="center"/>
    </xf>
    <xf numFmtId="4" fontId="15" fillId="36" borderId="0" xfId="30" applyNumberFormat="1" applyFont="1" applyFill="1" applyAlignment="1">
      <alignment horizontal="right" vertical="center"/>
    </xf>
    <xf numFmtId="3" fontId="143" fillId="0" borderId="129" xfId="30" applyNumberFormat="1" applyFont="1" applyBorder="1" applyAlignment="1">
      <alignment horizontal="center" vertical="center"/>
    </xf>
    <xf numFmtId="0" fontId="27" fillId="0" borderId="129" xfId="30" applyFont="1" applyBorder="1" applyAlignment="1">
      <alignment horizontal="right" vertical="center"/>
    </xf>
    <xf numFmtId="0" fontId="15" fillId="0" borderId="129" xfId="30" applyFont="1" applyBorder="1" applyAlignment="1">
      <alignment horizontal="center" vertical="center"/>
    </xf>
    <xf numFmtId="4" fontId="15" fillId="0" borderId="129" xfId="30" applyNumberFormat="1" applyFont="1" applyBorder="1" applyAlignment="1">
      <alignment horizontal="right" vertical="center"/>
    </xf>
    <xf numFmtId="4" fontId="15" fillId="0" borderId="118" xfId="30" applyNumberFormat="1" applyFont="1" applyBorder="1" applyAlignment="1">
      <alignment horizontal="right" vertical="center"/>
    </xf>
    <xf numFmtId="3" fontId="147" fillId="0" borderId="0" xfId="30" applyNumberFormat="1" applyFont="1" applyAlignment="1">
      <alignment horizontal="center" vertical="center"/>
    </xf>
    <xf numFmtId="4" fontId="104" fillId="0" borderId="0" xfId="30" applyNumberFormat="1" applyFont="1" applyAlignment="1">
      <alignment horizontal="right" vertical="center"/>
    </xf>
    <xf numFmtId="3" fontId="143" fillId="0" borderId="0" xfId="30" quotePrefix="1" applyNumberFormat="1" applyFont="1" applyAlignment="1">
      <alignment horizontal="center" vertical="center"/>
    </xf>
    <xf numFmtId="0" fontId="15" fillId="0" borderId="0" xfId="30" applyFont="1" applyAlignment="1">
      <alignment horizontal="left" vertical="center"/>
    </xf>
    <xf numFmtId="15" fontId="149" fillId="0" borderId="0" xfId="30" quotePrefix="1" applyNumberFormat="1" applyFont="1"/>
    <xf numFmtId="0" fontId="15" fillId="0" borderId="0" xfId="30" applyFont="1" applyAlignment="1">
      <alignment horizontal="right" vertical="center" wrapText="1"/>
    </xf>
    <xf numFmtId="0" fontId="15" fillId="0" borderId="0" xfId="30" applyFont="1" applyAlignment="1">
      <alignment horizontal="center" vertical="center" wrapText="1"/>
    </xf>
    <xf numFmtId="0" fontId="15" fillId="0" borderId="0" xfId="30" applyFont="1" applyAlignment="1">
      <alignment vertical="center" wrapText="1"/>
    </xf>
    <xf numFmtId="0" fontId="230" fillId="0" borderId="0" xfId="30" applyFont="1" applyAlignment="1">
      <alignment vertical="top"/>
    </xf>
    <xf numFmtId="0" fontId="88" fillId="0" borderId="0" xfId="30" applyFont="1"/>
    <xf numFmtId="9" fontId="15" fillId="0" borderId="0" xfId="30" applyNumberFormat="1" applyFont="1" applyAlignment="1">
      <alignment horizontal="center" wrapText="1"/>
    </xf>
    <xf numFmtId="0" fontId="27" fillId="0" borderId="0" xfId="30" applyFont="1" applyAlignment="1">
      <alignment wrapText="1"/>
    </xf>
    <xf numFmtId="15" fontId="275" fillId="0" borderId="0" xfId="30" applyNumberFormat="1" applyFont="1"/>
    <xf numFmtId="0" fontId="16" fillId="0" borderId="0" xfId="30" applyFont="1"/>
    <xf numFmtId="0" fontId="14" fillId="71" borderId="245" xfId="30" applyFont="1" applyFill="1" applyBorder="1" applyAlignment="1">
      <alignment horizontal="center" wrapText="1"/>
    </xf>
    <xf numFmtId="0" fontId="14" fillId="71" borderId="246" xfId="30" applyFont="1" applyFill="1" applyBorder="1" applyAlignment="1">
      <alignment horizontal="center"/>
    </xf>
    <xf numFmtId="0" fontId="14" fillId="71" borderId="247" xfId="30" applyFont="1" applyFill="1" applyBorder="1" applyAlignment="1">
      <alignment horizontal="center"/>
    </xf>
    <xf numFmtId="0" fontId="14" fillId="71" borderId="248" xfId="30" applyFont="1" applyFill="1" applyBorder="1" applyAlignment="1">
      <alignment horizontal="center" wrapText="1"/>
    </xf>
    <xf numFmtId="0" fontId="14" fillId="71" borderId="247" xfId="30" applyFont="1" applyFill="1" applyBorder="1" applyAlignment="1">
      <alignment horizontal="center" wrapText="1"/>
    </xf>
    <xf numFmtId="0" fontId="14" fillId="72" borderId="247" xfId="30" applyFont="1" applyFill="1" applyBorder="1" applyAlignment="1">
      <alignment horizontal="center" wrapText="1"/>
    </xf>
    <xf numFmtId="0" fontId="14" fillId="72" borderId="249" xfId="30" applyFont="1" applyFill="1" applyBorder="1" applyAlignment="1">
      <alignment horizontal="center" wrapText="1"/>
    </xf>
    <xf numFmtId="0" fontId="14" fillId="71" borderId="249" xfId="30" applyFont="1" applyFill="1" applyBorder="1" applyAlignment="1">
      <alignment horizontal="center" wrapText="1"/>
    </xf>
    <xf numFmtId="0" fontId="14" fillId="71" borderId="250" xfId="30" applyFont="1" applyFill="1" applyBorder="1" applyAlignment="1">
      <alignment horizontal="center" wrapText="1"/>
    </xf>
    <xf numFmtId="0" fontId="15" fillId="0" borderId="251" xfId="30" applyFont="1" applyBorder="1" applyAlignment="1">
      <alignment horizontal="right" wrapText="1"/>
    </xf>
    <xf numFmtId="4" fontId="15" fillId="0" borderId="252" xfId="30" applyNumberFormat="1" applyFont="1" applyBorder="1"/>
    <xf numFmtId="164" fontId="15" fillId="0" borderId="0" xfId="30" applyNumberFormat="1" applyFont="1" applyAlignment="1">
      <alignment horizontal="center"/>
    </xf>
    <xf numFmtId="4" fontId="15" fillId="0" borderId="253" xfId="30" applyNumberFormat="1" applyFont="1" applyBorder="1"/>
    <xf numFmtId="4" fontId="15" fillId="0" borderId="0" xfId="30" applyNumberFormat="1" applyFont="1"/>
    <xf numFmtId="0" fontId="104" fillId="72" borderId="0" xfId="30" applyFont="1" applyFill="1"/>
    <xf numFmtId="0" fontId="104" fillId="72" borderId="254" xfId="30" applyFont="1" applyFill="1" applyBorder="1"/>
    <xf numFmtId="0" fontId="104" fillId="0" borderId="254" xfId="30" applyFont="1" applyBorder="1"/>
    <xf numFmtId="0" fontId="16" fillId="0" borderId="255" xfId="30" applyFont="1" applyBorder="1" applyAlignment="1">
      <alignment horizontal="left" wrapText="1"/>
    </xf>
    <xf numFmtId="0" fontId="14" fillId="71" borderId="256" xfId="30" applyFont="1" applyFill="1" applyBorder="1" applyAlignment="1">
      <alignment horizontal="right" wrapText="1"/>
    </xf>
    <xf numFmtId="4" fontId="14" fillId="71" borderId="257" xfId="30" applyNumberFormat="1" applyFont="1" applyFill="1" applyBorder="1"/>
    <xf numFmtId="4" fontId="14" fillId="71" borderId="258" xfId="30" applyNumberFormat="1" applyFont="1" applyFill="1" applyBorder="1"/>
    <xf numFmtId="4" fontId="14" fillId="71" borderId="259" xfId="30" applyNumberFormat="1" applyFont="1" applyFill="1" applyBorder="1"/>
    <xf numFmtId="0" fontId="104" fillId="72" borderId="258" xfId="30" applyFont="1" applyFill="1" applyBorder="1"/>
    <xf numFmtId="0" fontId="104" fillId="72" borderId="260" xfId="30" applyFont="1" applyFill="1" applyBorder="1"/>
    <xf numFmtId="0" fontId="104" fillId="71" borderId="260" xfId="30" applyFont="1" applyFill="1" applyBorder="1"/>
    <xf numFmtId="0" fontId="16" fillId="71" borderId="261" xfId="30" applyFont="1" applyFill="1" applyBorder="1" applyAlignment="1">
      <alignment horizontal="left" wrapText="1"/>
    </xf>
    <xf numFmtId="0" fontId="14" fillId="0" borderId="0" xfId="30" applyFont="1" applyAlignment="1">
      <alignment horizontal="right" wrapText="1"/>
    </xf>
    <xf numFmtId="4" fontId="14" fillId="0" borderId="0" xfId="30" applyNumberFormat="1" applyFont="1"/>
    <xf numFmtId="0" fontId="16" fillId="0" borderId="0" xfId="30" applyFont="1" applyAlignment="1">
      <alignment horizontal="left" wrapText="1"/>
    </xf>
    <xf numFmtId="4" fontId="104" fillId="0" borderId="0" xfId="30" applyNumberFormat="1" applyFont="1"/>
    <xf numFmtId="0" fontId="300" fillId="0" borderId="0" xfId="30" applyFont="1"/>
    <xf numFmtId="0" fontId="111" fillId="71" borderId="262" xfId="30" applyFont="1" applyFill="1" applyBorder="1" applyAlignment="1">
      <alignment horizontal="right" wrapText="1"/>
    </xf>
    <xf numFmtId="0" fontId="14" fillId="0" borderId="0" xfId="30" applyFont="1" applyAlignment="1">
      <alignment horizontal="right" vertical="center"/>
    </xf>
    <xf numFmtId="0" fontId="14" fillId="0" borderId="0" xfId="30" applyFont="1" applyAlignment="1">
      <alignment horizontal="right"/>
    </xf>
    <xf numFmtId="0" fontId="301" fillId="0" borderId="0" xfId="30" applyFont="1"/>
    <xf numFmtId="0" fontId="302" fillId="0" borderId="0" xfId="30" applyFont="1"/>
    <xf numFmtId="9" fontId="104" fillId="0" borderId="0" xfId="30" applyNumberFormat="1" applyFont="1"/>
    <xf numFmtId="3" fontId="104" fillId="0" borderId="0" xfId="30" applyNumberFormat="1" applyFont="1"/>
    <xf numFmtId="3" fontId="104" fillId="0" borderId="0" xfId="30" applyNumberFormat="1" applyFont="1" applyAlignment="1">
      <alignment horizontal="center"/>
    </xf>
    <xf numFmtId="0" fontId="104" fillId="0" borderId="0" xfId="30" applyFont="1" applyAlignment="1">
      <alignment horizontal="right"/>
    </xf>
    <xf numFmtId="3" fontId="104" fillId="73" borderId="0" xfId="30" applyNumberFormat="1" applyFont="1" applyFill="1"/>
    <xf numFmtId="3" fontId="105" fillId="73" borderId="0" xfId="30" applyNumberFormat="1" applyFont="1" applyFill="1" applyAlignment="1">
      <alignment horizontal="center"/>
    </xf>
    <xf numFmtId="0" fontId="303" fillId="0" borderId="0" xfId="30" applyFont="1"/>
    <xf numFmtId="0" fontId="15" fillId="0" borderId="0" xfId="30" applyFont="1"/>
    <xf numFmtId="0" fontId="14" fillId="71" borderId="263" xfId="30" applyFont="1" applyFill="1" applyBorder="1" applyAlignment="1">
      <alignment horizontal="center"/>
    </xf>
    <xf numFmtId="0" fontId="14" fillId="71" borderId="262" xfId="30" applyFont="1" applyFill="1" applyBorder="1" applyAlignment="1">
      <alignment horizontal="center" wrapText="1"/>
    </xf>
    <xf numFmtId="0" fontId="14" fillId="71" borderId="264" xfId="30" applyFont="1" applyFill="1" applyBorder="1" applyAlignment="1">
      <alignment horizontal="center" wrapText="1"/>
    </xf>
    <xf numFmtId="0" fontId="14" fillId="71" borderId="262" xfId="30" applyFont="1" applyFill="1" applyBorder="1" applyAlignment="1">
      <alignment horizontal="center"/>
    </xf>
    <xf numFmtId="0" fontId="14" fillId="71" borderId="264" xfId="30" applyFont="1" applyFill="1" applyBorder="1" applyAlignment="1">
      <alignment horizontal="center"/>
    </xf>
    <xf numFmtId="0" fontId="104" fillId="36" borderId="262" xfId="30" applyFont="1" applyFill="1" applyBorder="1" applyAlignment="1">
      <alignment horizontal="center"/>
    </xf>
    <xf numFmtId="0" fontId="15" fillId="0" borderId="252" xfId="30" applyFont="1" applyBorder="1" applyAlignment="1">
      <alignment horizontal="right" wrapText="1"/>
    </xf>
    <xf numFmtId="4" fontId="15" fillId="0" borderId="0" xfId="30" applyNumberFormat="1" applyFont="1" applyAlignment="1">
      <alignment horizontal="right"/>
    </xf>
    <xf numFmtId="172" fontId="15" fillId="0" borderId="251" xfId="30" applyNumberFormat="1" applyFont="1" applyBorder="1" applyAlignment="1">
      <alignment horizontal="right"/>
    </xf>
    <xf numFmtId="2" fontId="15" fillId="0" borderId="252" xfId="30" applyNumberFormat="1" applyFont="1" applyBorder="1" applyAlignment="1">
      <alignment horizontal="right"/>
    </xf>
    <xf numFmtId="2" fontId="15" fillId="0" borderId="0" xfId="30" applyNumberFormat="1" applyFont="1" applyAlignment="1">
      <alignment horizontal="right"/>
    </xf>
    <xf numFmtId="0" fontId="15" fillId="0" borderId="252" xfId="30" applyFont="1" applyBorder="1" applyAlignment="1">
      <alignment horizontal="right"/>
    </xf>
    <xf numFmtId="4" fontId="15" fillId="36" borderId="252" xfId="30" applyNumberFormat="1" applyFont="1" applyFill="1" applyBorder="1" applyAlignment="1">
      <alignment horizontal="center"/>
    </xf>
    <xf numFmtId="0" fontId="15" fillId="36" borderId="252" xfId="30" applyFont="1" applyFill="1" applyBorder="1" applyAlignment="1">
      <alignment horizontal="center"/>
    </xf>
    <xf numFmtId="178" fontId="15" fillId="36" borderId="252" xfId="30" applyNumberFormat="1" applyFont="1" applyFill="1" applyBorder="1" applyAlignment="1">
      <alignment horizontal="center"/>
    </xf>
    <xf numFmtId="4" fontId="15" fillId="0" borderId="255" xfId="30" applyNumberFormat="1" applyFont="1" applyBorder="1" applyAlignment="1">
      <alignment horizontal="right" wrapText="1"/>
    </xf>
    <xf numFmtId="4" fontId="15" fillId="0" borderId="0" xfId="30" applyNumberFormat="1" applyFont="1" applyAlignment="1">
      <alignment horizontal="right" wrapText="1"/>
    </xf>
    <xf numFmtId="172" fontId="15" fillId="0" borderId="0" xfId="30" applyNumberFormat="1" applyFont="1" applyAlignment="1">
      <alignment horizontal="right"/>
    </xf>
    <xf numFmtId="4" fontId="15" fillId="0" borderId="252" xfId="30" applyNumberFormat="1" applyFont="1" applyBorder="1" applyAlignment="1">
      <alignment horizontal="right" wrapText="1"/>
    </xf>
    <xf numFmtId="4" fontId="15" fillId="0" borderId="252" xfId="30" applyNumberFormat="1" applyFont="1" applyBorder="1" applyAlignment="1">
      <alignment horizontal="right"/>
    </xf>
    <xf numFmtId="0" fontId="14" fillId="71" borderId="257" xfId="30" applyFont="1" applyFill="1" applyBorder="1" applyAlignment="1">
      <alignment horizontal="right" wrapText="1"/>
    </xf>
    <xf numFmtId="4" fontId="14" fillId="72" borderId="258" xfId="30" applyNumberFormat="1" applyFont="1" applyFill="1" applyBorder="1"/>
    <xf numFmtId="0" fontId="15" fillId="36" borderId="257" xfId="30" applyFont="1" applyFill="1" applyBorder="1" applyAlignment="1">
      <alignment horizontal="center"/>
    </xf>
    <xf numFmtId="4" fontId="16" fillId="72" borderId="0" xfId="30" applyNumberFormat="1" applyFont="1" applyFill="1"/>
    <xf numFmtId="4" fontId="16" fillId="72" borderId="266" xfId="30" applyNumberFormat="1" applyFont="1" applyFill="1" applyBorder="1"/>
    <xf numFmtId="4" fontId="16" fillId="72" borderId="267" xfId="30" applyNumberFormat="1" applyFont="1" applyFill="1" applyBorder="1"/>
    <xf numFmtId="4" fontId="16" fillId="74" borderId="267" xfId="30" applyNumberFormat="1" applyFont="1" applyFill="1" applyBorder="1"/>
    <xf numFmtId="0" fontId="16" fillId="0" borderId="267" xfId="30" applyFont="1" applyBorder="1"/>
    <xf numFmtId="0" fontId="16" fillId="0" borderId="268" xfId="30" applyFont="1" applyBorder="1"/>
    <xf numFmtId="0" fontId="15" fillId="0" borderId="0" xfId="30" applyFont="1" applyAlignment="1">
      <alignment horizontal="right" wrapText="1"/>
    </xf>
    <xf numFmtId="3" fontId="113" fillId="0" borderId="0" xfId="30" applyNumberFormat="1" applyFont="1" applyAlignment="1">
      <alignment horizontal="center" vertical="center"/>
    </xf>
    <xf numFmtId="3" fontId="16" fillId="0" borderId="0" xfId="30" applyNumberFormat="1" applyFont="1" applyAlignment="1">
      <alignment horizontal="center" vertical="center"/>
    </xf>
    <xf numFmtId="4" fontId="16" fillId="0" borderId="0" xfId="30" applyNumberFormat="1" applyFont="1"/>
    <xf numFmtId="3" fontId="15" fillId="0" borderId="269" xfId="30" applyNumberFormat="1" applyFont="1" applyBorder="1"/>
    <xf numFmtId="0" fontId="15" fillId="0" borderId="270" xfId="30" applyFont="1" applyBorder="1"/>
    <xf numFmtId="0" fontId="141" fillId="0" borderId="0" xfId="30" applyFont="1"/>
    <xf numFmtId="4" fontId="304" fillId="0" borderId="251" xfId="30" applyNumberFormat="1" applyFont="1" applyBorder="1"/>
    <xf numFmtId="0" fontId="15" fillId="0" borderId="255" xfId="30" applyFont="1" applyBorder="1"/>
    <xf numFmtId="0" fontId="158" fillId="0" borderId="0" xfId="30" applyFont="1"/>
    <xf numFmtId="3" fontId="15" fillId="0" borderId="271" xfId="30" applyNumberFormat="1" applyFont="1" applyBorder="1"/>
    <xf numFmtId="0" fontId="15" fillId="0" borderId="272" xfId="30" applyFont="1" applyBorder="1"/>
    <xf numFmtId="0" fontId="14" fillId="71" borderId="265" xfId="30" applyFont="1" applyFill="1" applyBorder="1" applyAlignment="1">
      <alignment horizontal="center"/>
    </xf>
    <xf numFmtId="3" fontId="113" fillId="0" borderId="0" xfId="30" applyNumberFormat="1" applyFont="1" applyAlignment="1">
      <alignment horizontal="right"/>
    </xf>
    <xf numFmtId="3" fontId="113" fillId="0" borderId="251" xfId="30" applyNumberFormat="1" applyFont="1" applyBorder="1" applyAlignment="1">
      <alignment horizontal="right"/>
    </xf>
    <xf numFmtId="3" fontId="113" fillId="0" borderId="252" xfId="30" applyNumberFormat="1" applyFont="1" applyBorder="1" applyAlignment="1">
      <alignment horizontal="right"/>
    </xf>
    <xf numFmtId="3" fontId="113" fillId="36" borderId="252" xfId="30" applyNumberFormat="1" applyFont="1" applyFill="1" applyBorder="1" applyAlignment="1">
      <alignment horizontal="center"/>
    </xf>
    <xf numFmtId="3" fontId="113" fillId="0" borderId="255" xfId="30" applyNumberFormat="1" applyFont="1" applyBorder="1" applyAlignment="1">
      <alignment horizontal="right" wrapText="1"/>
    </xf>
    <xf numFmtId="3" fontId="113" fillId="0" borderId="252" xfId="30" applyNumberFormat="1" applyFont="1" applyBorder="1" applyAlignment="1">
      <alignment horizontal="right" wrapText="1"/>
    </xf>
    <xf numFmtId="3" fontId="113" fillId="0" borderId="0" xfId="30" applyNumberFormat="1" applyFont="1" applyAlignment="1">
      <alignment horizontal="right" wrapText="1"/>
    </xf>
    <xf numFmtId="3" fontId="113" fillId="0" borderId="273" xfId="30" applyNumberFormat="1" applyFont="1" applyBorder="1" applyAlignment="1">
      <alignment horizontal="right" wrapText="1"/>
    </xf>
    <xf numFmtId="3" fontId="124" fillId="71" borderId="261" xfId="30" applyNumberFormat="1" applyFont="1" applyFill="1" applyBorder="1" applyAlignment="1">
      <alignment horizontal="right" wrapText="1"/>
    </xf>
    <xf numFmtId="3" fontId="124" fillId="71" borderId="274" xfId="30" applyNumberFormat="1" applyFont="1" applyFill="1" applyBorder="1" applyAlignment="1">
      <alignment horizontal="right"/>
    </xf>
    <xf numFmtId="3" fontId="124" fillId="71" borderId="272" xfId="30" applyNumberFormat="1" applyFont="1" applyFill="1" applyBorder="1" applyAlignment="1">
      <alignment horizontal="right" wrapText="1"/>
    </xf>
    <xf numFmtId="3" fontId="124" fillId="71" borderId="274" xfId="30" applyNumberFormat="1" applyFont="1" applyFill="1" applyBorder="1" applyAlignment="1">
      <alignment horizontal="right" wrapText="1"/>
    </xf>
    <xf numFmtId="3" fontId="124" fillId="71" borderId="258" xfId="30" applyNumberFormat="1" applyFont="1" applyFill="1" applyBorder="1" applyAlignment="1">
      <alignment horizontal="right" wrapText="1"/>
    </xf>
    <xf numFmtId="3" fontId="124" fillId="71" borderId="257" xfId="30" applyNumberFormat="1" applyFont="1" applyFill="1" applyBorder="1" applyAlignment="1">
      <alignment horizontal="right" wrapText="1"/>
    </xf>
    <xf numFmtId="3" fontId="113" fillId="36" borderId="262" xfId="30" applyNumberFormat="1" applyFont="1" applyFill="1" applyBorder="1" applyAlignment="1">
      <alignment horizontal="center"/>
    </xf>
    <xf numFmtId="3" fontId="124" fillId="0" borderId="0" xfId="30" applyNumberFormat="1" applyFont="1" applyAlignment="1">
      <alignment horizontal="right" wrapText="1"/>
    </xf>
    <xf numFmtId="3" fontId="124" fillId="0" borderId="0" xfId="30" applyNumberFormat="1" applyFont="1" applyAlignment="1">
      <alignment horizontal="right"/>
    </xf>
    <xf numFmtId="3" fontId="113" fillId="0" borderId="0" xfId="30" applyNumberFormat="1" applyFont="1" applyAlignment="1">
      <alignment horizontal="center"/>
    </xf>
    <xf numFmtId="0" fontId="158" fillId="36" borderId="125" xfId="30" applyFont="1" applyFill="1" applyBorder="1" applyAlignment="1">
      <alignment horizontal="right" vertical="center"/>
    </xf>
    <xf numFmtId="4" fontId="104" fillId="0" borderId="125" xfId="30" applyNumberFormat="1" applyFont="1" applyBorder="1" applyAlignment="1">
      <alignment horizontal="right" vertical="center"/>
    </xf>
    <xf numFmtId="0" fontId="104" fillId="37" borderId="0" xfId="30" applyFont="1" applyFill="1" applyAlignment="1">
      <alignment horizontal="center" vertical="center"/>
    </xf>
    <xf numFmtId="4" fontId="104" fillId="36" borderId="125" xfId="30" applyNumberFormat="1" applyFont="1" applyFill="1" applyBorder="1" applyAlignment="1">
      <alignment horizontal="right" vertical="center"/>
    </xf>
    <xf numFmtId="4" fontId="104" fillId="36" borderId="0" xfId="30" applyNumberFormat="1" applyFont="1" applyFill="1" applyAlignment="1">
      <alignment horizontal="right" vertical="center"/>
    </xf>
    <xf numFmtId="0" fontId="104" fillId="37" borderId="125" xfId="30" applyFont="1" applyFill="1" applyBorder="1" applyAlignment="1">
      <alignment horizontal="center" vertical="center"/>
    </xf>
    <xf numFmtId="0" fontId="104" fillId="0" borderId="129" xfId="30" applyFont="1" applyBorder="1" applyAlignment="1">
      <alignment horizontal="center" vertical="center"/>
    </xf>
    <xf numFmtId="4" fontId="104" fillId="0" borderId="129" xfId="30" applyNumberFormat="1" applyFont="1" applyBorder="1" applyAlignment="1">
      <alignment horizontal="right" vertical="center"/>
    </xf>
    <xf numFmtId="4" fontId="104" fillId="0" borderId="118" xfId="30" applyNumberFormat="1" applyFont="1" applyBorder="1" applyAlignment="1">
      <alignment horizontal="right" vertical="center"/>
    </xf>
    <xf numFmtId="165" fontId="0" fillId="0" borderId="111" xfId="0" applyNumberFormat="1" applyBorder="1" applyAlignment="1">
      <alignment horizontal="center" vertical="center"/>
    </xf>
    <xf numFmtId="0" fontId="104" fillId="0" borderId="209" xfId="20" applyFont="1" applyBorder="1"/>
    <xf numFmtId="170" fontId="15" fillId="0" borderId="139" xfId="20" applyNumberFormat="1" applyFont="1" applyBorder="1" applyAlignment="1">
      <alignment horizontal="center" vertical="center"/>
    </xf>
    <xf numFmtId="3" fontId="14" fillId="0" borderId="209" xfId="20" applyNumberFormat="1" applyFont="1" applyBorder="1" applyAlignment="1">
      <alignment horizontal="center" vertical="center"/>
    </xf>
    <xf numFmtId="3" fontId="14" fillId="0" borderId="22" xfId="20" applyNumberFormat="1" applyFont="1" applyBorder="1" applyAlignment="1">
      <alignment horizontal="center"/>
    </xf>
    <xf numFmtId="0" fontId="237" fillId="0" borderId="125" xfId="20" applyFont="1" applyBorder="1" applyAlignment="1">
      <alignment horizontal="center" vertical="center" wrapText="1"/>
    </xf>
    <xf numFmtId="0" fontId="120" fillId="0" borderId="123" xfId="20" applyFont="1" applyBorder="1" applyAlignment="1">
      <alignment horizontal="center"/>
    </xf>
    <xf numFmtId="4" fontId="123" fillId="32" borderId="138" xfId="20" applyNumberFormat="1" applyFont="1" applyFill="1" applyBorder="1" applyAlignment="1">
      <alignment horizontal="center" vertical="center"/>
    </xf>
    <xf numFmtId="0" fontId="104" fillId="0" borderId="22" xfId="20" applyFont="1" applyBorder="1" applyAlignment="1">
      <alignment horizontal="center" vertical="center"/>
    </xf>
    <xf numFmtId="0" fontId="126" fillId="30" borderId="138" xfId="20" applyFont="1" applyFill="1" applyBorder="1" applyAlignment="1">
      <alignment horizontal="center" vertical="center"/>
    </xf>
    <xf numFmtId="0" fontId="131" fillId="0" borderId="22" xfId="20" applyFont="1" applyBorder="1" applyAlignment="1">
      <alignment horizontal="center"/>
    </xf>
    <xf numFmtId="0" fontId="15" fillId="0" borderId="138" xfId="20" applyFont="1" applyBorder="1" applyAlignment="1">
      <alignment horizontal="center" vertical="center"/>
    </xf>
    <xf numFmtId="0" fontId="104" fillId="0" borderId="22" xfId="20" applyFont="1" applyBorder="1" applyAlignment="1">
      <alignment horizontal="center"/>
    </xf>
    <xf numFmtId="0" fontId="293" fillId="36" borderId="125" xfId="20" applyFont="1" applyFill="1" applyBorder="1" applyAlignment="1">
      <alignment horizontal="center" vertical="center"/>
    </xf>
    <xf numFmtId="4" fontId="305" fillId="0" borderId="125" xfId="20" applyNumberFormat="1" applyFont="1" applyBorder="1" applyAlignment="1">
      <alignment horizontal="right" vertical="center"/>
    </xf>
    <xf numFmtId="0" fontId="305" fillId="0" borderId="125" xfId="20" applyFont="1" applyBorder="1" applyAlignment="1">
      <alignment horizontal="right" vertical="center"/>
    </xf>
    <xf numFmtId="0" fontId="95" fillId="36" borderId="122" xfId="20" applyFont="1" applyFill="1" applyBorder="1" applyAlignment="1">
      <alignment horizontal="right" vertical="center"/>
    </xf>
    <xf numFmtId="0" fontId="305" fillId="36" borderId="122" xfId="20" applyFont="1" applyFill="1" applyBorder="1" applyAlignment="1">
      <alignment horizontal="right" vertical="center"/>
    </xf>
    <xf numFmtId="4" fontId="306" fillId="36" borderId="122" xfId="20" applyNumberFormat="1" applyFont="1" applyFill="1" applyBorder="1" applyAlignment="1">
      <alignment horizontal="right" vertical="center"/>
    </xf>
    <xf numFmtId="0" fontId="284" fillId="0" borderId="0" xfId="20" applyFont="1" applyAlignment="1">
      <alignment vertical="center"/>
    </xf>
    <xf numFmtId="170" fontId="16" fillId="29" borderId="138" xfId="20" applyNumberFormat="1" applyFont="1" applyFill="1" applyBorder="1" applyAlignment="1">
      <alignment horizontal="center" vertical="center"/>
    </xf>
    <xf numFmtId="0" fontId="113" fillId="0" borderId="209" xfId="20" applyFont="1" applyBorder="1" applyAlignment="1">
      <alignment horizontal="center" vertical="center"/>
    </xf>
    <xf numFmtId="0" fontId="120" fillId="0" borderId="138" xfId="20" applyFont="1" applyBorder="1" applyAlignment="1">
      <alignment horizontal="center"/>
    </xf>
    <xf numFmtId="4" fontId="307" fillId="36" borderId="122" xfId="20" applyNumberFormat="1" applyFont="1" applyFill="1" applyBorder="1" applyAlignment="1">
      <alignment horizontal="right" vertical="center"/>
    </xf>
    <xf numFmtId="4" fontId="200" fillId="0" borderId="125" xfId="20" applyNumberFormat="1" applyFont="1" applyBorder="1" applyAlignment="1">
      <alignment horizontal="right" vertical="center"/>
    </xf>
    <xf numFmtId="3" fontId="148" fillId="0" borderId="0" xfId="3" quotePrefix="1" applyNumberFormat="1" applyFont="1" applyAlignment="1">
      <alignment horizontal="left" vertical="center"/>
    </xf>
    <xf numFmtId="0" fontId="308" fillId="26" borderId="0" xfId="30" applyFont="1" applyFill="1"/>
    <xf numFmtId="0" fontId="309" fillId="0" borderId="0" xfId="30" applyFont="1"/>
    <xf numFmtId="0" fontId="310" fillId="0" borderId="0" xfId="30" applyFont="1"/>
    <xf numFmtId="0" fontId="311" fillId="0" borderId="0" xfId="30" applyFont="1"/>
    <xf numFmtId="0" fontId="310" fillId="0" borderId="118" xfId="30" applyFont="1" applyBorder="1"/>
    <xf numFmtId="0" fontId="312" fillId="0" borderId="0" xfId="30" applyFont="1"/>
    <xf numFmtId="0" fontId="313" fillId="0" borderId="0" xfId="30" applyFont="1" applyAlignment="1">
      <alignment vertical="center"/>
    </xf>
    <xf numFmtId="0" fontId="314" fillId="0" borderId="119" xfId="30" applyFont="1" applyBorder="1" applyAlignment="1">
      <alignment horizontal="center" vertical="center"/>
    </xf>
    <xf numFmtId="0" fontId="315" fillId="28" borderId="121" xfId="30" applyFont="1" applyFill="1" applyBorder="1" applyAlignment="1">
      <alignment horizontal="center" vertical="center"/>
    </xf>
    <xf numFmtId="0" fontId="315" fillId="0" borderId="138" xfId="30" applyFont="1" applyBorder="1" applyAlignment="1">
      <alignment horizontal="center" vertical="center"/>
    </xf>
    <xf numFmtId="0" fontId="317" fillId="0" borderId="122" xfId="30" applyFont="1" applyBorder="1" applyAlignment="1">
      <alignment horizontal="left"/>
    </xf>
    <xf numFmtId="0" fontId="318" fillId="0" borderId="140" xfId="30" applyFont="1" applyBorder="1" applyAlignment="1">
      <alignment horizontal="center"/>
    </xf>
    <xf numFmtId="0" fontId="318" fillId="0" borderId="122" xfId="30" applyFont="1" applyBorder="1" applyAlignment="1">
      <alignment horizontal="center"/>
    </xf>
    <xf numFmtId="0" fontId="318" fillId="0" borderId="141" xfId="30" applyFont="1" applyBorder="1" applyAlignment="1">
      <alignment horizontal="center"/>
    </xf>
    <xf numFmtId="0" fontId="319" fillId="0" borderId="124" xfId="30" applyFont="1" applyBorder="1"/>
    <xf numFmtId="0" fontId="320" fillId="0" borderId="138" xfId="30" applyFont="1" applyBorder="1" applyAlignment="1">
      <alignment horizontal="center"/>
    </xf>
    <xf numFmtId="0" fontId="321" fillId="0" borderId="125" xfId="30" applyFont="1" applyBorder="1" applyAlignment="1">
      <alignment horizontal="left" vertical="center"/>
    </xf>
    <xf numFmtId="169" fontId="322" fillId="0" borderId="125" xfId="30" applyNumberFormat="1" applyFont="1" applyBorder="1" applyAlignment="1">
      <alignment horizontal="center" vertical="center" wrapText="1"/>
    </xf>
    <xf numFmtId="0" fontId="323" fillId="0" borderId="136" xfId="30" applyFont="1" applyBorder="1" applyAlignment="1">
      <alignment horizontal="center" vertical="center" wrapText="1"/>
    </xf>
    <xf numFmtId="0" fontId="319" fillId="0" borderId="128" xfId="30" applyFont="1" applyBorder="1" applyAlignment="1">
      <alignment horizontal="center" vertical="center" wrapText="1"/>
    </xf>
    <xf numFmtId="0" fontId="323" fillId="0" borderId="0" xfId="30" applyFont="1" applyAlignment="1">
      <alignment horizontal="center" vertical="center" wrapText="1"/>
    </xf>
    <xf numFmtId="0" fontId="324" fillId="0" borderId="138" xfId="30" applyFont="1" applyBorder="1" applyAlignment="1">
      <alignment horizontal="center" vertical="center" wrapText="1"/>
    </xf>
    <xf numFmtId="0" fontId="325" fillId="0" borderId="129" xfId="30" applyFont="1" applyBorder="1" applyAlignment="1">
      <alignment horizontal="left" vertical="center"/>
    </xf>
    <xf numFmtId="169" fontId="326" fillId="0" borderId="129" xfId="30" applyNumberFormat="1" applyFont="1" applyBorder="1" applyAlignment="1">
      <alignment horizontal="center" vertical="center" wrapText="1"/>
    </xf>
    <xf numFmtId="0" fontId="319" fillId="0" borderId="130" xfId="30" applyFont="1" applyBorder="1" applyAlignment="1">
      <alignment horizontal="center" vertical="center" wrapText="1"/>
    </xf>
    <xf numFmtId="0" fontId="323" fillId="0" borderId="138" xfId="30" applyFont="1" applyBorder="1" applyAlignment="1">
      <alignment horizontal="center" vertical="center" wrapText="1"/>
    </xf>
    <xf numFmtId="0" fontId="310" fillId="0" borderId="0" xfId="30" applyFont="1" applyAlignment="1">
      <alignment vertical="center"/>
    </xf>
    <xf numFmtId="0" fontId="327" fillId="29" borderId="125" xfId="30" applyFont="1" applyFill="1" applyBorder="1" applyAlignment="1">
      <alignment horizontal="left" vertical="center"/>
    </xf>
    <xf numFmtId="170" fontId="319" fillId="29" borderId="122" xfId="30" applyNumberFormat="1" applyFont="1" applyFill="1" applyBorder="1" applyAlignment="1">
      <alignment horizontal="center" vertical="center"/>
    </xf>
    <xf numFmtId="166" fontId="328" fillId="0" borderId="136" xfId="30" applyNumberFormat="1" applyFont="1" applyBorder="1" applyAlignment="1">
      <alignment horizontal="center" vertical="center"/>
    </xf>
    <xf numFmtId="2" fontId="319" fillId="29" borderId="124" xfId="30" applyNumberFormat="1" applyFont="1" applyFill="1" applyBorder="1" applyAlignment="1">
      <alignment horizontal="center" vertical="center"/>
    </xf>
    <xf numFmtId="166" fontId="328" fillId="0" borderId="0" xfId="30" applyNumberFormat="1" applyFont="1" applyAlignment="1">
      <alignment horizontal="center" vertical="center"/>
    </xf>
    <xf numFmtId="170" fontId="319" fillId="29" borderId="0" xfId="30" applyNumberFormat="1" applyFont="1" applyFill="1" applyAlignment="1">
      <alignment horizontal="center" vertical="center"/>
    </xf>
    <xf numFmtId="170" fontId="319" fillId="29" borderId="140" xfId="30" applyNumberFormat="1" applyFont="1" applyFill="1" applyBorder="1" applyAlignment="1">
      <alignment horizontal="center" vertical="center"/>
    </xf>
    <xf numFmtId="3" fontId="323" fillId="0" borderId="138" xfId="30" applyNumberFormat="1" applyFont="1" applyBorder="1" applyAlignment="1">
      <alignment horizontal="center" vertical="center"/>
    </xf>
    <xf numFmtId="0" fontId="327" fillId="0" borderId="125" xfId="30" applyFont="1" applyBorder="1" applyAlignment="1">
      <alignment horizontal="left" vertical="center"/>
    </xf>
    <xf numFmtId="170" fontId="319" fillId="0" borderId="125" xfId="30" applyNumberFormat="1" applyFont="1" applyBorder="1" applyAlignment="1">
      <alignment horizontal="center" vertical="center"/>
    </xf>
    <xf numFmtId="170" fontId="319" fillId="0" borderId="0" xfId="30" applyNumberFormat="1" applyFont="1" applyAlignment="1">
      <alignment horizontal="center" vertical="center"/>
    </xf>
    <xf numFmtId="170" fontId="319" fillId="0" borderId="138" xfId="30" applyNumberFormat="1" applyFont="1" applyBorder="1" applyAlignment="1">
      <alignment horizontal="center" vertical="center"/>
    </xf>
    <xf numFmtId="3" fontId="328" fillId="0" borderId="127" xfId="30" applyNumberFormat="1" applyFont="1" applyBorder="1" applyAlignment="1">
      <alignment horizontal="center" vertical="center"/>
    </xf>
    <xf numFmtId="2" fontId="319" fillId="0" borderId="128" xfId="30" applyNumberFormat="1" applyFont="1" applyBorder="1" applyAlignment="1">
      <alignment horizontal="center" vertical="center"/>
    </xf>
    <xf numFmtId="3" fontId="328" fillId="0" borderId="0" xfId="30" applyNumberFormat="1" applyFont="1" applyAlignment="1">
      <alignment horizontal="center" vertical="center"/>
    </xf>
    <xf numFmtId="170" fontId="329" fillId="29" borderId="0" xfId="30" applyNumberFormat="1" applyFont="1" applyFill="1" applyAlignment="1">
      <alignment horizontal="center" vertical="center"/>
    </xf>
    <xf numFmtId="170" fontId="329" fillId="29" borderId="125" xfId="30" applyNumberFormat="1" applyFont="1" applyFill="1" applyBorder="1" applyAlignment="1">
      <alignment horizontal="center" vertical="center"/>
    </xf>
    <xf numFmtId="0" fontId="323" fillId="0" borderId="127" xfId="30" applyFont="1" applyBorder="1" applyAlignment="1">
      <alignment horizontal="center" vertical="center"/>
    </xf>
    <xf numFmtId="0" fontId="319" fillId="29" borderId="128" xfId="30" applyFont="1" applyFill="1" applyBorder="1" applyAlignment="1">
      <alignment horizontal="center" vertical="center"/>
    </xf>
    <xf numFmtId="0" fontId="323" fillId="0" borderId="0" xfId="30" applyFont="1" applyAlignment="1">
      <alignment horizontal="center" vertical="center"/>
    </xf>
    <xf numFmtId="3" fontId="329" fillId="0" borderId="138" xfId="30" applyNumberFormat="1" applyFont="1" applyBorder="1" applyAlignment="1">
      <alignment horizontal="center" vertical="center"/>
    </xf>
    <xf numFmtId="0" fontId="327" fillId="0" borderId="129" xfId="30" applyFont="1" applyBorder="1" applyAlignment="1">
      <alignment horizontal="left" vertical="center"/>
    </xf>
    <xf numFmtId="170" fontId="319" fillId="0" borderId="118" xfId="30" applyNumberFormat="1" applyFont="1" applyBorder="1" applyAlignment="1">
      <alignment horizontal="center" vertical="center"/>
    </xf>
    <xf numFmtId="170" fontId="319" fillId="0" borderId="129" xfId="30" applyNumberFormat="1" applyFont="1" applyBorder="1" applyAlignment="1">
      <alignment horizontal="center" vertical="center"/>
    </xf>
    <xf numFmtId="2" fontId="312" fillId="0" borderId="130" xfId="30" applyNumberFormat="1" applyFont="1" applyBorder="1" applyAlignment="1">
      <alignment horizontal="center" vertical="center"/>
    </xf>
    <xf numFmtId="0" fontId="330" fillId="0" borderId="125" xfId="30" applyFont="1" applyBorder="1" applyAlignment="1">
      <alignment horizontal="left"/>
    </xf>
    <xf numFmtId="3" fontId="331" fillId="0" borderId="0" xfId="30" applyNumberFormat="1" applyFont="1" applyAlignment="1">
      <alignment horizontal="center"/>
    </xf>
    <xf numFmtId="3" fontId="331" fillId="0" borderId="125" xfId="30" applyNumberFormat="1" applyFont="1" applyBorder="1" applyAlignment="1">
      <alignment horizontal="center"/>
    </xf>
    <xf numFmtId="3" fontId="331" fillId="0" borderId="122" xfId="30" applyNumberFormat="1" applyFont="1" applyBorder="1" applyAlignment="1">
      <alignment horizontal="center"/>
    </xf>
    <xf numFmtId="3" fontId="331" fillId="0" borderId="137" xfId="30" applyNumberFormat="1" applyFont="1" applyBorder="1" applyAlignment="1">
      <alignment horizontal="center"/>
    </xf>
    <xf numFmtId="3" fontId="328" fillId="0" borderId="0" xfId="30" applyNumberFormat="1" applyFont="1" applyAlignment="1">
      <alignment horizontal="center"/>
    </xf>
    <xf numFmtId="3" fontId="328" fillId="0" borderId="132" xfId="30" applyNumberFormat="1" applyFont="1" applyBorder="1" applyAlignment="1">
      <alignment horizontal="center"/>
    </xf>
    <xf numFmtId="0" fontId="312" fillId="0" borderId="125" xfId="30" applyFont="1" applyBorder="1" applyAlignment="1">
      <alignment horizontal="left"/>
    </xf>
    <xf numFmtId="3" fontId="323" fillId="0" borderId="0" xfId="30" applyNumberFormat="1" applyFont="1" applyAlignment="1">
      <alignment horizontal="center"/>
    </xf>
    <xf numFmtId="3" fontId="323" fillId="0" borderId="125" xfId="30" applyNumberFormat="1" applyFont="1" applyBorder="1" applyAlignment="1">
      <alignment horizontal="center"/>
    </xf>
    <xf numFmtId="3" fontId="323" fillId="0" borderId="138" xfId="30" applyNumberFormat="1" applyFont="1" applyBorder="1" applyAlignment="1">
      <alignment horizontal="center"/>
    </xf>
    <xf numFmtId="0" fontId="332" fillId="0" borderId="125" xfId="30" applyFont="1" applyBorder="1" applyAlignment="1">
      <alignment horizontal="left" vertical="center"/>
    </xf>
    <xf numFmtId="169" fontId="331" fillId="0" borderId="125" xfId="30" applyNumberFormat="1" applyFont="1" applyBorder="1" applyAlignment="1">
      <alignment horizontal="center" vertical="center" wrapText="1"/>
    </xf>
    <xf numFmtId="3" fontId="328" fillId="0" borderId="138" xfId="30" applyNumberFormat="1" applyFont="1" applyBorder="1" applyAlignment="1">
      <alignment horizontal="center" vertical="center"/>
    </xf>
    <xf numFmtId="3" fontId="333" fillId="0" borderId="0" xfId="30" applyNumberFormat="1" applyFont="1" applyAlignment="1">
      <alignment horizontal="center" vertical="center" wrapText="1"/>
    </xf>
    <xf numFmtId="3" fontId="323" fillId="0" borderId="138" xfId="30" applyNumberFormat="1" applyFont="1" applyBorder="1" applyAlignment="1">
      <alignment horizontal="center" vertical="center" wrapText="1"/>
    </xf>
    <xf numFmtId="3" fontId="319" fillId="0" borderId="0" xfId="30" applyNumberFormat="1" applyFont="1" applyAlignment="1">
      <alignment horizontal="center" vertical="center" wrapText="1"/>
    </xf>
    <xf numFmtId="0" fontId="332" fillId="30" borderId="125" xfId="30" applyFont="1" applyFill="1" applyBorder="1" applyAlignment="1">
      <alignment horizontal="left" vertical="center" wrapText="1"/>
    </xf>
    <xf numFmtId="4" fontId="334" fillId="30" borderId="0" xfId="30" applyNumberFormat="1" applyFont="1" applyFill="1" applyAlignment="1">
      <alignment horizontal="center" vertical="center"/>
    </xf>
    <xf numFmtId="4" fontId="334" fillId="30" borderId="138" xfId="30" applyNumberFormat="1" applyFont="1" applyFill="1" applyBorder="1" applyAlignment="1">
      <alignment horizontal="center" vertical="center"/>
    </xf>
    <xf numFmtId="4" fontId="334" fillId="30" borderId="125" xfId="30" applyNumberFormat="1" applyFont="1" applyFill="1" applyBorder="1" applyAlignment="1">
      <alignment horizontal="center" vertical="center"/>
    </xf>
    <xf numFmtId="2" fontId="324" fillId="0" borderId="138" xfId="30" applyNumberFormat="1" applyFont="1" applyBorder="1" applyAlignment="1">
      <alignment horizontal="center" vertical="center"/>
    </xf>
    <xf numFmtId="166" fontId="324" fillId="0" borderId="0" xfId="30" applyNumberFormat="1" applyFont="1" applyAlignment="1">
      <alignment horizontal="center" vertical="center"/>
    </xf>
    <xf numFmtId="2" fontId="334" fillId="30" borderId="125" xfId="30" applyNumberFormat="1" applyFont="1" applyFill="1" applyBorder="1" applyAlignment="1">
      <alignment horizontal="center" vertical="center"/>
    </xf>
    <xf numFmtId="2" fontId="334" fillId="30" borderId="0" xfId="30" applyNumberFormat="1" applyFont="1" applyFill="1" applyAlignment="1">
      <alignment horizontal="center" vertical="center"/>
    </xf>
    <xf numFmtId="3" fontId="335" fillId="0" borderId="138" xfId="30" applyNumberFormat="1" applyFont="1" applyBorder="1" applyAlignment="1">
      <alignment horizontal="center" vertical="center"/>
    </xf>
    <xf numFmtId="2" fontId="336" fillId="0" borderId="0" xfId="30" applyNumberFormat="1" applyFont="1" applyAlignment="1">
      <alignment horizontal="center" vertical="center"/>
    </xf>
    <xf numFmtId="0" fontId="332" fillId="31" borderId="125" xfId="30" applyFont="1" applyFill="1" applyBorder="1" applyAlignment="1">
      <alignment horizontal="left" vertical="center"/>
    </xf>
    <xf numFmtId="171" fontId="338" fillId="31" borderId="125" xfId="30" applyNumberFormat="1" applyFont="1" applyFill="1" applyBorder="1" applyAlignment="1">
      <alignment horizontal="center" vertical="center"/>
    </xf>
    <xf numFmtId="171" fontId="310" fillId="0" borderId="0" xfId="30" applyNumberFormat="1" applyFont="1" applyAlignment="1">
      <alignment horizontal="center" vertical="center"/>
    </xf>
    <xf numFmtId="0" fontId="310" fillId="0" borderId="0" xfId="30" applyFont="1" applyAlignment="1">
      <alignment horizontal="center" vertical="center"/>
    </xf>
    <xf numFmtId="172" fontId="319" fillId="0" borderId="0" xfId="30" applyNumberFormat="1" applyFont="1" applyAlignment="1">
      <alignment horizontal="center" vertical="center"/>
    </xf>
    <xf numFmtId="0" fontId="332" fillId="30" borderId="129" xfId="30" applyFont="1" applyFill="1" applyBorder="1" applyAlignment="1">
      <alignment horizontal="left" vertical="center"/>
    </xf>
    <xf numFmtId="171" fontId="338" fillId="30" borderId="129" xfId="30" applyNumberFormat="1" applyFont="1" applyFill="1" applyBorder="1" applyAlignment="1">
      <alignment horizontal="center" vertical="center"/>
    </xf>
    <xf numFmtId="171" fontId="338" fillId="30" borderId="118" xfId="30" applyNumberFormat="1" applyFont="1" applyFill="1" applyBorder="1" applyAlignment="1">
      <alignment horizontal="center" vertical="center"/>
    </xf>
    <xf numFmtId="171" fontId="338" fillId="30" borderId="139" xfId="30" applyNumberFormat="1" applyFont="1" applyFill="1" applyBorder="1" applyAlignment="1">
      <alignment horizontal="center" vertical="center"/>
    </xf>
    <xf numFmtId="171" fontId="310" fillId="0" borderId="138" xfId="30" applyNumberFormat="1" applyFont="1" applyBorder="1" applyAlignment="1">
      <alignment horizontal="center" vertical="center"/>
    </xf>
    <xf numFmtId="2" fontId="319" fillId="0" borderId="0" xfId="30" applyNumberFormat="1" applyFont="1" applyAlignment="1">
      <alignment horizontal="center" vertical="center"/>
    </xf>
    <xf numFmtId="169" fontId="331" fillId="0" borderId="138" xfId="30" applyNumberFormat="1" applyFont="1" applyBorder="1" applyAlignment="1">
      <alignment horizontal="center" vertical="center" wrapText="1"/>
    </xf>
    <xf numFmtId="172" fontId="339" fillId="0" borderId="0" xfId="30" applyNumberFormat="1" applyFont="1" applyAlignment="1">
      <alignment horizontal="center" vertical="center"/>
    </xf>
    <xf numFmtId="2" fontId="339" fillId="0" borderId="0" xfId="30" applyNumberFormat="1" applyFont="1" applyAlignment="1">
      <alignment horizontal="center" vertical="center"/>
    </xf>
    <xf numFmtId="0" fontId="331" fillId="0" borderId="0" xfId="30" applyFont="1" applyAlignment="1">
      <alignment horizontal="center"/>
    </xf>
    <xf numFmtId="0" fontId="331" fillId="0" borderId="125" xfId="30" applyFont="1" applyBorder="1" applyAlignment="1">
      <alignment horizontal="center"/>
    </xf>
    <xf numFmtId="0" fontId="310" fillId="0" borderId="0" xfId="30" applyFont="1" applyAlignment="1">
      <alignment horizontal="center"/>
    </xf>
    <xf numFmtId="0" fontId="339" fillId="0" borderId="0" xfId="30" applyFont="1" applyAlignment="1">
      <alignment horizontal="center"/>
    </xf>
    <xf numFmtId="0" fontId="319" fillId="0" borderId="0" xfId="30" applyFont="1" applyAlignment="1">
      <alignment horizontal="center"/>
    </xf>
    <xf numFmtId="0" fontId="310" fillId="0" borderId="138" xfId="30" applyFont="1" applyBorder="1" applyAlignment="1">
      <alignment horizontal="center" vertical="center"/>
    </xf>
    <xf numFmtId="0" fontId="339" fillId="0" borderId="0" xfId="30" applyFont="1" applyAlignment="1">
      <alignment horizontal="center" vertical="center"/>
    </xf>
    <xf numFmtId="0" fontId="319" fillId="0" borderId="0" xfId="30" applyFont="1" applyAlignment="1">
      <alignment horizontal="center" vertical="center"/>
    </xf>
    <xf numFmtId="0" fontId="332" fillId="32" borderId="125" xfId="30" applyFont="1" applyFill="1" applyBorder="1" applyAlignment="1">
      <alignment horizontal="left" vertical="center" wrapText="1"/>
    </xf>
    <xf numFmtId="4" fontId="334" fillId="32" borderId="0" xfId="30" applyNumberFormat="1" applyFont="1" applyFill="1" applyAlignment="1">
      <alignment horizontal="center" vertical="center"/>
    </xf>
    <xf numFmtId="4" fontId="334" fillId="32" borderId="125" xfId="30" applyNumberFormat="1" applyFont="1" applyFill="1" applyBorder="1" applyAlignment="1">
      <alignment horizontal="center" vertical="center"/>
    </xf>
    <xf numFmtId="4" fontId="336" fillId="0" borderId="0" xfId="30" applyNumberFormat="1" applyFont="1" applyAlignment="1">
      <alignment horizontal="center" vertical="center"/>
    </xf>
    <xf numFmtId="0" fontId="332" fillId="33" borderId="125" xfId="30" applyFont="1" applyFill="1" applyBorder="1" applyAlignment="1">
      <alignment horizontal="left" vertical="center"/>
    </xf>
    <xf numFmtId="171" fontId="338" fillId="0" borderId="125" xfId="30" applyNumberFormat="1" applyFont="1" applyBorder="1" applyAlignment="1">
      <alignment horizontal="center" vertical="center"/>
    </xf>
    <xf numFmtId="0" fontId="332" fillId="32" borderId="129" xfId="30" applyFont="1" applyFill="1" applyBorder="1" applyAlignment="1">
      <alignment horizontal="left" vertical="center"/>
    </xf>
    <xf numFmtId="171" fontId="338" fillId="32" borderId="129" xfId="30" applyNumberFormat="1" applyFont="1" applyFill="1" applyBorder="1" applyAlignment="1">
      <alignment horizontal="center" vertical="center"/>
    </xf>
    <xf numFmtId="171" fontId="338" fillId="32" borderId="118" xfId="30" applyNumberFormat="1" applyFont="1" applyFill="1" applyBorder="1" applyAlignment="1">
      <alignment horizontal="center" vertical="center"/>
    </xf>
    <xf numFmtId="171" fontId="338" fillId="32" borderId="139" xfId="30" applyNumberFormat="1" applyFont="1" applyFill="1" applyBorder="1" applyAlignment="1">
      <alignment horizontal="center" vertical="center"/>
    </xf>
    <xf numFmtId="171" fontId="338" fillId="0" borderId="0" xfId="30" applyNumberFormat="1" applyFont="1" applyAlignment="1">
      <alignment horizontal="center" vertical="center"/>
    </xf>
    <xf numFmtId="171" fontId="338" fillId="0" borderId="138" xfId="30" applyNumberFormat="1" applyFont="1" applyBorder="1" applyAlignment="1">
      <alignment horizontal="center" vertical="center"/>
    </xf>
    <xf numFmtId="0" fontId="337" fillId="0" borderId="125" xfId="30" applyFont="1" applyBorder="1" applyAlignment="1">
      <alignment horizontal="left" vertical="center"/>
    </xf>
    <xf numFmtId="169" fontId="340" fillId="0" borderId="122" xfId="30" applyNumberFormat="1" applyFont="1" applyBorder="1" applyAlignment="1">
      <alignment horizontal="center" vertical="center" wrapText="1"/>
    </xf>
    <xf numFmtId="0" fontId="341" fillId="0" borderId="138" xfId="30" applyFont="1" applyBorder="1" applyAlignment="1">
      <alignment horizontal="center" vertical="center"/>
    </xf>
    <xf numFmtId="0" fontId="338" fillId="0" borderId="0" xfId="30" applyFont="1" applyAlignment="1">
      <alignment horizontal="center" vertical="center"/>
    </xf>
    <xf numFmtId="0" fontId="341" fillId="0" borderId="0" xfId="30" applyFont="1" applyAlignment="1">
      <alignment horizontal="center" vertical="center"/>
    </xf>
    <xf numFmtId="169" fontId="324" fillId="0" borderId="122" xfId="30" applyNumberFormat="1" applyFont="1" applyBorder="1" applyAlignment="1">
      <alignment horizontal="center" vertical="center"/>
    </xf>
    <xf numFmtId="0" fontId="337" fillId="30" borderId="125" xfId="30" applyFont="1" applyFill="1" applyBorder="1" applyAlignment="1">
      <alignment horizontal="left" vertical="center"/>
    </xf>
    <xf numFmtId="0" fontId="338" fillId="30" borderId="0" xfId="30" applyFont="1" applyFill="1" applyAlignment="1">
      <alignment horizontal="center" vertical="center"/>
    </xf>
    <xf numFmtId="0" fontId="338" fillId="30" borderId="125" xfId="30" applyFont="1" applyFill="1" applyBorder="1" applyAlignment="1">
      <alignment horizontal="center" vertical="center"/>
    </xf>
    <xf numFmtId="0" fontId="341" fillId="0" borderId="0" xfId="30" applyFont="1" applyAlignment="1">
      <alignment horizontal="center"/>
    </xf>
    <xf numFmtId="0" fontId="338" fillId="0" borderId="0" xfId="30" applyFont="1" applyAlignment="1">
      <alignment horizontal="center"/>
    </xf>
    <xf numFmtId="0" fontId="319" fillId="30" borderId="0" xfId="30" applyFont="1" applyFill="1" applyAlignment="1">
      <alignment horizontal="center" vertical="center"/>
    </xf>
    <xf numFmtId="0" fontId="319" fillId="30" borderId="125" xfId="30" applyFont="1" applyFill="1" applyBorder="1" applyAlignment="1">
      <alignment horizontal="center" vertical="center"/>
    </xf>
    <xf numFmtId="0" fontId="319" fillId="0" borderId="125" xfId="30" applyFont="1" applyBorder="1" applyAlignment="1">
      <alignment horizontal="center" vertical="center"/>
    </xf>
    <xf numFmtId="0" fontId="319" fillId="30" borderId="138" xfId="30" applyFont="1" applyFill="1" applyBorder="1" applyAlignment="1">
      <alignment horizontal="center" vertical="center"/>
    </xf>
    <xf numFmtId="0" fontId="327" fillId="30" borderId="125" xfId="30" applyFont="1" applyFill="1" applyBorder="1" applyAlignment="1">
      <alignment horizontal="left" vertical="center"/>
    </xf>
    <xf numFmtId="0" fontId="319" fillId="0" borderId="139" xfId="30" applyFont="1" applyBorder="1" applyAlignment="1">
      <alignment horizontal="center" vertical="center"/>
    </xf>
    <xf numFmtId="0" fontId="319" fillId="0" borderId="129" xfId="30" applyFont="1" applyBorder="1" applyAlignment="1">
      <alignment horizontal="center" vertical="center"/>
    </xf>
    <xf numFmtId="0" fontId="319" fillId="0" borderId="118" xfId="30" applyFont="1" applyBorder="1" applyAlignment="1">
      <alignment horizontal="center" vertical="center"/>
    </xf>
    <xf numFmtId="2" fontId="342" fillId="0" borderId="0" xfId="30" applyNumberFormat="1" applyFont="1" applyAlignment="1">
      <alignment horizontal="left" vertical="center"/>
    </xf>
    <xf numFmtId="0" fontId="310" fillId="34" borderId="0" xfId="30" applyFont="1" applyFill="1"/>
    <xf numFmtId="0" fontId="343" fillId="0" borderId="0" xfId="30" applyFont="1"/>
    <xf numFmtId="0" fontId="344" fillId="0" borderId="118" xfId="30" applyFont="1" applyBorder="1"/>
    <xf numFmtId="174" fontId="319" fillId="0" borderId="0" xfId="30" applyNumberFormat="1" applyFont="1"/>
    <xf numFmtId="0" fontId="345" fillId="0" borderId="0" xfId="30" applyFont="1"/>
    <xf numFmtId="174" fontId="15" fillId="4" borderId="0" xfId="30" applyNumberFormat="1" applyFont="1" applyFill="1" applyAlignment="1">
      <alignment vertical="center"/>
    </xf>
    <xf numFmtId="0" fontId="297" fillId="4" borderId="0" xfId="30" applyFill="1"/>
    <xf numFmtId="3" fontId="346" fillId="35" borderId="119" xfId="30" quotePrefix="1" applyNumberFormat="1" applyFont="1" applyFill="1" applyBorder="1" applyAlignment="1">
      <alignment horizontal="center"/>
    </xf>
    <xf numFmtId="0" fontId="312" fillId="35" borderId="133" xfId="30" applyFont="1" applyFill="1" applyBorder="1" applyAlignment="1">
      <alignment horizontal="center"/>
    </xf>
    <xf numFmtId="0" fontId="312" fillId="35" borderId="119" xfId="30" applyFont="1" applyFill="1" applyBorder="1" applyAlignment="1">
      <alignment horizontal="center"/>
    </xf>
    <xf numFmtId="0" fontId="312" fillId="28" borderId="134" xfId="30" applyFont="1" applyFill="1" applyBorder="1" applyAlignment="1">
      <alignment horizontal="center"/>
    </xf>
    <xf numFmtId="0" fontId="312" fillId="35" borderId="135" xfId="30" applyFont="1" applyFill="1" applyBorder="1" applyAlignment="1">
      <alignment horizontal="center" vertical="center"/>
    </xf>
    <xf numFmtId="0" fontId="312" fillId="35" borderId="133" xfId="30" applyFont="1" applyFill="1" applyBorder="1" applyAlignment="1">
      <alignment horizontal="center" vertical="center"/>
    </xf>
    <xf numFmtId="0" fontId="312" fillId="35" borderId="134" xfId="30" applyFont="1" applyFill="1" applyBorder="1" applyAlignment="1">
      <alignment horizontal="center" vertical="center"/>
    </xf>
    <xf numFmtId="3" fontId="347" fillId="0" borderId="125" xfId="30" applyNumberFormat="1" applyFont="1" applyBorder="1" applyAlignment="1">
      <alignment horizontal="center" vertical="center"/>
    </xf>
    <xf numFmtId="0" fontId="27" fillId="36" borderId="125" xfId="30" applyFont="1" applyFill="1" applyBorder="1" applyAlignment="1">
      <alignment horizontal="center" vertical="center"/>
    </xf>
    <xf numFmtId="0" fontId="319" fillId="37" borderId="0" xfId="30" applyFont="1" applyFill="1" applyAlignment="1">
      <alignment horizontal="center" vertical="center" wrapText="1"/>
    </xf>
    <xf numFmtId="4" fontId="348" fillId="36" borderId="122" xfId="30" applyNumberFormat="1" applyFont="1" applyFill="1" applyBorder="1" applyAlignment="1">
      <alignment horizontal="right" vertical="center"/>
    </xf>
    <xf numFmtId="4" fontId="15" fillId="36" borderId="122" xfId="30" applyNumberFormat="1" applyFont="1" applyFill="1" applyBorder="1" applyAlignment="1">
      <alignment horizontal="right" vertical="center"/>
    </xf>
    <xf numFmtId="0" fontId="27" fillId="0" borderId="125" xfId="30" applyFont="1" applyBorder="1" applyAlignment="1">
      <alignment horizontal="center" vertical="center"/>
    </xf>
    <xf numFmtId="4" fontId="310" fillId="0" borderId="125" xfId="30" applyNumberFormat="1" applyFont="1" applyBorder="1" applyAlignment="1">
      <alignment horizontal="right" vertical="center"/>
    </xf>
    <xf numFmtId="4" fontId="27" fillId="0" borderId="125" xfId="30" applyNumberFormat="1" applyFont="1" applyBorder="1" applyAlignment="1">
      <alignment horizontal="right" vertical="center"/>
    </xf>
    <xf numFmtId="4" fontId="138" fillId="0" borderId="125" xfId="30" applyNumberFormat="1" applyFont="1" applyBorder="1" applyAlignment="1">
      <alignment horizontal="right" vertical="center"/>
    </xf>
    <xf numFmtId="0" fontId="327" fillId="36" borderId="125" xfId="30" applyFont="1" applyFill="1" applyBorder="1" applyAlignment="1">
      <alignment horizontal="left" vertical="center"/>
    </xf>
    <xf numFmtId="0" fontId="327" fillId="36" borderId="125" xfId="30" applyFont="1" applyFill="1" applyBorder="1" applyAlignment="1">
      <alignment horizontal="center" vertical="center"/>
    </xf>
    <xf numFmtId="0" fontId="310" fillId="37" borderId="0" xfId="30" applyFont="1" applyFill="1" applyAlignment="1">
      <alignment horizontal="center" vertical="center"/>
    </xf>
    <xf numFmtId="4" fontId="310" fillId="36" borderId="125" xfId="30" applyNumberFormat="1" applyFont="1" applyFill="1" applyBorder="1" applyAlignment="1">
      <alignment horizontal="right" vertical="center"/>
    </xf>
    <xf numFmtId="4" fontId="27" fillId="36" borderId="125" xfId="30" applyNumberFormat="1" applyFont="1" applyFill="1" applyBorder="1" applyAlignment="1">
      <alignment horizontal="right" vertical="center"/>
    </xf>
    <xf numFmtId="0" fontId="327" fillId="0" borderId="125" xfId="30" applyFont="1" applyBorder="1" applyAlignment="1">
      <alignment horizontal="center" vertical="center"/>
    </xf>
    <xf numFmtId="3" fontId="347" fillId="0" borderId="129" xfId="30" applyNumberFormat="1" applyFont="1" applyBorder="1" applyAlignment="1">
      <alignment horizontal="center" vertical="center"/>
    </xf>
    <xf numFmtId="0" fontId="327" fillId="0" borderId="129" xfId="30" applyFont="1" applyBorder="1" applyAlignment="1">
      <alignment horizontal="center" vertical="center"/>
    </xf>
    <xf numFmtId="0" fontId="310" fillId="0" borderId="129" xfId="30" applyFont="1" applyBorder="1" applyAlignment="1">
      <alignment horizontal="center" vertical="center"/>
    </xf>
    <xf numFmtId="4" fontId="310" fillId="0" borderId="129" xfId="30" applyNumberFormat="1" applyFont="1" applyBorder="1" applyAlignment="1">
      <alignment horizontal="right" vertical="center"/>
    </xf>
    <xf numFmtId="4" fontId="27" fillId="0" borderId="129" xfId="30" applyNumberFormat="1" applyFont="1" applyBorder="1" applyAlignment="1">
      <alignment horizontal="right" vertical="center"/>
    </xf>
    <xf numFmtId="3" fontId="347" fillId="0" borderId="0" xfId="30" quotePrefix="1" applyNumberFormat="1" applyFont="1" applyAlignment="1">
      <alignment horizontal="center" vertical="center"/>
    </xf>
    <xf numFmtId="0" fontId="319" fillId="0" borderId="0" xfId="30" applyFont="1" applyAlignment="1">
      <alignment horizontal="left" vertical="center"/>
    </xf>
    <xf numFmtId="15" fontId="350" fillId="0" borderId="0" xfId="30" quotePrefix="1" applyNumberFormat="1" applyFont="1"/>
    <xf numFmtId="4" fontId="204" fillId="36" borderId="122" xfId="30" applyNumberFormat="1" applyFont="1" applyFill="1" applyBorder="1" applyAlignment="1">
      <alignment horizontal="right" vertical="center"/>
    </xf>
    <xf numFmtId="171" fontId="297" fillId="0" borderId="0" xfId="30" applyNumberFormat="1"/>
    <xf numFmtId="0" fontId="234" fillId="35" borderId="135" xfId="20" applyFont="1" applyFill="1" applyBorder="1" applyAlignment="1">
      <alignment horizontal="center" vertical="center"/>
    </xf>
    <xf numFmtId="0" fontId="234" fillId="35" borderId="133" xfId="20" applyFont="1" applyFill="1" applyBorder="1" applyAlignment="1">
      <alignment horizontal="center" vertical="center"/>
    </xf>
    <xf numFmtId="0" fontId="234" fillId="35" borderId="134" xfId="20" applyFont="1" applyFill="1" applyBorder="1" applyAlignment="1">
      <alignment horizontal="center" vertical="center"/>
    </xf>
    <xf numFmtId="0" fontId="222" fillId="36" borderId="125" xfId="20" applyFont="1" applyFill="1" applyBorder="1" applyAlignment="1">
      <alignment horizontal="left" vertical="center" wrapText="1"/>
    </xf>
    <xf numFmtId="0" fontId="95" fillId="37" borderId="0" xfId="20" applyFont="1" applyFill="1" applyAlignment="1">
      <alignment horizontal="center" vertical="center" wrapText="1"/>
    </xf>
    <xf numFmtId="4" fontId="20" fillId="36" borderId="122" xfId="20" applyNumberFormat="1" applyFont="1" applyFill="1" applyBorder="1" applyAlignment="1">
      <alignment horizontal="right" vertical="center"/>
    </xf>
    <xf numFmtId="4" fontId="351" fillId="36" borderId="122" xfId="20" applyNumberFormat="1" applyFont="1" applyFill="1" applyBorder="1" applyAlignment="1">
      <alignment horizontal="right" vertical="center"/>
    </xf>
    <xf numFmtId="0" fontId="222" fillId="36" borderId="122" xfId="20" applyFont="1" applyFill="1" applyBorder="1" applyAlignment="1">
      <alignment horizontal="right" vertical="center"/>
    </xf>
    <xf numFmtId="0" fontId="95" fillId="36" borderId="0" xfId="20" applyFont="1" applyFill="1" applyAlignment="1">
      <alignment horizontal="right" vertical="center"/>
    </xf>
    <xf numFmtId="0" fontId="222" fillId="46" borderId="125" xfId="20" applyFont="1" applyFill="1" applyBorder="1" applyAlignment="1">
      <alignment horizontal="left" vertical="center"/>
    </xf>
    <xf numFmtId="0" fontId="222" fillId="46" borderId="137" xfId="20" applyFont="1" applyFill="1" applyBorder="1" applyAlignment="1">
      <alignment horizontal="center" vertical="center"/>
    </xf>
    <xf numFmtId="0" fontId="95" fillId="47" borderId="0" xfId="20" applyFont="1" applyFill="1" applyAlignment="1">
      <alignment horizontal="center" vertical="center" wrapText="1"/>
    </xf>
    <xf numFmtId="0" fontId="238" fillId="46" borderId="125" xfId="20" applyFont="1" applyFill="1" applyBorder="1" applyAlignment="1">
      <alignment horizontal="right" vertical="center"/>
    </xf>
    <xf numFmtId="0" fontId="222" fillId="46" borderId="125" xfId="20" applyFont="1" applyFill="1" applyBorder="1" applyAlignment="1">
      <alignment horizontal="right" vertical="center"/>
    </xf>
    <xf numFmtId="0" fontId="352" fillId="46" borderId="125" xfId="20" applyFont="1" applyFill="1" applyBorder="1" applyAlignment="1">
      <alignment horizontal="right" vertical="center"/>
    </xf>
    <xf numFmtId="4" fontId="284" fillId="46" borderId="125" xfId="20" applyNumberFormat="1" applyFont="1" applyFill="1" applyBorder="1" applyAlignment="1">
      <alignment horizontal="right" vertical="center"/>
    </xf>
    <xf numFmtId="0" fontId="284" fillId="46" borderId="125" xfId="20" applyFont="1" applyFill="1" applyBorder="1" applyAlignment="1">
      <alignment horizontal="right" vertical="center"/>
    </xf>
    <xf numFmtId="0" fontId="95" fillId="46" borderId="125" xfId="20" applyFont="1" applyFill="1" applyBorder="1" applyAlignment="1">
      <alignment horizontal="right" vertical="center"/>
    </xf>
    <xf numFmtId="0" fontId="95" fillId="46" borderId="0" xfId="20" applyFont="1" applyFill="1" applyAlignment="1">
      <alignment horizontal="right" vertical="center"/>
    </xf>
    <xf numFmtId="0" fontId="223" fillId="0" borderId="0" xfId="20" applyFont="1" applyAlignment="1">
      <alignment horizontal="center" vertical="center"/>
    </xf>
    <xf numFmtId="0" fontId="223" fillId="0" borderId="125" xfId="20" applyFont="1" applyBorder="1" applyAlignment="1">
      <alignment horizontal="right" vertical="center"/>
    </xf>
    <xf numFmtId="4" fontId="20" fillId="0" borderId="125" xfId="20" applyNumberFormat="1" applyFont="1" applyBorder="1" applyAlignment="1">
      <alignment horizontal="right" vertical="center"/>
    </xf>
    <xf numFmtId="4" fontId="351" fillId="0" borderId="125" xfId="20" applyNumberFormat="1" applyFont="1" applyBorder="1" applyAlignment="1">
      <alignment horizontal="right" vertical="center"/>
    </xf>
    <xf numFmtId="0" fontId="222" fillId="0" borderId="125" xfId="20" applyFont="1" applyBorder="1" applyAlignment="1">
      <alignment horizontal="right" vertical="center"/>
    </xf>
    <xf numFmtId="0" fontId="223" fillId="0" borderId="0" xfId="20" applyFont="1" applyAlignment="1">
      <alignment horizontal="right" vertical="center"/>
    </xf>
    <xf numFmtId="0" fontId="222" fillId="75" borderId="125" xfId="20" applyFont="1" applyFill="1" applyBorder="1" applyAlignment="1">
      <alignment horizontal="left" vertical="center"/>
    </xf>
    <xf numFmtId="0" fontId="98" fillId="75" borderId="0" xfId="20" applyFont="1" applyFill="1" applyAlignment="1">
      <alignment vertical="center" wrapText="1"/>
    </xf>
    <xf numFmtId="0" fontId="222" fillId="75" borderId="125" xfId="20" applyFont="1" applyFill="1" applyBorder="1" applyAlignment="1">
      <alignment horizontal="center" vertical="center"/>
    </xf>
    <xf numFmtId="0" fontId="98" fillId="75" borderId="275" xfId="20" applyFont="1" applyFill="1" applyBorder="1" applyAlignment="1">
      <alignment vertical="center" wrapText="1"/>
    </xf>
    <xf numFmtId="0" fontId="223" fillId="75" borderId="0" xfId="20" applyFont="1" applyFill="1" applyAlignment="1">
      <alignment horizontal="center" vertical="center"/>
    </xf>
    <xf numFmtId="0" fontId="223" fillId="75" borderId="125" xfId="20" applyFont="1" applyFill="1" applyBorder="1" applyAlignment="1">
      <alignment horizontal="right" vertical="center"/>
    </xf>
    <xf numFmtId="0" fontId="222" fillId="75" borderId="125" xfId="20" applyFont="1" applyFill="1" applyBorder="1" applyAlignment="1">
      <alignment horizontal="right" vertical="center"/>
    </xf>
    <xf numFmtId="0" fontId="284" fillId="75" borderId="125" xfId="20" applyFont="1" applyFill="1" applyBorder="1" applyAlignment="1">
      <alignment horizontal="right" vertical="center"/>
    </xf>
    <xf numFmtId="0" fontId="223" fillId="75" borderId="0" xfId="20" applyFont="1" applyFill="1" applyAlignment="1">
      <alignment horizontal="right" vertical="center"/>
    </xf>
    <xf numFmtId="0" fontId="223" fillId="37" borderId="0" xfId="20" applyFont="1" applyFill="1" applyAlignment="1">
      <alignment horizontal="center" vertical="center"/>
    </xf>
    <xf numFmtId="0" fontId="223" fillId="36" borderId="125" xfId="20" applyFont="1" applyFill="1" applyBorder="1" applyAlignment="1">
      <alignment horizontal="right" vertical="center"/>
    </xf>
    <xf numFmtId="0" fontId="222" fillId="36" borderId="125" xfId="20" applyFont="1" applyFill="1" applyBorder="1" applyAlignment="1">
      <alignment horizontal="right" vertical="center"/>
    </xf>
    <xf numFmtId="0" fontId="20" fillId="36" borderId="125" xfId="20" applyFont="1" applyFill="1" applyBorder="1" applyAlignment="1">
      <alignment horizontal="right" vertical="center"/>
    </xf>
    <xf numFmtId="0" fontId="223" fillId="36" borderId="0" xfId="20" applyFont="1" applyFill="1" applyAlignment="1">
      <alignment horizontal="right" vertical="center"/>
    </xf>
    <xf numFmtId="0" fontId="235" fillId="0" borderId="129" xfId="20" applyFont="1" applyBorder="1" applyAlignment="1">
      <alignment horizontal="center" vertical="center"/>
    </xf>
    <xf numFmtId="0" fontId="222" fillId="0" borderId="129" xfId="20" applyFont="1" applyBorder="1" applyAlignment="1">
      <alignment horizontal="left" vertical="center"/>
    </xf>
    <xf numFmtId="0" fontId="222" fillId="0" borderId="129" xfId="20" applyFont="1" applyBorder="1" applyAlignment="1">
      <alignment horizontal="center" vertical="center"/>
    </xf>
    <xf numFmtId="0" fontId="223" fillId="0" borderId="129" xfId="20" applyFont="1" applyBorder="1" applyAlignment="1">
      <alignment horizontal="center" vertical="center"/>
    </xf>
    <xf numFmtId="0" fontId="223" fillId="0" borderId="129" xfId="20" applyFont="1" applyBorder="1" applyAlignment="1">
      <alignment horizontal="right" vertical="center"/>
    </xf>
    <xf numFmtId="0" fontId="222" fillId="0" borderId="129" xfId="20" applyFont="1" applyBorder="1" applyAlignment="1">
      <alignment horizontal="right" vertical="center"/>
    </xf>
    <xf numFmtId="0" fontId="223" fillId="0" borderId="118" xfId="20" applyFont="1" applyBorder="1" applyAlignment="1">
      <alignment horizontal="right" vertical="center"/>
    </xf>
    <xf numFmtId="0" fontId="223" fillId="0" borderId="0" xfId="20" applyFont="1"/>
    <xf numFmtId="0" fontId="235" fillId="0" borderId="0" xfId="20" applyFont="1" applyAlignment="1">
      <alignment horizontal="center" vertical="center"/>
    </xf>
    <xf numFmtId="0" fontId="95" fillId="0" borderId="0" xfId="20" applyFont="1" applyAlignment="1">
      <alignment horizontal="left" vertical="center"/>
    </xf>
    <xf numFmtId="0" fontId="354" fillId="0" borderId="0" xfId="20" applyFont="1"/>
    <xf numFmtId="0" fontId="355" fillId="0" borderId="0" xfId="20" applyFont="1"/>
    <xf numFmtId="0" fontId="90" fillId="0" borderId="0" xfId="12" applyBorder="1"/>
    <xf numFmtId="0" fontId="108" fillId="0" borderId="138" xfId="30" applyFont="1" applyBorder="1" applyAlignment="1">
      <alignment horizontal="center" vertical="center"/>
    </xf>
    <xf numFmtId="0" fontId="110" fillId="0" borderId="122" xfId="30" applyFont="1" applyBorder="1" applyAlignment="1">
      <alignment horizontal="center"/>
    </xf>
    <xf numFmtId="0" fontId="110" fillId="0" borderId="141" xfId="30" applyFont="1" applyBorder="1" applyAlignment="1">
      <alignment horizontal="center"/>
    </xf>
    <xf numFmtId="0" fontId="153" fillId="0" borderId="138" xfId="30" applyFont="1" applyBorder="1" applyAlignment="1">
      <alignment horizontal="center"/>
    </xf>
    <xf numFmtId="0" fontId="124" fillId="0" borderId="138" xfId="30" applyFont="1" applyBorder="1" applyAlignment="1">
      <alignment horizontal="center" vertical="center" wrapText="1"/>
    </xf>
    <xf numFmtId="0" fontId="113" fillId="0" borderId="138" xfId="30" applyFont="1" applyBorder="1" applyAlignment="1">
      <alignment horizontal="center" vertical="center" wrapText="1"/>
    </xf>
    <xf numFmtId="170" fontId="15" fillId="29" borderId="0" xfId="30" applyNumberFormat="1" applyFont="1" applyFill="1" applyAlignment="1">
      <alignment horizontal="center" vertical="center"/>
    </xf>
    <xf numFmtId="170" fontId="15" fillId="29" borderId="151" xfId="30" applyNumberFormat="1" applyFont="1" applyFill="1" applyBorder="1" applyAlignment="1">
      <alignment horizontal="center" vertical="center"/>
    </xf>
    <xf numFmtId="3" fontId="113" fillId="0" borderId="138" xfId="30" applyNumberFormat="1" applyFont="1" applyBorder="1" applyAlignment="1">
      <alignment horizontal="center" vertical="center"/>
    </xf>
    <xf numFmtId="170" fontId="16" fillId="29" borderId="125" xfId="30" applyNumberFormat="1" applyFont="1" applyFill="1" applyBorder="1" applyAlignment="1">
      <alignment horizontal="center" vertical="center"/>
    </xf>
    <xf numFmtId="3" fontId="16" fillId="0" borderId="138" xfId="30" applyNumberFormat="1" applyFont="1" applyBorder="1" applyAlignment="1">
      <alignment horizontal="center" vertical="center"/>
    </xf>
    <xf numFmtId="170" fontId="15" fillId="0" borderId="129" xfId="30" applyNumberFormat="1" applyFont="1" applyBorder="1" applyAlignment="1">
      <alignment horizontal="center" vertical="center"/>
    </xf>
    <xf numFmtId="0" fontId="105" fillId="0" borderId="125" xfId="30" applyFont="1" applyBorder="1" applyAlignment="1">
      <alignment horizontal="left"/>
    </xf>
    <xf numFmtId="3" fontId="113" fillId="0" borderId="125" xfId="30" applyNumberFormat="1" applyFont="1" applyBorder="1" applyAlignment="1">
      <alignment horizontal="center"/>
    </xf>
    <xf numFmtId="3" fontId="113" fillId="0" borderId="138" xfId="30" applyNumberFormat="1" applyFont="1" applyBorder="1" applyAlignment="1">
      <alignment horizontal="center"/>
    </xf>
    <xf numFmtId="3" fontId="113" fillId="0" borderId="138" xfId="30" applyNumberFormat="1" applyFont="1" applyBorder="1" applyAlignment="1">
      <alignment horizontal="center" vertical="center" wrapText="1"/>
    </xf>
    <xf numFmtId="3" fontId="15" fillId="0" borderId="0" xfId="30" applyNumberFormat="1" applyFont="1" applyAlignment="1">
      <alignment horizontal="center" vertical="center" wrapText="1"/>
    </xf>
    <xf numFmtId="2" fontId="123" fillId="30" borderId="125" xfId="30" applyNumberFormat="1" applyFont="1" applyFill="1" applyBorder="1" applyAlignment="1">
      <alignment horizontal="center" vertical="center"/>
    </xf>
    <xf numFmtId="3" fontId="155" fillId="0" borderId="138" xfId="30" applyNumberFormat="1" applyFont="1" applyBorder="1" applyAlignment="1">
      <alignment horizontal="center" vertical="center"/>
    </xf>
    <xf numFmtId="2" fontId="129" fillId="0" borderId="0" xfId="30" applyNumberFormat="1" applyFont="1" applyAlignment="1">
      <alignment horizontal="center" vertical="center"/>
    </xf>
    <xf numFmtId="171" fontId="126" fillId="30" borderId="118" xfId="30" applyNumberFormat="1" applyFont="1" applyFill="1" applyBorder="1" applyAlignment="1">
      <alignment horizontal="center" vertical="center"/>
    </xf>
    <xf numFmtId="0" fontId="120" fillId="0" borderId="0" xfId="30" applyFont="1" applyAlignment="1">
      <alignment horizontal="center"/>
    </xf>
    <xf numFmtId="0" fontId="120" fillId="0" borderId="125" xfId="30" applyFont="1" applyBorder="1" applyAlignment="1">
      <alignment horizontal="center"/>
    </xf>
    <xf numFmtId="4" fontId="123" fillId="32" borderId="125" xfId="30" applyNumberFormat="1" applyFont="1" applyFill="1" applyBorder="1" applyAlignment="1">
      <alignment horizontal="center" vertical="center"/>
    </xf>
    <xf numFmtId="171" fontId="126" fillId="32" borderId="118" xfId="30" applyNumberFormat="1" applyFont="1" applyFill="1" applyBorder="1" applyAlignment="1">
      <alignment horizontal="center" vertical="center"/>
    </xf>
    <xf numFmtId="171" fontId="126" fillId="32" borderId="139" xfId="30" applyNumberFormat="1" applyFont="1" applyFill="1" applyBorder="1" applyAlignment="1">
      <alignment horizontal="center" vertical="center"/>
    </xf>
    <xf numFmtId="169" fontId="124" fillId="0" borderId="122" xfId="30" applyNumberFormat="1" applyFont="1" applyBorder="1" applyAlignment="1">
      <alignment horizontal="center" vertical="center"/>
    </xf>
    <xf numFmtId="0" fontId="15" fillId="0" borderId="118" xfId="30" applyFont="1" applyBorder="1" applyAlignment="1">
      <alignment horizontal="center" vertical="center"/>
    </xf>
    <xf numFmtId="0" fontId="104" fillId="34" borderId="0" xfId="31" applyFont="1" applyFill="1"/>
    <xf numFmtId="0" fontId="135" fillId="0" borderId="0" xfId="31" applyFont="1"/>
    <xf numFmtId="0" fontId="297" fillId="0" borderId="0" xfId="31"/>
    <xf numFmtId="0" fontId="136" fillId="0" borderId="118" xfId="31" applyFont="1" applyBorder="1"/>
    <xf numFmtId="0" fontId="104" fillId="0" borderId="118" xfId="31" applyFont="1" applyBorder="1"/>
    <xf numFmtId="174" fontId="15" fillId="0" borderId="0" xfId="31" applyNumberFormat="1" applyFont="1"/>
    <xf numFmtId="0" fontId="139" fillId="0" borderId="0" xfId="31" applyFont="1"/>
    <xf numFmtId="174" fontId="15" fillId="4" borderId="0" xfId="31" applyNumberFormat="1" applyFont="1" applyFill="1" applyAlignment="1">
      <alignment vertical="center"/>
    </xf>
    <xf numFmtId="0" fontId="297" fillId="4" borderId="0" xfId="31" applyFill="1"/>
    <xf numFmtId="3" fontId="142" fillId="35" borderId="119" xfId="31" quotePrefix="1" applyNumberFormat="1" applyFont="1" applyFill="1" applyBorder="1" applyAlignment="1">
      <alignment horizontal="center"/>
    </xf>
    <xf numFmtId="0" fontId="105" fillId="35" borderId="133" xfId="31" applyFont="1" applyFill="1" applyBorder="1" applyAlignment="1">
      <alignment horizontal="center"/>
    </xf>
    <xf numFmtId="0" fontId="105" fillId="35" borderId="119" xfId="31" applyFont="1" applyFill="1" applyBorder="1" applyAlignment="1">
      <alignment horizontal="center"/>
    </xf>
    <xf numFmtId="0" fontId="105" fillId="28" borderId="134" xfId="31" applyFont="1" applyFill="1" applyBorder="1" applyAlignment="1">
      <alignment horizontal="center"/>
    </xf>
    <xf numFmtId="0" fontId="105" fillId="35" borderId="135" xfId="31" applyFont="1" applyFill="1" applyBorder="1" applyAlignment="1">
      <alignment horizontal="center" vertical="center"/>
    </xf>
    <xf numFmtId="0" fontId="234" fillId="35" borderId="135" xfId="31" applyFont="1" applyFill="1" applyBorder="1" applyAlignment="1">
      <alignment horizontal="center" vertical="center"/>
    </xf>
    <xf numFmtId="0" fontId="234" fillId="35" borderId="133" xfId="31" applyFont="1" applyFill="1" applyBorder="1" applyAlignment="1">
      <alignment horizontal="center" vertical="center"/>
    </xf>
    <xf numFmtId="0" fontId="105" fillId="35" borderId="133" xfId="31" applyFont="1" applyFill="1" applyBorder="1" applyAlignment="1">
      <alignment horizontal="center" vertical="center"/>
    </xf>
    <xf numFmtId="0" fontId="105" fillId="35" borderId="134" xfId="31" applyFont="1" applyFill="1" applyBorder="1" applyAlignment="1">
      <alignment horizontal="center" vertical="center"/>
    </xf>
    <xf numFmtId="3" fontId="143" fillId="0" borderId="125" xfId="31" applyNumberFormat="1" applyFont="1" applyBorder="1" applyAlignment="1">
      <alignment horizontal="center" vertical="center"/>
    </xf>
    <xf numFmtId="0" fontId="222" fillId="36" borderId="122" xfId="31" applyFont="1" applyFill="1" applyBorder="1" applyAlignment="1">
      <alignment horizontal="left" vertical="center"/>
    </xf>
    <xf numFmtId="0" fontId="222" fillId="36" borderId="125" xfId="31" applyFont="1" applyFill="1" applyBorder="1" applyAlignment="1">
      <alignment horizontal="left" vertical="center"/>
    </xf>
    <xf numFmtId="0" fontId="222" fillId="36" borderId="125" xfId="31" applyFont="1" applyFill="1" applyBorder="1" applyAlignment="1">
      <alignment horizontal="center" vertical="center"/>
    </xf>
    <xf numFmtId="0" fontId="95" fillId="37" borderId="0" xfId="31" applyFont="1" applyFill="1" applyAlignment="1">
      <alignment horizontal="center" vertical="center" wrapText="1"/>
    </xf>
    <xf numFmtId="4" fontId="204" fillId="36" borderId="122" xfId="31" applyNumberFormat="1" applyFont="1" applyFill="1" applyBorder="1" applyAlignment="1">
      <alignment horizontal="right" vertical="center"/>
    </xf>
    <xf numFmtId="4" fontId="210" fillId="36" borderId="122" xfId="31" applyNumberFormat="1" applyFont="1" applyFill="1" applyBorder="1" applyAlignment="1">
      <alignment horizontal="right" vertical="center"/>
    </xf>
    <xf numFmtId="0" fontId="296" fillId="36" borderId="122" xfId="31" applyFont="1" applyFill="1" applyBorder="1" applyAlignment="1">
      <alignment horizontal="right" vertical="center"/>
    </xf>
    <xf numFmtId="0" fontId="296" fillId="36" borderId="0" xfId="31" applyFont="1" applyFill="1" applyAlignment="1">
      <alignment horizontal="right" vertical="center"/>
    </xf>
    <xf numFmtId="4" fontId="15" fillId="36" borderId="0" xfId="31" applyNumberFormat="1" applyFont="1" applyFill="1" applyAlignment="1">
      <alignment horizontal="right" vertical="center"/>
    </xf>
    <xf numFmtId="4" fontId="15" fillId="36" borderId="122" xfId="31" applyNumberFormat="1" applyFont="1" applyFill="1" applyBorder="1" applyAlignment="1">
      <alignment horizontal="right" vertical="center"/>
    </xf>
    <xf numFmtId="0" fontId="222" fillId="0" borderId="125" xfId="31" applyFont="1" applyBorder="1" applyAlignment="1">
      <alignment horizontal="left" vertical="center"/>
    </xf>
    <xf numFmtId="0" fontId="222" fillId="0" borderId="125" xfId="31" applyFont="1" applyBorder="1" applyAlignment="1">
      <alignment horizontal="center" vertical="center"/>
    </xf>
    <xf numFmtId="0" fontId="95" fillId="0" borderId="0" xfId="31" applyFont="1" applyAlignment="1">
      <alignment horizontal="center" vertical="center"/>
    </xf>
    <xf numFmtId="4" fontId="204" fillId="0" borderId="125" xfId="31" applyNumberFormat="1" applyFont="1" applyBorder="1" applyAlignment="1">
      <alignment horizontal="right" vertical="center"/>
    </xf>
    <xf numFmtId="4" fontId="210" fillId="0" borderId="125" xfId="31" applyNumberFormat="1" applyFont="1" applyBorder="1" applyAlignment="1">
      <alignment horizontal="right" vertical="center"/>
    </xf>
    <xf numFmtId="4" fontId="296" fillId="0" borderId="125" xfId="31" applyNumberFormat="1" applyFont="1" applyBorder="1" applyAlignment="1">
      <alignment horizontal="right" vertical="center"/>
    </xf>
    <xf numFmtId="4" fontId="296" fillId="0" borderId="0" xfId="31" applyNumberFormat="1" applyFont="1" applyAlignment="1">
      <alignment horizontal="right" vertical="center"/>
    </xf>
    <xf numFmtId="0" fontId="296" fillId="0" borderId="125" xfId="31" applyFont="1" applyBorder="1" applyAlignment="1">
      <alignment horizontal="right" vertical="center"/>
    </xf>
    <xf numFmtId="4" fontId="104" fillId="0" borderId="0" xfId="31" applyNumberFormat="1" applyFont="1" applyAlignment="1">
      <alignment horizontal="right" vertical="center"/>
    </xf>
    <xf numFmtId="4" fontId="104" fillId="0" borderId="125" xfId="31" applyNumberFormat="1" applyFont="1" applyBorder="1" applyAlignment="1">
      <alignment horizontal="right" vertical="center"/>
    </xf>
    <xf numFmtId="0" fontId="95" fillId="37" borderId="0" xfId="31" applyFont="1" applyFill="1" applyAlignment="1">
      <alignment horizontal="center" vertical="center"/>
    </xf>
    <xf numFmtId="4" fontId="27" fillId="36" borderId="125" xfId="31" applyNumberFormat="1" applyFont="1" applyFill="1" applyBorder="1" applyAlignment="1">
      <alignment horizontal="right" vertical="center"/>
    </xf>
    <xf numFmtId="4" fontId="213" fillId="36" borderId="125" xfId="31" applyNumberFormat="1" applyFont="1" applyFill="1" applyBorder="1" applyAlignment="1">
      <alignment horizontal="right" vertical="center"/>
    </xf>
    <xf numFmtId="4" fontId="296" fillId="36" borderId="125" xfId="31" applyNumberFormat="1" applyFont="1" applyFill="1" applyBorder="1" applyAlignment="1">
      <alignment horizontal="right" vertical="center"/>
    </xf>
    <xf numFmtId="4" fontId="296" fillId="36" borderId="0" xfId="31" applyNumberFormat="1" applyFont="1" applyFill="1" applyAlignment="1">
      <alignment horizontal="right" vertical="center"/>
    </xf>
    <xf numFmtId="0" fontId="296" fillId="36" borderId="125" xfId="31" applyFont="1" applyFill="1" applyBorder="1" applyAlignment="1">
      <alignment horizontal="right" vertical="center"/>
    </xf>
    <xf numFmtId="4" fontId="104" fillId="36" borderId="0" xfId="31" applyNumberFormat="1" applyFont="1" applyFill="1" applyAlignment="1">
      <alignment horizontal="right" vertical="center"/>
    </xf>
    <xf numFmtId="4" fontId="104" fillId="36" borderId="125" xfId="31" applyNumberFormat="1" applyFont="1" applyFill="1" applyBorder="1" applyAlignment="1">
      <alignment horizontal="right" vertical="center"/>
    </xf>
    <xf numFmtId="9" fontId="27" fillId="0" borderId="125" xfId="32" applyFont="1" applyBorder="1" applyAlignment="1">
      <alignment horizontal="right" vertical="center"/>
    </xf>
    <xf numFmtId="9" fontId="213" fillId="0" borderId="125" xfId="32" applyFont="1" applyBorder="1" applyAlignment="1">
      <alignment horizontal="right" vertical="center"/>
    </xf>
    <xf numFmtId="9" fontId="296" fillId="0" borderId="125" xfId="32" applyFont="1" applyBorder="1" applyAlignment="1">
      <alignment horizontal="right" vertical="center"/>
    </xf>
    <xf numFmtId="9" fontId="296" fillId="0" borderId="0" xfId="32" applyFont="1" applyBorder="1" applyAlignment="1">
      <alignment horizontal="right" vertical="center"/>
    </xf>
    <xf numFmtId="4" fontId="204" fillId="36" borderId="125" xfId="31" applyNumberFormat="1" applyFont="1" applyFill="1" applyBorder="1" applyAlignment="1">
      <alignment horizontal="right" vertical="center"/>
    </xf>
    <xf numFmtId="4" fontId="210" fillId="36" borderId="125" xfId="31" applyNumberFormat="1" applyFont="1" applyFill="1" applyBorder="1" applyAlignment="1">
      <alignment horizontal="right" vertical="center"/>
    </xf>
    <xf numFmtId="3" fontId="143" fillId="0" borderId="160" xfId="31" applyNumberFormat="1" applyFont="1" applyBorder="1" applyAlignment="1">
      <alignment horizontal="center" vertical="center"/>
    </xf>
    <xf numFmtId="0" fontId="222" fillId="0" borderId="129" xfId="31" applyFont="1" applyBorder="1" applyAlignment="1">
      <alignment horizontal="left" vertical="center"/>
    </xf>
    <xf numFmtId="0" fontId="222" fillId="0" borderId="129" xfId="31" applyFont="1" applyBorder="1" applyAlignment="1">
      <alignment horizontal="center" vertical="center"/>
    </xf>
    <xf numFmtId="0" fontId="95" fillId="0" borderId="129" xfId="31" applyFont="1" applyBorder="1" applyAlignment="1">
      <alignment horizontal="center" vertical="center"/>
    </xf>
    <xf numFmtId="4" fontId="104" fillId="0" borderId="160" xfId="31" applyNumberFormat="1" applyFont="1" applyBorder="1" applyAlignment="1">
      <alignment horizontal="right" vertical="center"/>
    </xf>
    <xf numFmtId="0" fontId="296" fillId="0" borderId="129" xfId="31" applyFont="1" applyBorder="1" applyAlignment="1">
      <alignment horizontal="right" vertical="center"/>
    </xf>
    <xf numFmtId="0" fontId="296" fillId="0" borderId="118" xfId="31" applyFont="1" applyBorder="1" applyAlignment="1">
      <alignment horizontal="right" vertical="center"/>
    </xf>
    <xf numFmtId="3" fontId="143" fillId="0" borderId="0" xfId="31" quotePrefix="1" applyNumberFormat="1" applyFont="1" applyAlignment="1">
      <alignment horizontal="center" vertical="center"/>
    </xf>
    <xf numFmtId="0" fontId="15" fillId="0" borderId="0" xfId="31" applyFont="1" applyAlignment="1">
      <alignment horizontal="left" vertical="center"/>
    </xf>
    <xf numFmtId="0" fontId="354" fillId="0" borderId="0" xfId="31" applyFont="1"/>
    <xf numFmtId="0" fontId="223" fillId="0" borderId="0" xfId="31" applyFont="1" applyAlignment="1">
      <alignment vertical="center"/>
    </xf>
    <xf numFmtId="0" fontId="223" fillId="0" borderId="0" xfId="31" applyFont="1" applyAlignment="1">
      <alignment horizontal="left" vertical="center"/>
    </xf>
    <xf numFmtId="0" fontId="239" fillId="0" borderId="0" xfId="31" applyFont="1"/>
    <xf numFmtId="0" fontId="223" fillId="0" borderId="0" xfId="31" applyFont="1"/>
    <xf numFmtId="0" fontId="222" fillId="0" borderId="0" xfId="31" applyFont="1"/>
    <xf numFmtId="171" fontId="104" fillId="0" borderId="0" xfId="30" applyNumberFormat="1" applyFont="1" applyAlignment="1">
      <alignment vertical="center"/>
    </xf>
    <xf numFmtId="0" fontId="103" fillId="0" borderId="0" xfId="3" applyFont="1"/>
    <xf numFmtId="0" fontId="107" fillId="0" borderId="135" xfId="3" applyFont="1" applyBorder="1" applyAlignment="1">
      <alignment horizontal="center" vertical="center"/>
    </xf>
    <xf numFmtId="0" fontId="26" fillId="0" borderId="209" xfId="3" applyBorder="1"/>
    <xf numFmtId="0" fontId="110" fillId="0" borderId="125" xfId="3" applyFont="1" applyBorder="1" applyAlignment="1">
      <alignment horizontal="center"/>
    </xf>
    <xf numFmtId="0" fontId="110" fillId="0" borderId="0" xfId="3" applyFont="1" applyAlignment="1">
      <alignment horizontal="center"/>
    </xf>
    <xf numFmtId="0" fontId="110" fillId="0" borderId="138" xfId="3" applyFont="1" applyBorder="1" applyAlignment="1">
      <alignment horizontal="center"/>
    </xf>
    <xf numFmtId="169" fontId="112" fillId="0" borderId="126" xfId="3" applyNumberFormat="1" applyFont="1" applyBorder="1" applyAlignment="1">
      <alignment horizontal="center" vertical="center" wrapText="1"/>
    </xf>
    <xf numFmtId="0" fontId="26" fillId="0" borderId="127" xfId="3" applyBorder="1"/>
    <xf numFmtId="169" fontId="116" fillId="0" borderId="131" xfId="3" applyNumberFormat="1" applyFont="1" applyBorder="1" applyAlignment="1">
      <alignment horizontal="center" vertical="center" wrapText="1"/>
    </xf>
    <xf numFmtId="169" fontId="116" fillId="0" borderId="152" xfId="3" applyNumberFormat="1" applyFont="1" applyBorder="1" applyAlignment="1">
      <alignment horizontal="center" vertical="center" wrapText="1"/>
    </xf>
    <xf numFmtId="170" fontId="15" fillId="29" borderId="137" xfId="3" applyNumberFormat="1" applyFont="1" applyFill="1" applyBorder="1" applyAlignment="1">
      <alignment horizontal="center" vertical="center"/>
    </xf>
    <xf numFmtId="170" fontId="15" fillId="29" borderId="156" xfId="3" applyNumberFormat="1" applyFont="1" applyFill="1" applyBorder="1" applyAlignment="1">
      <alignment horizontal="center" vertical="center"/>
    </xf>
    <xf numFmtId="170" fontId="15" fillId="29" borderId="145" xfId="3" applyNumberFormat="1" applyFont="1" applyFill="1" applyBorder="1" applyAlignment="1">
      <alignment horizontal="center" vertical="center"/>
    </xf>
    <xf numFmtId="170" fontId="15" fillId="29" borderId="197" xfId="3" applyNumberFormat="1" applyFont="1" applyFill="1" applyBorder="1" applyAlignment="1">
      <alignment horizontal="center" vertical="center"/>
    </xf>
    <xf numFmtId="170" fontId="15" fillId="0" borderId="126" xfId="3" applyNumberFormat="1" applyFont="1" applyBorder="1" applyAlignment="1">
      <alignment horizontal="center" vertical="center"/>
    </xf>
    <xf numFmtId="170" fontId="16" fillId="29" borderId="137" xfId="3" applyNumberFormat="1" applyFont="1" applyFill="1" applyBorder="1" applyAlignment="1">
      <alignment horizontal="center" vertical="center"/>
    </xf>
    <xf numFmtId="170" fontId="16" fillId="29" borderId="157" xfId="3" applyNumberFormat="1" applyFont="1" applyFill="1" applyBorder="1" applyAlignment="1">
      <alignment horizontal="center" vertical="center"/>
    </xf>
    <xf numFmtId="170" fontId="16" fillId="29" borderId="138" xfId="3" applyNumberFormat="1" applyFont="1" applyFill="1" applyBorder="1" applyAlignment="1">
      <alignment horizontal="center" vertical="center"/>
    </xf>
    <xf numFmtId="170" fontId="15" fillId="0" borderId="155" xfId="3" applyNumberFormat="1" applyFont="1" applyBorder="1" applyAlignment="1">
      <alignment horizontal="center" vertical="center"/>
    </xf>
    <xf numFmtId="170" fontId="15" fillId="0" borderId="189" xfId="3" applyNumberFormat="1" applyFont="1" applyBorder="1" applyAlignment="1">
      <alignment horizontal="center" vertical="center"/>
    </xf>
    <xf numFmtId="170" fontId="15" fillId="0" borderId="139" xfId="3" applyNumberFormat="1" applyFont="1" applyBorder="1" applyAlignment="1">
      <alignment horizontal="center" vertical="center"/>
    </xf>
    <xf numFmtId="170" fontId="15" fillId="0" borderId="194" xfId="3" applyNumberFormat="1" applyFont="1" applyBorder="1" applyAlignment="1">
      <alignment horizontal="center" vertical="center"/>
    </xf>
    <xf numFmtId="3" fontId="113" fillId="0" borderId="137" xfId="3" applyNumberFormat="1" applyFont="1" applyBorder="1" applyAlignment="1">
      <alignment horizontal="center"/>
    </xf>
    <xf numFmtId="3" fontId="113" fillId="0" borderId="142" xfId="3" applyNumberFormat="1" applyFont="1" applyBorder="1" applyAlignment="1">
      <alignment horizontal="center"/>
    </xf>
    <xf numFmtId="3" fontId="113" fillId="0" borderId="197" xfId="3" applyNumberFormat="1" applyFont="1" applyBorder="1" applyAlignment="1">
      <alignment horizontal="center"/>
    </xf>
    <xf numFmtId="169" fontId="120" fillId="0" borderId="126" xfId="3" applyNumberFormat="1" applyFont="1" applyBorder="1" applyAlignment="1">
      <alignment horizontal="center" vertical="center" wrapText="1"/>
    </xf>
    <xf numFmtId="4" fontId="126" fillId="30" borderId="126" xfId="20" applyNumberFormat="1" applyFont="1" applyFill="1" applyBorder="1" applyAlignment="1">
      <alignment horizontal="left" vertical="center"/>
    </xf>
    <xf numFmtId="4" fontId="123" fillId="30" borderId="145" xfId="3" applyNumberFormat="1" applyFont="1" applyFill="1" applyBorder="1" applyAlignment="1">
      <alignment horizontal="center" vertical="center"/>
    </xf>
    <xf numFmtId="170" fontId="126" fillId="30" borderId="129" xfId="3" applyNumberFormat="1" applyFont="1" applyFill="1" applyBorder="1" applyAlignment="1">
      <alignment horizontal="center" vertical="center"/>
    </xf>
    <xf numFmtId="170" fontId="126" fillId="30" borderId="155" xfId="3" applyNumberFormat="1" applyFont="1" applyFill="1" applyBorder="1" applyAlignment="1">
      <alignment horizontal="center" vertical="center"/>
    </xf>
    <xf numFmtId="170" fontId="126" fillId="30" borderId="152" xfId="3" applyNumberFormat="1" applyFont="1" applyFill="1" applyBorder="1" applyAlignment="1">
      <alignment horizontal="center" vertical="center"/>
    </xf>
    <xf numFmtId="0" fontId="120" fillId="0" borderId="137" xfId="3" applyFont="1" applyBorder="1" applyAlignment="1">
      <alignment horizontal="center"/>
    </xf>
    <xf numFmtId="0" fontId="120" fillId="0" borderId="142" xfId="3" applyFont="1" applyBorder="1" applyAlignment="1">
      <alignment horizontal="center"/>
    </xf>
    <xf numFmtId="0" fontId="120" fillId="0" borderId="138" xfId="3" applyFont="1" applyBorder="1" applyAlignment="1">
      <alignment horizontal="center"/>
    </xf>
    <xf numFmtId="0" fontId="120" fillId="0" borderId="197" xfId="3" applyFont="1" applyBorder="1" applyAlignment="1">
      <alignment horizontal="center"/>
    </xf>
    <xf numFmtId="4" fontId="126" fillId="32" borderId="126" xfId="20" applyNumberFormat="1" applyFont="1" applyFill="1" applyBorder="1" applyAlignment="1">
      <alignment horizontal="left" vertical="center"/>
    </xf>
    <xf numFmtId="4" fontId="123" fillId="32" borderId="137" xfId="3" applyNumberFormat="1" applyFont="1" applyFill="1" applyBorder="1" applyAlignment="1">
      <alignment horizontal="center" vertical="center"/>
    </xf>
    <xf numFmtId="170" fontId="126" fillId="32" borderId="155" xfId="3" applyNumberFormat="1" applyFont="1" applyFill="1" applyBorder="1" applyAlignment="1">
      <alignment horizontal="center" vertical="center"/>
    </xf>
    <xf numFmtId="170" fontId="126" fillId="32" borderId="131" xfId="3" applyNumberFormat="1" applyFont="1" applyFill="1" applyBorder="1" applyAlignment="1">
      <alignment horizontal="center" vertical="center"/>
    </xf>
    <xf numFmtId="170" fontId="126" fillId="32" borderId="152" xfId="3" applyNumberFormat="1" applyFont="1" applyFill="1" applyBorder="1" applyAlignment="1">
      <alignment horizontal="center" vertical="center"/>
    </xf>
    <xf numFmtId="169" fontId="124" fillId="4" borderId="122" xfId="3" applyNumberFormat="1" applyFont="1" applyFill="1" applyBorder="1" applyAlignment="1">
      <alignment horizontal="center" vertical="center" wrapText="1"/>
    </xf>
    <xf numFmtId="169" fontId="124" fillId="4" borderId="156" xfId="3" applyNumberFormat="1" applyFont="1" applyFill="1" applyBorder="1" applyAlignment="1">
      <alignment horizontal="center" vertical="center" wrapText="1"/>
    </xf>
    <xf numFmtId="169" fontId="124" fillId="4" borderId="123" xfId="3" applyNumberFormat="1" applyFont="1" applyFill="1" applyBorder="1" applyAlignment="1">
      <alignment horizontal="center" vertical="center" wrapText="1"/>
    </xf>
    <xf numFmtId="169" fontId="124" fillId="4" borderId="141" xfId="3" applyNumberFormat="1" applyFont="1" applyFill="1" applyBorder="1" applyAlignment="1">
      <alignment horizontal="center" vertical="center" wrapText="1"/>
    </xf>
    <xf numFmtId="169" fontId="124" fillId="4" borderId="151" xfId="3" applyNumberFormat="1" applyFont="1" applyFill="1" applyBorder="1" applyAlignment="1">
      <alignment horizontal="center" vertical="center" wrapText="1"/>
    </xf>
    <xf numFmtId="172" fontId="128" fillId="0" borderId="0" xfId="3" applyNumberFormat="1" applyFont="1" applyAlignment="1">
      <alignment horizontal="center" vertical="center"/>
    </xf>
    <xf numFmtId="2" fontId="128" fillId="0" borderId="0" xfId="3" applyNumberFormat="1" applyFont="1" applyAlignment="1">
      <alignment horizontal="center" vertical="center"/>
    </xf>
    <xf numFmtId="0" fontId="27" fillId="0" borderId="277" xfId="20" applyFont="1" applyBorder="1" applyAlignment="1">
      <alignment vertical="center"/>
    </xf>
    <xf numFmtId="166" fontId="104" fillId="12" borderId="277" xfId="20" applyNumberFormat="1" applyFont="1" applyFill="1" applyBorder="1" applyAlignment="1">
      <alignment vertical="center"/>
    </xf>
    <xf numFmtId="0" fontId="136" fillId="0" borderId="0" xfId="3" applyFont="1"/>
    <xf numFmtId="0" fontId="27" fillId="76" borderId="125" xfId="20" applyFont="1" applyFill="1" applyBorder="1" applyAlignment="1">
      <alignment horizontal="left" vertical="center"/>
    </xf>
    <xf numFmtId="3" fontId="142" fillId="35" borderId="122" xfId="3" quotePrefix="1" applyNumberFormat="1" applyFont="1" applyFill="1" applyBorder="1" applyAlignment="1">
      <alignment horizontal="center"/>
    </xf>
    <xf numFmtId="0" fontId="105" fillId="35" borderId="141" xfId="3" applyFont="1" applyFill="1" applyBorder="1" applyAlignment="1">
      <alignment horizontal="center"/>
    </xf>
    <xf numFmtId="0" fontId="105" fillId="35" borderId="122" xfId="3" applyFont="1" applyFill="1" applyBorder="1" applyAlignment="1">
      <alignment horizontal="center"/>
    </xf>
    <xf numFmtId="0" fontId="105" fillId="28" borderId="156" xfId="3" applyFont="1" applyFill="1" applyBorder="1" applyAlignment="1">
      <alignment horizontal="center"/>
    </xf>
    <xf numFmtId="0" fontId="105" fillId="35" borderId="140" xfId="3" applyFont="1" applyFill="1" applyBorder="1" applyAlignment="1">
      <alignment horizontal="center" vertical="center"/>
    </xf>
    <xf numFmtId="3" fontId="143" fillId="0" borderId="11" xfId="3" applyNumberFormat="1" applyFont="1" applyBorder="1" applyAlignment="1">
      <alignment horizontal="center" vertical="center"/>
    </xf>
    <xf numFmtId="0" fontId="27" fillId="76" borderId="88" xfId="3" applyFont="1" applyFill="1" applyBorder="1" applyAlignment="1">
      <alignment horizontal="left" vertical="center"/>
    </xf>
    <xf numFmtId="4" fontId="141" fillId="36" borderId="141" xfId="3" applyNumberFormat="1" applyFont="1" applyFill="1" applyBorder="1" applyAlignment="1">
      <alignment horizontal="right" vertical="center"/>
    </xf>
    <xf numFmtId="4" fontId="27" fillId="76" borderId="122" xfId="3" applyNumberFormat="1" applyFont="1" applyFill="1" applyBorder="1" applyAlignment="1">
      <alignment horizontal="right" vertical="center"/>
    </xf>
    <xf numFmtId="4" fontId="15" fillId="76" borderId="122" xfId="3" applyNumberFormat="1" applyFont="1" applyFill="1" applyBorder="1" applyAlignment="1">
      <alignment horizontal="right" vertical="center"/>
    </xf>
    <xf numFmtId="4" fontId="15" fillId="76" borderId="0" xfId="3" applyNumberFormat="1" applyFont="1" applyFill="1" applyAlignment="1">
      <alignment horizontal="right" vertical="center"/>
    </xf>
    <xf numFmtId="3" fontId="143" fillId="0" borderId="7" xfId="3" applyNumberFormat="1" applyFont="1" applyBorder="1" applyAlignment="1">
      <alignment horizontal="center" vertical="center"/>
    </xf>
    <xf numFmtId="0" fontId="27" fillId="36" borderId="0" xfId="3" applyFont="1" applyFill="1" applyAlignment="1">
      <alignment horizontal="left" vertical="center"/>
    </xf>
    <xf numFmtId="0" fontId="27" fillId="0" borderId="0" xfId="3" applyFont="1" applyAlignment="1">
      <alignment horizontal="left" vertical="center"/>
    </xf>
    <xf numFmtId="0" fontId="243" fillId="36" borderId="0" xfId="3" applyFont="1" applyFill="1" applyAlignment="1">
      <alignment horizontal="left" vertical="center"/>
    </xf>
    <xf numFmtId="4" fontId="104" fillId="76" borderId="125" xfId="3" applyNumberFormat="1" applyFont="1" applyFill="1" applyBorder="1" applyAlignment="1">
      <alignment horizontal="right" vertical="center"/>
    </xf>
    <xf numFmtId="0" fontId="27" fillId="76" borderId="0" xfId="3" applyFont="1" applyFill="1" applyAlignment="1">
      <alignment horizontal="left" vertical="center"/>
    </xf>
    <xf numFmtId="4" fontId="104" fillId="76" borderId="0" xfId="3" applyNumberFormat="1" applyFont="1" applyFill="1" applyAlignment="1">
      <alignment horizontal="right" vertical="center"/>
    </xf>
    <xf numFmtId="3" fontId="143" fillId="78" borderId="7" xfId="3" applyNumberFormat="1" applyFont="1" applyFill="1" applyBorder="1" applyAlignment="1">
      <alignment horizontal="center" vertical="center"/>
    </xf>
    <xf numFmtId="4" fontId="27" fillId="79" borderId="125" xfId="3" applyNumberFormat="1" applyFont="1" applyFill="1" applyBorder="1" applyAlignment="1">
      <alignment horizontal="right" vertical="center"/>
    </xf>
    <xf numFmtId="4" fontId="104" fillId="79" borderId="125" xfId="3" applyNumberFormat="1" applyFont="1" applyFill="1" applyBorder="1" applyAlignment="1">
      <alignment horizontal="right" vertical="center"/>
    </xf>
    <xf numFmtId="4" fontId="104" fillId="79" borderId="0" xfId="3" applyNumberFormat="1" applyFont="1" applyFill="1" applyAlignment="1">
      <alignment horizontal="right" vertical="center"/>
    </xf>
    <xf numFmtId="0" fontId="26" fillId="78" borderId="0" xfId="3" applyFill="1"/>
    <xf numFmtId="0" fontId="27" fillId="78" borderId="0" xfId="3" applyFont="1" applyFill="1" applyAlignment="1">
      <alignment horizontal="left" vertical="center"/>
    </xf>
    <xf numFmtId="4" fontId="104" fillId="78" borderId="0" xfId="3" applyNumberFormat="1" applyFont="1" applyFill="1" applyAlignment="1">
      <alignment horizontal="right" vertical="center"/>
    </xf>
    <xf numFmtId="4" fontId="27" fillId="78" borderId="125" xfId="3" applyNumberFormat="1" applyFont="1" applyFill="1" applyBorder="1" applyAlignment="1">
      <alignment horizontal="right" vertical="center"/>
    </xf>
    <xf numFmtId="4" fontId="104" fillId="78" borderId="125" xfId="3" applyNumberFormat="1" applyFont="1" applyFill="1" applyBorder="1" applyAlignment="1">
      <alignment horizontal="right" vertical="center"/>
    </xf>
    <xf numFmtId="9" fontId="27" fillId="36" borderId="129" xfId="3" applyNumberFormat="1" applyFont="1" applyFill="1" applyBorder="1" applyAlignment="1">
      <alignment horizontal="right" vertical="center"/>
    </xf>
    <xf numFmtId="10" fontId="27" fillId="36" borderId="129" xfId="3" applyNumberFormat="1" applyFont="1" applyFill="1" applyBorder="1" applyAlignment="1">
      <alignment horizontal="right" vertical="center"/>
    </xf>
    <xf numFmtId="10" fontId="27" fillId="36" borderId="118" xfId="3" applyNumberFormat="1" applyFont="1" applyFill="1" applyBorder="1" applyAlignment="1">
      <alignment horizontal="right" vertical="center"/>
    </xf>
    <xf numFmtId="4" fontId="104" fillId="36" borderId="129" xfId="3" applyNumberFormat="1" applyFont="1" applyFill="1" applyBorder="1" applyAlignment="1">
      <alignment horizontal="right" vertical="center"/>
    </xf>
    <xf numFmtId="9" fontId="27" fillId="36" borderId="0" xfId="3" applyNumberFormat="1" applyFont="1" applyFill="1" applyAlignment="1">
      <alignment horizontal="right" vertical="center"/>
    </xf>
    <xf numFmtId="9" fontId="27" fillId="79" borderId="0" xfId="3" applyNumberFormat="1" applyFont="1" applyFill="1" applyAlignment="1">
      <alignment horizontal="right" vertical="center"/>
    </xf>
    <xf numFmtId="10" fontId="27" fillId="79" borderId="0" xfId="3" applyNumberFormat="1" applyFont="1" applyFill="1" applyAlignment="1">
      <alignment horizontal="right" vertical="center"/>
    </xf>
    <xf numFmtId="4" fontId="208" fillId="79" borderId="0" xfId="3" applyNumberFormat="1" applyFont="1" applyFill="1" applyAlignment="1">
      <alignment horizontal="right" vertical="center"/>
    </xf>
    <xf numFmtId="4" fontId="362" fillId="79" borderId="0" xfId="3" applyNumberFormat="1" applyFont="1" applyFill="1" applyAlignment="1">
      <alignment horizontal="right" vertical="center"/>
    </xf>
    <xf numFmtId="4" fontId="243" fillId="0" borderId="137" xfId="3" applyNumberFormat="1" applyFont="1" applyBorder="1" applyAlignment="1">
      <alignment horizontal="right" vertical="center"/>
    </xf>
    <xf numFmtId="4" fontId="243" fillId="36" borderId="137" xfId="3" applyNumberFormat="1" applyFont="1" applyFill="1" applyBorder="1" applyAlignment="1">
      <alignment horizontal="right" vertical="center"/>
    </xf>
    <xf numFmtId="4" fontId="243" fillId="36" borderId="125" xfId="3" applyNumberFormat="1" applyFont="1" applyFill="1" applyBorder="1" applyAlignment="1">
      <alignment horizontal="right" vertical="center"/>
    </xf>
    <xf numFmtId="0" fontId="27" fillId="36" borderId="0" xfId="20" applyFont="1" applyFill="1" applyAlignment="1">
      <alignment horizontal="left" vertical="center"/>
    </xf>
    <xf numFmtId="4" fontId="15" fillId="36" borderId="88" xfId="20" applyNumberFormat="1" applyFont="1" applyFill="1" applyBorder="1" applyAlignment="1">
      <alignment horizontal="right" vertical="center"/>
    </xf>
    <xf numFmtId="0" fontId="27" fillId="36" borderId="96" xfId="3" applyFont="1" applyFill="1" applyBorder="1" applyAlignment="1">
      <alignment horizontal="left" vertical="center"/>
    </xf>
    <xf numFmtId="3" fontId="143" fillId="0" borderId="0" xfId="3" quotePrefix="1" applyNumberFormat="1" applyFont="1" applyAlignment="1">
      <alignment horizontal="left" vertical="center"/>
    </xf>
    <xf numFmtId="2" fontId="7" fillId="0" borderId="0" xfId="3" applyNumberFormat="1" applyFont="1" applyAlignment="1">
      <alignment horizontal="center"/>
    </xf>
    <xf numFmtId="15" fontId="143" fillId="0" borderId="0" xfId="3" quotePrefix="1" applyNumberFormat="1" applyFont="1"/>
    <xf numFmtId="9" fontId="7" fillId="0" borderId="0" xfId="3" applyNumberFormat="1" applyFont="1" applyAlignment="1">
      <alignment horizontal="left"/>
    </xf>
    <xf numFmtId="0" fontId="93" fillId="0" borderId="0" xfId="3" applyFont="1"/>
    <xf numFmtId="2" fontId="26" fillId="0" borderId="0" xfId="3" applyNumberFormat="1"/>
    <xf numFmtId="165" fontId="26" fillId="0" borderId="0" xfId="3" applyNumberFormat="1"/>
    <xf numFmtId="0" fontId="93" fillId="0" borderId="0" xfId="3" applyFont="1" applyAlignment="1">
      <alignment horizontal="left" vertical="center"/>
    </xf>
    <xf numFmtId="0" fontId="93" fillId="0" borderId="0" xfId="3" applyFont="1" applyAlignment="1">
      <alignment vertical="center"/>
    </xf>
    <xf numFmtId="2" fontId="26" fillId="0" borderId="0" xfId="3" applyNumberFormat="1" applyAlignment="1">
      <alignment horizontal="left"/>
    </xf>
    <xf numFmtId="0" fontId="235" fillId="0" borderId="0" xfId="3" applyFont="1"/>
    <xf numFmtId="166" fontId="26" fillId="0" borderId="0" xfId="3" applyNumberFormat="1"/>
    <xf numFmtId="3" fontId="364" fillId="0" borderId="7" xfId="3" applyNumberFormat="1" applyFont="1" applyBorder="1" applyAlignment="1">
      <alignment horizontal="center" vertical="center"/>
    </xf>
    <xf numFmtId="4" fontId="362" fillId="36" borderId="0" xfId="3" applyNumberFormat="1" applyFont="1" applyFill="1" applyAlignment="1">
      <alignment horizontal="right" vertical="center"/>
    </xf>
    <xf numFmtId="166" fontId="242" fillId="36" borderId="278" xfId="3" applyNumberFormat="1" applyFont="1" applyFill="1" applyBorder="1" applyAlignment="1">
      <alignment horizontal="right" vertical="center"/>
    </xf>
    <xf numFmtId="4" fontId="362" fillId="36" borderId="125" xfId="3" applyNumberFormat="1" applyFont="1" applyFill="1" applyBorder="1" applyAlignment="1">
      <alignment horizontal="right" vertical="center"/>
    </xf>
    <xf numFmtId="4" fontId="362" fillId="76" borderId="125" xfId="3" applyNumberFormat="1" applyFont="1" applyFill="1" applyBorder="1" applyAlignment="1">
      <alignment horizontal="right" vertical="center"/>
    </xf>
    <xf numFmtId="0" fontId="365" fillId="0" borderId="0" xfId="3" applyFont="1"/>
    <xf numFmtId="3" fontId="358" fillId="0" borderId="7" xfId="3" applyNumberFormat="1" applyFont="1" applyBorder="1" applyAlignment="1">
      <alignment horizontal="center" vertical="center"/>
    </xf>
    <xf numFmtId="3" fontId="361" fillId="0" borderId="7" xfId="3" applyNumberFormat="1" applyFont="1" applyBorder="1" applyAlignment="1">
      <alignment horizontal="center" vertical="center"/>
    </xf>
    <xf numFmtId="3" fontId="143" fillId="0" borderId="13" xfId="3" applyNumberFormat="1" applyFont="1" applyBorder="1" applyAlignment="1">
      <alignment horizontal="center" vertical="center"/>
    </xf>
    <xf numFmtId="4" fontId="208" fillId="0" borderId="0" xfId="3" applyNumberFormat="1" applyFont="1" applyAlignment="1">
      <alignment horizontal="right" vertical="center"/>
    </xf>
    <xf numFmtId="0" fontId="243" fillId="0" borderId="0" xfId="3" applyFont="1" applyAlignment="1">
      <alignment horizontal="left" vertical="center"/>
    </xf>
    <xf numFmtId="4" fontId="362" fillId="0" borderId="0" xfId="3" applyNumberFormat="1" applyFont="1" applyAlignment="1">
      <alignment horizontal="right" vertical="center"/>
    </xf>
    <xf numFmtId="0" fontId="126" fillId="30" borderId="160" xfId="20" applyFont="1" applyFill="1" applyBorder="1" applyAlignment="1">
      <alignment horizontal="center" vertical="center"/>
    </xf>
    <xf numFmtId="0" fontId="15" fillId="0" borderId="279" xfId="20" applyFont="1" applyBorder="1" applyAlignment="1">
      <alignment horizontal="center" vertical="center"/>
    </xf>
    <xf numFmtId="0" fontId="366" fillId="36" borderId="125" xfId="20" applyFont="1" applyFill="1" applyBorder="1" applyAlignment="1">
      <alignment horizontal="center" vertical="center"/>
    </xf>
    <xf numFmtId="4" fontId="47" fillId="36" borderId="122" xfId="20" applyNumberFormat="1" applyFont="1" applyFill="1" applyBorder="1" applyAlignment="1">
      <alignment horizontal="right" vertical="center"/>
    </xf>
    <xf numFmtId="4" fontId="47" fillId="0" borderId="125" xfId="20" applyNumberFormat="1" applyFont="1" applyBorder="1" applyAlignment="1">
      <alignment horizontal="right" vertical="center"/>
    </xf>
    <xf numFmtId="4" fontId="47" fillId="36" borderId="125" xfId="20" applyNumberFormat="1" applyFont="1" applyFill="1" applyBorder="1" applyAlignment="1">
      <alignment horizontal="right" vertical="center"/>
    </xf>
    <xf numFmtId="0" fontId="231" fillId="0" borderId="138" xfId="20" applyFont="1" applyBorder="1" applyAlignment="1">
      <alignment horizontal="center" vertical="center" wrapText="1"/>
    </xf>
    <xf numFmtId="0" fontId="231" fillId="0" borderId="152" xfId="20" applyFont="1" applyBorder="1" applyAlignment="1">
      <alignment horizontal="center" vertical="center" wrapText="1"/>
    </xf>
    <xf numFmtId="0" fontId="231" fillId="0" borderId="0" xfId="20" applyFont="1" applyAlignment="1">
      <alignment horizontal="center" vertical="center" wrapText="1"/>
    </xf>
    <xf numFmtId="0" fontId="231" fillId="0" borderId="22" xfId="20" applyFont="1" applyBorder="1" applyAlignment="1">
      <alignment horizontal="center" vertical="center" wrapText="1"/>
    </xf>
    <xf numFmtId="0" fontId="232" fillId="0" borderId="139" xfId="20" applyFont="1" applyBorder="1" applyAlignment="1">
      <alignment horizontal="center" vertical="center" wrapText="1"/>
    </xf>
    <xf numFmtId="0" fontId="232" fillId="0" borderId="194" xfId="20" applyFont="1" applyBorder="1" applyAlignment="1">
      <alignment horizontal="center" vertical="center" wrapText="1"/>
    </xf>
    <xf numFmtId="170" fontId="16" fillId="29" borderId="22" xfId="20" applyNumberFormat="1" applyFont="1" applyFill="1" applyBorder="1" applyAlignment="1">
      <alignment horizontal="center" vertical="center"/>
    </xf>
    <xf numFmtId="170" fontId="16" fillId="29" borderId="152" xfId="20" applyNumberFormat="1" applyFont="1" applyFill="1" applyBorder="1" applyAlignment="1">
      <alignment horizontal="center" vertical="center"/>
    </xf>
    <xf numFmtId="3" fontId="113" fillId="0" borderId="151" xfId="20" applyNumberFormat="1" applyFont="1" applyBorder="1" applyAlignment="1">
      <alignment horizontal="center"/>
    </xf>
    <xf numFmtId="3" fontId="113" fillId="0" borderId="175" xfId="20" applyNumberFormat="1" applyFont="1" applyBorder="1" applyAlignment="1">
      <alignment horizontal="center"/>
    </xf>
    <xf numFmtId="3" fontId="113" fillId="0" borderId="152" xfId="20" applyNumberFormat="1" applyFont="1" applyBorder="1" applyAlignment="1">
      <alignment horizontal="center"/>
    </xf>
    <xf numFmtId="171" fontId="126" fillId="30" borderId="189" xfId="20" applyNumberFormat="1" applyFont="1" applyFill="1" applyBorder="1" applyAlignment="1">
      <alignment horizontal="center" vertical="center"/>
    </xf>
    <xf numFmtId="171" fontId="126" fillId="30" borderId="154" xfId="20" applyNumberFormat="1" applyFont="1" applyFill="1" applyBorder="1" applyAlignment="1">
      <alignment horizontal="center" vertical="center"/>
    </xf>
    <xf numFmtId="171" fontId="126" fillId="30" borderId="190" xfId="20" applyNumberFormat="1" applyFont="1" applyFill="1" applyBorder="1" applyAlignment="1">
      <alignment horizontal="center" vertical="center"/>
    </xf>
    <xf numFmtId="3" fontId="120" fillId="0" borderId="145" xfId="20" applyNumberFormat="1" applyFont="1" applyBorder="1" applyAlignment="1">
      <alignment horizontal="center"/>
    </xf>
    <xf numFmtId="171" fontId="126" fillId="30" borderId="155" xfId="20" applyNumberFormat="1" applyFont="1" applyFill="1" applyBorder="1" applyAlignment="1">
      <alignment horizontal="center" vertical="center"/>
    </xf>
    <xf numFmtId="0" fontId="120" fillId="0" borderId="142" xfId="20" applyFont="1" applyBorder="1" applyAlignment="1">
      <alignment horizontal="center"/>
    </xf>
    <xf numFmtId="0" fontId="120" fillId="0" borderId="175" xfId="20" applyFont="1" applyBorder="1" applyAlignment="1">
      <alignment horizontal="center"/>
    </xf>
    <xf numFmtId="0" fontId="120" fillId="0" borderId="151" xfId="20" applyFont="1" applyBorder="1" applyAlignment="1">
      <alignment horizontal="center"/>
    </xf>
    <xf numFmtId="4" fontId="123" fillId="32" borderId="157" xfId="20" applyNumberFormat="1" applyFont="1" applyFill="1" applyBorder="1" applyAlignment="1">
      <alignment horizontal="center" vertical="center"/>
    </xf>
    <xf numFmtId="4" fontId="123" fillId="32" borderId="22" xfId="20" applyNumberFormat="1" applyFont="1" applyFill="1" applyBorder="1" applyAlignment="1">
      <alignment horizontal="center" vertical="center"/>
    </xf>
    <xf numFmtId="4" fontId="123" fillId="32" borderId="152" xfId="20" applyNumberFormat="1" applyFont="1" applyFill="1" applyBorder="1" applyAlignment="1">
      <alignment horizontal="center" vertical="center"/>
    </xf>
    <xf numFmtId="0" fontId="15" fillId="30" borderId="157" xfId="20" applyFont="1" applyFill="1" applyBorder="1" applyAlignment="1">
      <alignment horizontal="center" vertical="center"/>
    </xf>
    <xf numFmtId="0" fontId="15" fillId="0" borderId="154" xfId="20" applyFont="1" applyBorder="1" applyAlignment="1">
      <alignment horizontal="center" vertical="center"/>
    </xf>
    <xf numFmtId="0" fontId="15" fillId="0" borderId="189" xfId="20" applyFont="1" applyBorder="1" applyAlignment="1">
      <alignment horizontal="center" vertical="center"/>
    </xf>
    <xf numFmtId="180" fontId="26" fillId="0" borderId="0" xfId="20" applyNumberFormat="1"/>
    <xf numFmtId="0" fontId="222" fillId="36" borderId="0" xfId="20" applyFont="1" applyFill="1" applyAlignment="1">
      <alignment horizontal="center" vertical="center"/>
    </xf>
    <xf numFmtId="4" fontId="367" fillId="36" borderId="122" xfId="20" applyNumberFormat="1" applyFont="1" applyFill="1" applyBorder="1" applyAlignment="1">
      <alignment horizontal="right" vertical="center"/>
    </xf>
    <xf numFmtId="4" fontId="368" fillId="36" borderId="122" xfId="20" applyNumberFormat="1" applyFont="1" applyFill="1" applyBorder="1" applyAlignment="1">
      <alignment horizontal="right" vertical="center"/>
    </xf>
    <xf numFmtId="4" fontId="369" fillId="36" borderId="0" xfId="20" applyNumberFormat="1" applyFont="1" applyFill="1" applyAlignment="1">
      <alignment horizontal="center" vertical="center" wrapText="1"/>
    </xf>
    <xf numFmtId="4" fontId="369" fillId="36" borderId="122" xfId="20" applyNumberFormat="1" applyFont="1" applyFill="1" applyBorder="1" applyAlignment="1">
      <alignment horizontal="right" vertical="center"/>
    </xf>
    <xf numFmtId="4" fontId="370" fillId="36" borderId="122" xfId="20" applyNumberFormat="1" applyFont="1" applyFill="1" applyBorder="1" applyAlignment="1">
      <alignment horizontal="right" vertical="center"/>
    </xf>
    <xf numFmtId="4" fontId="367" fillId="36" borderId="125" xfId="20" applyNumberFormat="1" applyFont="1" applyFill="1" applyBorder="1" applyAlignment="1">
      <alignment horizontal="right" vertical="center"/>
    </xf>
    <xf numFmtId="4" fontId="368" fillId="36" borderId="125" xfId="20" applyNumberFormat="1" applyFont="1" applyFill="1" applyBorder="1" applyAlignment="1">
      <alignment horizontal="right" vertical="center"/>
    </xf>
    <xf numFmtId="4" fontId="369" fillId="36" borderId="125" xfId="20" applyNumberFormat="1" applyFont="1" applyFill="1" applyBorder="1" applyAlignment="1">
      <alignment horizontal="right" vertical="center"/>
    </xf>
    <xf numFmtId="4" fontId="370" fillId="36" borderId="125" xfId="20" applyNumberFormat="1" applyFont="1" applyFill="1" applyBorder="1" applyAlignment="1">
      <alignment horizontal="right" vertical="center"/>
    </xf>
    <xf numFmtId="0" fontId="222" fillId="0" borderId="160" xfId="20" applyFont="1" applyBorder="1" applyAlignment="1">
      <alignment horizontal="center" vertical="center"/>
    </xf>
    <xf numFmtId="0" fontId="27" fillId="0" borderId="160" xfId="20" applyFont="1" applyBorder="1" applyAlignment="1">
      <alignment horizontal="left" vertical="center" wrapText="1"/>
    </xf>
    <xf numFmtId="0" fontId="15" fillId="0" borderId="280" xfId="20" applyFont="1" applyBorder="1" applyAlignment="1">
      <alignment horizontal="center" vertical="center"/>
    </xf>
    <xf numFmtId="4" fontId="367" fillId="0" borderId="125" xfId="20" applyNumberFormat="1" applyFont="1" applyBorder="1" applyAlignment="1">
      <alignment horizontal="right" vertical="center"/>
    </xf>
    <xf numFmtId="4" fontId="368" fillId="0" borderId="125" xfId="20" applyNumberFormat="1" applyFont="1" applyBorder="1" applyAlignment="1">
      <alignment horizontal="right" vertical="center"/>
    </xf>
    <xf numFmtId="4" fontId="371" fillId="0" borderId="0" xfId="20" applyNumberFormat="1" applyFont="1" applyAlignment="1">
      <alignment horizontal="center" vertical="center"/>
    </xf>
    <xf numFmtId="4" fontId="371" fillId="0" borderId="125" xfId="20" applyNumberFormat="1" applyFont="1" applyBorder="1" applyAlignment="1">
      <alignment horizontal="right" vertical="center"/>
    </xf>
    <xf numFmtId="0" fontId="372" fillId="36" borderId="125" xfId="20" applyFont="1" applyFill="1" applyBorder="1" applyAlignment="1">
      <alignment horizontal="right" vertical="center"/>
    </xf>
    <xf numFmtId="4" fontId="369" fillId="36" borderId="0" xfId="20" applyNumberFormat="1" applyFont="1" applyFill="1" applyAlignment="1">
      <alignment horizontal="center" vertical="center"/>
    </xf>
    <xf numFmtId="43" fontId="372" fillId="0" borderId="125" xfId="9" applyFont="1" applyBorder="1" applyAlignment="1">
      <alignment horizontal="right" vertical="center"/>
    </xf>
    <xf numFmtId="3" fontId="368" fillId="0" borderId="125" xfId="20" applyNumberFormat="1" applyFont="1" applyBorder="1" applyAlignment="1">
      <alignment horizontal="right" vertical="center"/>
    </xf>
    <xf numFmtId="0" fontId="104" fillId="0" borderId="171" xfId="20" applyFont="1" applyBorder="1" applyAlignment="1">
      <alignment horizontal="left" vertical="center"/>
    </xf>
    <xf numFmtId="0" fontId="104" fillId="0" borderId="171" xfId="20" applyFont="1" applyBorder="1" applyAlignment="1">
      <alignment horizontal="center" vertical="center"/>
    </xf>
    <xf numFmtId="4" fontId="104" fillId="0" borderId="171" xfId="20" applyNumberFormat="1" applyFont="1" applyBorder="1" applyAlignment="1">
      <alignment horizontal="right" vertical="center"/>
    </xf>
    <xf numFmtId="0" fontId="223" fillId="0" borderId="0" xfId="20" applyFont="1" applyAlignment="1">
      <alignment horizontal="left" vertical="center"/>
    </xf>
    <xf numFmtId="0" fontId="235" fillId="0" borderId="201" xfId="20" applyFont="1" applyBorder="1" applyAlignment="1">
      <alignment horizontal="center" vertical="center"/>
    </xf>
    <xf numFmtId="0" fontId="95" fillId="44" borderId="202" xfId="20" applyFont="1" applyFill="1" applyBorder="1" applyAlignment="1">
      <alignment horizontal="left" vertical="center"/>
    </xf>
    <xf numFmtId="0" fontId="238" fillId="44" borderId="202" xfId="20" applyFont="1" applyFill="1" applyBorder="1" applyAlignment="1">
      <alignment horizontal="left" vertical="center"/>
    </xf>
    <xf numFmtId="0" fontId="238" fillId="44" borderId="138" xfId="20" applyFont="1" applyFill="1" applyBorder="1" applyAlignment="1">
      <alignment horizontal="center" vertical="center"/>
    </xf>
    <xf numFmtId="0" fontId="95" fillId="44" borderId="201" xfId="20" applyFont="1" applyFill="1" applyBorder="1"/>
    <xf numFmtId="0" fontId="222" fillId="81" borderId="202" xfId="20" applyFont="1" applyFill="1" applyBorder="1" applyAlignment="1">
      <alignment horizontal="center" wrapText="1"/>
    </xf>
    <xf numFmtId="4" fontId="141" fillId="44" borderId="122" xfId="20" applyNumberFormat="1" applyFont="1" applyFill="1" applyBorder="1" applyAlignment="1">
      <alignment horizontal="right" vertical="center"/>
    </xf>
    <xf numFmtId="4" fontId="158" fillId="44" borderId="122" xfId="20" applyNumberFormat="1" applyFont="1" applyFill="1" applyBorder="1" applyAlignment="1">
      <alignment horizontal="right" vertical="center"/>
    </xf>
    <xf numFmtId="0" fontId="296" fillId="44" borderId="122" xfId="20" applyFont="1" applyFill="1" applyBorder="1" applyAlignment="1">
      <alignment horizontal="right" vertical="center"/>
    </xf>
    <xf numFmtId="0" fontId="296" fillId="44" borderId="156" xfId="20" applyFont="1" applyFill="1" applyBorder="1" applyAlignment="1">
      <alignment horizontal="right" vertical="center"/>
    </xf>
    <xf numFmtId="0" fontId="371" fillId="44" borderId="122" xfId="20" applyFont="1" applyFill="1" applyBorder="1" applyAlignment="1">
      <alignment horizontal="right" vertical="center"/>
    </xf>
    <xf numFmtId="4" fontId="15" fillId="44" borderId="122" xfId="20" applyNumberFormat="1" applyFont="1" applyFill="1" applyBorder="1" applyAlignment="1">
      <alignment horizontal="right" vertical="center"/>
    </xf>
    <xf numFmtId="0" fontId="235" fillId="0" borderId="203" xfId="20" applyFont="1" applyBorder="1" applyAlignment="1">
      <alignment horizontal="center" vertical="center"/>
    </xf>
    <xf numFmtId="0" fontId="95" fillId="0" borderId="204" xfId="20" applyFont="1" applyBorder="1" applyAlignment="1">
      <alignment horizontal="left" vertical="center"/>
    </xf>
    <xf numFmtId="0" fontId="238" fillId="0" borderId="204" xfId="20" applyFont="1" applyBorder="1" applyAlignment="1">
      <alignment horizontal="left" vertical="center"/>
    </xf>
    <xf numFmtId="0" fontId="238" fillId="0" borderId="138" xfId="20" applyFont="1" applyBorder="1" applyAlignment="1">
      <alignment horizontal="center" vertical="center"/>
    </xf>
    <xf numFmtId="0" fontId="95" fillId="0" borderId="203" xfId="20" applyFont="1" applyBorder="1"/>
    <xf numFmtId="0" fontId="222" fillId="50" borderId="204" xfId="20" applyFont="1" applyFill="1" applyBorder="1" applyAlignment="1">
      <alignment horizontal="center" wrapText="1"/>
    </xf>
    <xf numFmtId="3" fontId="20" fillId="0" borderId="0" xfId="20" applyNumberFormat="1" applyFont="1"/>
    <xf numFmtId="0" fontId="282" fillId="0" borderId="125" xfId="20" applyFont="1" applyBorder="1" applyAlignment="1">
      <alignment horizontal="right" vertical="center"/>
    </xf>
    <xf numFmtId="0" fontId="295" fillId="0" borderId="125" xfId="20" applyFont="1" applyBorder="1" applyAlignment="1">
      <alignment horizontal="right" vertical="center"/>
    </xf>
    <xf numFmtId="4" fontId="295" fillId="0" borderId="137" xfId="20" applyNumberFormat="1" applyFont="1" applyBorder="1" applyAlignment="1">
      <alignment horizontal="right" vertical="center"/>
    </xf>
    <xf numFmtId="4" fontId="295" fillId="0" borderId="125" xfId="20" applyNumberFormat="1" applyFont="1" applyBorder="1" applyAlignment="1">
      <alignment horizontal="right" vertical="center"/>
    </xf>
    <xf numFmtId="0" fontId="371" fillId="0" borderId="125" xfId="20" applyFont="1" applyBorder="1" applyAlignment="1">
      <alignment horizontal="right" vertical="center"/>
    </xf>
    <xf numFmtId="0" fontId="95" fillId="36" borderId="204" xfId="20" applyFont="1" applyFill="1" applyBorder="1" applyAlignment="1">
      <alignment horizontal="left" vertical="center"/>
    </xf>
    <xf numFmtId="0" fontId="238" fillId="36" borderId="204" xfId="20" applyFont="1" applyFill="1" applyBorder="1" applyAlignment="1">
      <alignment horizontal="left" vertical="center"/>
    </xf>
    <xf numFmtId="0" fontId="238" fillId="36" borderId="138" xfId="20" applyFont="1" applyFill="1" applyBorder="1" applyAlignment="1">
      <alignment horizontal="center" vertical="center"/>
    </xf>
    <xf numFmtId="0" fontId="95" fillId="36" borderId="203" xfId="20" applyFont="1" applyFill="1" applyBorder="1"/>
    <xf numFmtId="0" fontId="222" fillId="49" borderId="204" xfId="20" applyFont="1" applyFill="1" applyBorder="1" applyAlignment="1">
      <alignment horizontal="center" wrapText="1"/>
    </xf>
    <xf numFmtId="0" fontId="373" fillId="36" borderId="125" xfId="20" applyFont="1" applyFill="1" applyBorder="1" applyAlignment="1">
      <alignment horizontal="right" vertical="center"/>
    </xf>
    <xf numFmtId="0" fontId="296" fillId="36" borderId="137" xfId="20" applyFont="1" applyFill="1" applyBorder="1" applyAlignment="1">
      <alignment horizontal="right" vertical="center"/>
    </xf>
    <xf numFmtId="0" fontId="296" fillId="36" borderId="125" xfId="20" applyFont="1" applyFill="1" applyBorder="1" applyAlignment="1">
      <alignment horizontal="right" vertical="center"/>
    </xf>
    <xf numFmtId="0" fontId="371" fillId="36" borderId="125" xfId="20" applyFont="1" applyFill="1" applyBorder="1" applyAlignment="1">
      <alignment horizontal="right" vertical="center"/>
    </xf>
    <xf numFmtId="4" fontId="204" fillId="0" borderId="125" xfId="20" applyNumberFormat="1" applyFont="1" applyBorder="1" applyAlignment="1">
      <alignment horizontal="right" vertical="center"/>
    </xf>
    <xf numFmtId="0" fontId="285" fillId="0" borderId="125" xfId="20" applyFont="1" applyBorder="1" applyAlignment="1">
      <alignment horizontal="right" vertical="center"/>
    </xf>
    <xf numFmtId="0" fontId="373" fillId="0" borderId="125" xfId="20" applyFont="1" applyBorder="1" applyAlignment="1">
      <alignment horizontal="right" vertical="center"/>
    </xf>
    <xf numFmtId="0" fontId="93" fillId="0" borderId="0" xfId="20" applyFont="1"/>
    <xf numFmtId="2" fontId="282" fillId="0" borderId="125" xfId="20" applyNumberFormat="1" applyFont="1" applyBorder="1" applyAlignment="1">
      <alignment horizontal="right" vertical="center"/>
    </xf>
    <xf numFmtId="0" fontId="282" fillId="53" borderId="125" xfId="20" applyFont="1" applyFill="1" applyBorder="1" applyAlignment="1">
      <alignment horizontal="right" vertical="center"/>
    </xf>
    <xf numFmtId="4" fontId="296" fillId="36" borderId="125" xfId="20" applyNumberFormat="1" applyFont="1" applyFill="1" applyBorder="1" applyAlignment="1">
      <alignment horizontal="right" vertical="center"/>
    </xf>
    <xf numFmtId="4" fontId="295" fillId="36" borderId="137" xfId="20" applyNumberFormat="1" applyFont="1" applyFill="1" applyBorder="1" applyAlignment="1">
      <alignment horizontal="right" vertical="center"/>
    </xf>
    <xf numFmtId="4" fontId="295" fillId="36" borderId="125" xfId="20" applyNumberFormat="1" applyFont="1" applyFill="1" applyBorder="1" applyAlignment="1">
      <alignment horizontal="right" vertical="center"/>
    </xf>
    <xf numFmtId="0" fontId="95" fillId="36" borderId="203" xfId="20" applyFont="1" applyFill="1" applyBorder="1" applyAlignment="1">
      <alignment vertical="center"/>
    </xf>
    <xf numFmtId="4" fontId="27" fillId="36" borderId="125" xfId="20" applyNumberFormat="1" applyFont="1" applyFill="1" applyBorder="1" applyAlignment="1">
      <alignment horizontal="right" vertical="center"/>
    </xf>
    <xf numFmtId="0" fontId="373" fillId="53" borderId="125" xfId="20" applyFont="1" applyFill="1" applyBorder="1" applyAlignment="1">
      <alignment horizontal="right" vertical="center"/>
    </xf>
    <xf numFmtId="0" fontId="295" fillId="36" borderId="137" xfId="20" applyFont="1" applyFill="1" applyBorder="1" applyAlignment="1">
      <alignment horizontal="right" vertical="center"/>
    </xf>
    <xf numFmtId="0" fontId="295" fillId="36" borderId="125" xfId="20" applyFont="1" applyFill="1" applyBorder="1" applyAlignment="1">
      <alignment horizontal="right" vertical="center"/>
    </xf>
    <xf numFmtId="0" fontId="295" fillId="0" borderId="137" xfId="20" applyFont="1" applyBorder="1" applyAlignment="1">
      <alignment horizontal="right" vertical="center"/>
    </xf>
    <xf numFmtId="0" fontId="282" fillId="0" borderId="129" xfId="20" applyFont="1" applyBorder="1" applyAlignment="1">
      <alignment horizontal="right" vertical="center"/>
    </xf>
    <xf numFmtId="0" fontId="296" fillId="36" borderId="122" xfId="20" applyFont="1" applyFill="1" applyBorder="1" applyAlignment="1">
      <alignment horizontal="right" vertical="center"/>
    </xf>
    <xf numFmtId="0" fontId="282" fillId="36" borderId="125" xfId="20" applyFont="1" applyFill="1" applyBorder="1" applyAlignment="1">
      <alignment horizontal="right" vertical="center"/>
    </xf>
    <xf numFmtId="0" fontId="295" fillId="53" borderId="125" xfId="20" applyFont="1" applyFill="1" applyBorder="1" applyAlignment="1">
      <alignment horizontal="right" vertical="center"/>
    </xf>
    <xf numFmtId="0" fontId="296" fillId="0" borderId="125" xfId="20" applyFont="1" applyBorder="1" applyAlignment="1">
      <alignment horizontal="right" vertical="center"/>
    </xf>
    <xf numFmtId="4" fontId="296" fillId="53" borderId="125" xfId="20" applyNumberFormat="1" applyFont="1" applyFill="1" applyBorder="1" applyAlignment="1">
      <alignment horizontal="right" vertical="center"/>
    </xf>
    <xf numFmtId="4" fontId="295" fillId="53" borderId="125" xfId="20" applyNumberFormat="1" applyFont="1" applyFill="1" applyBorder="1" applyAlignment="1">
      <alignment horizontal="right" vertical="center"/>
    </xf>
    <xf numFmtId="0" fontId="296" fillId="0" borderId="137" xfId="20" applyFont="1" applyBorder="1" applyAlignment="1">
      <alignment horizontal="right" vertical="center"/>
    </xf>
    <xf numFmtId="0" fontId="20" fillId="0" borderId="0" xfId="20" applyFont="1"/>
    <xf numFmtId="0" fontId="296" fillId="53" borderId="125" xfId="20" applyFont="1" applyFill="1" applyBorder="1" applyAlignment="1">
      <alignment horizontal="right" vertical="center"/>
    </xf>
    <xf numFmtId="0" fontId="95" fillId="0" borderId="204" xfId="20" applyFont="1" applyBorder="1"/>
    <xf numFmtId="0" fontId="95" fillId="36" borderId="125" xfId="20" applyFont="1" applyFill="1" applyBorder="1" applyAlignment="1">
      <alignment horizontal="left" vertical="center"/>
    </xf>
    <xf numFmtId="0" fontId="95" fillId="36" borderId="125" xfId="20" applyFont="1" applyFill="1" applyBorder="1" applyAlignment="1">
      <alignment horizontal="center" vertical="center"/>
    </xf>
    <xf numFmtId="0" fontId="95" fillId="0" borderId="125" xfId="20" applyFont="1" applyBorder="1" applyAlignment="1">
      <alignment horizontal="left" vertical="center"/>
    </xf>
    <xf numFmtId="0" fontId="95" fillId="0" borderId="125" xfId="20" applyFont="1" applyBorder="1" applyAlignment="1">
      <alignment horizontal="center" vertical="center"/>
    </xf>
    <xf numFmtId="0" fontId="223" fillId="0" borderId="125" xfId="20" applyFont="1" applyBorder="1" applyAlignment="1">
      <alignment horizontal="center" vertical="center"/>
    </xf>
    <xf numFmtId="0" fontId="235" fillId="0" borderId="200" xfId="20" applyFont="1" applyBorder="1" applyAlignment="1">
      <alignment horizontal="center" vertical="center"/>
    </xf>
    <xf numFmtId="0" fontId="95" fillId="38" borderId="200" xfId="20" applyFont="1" applyFill="1" applyBorder="1" applyAlignment="1">
      <alignment horizontal="left" vertical="center"/>
    </xf>
    <xf numFmtId="0" fontId="95" fillId="38" borderId="194" xfId="20" applyFont="1" applyFill="1" applyBorder="1" applyAlignment="1">
      <alignment horizontal="left" vertical="center"/>
    </xf>
    <xf numFmtId="0" fontId="95" fillId="38" borderId="194" xfId="20" applyFont="1" applyFill="1" applyBorder="1" applyAlignment="1">
      <alignment horizontal="center" vertical="center"/>
    </xf>
    <xf numFmtId="0" fontId="223" fillId="39" borderId="281" xfId="20" applyFont="1" applyFill="1" applyBorder="1" applyAlignment="1">
      <alignment horizontal="center" vertical="center"/>
    </xf>
    <xf numFmtId="4" fontId="204" fillId="38" borderId="129" xfId="20" applyNumberFormat="1" applyFont="1" applyFill="1" applyBorder="1" applyAlignment="1">
      <alignment horizontal="right" vertical="center"/>
    </xf>
    <xf numFmtId="0" fontId="282" fillId="38" borderId="199" xfId="20" applyFont="1" applyFill="1" applyBorder="1" applyAlignment="1">
      <alignment horizontal="right" vertical="center"/>
    </xf>
    <xf numFmtId="0" fontId="295" fillId="38" borderId="194" xfId="20" applyFont="1" applyFill="1" applyBorder="1" applyAlignment="1">
      <alignment horizontal="right" vertical="center"/>
    </xf>
    <xf numFmtId="0" fontId="373" fillId="38" borderId="194" xfId="20" applyFont="1" applyFill="1" applyBorder="1" applyAlignment="1">
      <alignment horizontal="right" vertical="center"/>
    </xf>
    <xf numFmtId="0" fontId="373" fillId="38" borderId="200" xfId="20" applyFont="1" applyFill="1" applyBorder="1" applyAlignment="1">
      <alignment horizontal="right" vertical="center"/>
    </xf>
    <xf numFmtId="0" fontId="223" fillId="38" borderId="194" xfId="20" applyFont="1" applyFill="1" applyBorder="1" applyAlignment="1">
      <alignment horizontal="right" vertical="center"/>
    </xf>
    <xf numFmtId="0" fontId="223" fillId="38" borderId="281" xfId="20" applyFont="1" applyFill="1" applyBorder="1" applyAlignment="1">
      <alignment horizontal="right" vertical="center"/>
    </xf>
    <xf numFmtId="165" fontId="26" fillId="0" borderId="0" xfId="20" applyNumberFormat="1"/>
    <xf numFmtId="4" fontId="93" fillId="0" borderId="0" xfId="20" applyNumberFormat="1" applyFont="1"/>
    <xf numFmtId="0" fontId="0" fillId="0" borderId="26" xfId="0" applyBorder="1" applyAlignment="1">
      <alignment horizontal="center" vertical="center"/>
    </xf>
    <xf numFmtId="165" fontId="0" fillId="0" borderId="82" xfId="0" applyNumberFormat="1" applyBorder="1" applyAlignment="1">
      <alignment horizontal="center" vertical="center"/>
    </xf>
    <xf numFmtId="0" fontId="109" fillId="0" borderId="140" xfId="20" applyFont="1" applyBorder="1" applyAlignment="1">
      <alignment horizontal="center" vertical="center"/>
    </xf>
    <xf numFmtId="0" fontId="374" fillId="0" borderId="138" xfId="20" applyFont="1" applyBorder="1" applyAlignment="1">
      <alignment horizontal="center"/>
    </xf>
    <xf numFmtId="0" fontId="374" fillId="24" borderId="138" xfId="20" applyFont="1" applyFill="1" applyBorder="1" applyAlignment="1">
      <alignment horizontal="center"/>
    </xf>
    <xf numFmtId="0" fontId="374" fillId="0" borderId="126" xfId="20" applyFont="1" applyBorder="1" applyAlignment="1">
      <alignment horizontal="center"/>
    </xf>
    <xf numFmtId="0" fontId="374" fillId="0" borderId="152" xfId="20" applyFont="1" applyBorder="1" applyAlignment="1">
      <alignment horizontal="center"/>
    </xf>
    <xf numFmtId="0" fontId="375" fillId="0" borderId="125" xfId="20" applyFont="1" applyBorder="1" applyAlignment="1">
      <alignment horizontal="center" vertical="center" wrapText="1"/>
    </xf>
    <xf numFmtId="0" fontId="375" fillId="0" borderId="138" xfId="20" applyFont="1" applyBorder="1" applyAlignment="1">
      <alignment horizontal="center" vertical="center" wrapText="1"/>
    </xf>
    <xf numFmtId="0" fontId="375" fillId="0" borderId="152" xfId="20" applyFont="1" applyBorder="1" applyAlignment="1">
      <alignment horizontal="center" vertical="center" wrapText="1"/>
    </xf>
    <xf numFmtId="0" fontId="376" fillId="0" borderId="129" xfId="20" applyFont="1" applyBorder="1" applyAlignment="1">
      <alignment horizontal="center" vertical="center" wrapText="1"/>
    </xf>
    <xf numFmtId="0" fontId="95" fillId="29" borderId="122" xfId="20" applyFont="1" applyFill="1" applyBorder="1" applyAlignment="1">
      <alignment horizontal="center" vertical="center"/>
    </xf>
    <xf numFmtId="170" fontId="15" fillId="29" borderId="150" xfId="3" applyNumberFormat="1" applyFont="1" applyFill="1" applyBorder="1" applyAlignment="1">
      <alignment horizontal="center" vertical="center"/>
    </xf>
    <xf numFmtId="170" fontId="15" fillId="0" borderId="145" xfId="3" applyNumberFormat="1" applyFont="1" applyBorder="1" applyAlignment="1">
      <alignment horizontal="center" vertical="center"/>
    </xf>
    <xf numFmtId="0" fontId="377" fillId="29" borderId="174" xfId="20" applyFont="1" applyFill="1" applyBorder="1" applyAlignment="1">
      <alignment horizontal="center" vertical="center"/>
    </xf>
    <xf numFmtId="0" fontId="377" fillId="29" borderId="282" xfId="20" applyFont="1" applyFill="1" applyBorder="1" applyAlignment="1">
      <alignment horizontal="center" vertical="center"/>
    </xf>
    <xf numFmtId="0" fontId="377" fillId="29" borderId="0" xfId="20" applyFont="1" applyFill="1" applyAlignment="1">
      <alignment horizontal="center" vertical="center"/>
    </xf>
    <xf numFmtId="0" fontId="377" fillId="29" borderId="283" xfId="20" applyFont="1" applyFill="1" applyBorder="1" applyAlignment="1">
      <alignment horizontal="center" vertical="center"/>
    </xf>
    <xf numFmtId="0" fontId="377" fillId="29" borderId="125" xfId="20" applyFont="1" applyFill="1" applyBorder="1" applyAlignment="1">
      <alignment horizontal="center" vertical="center"/>
    </xf>
    <xf numFmtId="170" fontId="16" fillId="29" borderId="145" xfId="3" applyNumberFormat="1" applyFont="1" applyFill="1" applyBorder="1" applyAlignment="1">
      <alignment horizontal="center" vertical="center"/>
    </xf>
    <xf numFmtId="0" fontId="377" fillId="29" borderId="284" xfId="20" applyFont="1" applyFill="1" applyBorder="1" applyAlignment="1">
      <alignment horizontal="center" vertical="center"/>
    </xf>
    <xf numFmtId="0" fontId="26" fillId="0" borderId="284" xfId="3" applyBorder="1"/>
    <xf numFmtId="0" fontId="95" fillId="0" borderId="129" xfId="20" applyFont="1" applyBorder="1" applyAlignment="1">
      <alignment horizontal="center" vertical="center"/>
    </xf>
    <xf numFmtId="173" fontId="95" fillId="0" borderId="129" xfId="20" applyNumberFormat="1" applyFont="1" applyBorder="1" applyAlignment="1">
      <alignment horizontal="center" vertical="center"/>
    </xf>
    <xf numFmtId="170" fontId="15" fillId="0" borderId="285" xfId="3" applyNumberFormat="1" applyFont="1" applyBorder="1" applyAlignment="1">
      <alignment horizontal="center" vertical="center"/>
    </xf>
    <xf numFmtId="0" fontId="292" fillId="0" borderId="0" xfId="20" applyFont="1" applyAlignment="1">
      <alignment horizontal="center"/>
    </xf>
    <xf numFmtId="0" fontId="292" fillId="0" borderId="286" xfId="20" applyFont="1" applyBorder="1" applyAlignment="1">
      <alignment horizontal="center"/>
    </xf>
    <xf numFmtId="0" fontId="292" fillId="0" borderId="287" xfId="20" applyFont="1" applyBorder="1" applyAlignment="1">
      <alignment horizontal="center"/>
    </xf>
    <xf numFmtId="0" fontId="292" fillId="0" borderId="288" xfId="20" applyFont="1" applyBorder="1" applyAlignment="1">
      <alignment horizontal="center"/>
    </xf>
    <xf numFmtId="0" fontId="292" fillId="0" borderId="289" xfId="20" applyFont="1" applyBorder="1" applyAlignment="1">
      <alignment horizontal="center"/>
    </xf>
    <xf numFmtId="0" fontId="292" fillId="0" borderId="283" xfId="20" applyFont="1" applyBorder="1" applyAlignment="1">
      <alignment horizontal="center"/>
    </xf>
    <xf numFmtId="0" fontId="292" fillId="0" borderId="175" xfId="20" applyFont="1" applyBorder="1" applyAlignment="1">
      <alignment horizontal="center"/>
    </xf>
    <xf numFmtId="0" fontId="292" fillId="0" borderId="151" xfId="20" applyFont="1" applyBorder="1" applyAlignment="1">
      <alignment horizontal="center"/>
    </xf>
    <xf numFmtId="3" fontId="113" fillId="0" borderId="290" xfId="3" applyNumberFormat="1" applyFont="1" applyBorder="1" applyAlignment="1">
      <alignment horizontal="center"/>
    </xf>
    <xf numFmtId="3" fontId="113" fillId="0" borderId="145" xfId="3" applyNumberFormat="1" applyFont="1" applyBorder="1" applyAlignment="1">
      <alignment horizontal="center"/>
    </xf>
    <xf numFmtId="0" fontId="292" fillId="0" borderId="125" xfId="20" applyFont="1" applyBorder="1" applyAlignment="1">
      <alignment horizontal="center" vertical="center" wrapText="1"/>
    </xf>
    <xf numFmtId="0" fontId="292" fillId="0" borderId="138" xfId="20" applyFont="1" applyBorder="1" applyAlignment="1">
      <alignment horizontal="center" vertical="center" wrapText="1"/>
    </xf>
    <xf numFmtId="0" fontId="292" fillId="0" borderId="152" xfId="20" applyFont="1" applyBorder="1" applyAlignment="1">
      <alignment horizontal="center" vertical="center" wrapText="1"/>
    </xf>
    <xf numFmtId="0" fontId="292" fillId="0" borderId="145" xfId="20" applyFont="1" applyBorder="1" applyAlignment="1">
      <alignment horizontal="center" vertical="center" wrapText="1"/>
    </xf>
    <xf numFmtId="169" fontId="120" fillId="0" borderId="145" xfId="3" applyNumberFormat="1" applyFont="1" applyBorder="1" applyAlignment="1">
      <alignment horizontal="center" vertical="center" wrapText="1"/>
    </xf>
    <xf numFmtId="0" fontId="378" fillId="30" borderId="125" xfId="20" applyFont="1" applyFill="1" applyBorder="1" applyAlignment="1">
      <alignment horizontal="center" vertical="center"/>
    </xf>
    <xf numFmtId="4" fontId="378" fillId="30" borderId="125" xfId="20" applyNumberFormat="1" applyFont="1" applyFill="1" applyBorder="1" applyAlignment="1">
      <alignment horizontal="center" vertical="center"/>
    </xf>
    <xf numFmtId="2" fontId="378" fillId="30" borderId="125" xfId="20" applyNumberFormat="1" applyFont="1" applyFill="1" applyBorder="1" applyAlignment="1">
      <alignment horizontal="center" vertical="center"/>
    </xf>
    <xf numFmtId="0" fontId="378" fillId="30" borderId="283" xfId="20" applyFont="1" applyFill="1" applyBorder="1" applyAlignment="1">
      <alignment horizontal="center" vertical="center"/>
    </xf>
    <xf numFmtId="0" fontId="378" fillId="30" borderId="282" xfId="20" applyFont="1" applyFill="1" applyBorder="1" applyAlignment="1">
      <alignment horizontal="center" vertical="center"/>
    </xf>
    <xf numFmtId="0" fontId="378" fillId="30" borderId="291" xfId="20" applyFont="1" applyFill="1" applyBorder="1" applyAlignment="1">
      <alignment horizontal="center" vertical="center"/>
    </xf>
    <xf numFmtId="0" fontId="378" fillId="30" borderId="126" xfId="20" applyFont="1" applyFill="1" applyBorder="1" applyAlignment="1">
      <alignment horizontal="center" vertical="center"/>
    </xf>
    <xf numFmtId="4" fontId="123" fillId="30" borderId="22" xfId="3" applyNumberFormat="1" applyFont="1" applyFill="1" applyBorder="1" applyAlignment="1">
      <alignment horizontal="center" vertical="center"/>
    </xf>
    <xf numFmtId="2" fontId="124" fillId="0" borderId="22" xfId="20" applyNumberFormat="1" applyFont="1" applyBorder="1" applyAlignment="1">
      <alignment horizontal="center" vertical="center"/>
    </xf>
    <xf numFmtId="0" fontId="379" fillId="31" borderId="125" xfId="20" applyFont="1" applyFill="1" applyBorder="1" applyAlignment="1">
      <alignment horizontal="center" vertical="center"/>
    </xf>
    <xf numFmtId="2" fontId="379" fillId="31" borderId="125" xfId="20" applyNumberFormat="1" applyFont="1" applyFill="1" applyBorder="1" applyAlignment="1">
      <alignment horizontal="center" vertical="center"/>
    </xf>
    <xf numFmtId="171" fontId="126" fillId="31" borderId="145" xfId="3" applyNumberFormat="1" applyFont="1" applyFill="1" applyBorder="1" applyAlignment="1">
      <alignment horizontal="center" vertical="center"/>
    </xf>
    <xf numFmtId="171" fontId="126" fillId="31" borderId="126" xfId="3" applyNumberFormat="1" applyFont="1" applyFill="1" applyBorder="1" applyAlignment="1">
      <alignment horizontal="center" vertical="center"/>
    </xf>
    <xf numFmtId="0" fontId="379" fillId="30" borderId="129" xfId="20" applyFont="1" applyFill="1" applyBorder="1" applyAlignment="1">
      <alignment horizontal="center" vertical="center"/>
    </xf>
    <xf numFmtId="2" fontId="379" fillId="30" borderId="129" xfId="20" applyNumberFormat="1" applyFont="1" applyFill="1" applyBorder="1" applyAlignment="1">
      <alignment horizontal="center" vertical="center"/>
    </xf>
    <xf numFmtId="170" fontId="126" fillId="30" borderId="194" xfId="3" applyNumberFormat="1" applyFont="1" applyFill="1" applyBorder="1" applyAlignment="1">
      <alignment horizontal="center" vertical="center"/>
    </xf>
    <xf numFmtId="170" fontId="126" fillId="30" borderId="285" xfId="3" applyNumberFormat="1" applyFont="1" applyFill="1" applyBorder="1" applyAlignment="1">
      <alignment horizontal="center" vertical="center"/>
    </xf>
    <xf numFmtId="170" fontId="126" fillId="30" borderId="153" xfId="3" applyNumberFormat="1" applyFont="1" applyFill="1" applyBorder="1" applyAlignment="1">
      <alignment horizontal="center" vertical="center"/>
    </xf>
    <xf numFmtId="170" fontId="126" fillId="30" borderId="145" xfId="3" applyNumberFormat="1" applyFont="1" applyFill="1" applyBorder="1" applyAlignment="1">
      <alignment horizontal="center" vertical="center"/>
    </xf>
    <xf numFmtId="0" fontId="118" fillId="0" borderId="138" xfId="20" applyFont="1" applyBorder="1" applyAlignment="1">
      <alignment horizontal="left"/>
    </xf>
    <xf numFmtId="0" fontId="26" fillId="0" borderId="145" xfId="3" applyBorder="1"/>
    <xf numFmtId="0" fontId="26" fillId="0" borderId="152" xfId="3" applyBorder="1"/>
    <xf numFmtId="0" fontId="121" fillId="0" borderId="138" xfId="20" applyFont="1" applyBorder="1" applyAlignment="1">
      <alignment horizontal="left" vertical="center"/>
    </xf>
    <xf numFmtId="0" fontId="121" fillId="30" borderId="138" xfId="20" applyFont="1" applyFill="1" applyBorder="1" applyAlignment="1">
      <alignment horizontal="left" vertical="center" wrapText="1"/>
    </xf>
    <xf numFmtId="0" fontId="121" fillId="31" borderId="138" xfId="20" applyFont="1" applyFill="1" applyBorder="1" applyAlignment="1">
      <alignment horizontal="left" vertical="center"/>
    </xf>
    <xf numFmtId="0" fontId="121" fillId="30" borderId="139" xfId="20" applyFont="1" applyFill="1" applyBorder="1" applyAlignment="1">
      <alignment horizontal="left" vertical="center"/>
    </xf>
    <xf numFmtId="0" fontId="292" fillId="0" borderId="125" xfId="20" applyFont="1" applyBorder="1" applyAlignment="1">
      <alignment horizontal="center"/>
    </xf>
    <xf numFmtId="0" fontId="292" fillId="0" borderId="138" xfId="20" applyFont="1" applyBorder="1" applyAlignment="1">
      <alignment horizontal="center"/>
    </xf>
    <xf numFmtId="0" fontId="120" fillId="0" borderId="145" xfId="3" applyFont="1" applyBorder="1" applyAlignment="1">
      <alignment horizontal="center"/>
    </xf>
    <xf numFmtId="0" fontId="292" fillId="0" borderId="137" xfId="20" applyFont="1" applyBorder="1" applyAlignment="1">
      <alignment horizontal="center" vertical="center" wrapText="1"/>
    </xf>
    <xf numFmtId="0" fontId="292" fillId="0" borderId="126" xfId="20" applyFont="1" applyBorder="1" applyAlignment="1">
      <alignment horizontal="center" vertical="center" wrapText="1"/>
    </xf>
    <xf numFmtId="4" fontId="378" fillId="32" borderId="174" xfId="20" applyNumberFormat="1" applyFont="1" applyFill="1" applyBorder="1" applyAlignment="1">
      <alignment horizontal="center" vertical="center"/>
    </xf>
    <xf numFmtId="0" fontId="378" fillId="32" borderId="0" xfId="20" applyFont="1" applyFill="1" applyAlignment="1">
      <alignment horizontal="center" vertical="center"/>
    </xf>
    <xf numFmtId="0" fontId="378" fillId="32" borderId="282" xfId="20" applyFont="1" applyFill="1" applyBorder="1" applyAlignment="1">
      <alignment horizontal="center" vertical="center"/>
    </xf>
    <xf numFmtId="4" fontId="378" fillId="32" borderId="0" xfId="20" applyNumberFormat="1" applyFont="1" applyFill="1" applyAlignment="1">
      <alignment horizontal="center" vertical="center"/>
    </xf>
    <xf numFmtId="4" fontId="378" fillId="32" borderId="292" xfId="20" applyNumberFormat="1" applyFont="1" applyFill="1" applyBorder="1" applyAlignment="1">
      <alignment horizontal="center" vertical="center"/>
    </xf>
    <xf numFmtId="0" fontId="378" fillId="32" borderId="275" xfId="20" applyFont="1" applyFill="1" applyBorder="1" applyAlignment="1">
      <alignment horizontal="center" vertical="center"/>
    </xf>
    <xf numFmtId="0" fontId="378" fillId="32" borderId="283" xfId="20" applyFont="1" applyFill="1" applyBorder="1" applyAlignment="1">
      <alignment horizontal="center" vertical="center"/>
    </xf>
    <xf numFmtId="4" fontId="378" fillId="32" borderId="282" xfId="20" applyNumberFormat="1" applyFont="1" applyFill="1" applyBorder="1" applyAlignment="1">
      <alignment horizontal="center" vertical="center"/>
    </xf>
    <xf numFmtId="4" fontId="378" fillId="32" borderId="283" xfId="20" applyNumberFormat="1" applyFont="1" applyFill="1" applyBorder="1" applyAlignment="1">
      <alignment horizontal="center" vertical="center"/>
    </xf>
    <xf numFmtId="4" fontId="123" fillId="32" borderId="145" xfId="3" applyNumberFormat="1" applyFont="1" applyFill="1" applyBorder="1" applyAlignment="1">
      <alignment horizontal="center" vertical="center"/>
    </xf>
    <xf numFmtId="181" fontId="379" fillId="0" borderId="125" xfId="20" applyNumberFormat="1" applyFont="1" applyBorder="1" applyAlignment="1">
      <alignment horizontal="center" vertical="center"/>
    </xf>
    <xf numFmtId="171" fontId="126" fillId="0" borderId="145" xfId="3" applyNumberFormat="1" applyFont="1" applyBorder="1" applyAlignment="1">
      <alignment horizontal="center" vertical="center"/>
    </xf>
    <xf numFmtId="171" fontId="126" fillId="0" borderId="126" xfId="3" applyNumberFormat="1" applyFont="1" applyBorder="1" applyAlignment="1">
      <alignment horizontal="center" vertical="center"/>
    </xf>
    <xf numFmtId="0" fontId="379" fillId="32" borderId="129" xfId="20" applyFont="1" applyFill="1" applyBorder="1" applyAlignment="1">
      <alignment horizontal="center" vertical="center"/>
    </xf>
    <xf numFmtId="173" fontId="379" fillId="32" borderId="129" xfId="20" applyNumberFormat="1" applyFont="1" applyFill="1" applyBorder="1" applyAlignment="1">
      <alignment horizontal="center" vertical="center"/>
    </xf>
    <xf numFmtId="170" fontId="126" fillId="32" borderId="145" xfId="3" applyNumberFormat="1" applyFont="1" applyFill="1" applyBorder="1" applyAlignment="1">
      <alignment horizontal="center" vertical="center"/>
    </xf>
    <xf numFmtId="0" fontId="121" fillId="32" borderId="138" xfId="20" applyFont="1" applyFill="1" applyBorder="1" applyAlignment="1">
      <alignment horizontal="left" vertical="center" wrapText="1"/>
    </xf>
    <xf numFmtId="0" fontId="121" fillId="33" borderId="138" xfId="20" applyFont="1" applyFill="1" applyBorder="1" applyAlignment="1">
      <alignment horizontal="left" vertical="center"/>
    </xf>
    <xf numFmtId="0" fontId="121" fillId="32" borderId="139" xfId="20" applyFont="1" applyFill="1" applyBorder="1" applyAlignment="1">
      <alignment horizontal="left" vertical="center"/>
    </xf>
    <xf numFmtId="0" fontId="380" fillId="0" borderId="125" xfId="20" applyFont="1" applyBorder="1" applyAlignment="1">
      <alignment horizontal="center" vertical="center"/>
    </xf>
    <xf numFmtId="169" fontId="124" fillId="0" borderId="122" xfId="3" applyNumberFormat="1" applyFont="1" applyBorder="1" applyAlignment="1">
      <alignment horizontal="center" vertical="center" wrapText="1"/>
    </xf>
    <xf numFmtId="169" fontId="124" fillId="0" borderId="156" xfId="3" applyNumberFormat="1" applyFont="1" applyBorder="1" applyAlignment="1">
      <alignment horizontal="center" vertical="center" wrapText="1"/>
    </xf>
    <xf numFmtId="169" fontId="124" fillId="0" borderId="123" xfId="3" applyNumberFormat="1" applyFont="1" applyBorder="1" applyAlignment="1">
      <alignment horizontal="center" vertical="center" wrapText="1"/>
    </xf>
    <xf numFmtId="169" fontId="124" fillId="0" borderId="141" xfId="3" applyNumberFormat="1" applyFont="1" applyBorder="1" applyAlignment="1">
      <alignment horizontal="center" vertical="center" wrapText="1"/>
    </xf>
    <xf numFmtId="169" fontId="124" fillId="0" borderId="197" xfId="3" applyNumberFormat="1" applyFont="1" applyBorder="1" applyAlignment="1">
      <alignment horizontal="center" vertical="center" wrapText="1"/>
    </xf>
    <xf numFmtId="169" fontId="124" fillId="0" borderId="171" xfId="3" applyNumberFormat="1" applyFont="1" applyBorder="1" applyAlignment="1">
      <alignment horizontal="center" vertical="center" wrapText="1"/>
    </xf>
    <xf numFmtId="169" fontId="124" fillId="0" borderId="150" xfId="3" applyNumberFormat="1" applyFont="1" applyBorder="1" applyAlignment="1">
      <alignment horizontal="center" vertical="center" wrapText="1"/>
    </xf>
    <xf numFmtId="169" fontId="124" fillId="0" borderId="175" xfId="3" applyNumberFormat="1" applyFont="1" applyBorder="1" applyAlignment="1">
      <alignment horizontal="center" vertical="center" wrapText="1"/>
    </xf>
    <xf numFmtId="169" fontId="124" fillId="0" borderId="151" xfId="3" applyNumberFormat="1" applyFont="1" applyBorder="1" applyAlignment="1">
      <alignment horizontal="center" vertical="center" wrapText="1"/>
    </xf>
    <xf numFmtId="0" fontId="379" fillId="30" borderId="125" xfId="20" applyFont="1" applyFill="1" applyBorder="1" applyAlignment="1">
      <alignment horizontal="center" vertical="center"/>
    </xf>
    <xf numFmtId="0" fontId="26" fillId="4" borderId="126" xfId="3" applyFill="1" applyBorder="1" applyAlignment="1">
      <alignment horizontal="center" vertical="center"/>
    </xf>
    <xf numFmtId="0" fontId="26" fillId="4" borderId="152" xfId="3" applyFill="1" applyBorder="1" applyAlignment="1">
      <alignment horizontal="center" vertical="center"/>
    </xf>
    <xf numFmtId="0" fontId="26" fillId="4" borderId="0" xfId="3" applyFill="1" applyAlignment="1">
      <alignment horizontal="center" vertical="center"/>
    </xf>
    <xf numFmtId="0" fontId="26" fillId="4" borderId="22" xfId="3" applyFill="1" applyBorder="1" applyAlignment="1">
      <alignment horizontal="center" vertical="center"/>
    </xf>
    <xf numFmtId="0" fontId="26" fillId="4" borderId="145" xfId="3" applyFill="1" applyBorder="1" applyAlignment="1">
      <alignment horizontal="center" vertical="center"/>
    </xf>
    <xf numFmtId="0" fontId="95" fillId="0" borderId="0" xfId="20" applyFont="1" applyAlignment="1">
      <alignment horizontal="center" vertical="center"/>
    </xf>
    <xf numFmtId="0" fontId="95" fillId="0" borderId="282" xfId="20" applyFont="1" applyBorder="1" applyAlignment="1">
      <alignment horizontal="center" vertical="center"/>
    </xf>
    <xf numFmtId="0" fontId="95" fillId="30" borderId="0" xfId="20" applyFont="1" applyFill="1" applyAlignment="1">
      <alignment horizontal="center" vertical="center"/>
    </xf>
    <xf numFmtId="0" fontId="95" fillId="30" borderId="282" xfId="20" applyFont="1" applyFill="1" applyBorder="1" applyAlignment="1">
      <alignment horizontal="center" vertical="center"/>
    </xf>
    <xf numFmtId="0" fontId="95" fillId="30" borderId="292" xfId="20" applyFont="1" applyFill="1" applyBorder="1" applyAlignment="1">
      <alignment horizontal="center" vertical="center"/>
    </xf>
    <xf numFmtId="0" fontId="95" fillId="30" borderId="293" xfId="20" applyFont="1" applyFill="1" applyBorder="1" applyAlignment="1">
      <alignment horizontal="center" vertical="center"/>
    </xf>
    <xf numFmtId="0" fontId="95" fillId="30" borderId="283" xfId="20" applyFont="1" applyFill="1" applyBorder="1" applyAlignment="1">
      <alignment horizontal="center" vertical="center"/>
    </xf>
    <xf numFmtId="0" fontId="95" fillId="30" borderId="152" xfId="20" applyFont="1" applyFill="1" applyBorder="1" applyAlignment="1">
      <alignment horizontal="center" vertical="center"/>
    </xf>
    <xf numFmtId="0" fontId="95" fillId="30" borderId="157" xfId="20" applyFont="1" applyFill="1" applyBorder="1" applyAlignment="1">
      <alignment horizontal="center" vertical="center"/>
    </xf>
    <xf numFmtId="0" fontId="15" fillId="30" borderId="145" xfId="3" applyFont="1" applyFill="1" applyBorder="1" applyAlignment="1">
      <alignment horizontal="center" vertical="center"/>
    </xf>
    <xf numFmtId="0" fontId="15" fillId="30" borderId="22" xfId="3" applyFont="1" applyFill="1" applyBorder="1" applyAlignment="1">
      <alignment horizontal="center" vertical="center"/>
    </xf>
    <xf numFmtId="0" fontId="95" fillId="30" borderId="125" xfId="20" applyFont="1" applyFill="1" applyBorder="1" applyAlignment="1">
      <alignment horizontal="center" vertical="center"/>
    </xf>
    <xf numFmtId="0" fontId="95" fillId="0" borderId="293" xfId="20" applyFont="1" applyBorder="1" applyAlignment="1">
      <alignment horizontal="center" vertical="center"/>
    </xf>
    <xf numFmtId="0" fontId="95" fillId="0" borderId="292" xfId="20" applyFont="1" applyBorder="1" applyAlignment="1">
      <alignment horizontal="center" vertical="center"/>
    </xf>
    <xf numFmtId="0" fontId="95" fillId="0" borderId="152" xfId="20" applyFont="1" applyBorder="1" applyAlignment="1">
      <alignment horizontal="center" vertical="center"/>
    </xf>
    <xf numFmtId="0" fontId="95" fillId="0" borderId="145" xfId="20" applyFont="1" applyBorder="1" applyAlignment="1">
      <alignment horizontal="center" vertical="center"/>
    </xf>
    <xf numFmtId="0" fontId="95" fillId="0" borderId="22" xfId="20" applyFont="1" applyBorder="1" applyAlignment="1">
      <alignment horizontal="center" vertical="center"/>
    </xf>
    <xf numFmtId="0" fontId="95" fillId="0" borderId="157" xfId="20" applyFont="1" applyBorder="1" applyAlignment="1">
      <alignment horizontal="center" vertical="center"/>
    </xf>
    <xf numFmtId="0" fontId="95" fillId="30" borderId="145" xfId="20" applyFont="1" applyFill="1" applyBorder="1" applyAlignment="1">
      <alignment horizontal="center" vertical="center"/>
    </xf>
    <xf numFmtId="0" fontId="95" fillId="30" borderId="22" xfId="20" applyFont="1" applyFill="1" applyBorder="1" applyAlignment="1">
      <alignment horizontal="center" vertical="center"/>
    </xf>
    <xf numFmtId="0" fontId="15" fillId="30" borderId="285" xfId="3" applyFont="1" applyFill="1" applyBorder="1" applyAlignment="1">
      <alignment horizontal="center" vertical="center"/>
    </xf>
    <xf numFmtId="0" fontId="95" fillId="0" borderId="139" xfId="20" applyFont="1" applyBorder="1" applyAlignment="1">
      <alignment horizontal="center" vertical="center"/>
    </xf>
    <xf numFmtId="0" fontId="95" fillId="0" borderId="131" xfId="20" applyFont="1" applyBorder="1" applyAlignment="1">
      <alignment horizontal="center" vertical="center"/>
    </xf>
    <xf numFmtId="0" fontId="95" fillId="0" borderId="194" xfId="20" applyFont="1" applyBorder="1" applyAlignment="1">
      <alignment horizontal="center" vertical="center"/>
    </xf>
    <xf numFmtId="0" fontId="95" fillId="0" borderId="118" xfId="20" applyFont="1" applyBorder="1" applyAlignment="1">
      <alignment horizontal="center" vertical="center"/>
    </xf>
    <xf numFmtId="0" fontId="95" fillId="0" borderId="172" xfId="20" applyFont="1" applyBorder="1" applyAlignment="1">
      <alignment horizontal="center" vertical="center"/>
    </xf>
    <xf numFmtId="0" fontId="95" fillId="0" borderId="153" xfId="20" applyFont="1" applyBorder="1" applyAlignment="1">
      <alignment horizontal="center" vertical="center"/>
    </xf>
    <xf numFmtId="0" fontId="26" fillId="0" borderId="171" xfId="3" applyBorder="1"/>
    <xf numFmtId="0" fontId="105" fillId="35" borderId="141" xfId="20" applyFont="1" applyFill="1" applyBorder="1" applyAlignment="1">
      <alignment horizontal="center"/>
    </xf>
    <xf numFmtId="0" fontId="105" fillId="35" borderId="122" xfId="20" applyFont="1" applyFill="1" applyBorder="1" applyAlignment="1">
      <alignment horizontal="center"/>
    </xf>
    <xf numFmtId="0" fontId="105" fillId="28" borderId="156" xfId="20" applyFont="1" applyFill="1" applyBorder="1" applyAlignment="1">
      <alignment horizontal="center"/>
    </xf>
    <xf numFmtId="0" fontId="105" fillId="35" borderId="140" xfId="20" applyFont="1" applyFill="1" applyBorder="1" applyAlignment="1">
      <alignment horizontal="center" vertical="center"/>
    </xf>
    <xf numFmtId="3" fontId="143" fillId="0" borderId="138" xfId="20" applyNumberFormat="1" applyFont="1" applyBorder="1" applyAlignment="1">
      <alignment horizontal="center" vertical="center"/>
    </xf>
    <xf numFmtId="0" fontId="27" fillId="36" borderId="294" xfId="20" applyFont="1" applyFill="1" applyBorder="1" applyAlignment="1">
      <alignment horizontal="left" vertical="center"/>
    </xf>
    <xf numFmtId="0" fontId="27" fillId="36" borderId="225" xfId="20" applyFont="1" applyFill="1" applyBorder="1" applyAlignment="1">
      <alignment horizontal="left" vertical="center"/>
    </xf>
    <xf numFmtId="0" fontId="27" fillId="36" borderId="225" xfId="20" applyFont="1" applyFill="1" applyBorder="1" applyAlignment="1">
      <alignment horizontal="center" vertical="center"/>
    </xf>
    <xf numFmtId="0" fontId="27" fillId="36" borderId="225" xfId="20" applyFont="1" applyFill="1" applyBorder="1" applyAlignment="1">
      <alignment horizontal="left" vertical="center" wrapText="1"/>
    </xf>
    <xf numFmtId="0" fontId="27" fillId="37" borderId="88" xfId="20" applyFont="1" applyFill="1" applyBorder="1" applyAlignment="1">
      <alignment horizontal="center" vertical="center" wrapText="1"/>
    </xf>
    <xf numFmtId="4" fontId="27" fillId="36" borderId="295" xfId="20" applyNumberFormat="1" applyFont="1" applyFill="1" applyBorder="1" applyAlignment="1">
      <alignment horizontal="right" vertical="center"/>
    </xf>
    <xf numFmtId="4" fontId="357" fillId="38" borderId="296" xfId="20" applyNumberFormat="1" applyFont="1" applyFill="1" applyBorder="1" applyAlignment="1">
      <alignment horizontal="right" vertical="center"/>
    </xf>
    <xf numFmtId="3" fontId="285" fillId="53" borderId="88" xfId="20" applyNumberFormat="1" applyFont="1" applyFill="1" applyBorder="1" applyAlignment="1">
      <alignment horizontal="right" vertical="center"/>
    </xf>
    <xf numFmtId="3" fontId="285" fillId="53" borderId="225" xfId="20" applyNumberFormat="1" applyFont="1" applyFill="1" applyBorder="1" applyAlignment="1">
      <alignment horizontal="right" vertical="center"/>
    </xf>
    <xf numFmtId="3" fontId="285" fillId="53" borderId="295" xfId="20" applyNumberFormat="1" applyFont="1" applyFill="1" applyBorder="1" applyAlignment="1">
      <alignment horizontal="right" vertical="center"/>
    </xf>
    <xf numFmtId="3" fontId="285" fillId="53" borderId="297" xfId="20" applyNumberFormat="1" applyFont="1" applyFill="1" applyBorder="1" applyAlignment="1">
      <alignment horizontal="right" vertical="center"/>
    </xf>
    <xf numFmtId="3" fontId="305" fillId="53" borderId="298" xfId="20" applyNumberFormat="1" applyFont="1" applyFill="1" applyBorder="1" applyAlignment="1">
      <alignment horizontal="right" vertical="center"/>
    </xf>
    <xf numFmtId="0" fontId="27" fillId="76" borderId="299" xfId="20" applyFont="1" applyFill="1" applyBorder="1" applyAlignment="1">
      <alignment horizontal="left" vertical="center"/>
    </xf>
    <xf numFmtId="3" fontId="356" fillId="0" borderId="126" xfId="20" applyNumberFormat="1" applyFont="1" applyBorder="1" applyAlignment="1">
      <alignment horizontal="right" vertical="center"/>
    </xf>
    <xf numFmtId="0" fontId="285" fillId="0" borderId="157" xfId="20" applyFont="1" applyBorder="1" applyAlignment="1">
      <alignment horizontal="right" vertical="center"/>
    </xf>
    <xf numFmtId="0" fontId="285" fillId="0" borderId="138" xfId="20" applyFont="1" applyBorder="1" applyAlignment="1">
      <alignment horizontal="right" vertical="center"/>
    </xf>
    <xf numFmtId="0" fontId="285" fillId="0" borderId="300" xfId="20" applyFont="1" applyBorder="1" applyAlignment="1">
      <alignment horizontal="right" vertical="center"/>
    </xf>
    <xf numFmtId="0" fontId="285" fillId="0" borderId="301" xfId="20" applyFont="1" applyBorder="1" applyAlignment="1">
      <alignment horizontal="right" vertical="center"/>
    </xf>
    <xf numFmtId="0" fontId="305" fillId="0" borderId="302" xfId="20" applyFont="1" applyBorder="1" applyAlignment="1">
      <alignment horizontal="right" vertical="center"/>
    </xf>
    <xf numFmtId="0" fontId="27" fillId="36" borderId="299" xfId="20" applyFont="1" applyFill="1" applyBorder="1" applyAlignment="1">
      <alignment horizontal="left" vertical="center"/>
    </xf>
    <xf numFmtId="4" fontId="27" fillId="36" borderId="138" xfId="20" applyNumberFormat="1" applyFont="1" applyFill="1" applyBorder="1" applyAlignment="1">
      <alignment horizontal="right" vertical="center"/>
    </xf>
    <xf numFmtId="4" fontId="93" fillId="36" borderId="22" xfId="20" applyNumberFormat="1" applyFont="1" applyFill="1" applyBorder="1" applyAlignment="1">
      <alignment horizontal="right" vertical="center"/>
    </xf>
    <xf numFmtId="4" fontId="285" fillId="36" borderId="22" xfId="20" applyNumberFormat="1" applyFont="1" applyFill="1" applyBorder="1" applyAlignment="1">
      <alignment horizontal="right" vertical="center"/>
    </xf>
    <xf numFmtId="4" fontId="285" fillId="36" borderId="152" xfId="20" applyNumberFormat="1" applyFont="1" applyFill="1" applyBorder="1" applyAlignment="1">
      <alignment horizontal="right" vertical="center"/>
    </xf>
    <xf numFmtId="4" fontId="285" fillId="36" borderId="0" xfId="20" applyNumberFormat="1" applyFont="1" applyFill="1" applyAlignment="1">
      <alignment horizontal="right" vertical="center"/>
    </xf>
    <xf numFmtId="4" fontId="285" fillId="36" borderId="303" xfId="20" applyNumberFormat="1" applyFont="1" applyFill="1" applyBorder="1" applyAlignment="1">
      <alignment horizontal="right" vertical="center"/>
    </xf>
    <xf numFmtId="0" fontId="368" fillId="0" borderId="218" xfId="20" applyFont="1" applyBorder="1" applyAlignment="1">
      <alignment horizontal="right" vertical="center"/>
    </xf>
    <xf numFmtId="0" fontId="27" fillId="0" borderId="304" xfId="20" applyFont="1" applyBorder="1" applyAlignment="1">
      <alignment horizontal="left" vertical="center"/>
    </xf>
    <xf numFmtId="0" fontId="27" fillId="0" borderId="170" xfId="20" applyFont="1" applyBorder="1" applyAlignment="1">
      <alignment horizontal="left" vertical="center"/>
    </xf>
    <xf numFmtId="0" fontId="27" fillId="0" borderId="170" xfId="20" applyFont="1" applyBorder="1" applyAlignment="1">
      <alignment horizontal="center" vertical="center"/>
    </xf>
    <xf numFmtId="0" fontId="27" fillId="0" borderId="170" xfId="20" applyFont="1" applyBorder="1" applyAlignment="1">
      <alignment horizontal="left" vertical="center" wrapText="1"/>
    </xf>
    <xf numFmtId="0" fontId="27" fillId="0" borderId="171" xfId="20" applyFont="1" applyBorder="1" applyAlignment="1">
      <alignment horizontal="center" vertical="center"/>
    </xf>
    <xf numFmtId="4" fontId="27" fillId="0" borderId="170" xfId="20" applyNumberFormat="1" applyFont="1" applyBorder="1" applyAlignment="1">
      <alignment horizontal="right" vertical="center"/>
    </xf>
    <xf numFmtId="4" fontId="356" fillId="0" borderId="170" xfId="20" applyNumberFormat="1" applyFont="1" applyBorder="1" applyAlignment="1">
      <alignment horizontal="right" vertical="center"/>
    </xf>
    <xf numFmtId="4" fontId="213" fillId="0" borderId="170" xfId="20" applyNumberFormat="1" applyFont="1" applyBorder="1" applyAlignment="1">
      <alignment horizontal="right" vertical="center"/>
    </xf>
    <xf numFmtId="4" fontId="213" fillId="0" borderId="279" xfId="20" applyNumberFormat="1" applyFont="1" applyBorder="1" applyAlignment="1">
      <alignment horizontal="right" vertical="center"/>
    </xf>
    <xf numFmtId="4" fontId="305" fillId="36" borderId="137" xfId="20" applyNumberFormat="1" applyFont="1" applyFill="1" applyBorder="1" applyAlignment="1">
      <alignment horizontal="right" vertical="center"/>
    </xf>
    <xf numFmtId="0" fontId="27" fillId="36" borderId="281" xfId="20" applyFont="1" applyFill="1" applyBorder="1" applyAlignment="1">
      <alignment horizontal="left" vertical="center"/>
    </xf>
    <xf numFmtId="0" fontId="27" fillId="37" borderId="172" xfId="20" applyFont="1" applyFill="1" applyBorder="1" applyAlignment="1">
      <alignment horizontal="center" vertical="center"/>
    </xf>
    <xf numFmtId="4" fontId="27" fillId="36" borderId="160" xfId="20" applyNumberFormat="1" applyFont="1" applyFill="1" applyBorder="1" applyAlignment="1">
      <alignment horizontal="right" vertical="center"/>
    </xf>
    <xf numFmtId="4" fontId="356" fillId="36" borderId="160" xfId="20" applyNumberFormat="1" applyFont="1" applyFill="1" applyBorder="1" applyAlignment="1">
      <alignment horizontal="right" vertical="center"/>
    </xf>
    <xf numFmtId="4" fontId="213" fillId="36" borderId="160" xfId="20" applyNumberFormat="1" applyFont="1" applyFill="1" applyBorder="1" applyAlignment="1">
      <alignment horizontal="right" vertical="center"/>
    </xf>
    <xf numFmtId="4" fontId="213" fillId="36" borderId="199" xfId="20" applyNumberFormat="1" applyFont="1" applyFill="1" applyBorder="1" applyAlignment="1">
      <alignment horizontal="right" vertical="center"/>
    </xf>
    <xf numFmtId="4" fontId="305" fillId="0" borderId="305" xfId="20" applyNumberFormat="1" applyFont="1" applyBorder="1" applyAlignment="1">
      <alignment horizontal="right" vertical="center"/>
    </xf>
    <xf numFmtId="0" fontId="27" fillId="0" borderId="306" xfId="20" applyFont="1" applyBorder="1" applyAlignment="1">
      <alignment horizontal="left" vertical="center"/>
    </xf>
    <xf numFmtId="0" fontId="27" fillId="0" borderId="307" xfId="20" applyFont="1" applyBorder="1" applyAlignment="1">
      <alignment horizontal="left" vertical="center"/>
    </xf>
    <xf numFmtId="0" fontId="27" fillId="0" borderId="307" xfId="20" applyFont="1" applyBorder="1" applyAlignment="1">
      <alignment horizontal="center" vertical="center"/>
    </xf>
    <xf numFmtId="0" fontId="27" fillId="0" borderId="307" xfId="20" applyFont="1" applyBorder="1" applyAlignment="1">
      <alignment horizontal="left" vertical="center" wrapText="1"/>
    </xf>
    <xf numFmtId="0" fontId="27" fillId="0" borderId="276" xfId="20" applyFont="1" applyBorder="1" applyAlignment="1">
      <alignment horizontal="center" vertical="center"/>
    </xf>
    <xf numFmtId="4" fontId="27" fillId="0" borderId="307" xfId="20" applyNumberFormat="1" applyFont="1" applyBorder="1" applyAlignment="1">
      <alignment horizontal="right" vertical="center"/>
    </xf>
    <xf numFmtId="4" fontId="356" fillId="0" borderId="307" xfId="20" applyNumberFormat="1" applyFont="1" applyBorder="1" applyAlignment="1">
      <alignment horizontal="right" vertical="center"/>
    </xf>
    <xf numFmtId="4" fontId="213" fillId="0" borderId="307" xfId="20" applyNumberFormat="1" applyFont="1" applyBorder="1" applyAlignment="1">
      <alignment horizontal="right" vertical="center"/>
    </xf>
    <xf numFmtId="4" fontId="213" fillId="0" borderId="308" xfId="20" applyNumberFormat="1" applyFont="1" applyBorder="1" applyAlignment="1">
      <alignment horizontal="right" vertical="center"/>
    </xf>
    <xf numFmtId="0" fontId="305" fillId="36" borderId="309" xfId="20" applyFont="1" applyFill="1" applyBorder="1" applyAlignment="1">
      <alignment horizontal="right" vertical="center"/>
    </xf>
    <xf numFmtId="0" fontId="27" fillId="36" borderId="304" xfId="20" applyFont="1" applyFill="1" applyBorder="1" applyAlignment="1">
      <alignment horizontal="left" vertical="center"/>
    </xf>
    <xf numFmtId="0" fontId="27" fillId="36" borderId="170" xfId="20" applyFont="1" applyFill="1" applyBorder="1" applyAlignment="1">
      <alignment horizontal="left" vertical="center"/>
    </xf>
    <xf numFmtId="0" fontId="27" fillId="36" borderId="170" xfId="20" applyFont="1" applyFill="1" applyBorder="1" applyAlignment="1">
      <alignment horizontal="center" vertical="center"/>
    </xf>
    <xf numFmtId="0" fontId="27" fillId="36" borderId="170" xfId="20" applyFont="1" applyFill="1" applyBorder="1" applyAlignment="1">
      <alignment horizontal="left" vertical="center" wrapText="1"/>
    </xf>
    <xf numFmtId="0" fontId="27" fillId="37" borderId="170" xfId="20" applyFont="1" applyFill="1" applyBorder="1" applyAlignment="1">
      <alignment horizontal="center" vertical="center"/>
    </xf>
    <xf numFmtId="4" fontId="27" fillId="36" borderId="170" xfId="20" applyNumberFormat="1" applyFont="1" applyFill="1" applyBorder="1" applyAlignment="1">
      <alignment horizontal="right" vertical="center"/>
    </xf>
    <xf numFmtId="4" fontId="356" fillId="36" borderId="170" xfId="20" applyNumberFormat="1" applyFont="1" applyFill="1" applyBorder="1" applyAlignment="1">
      <alignment horizontal="right" vertical="center"/>
    </xf>
    <xf numFmtId="4" fontId="213" fillId="36" borderId="170" xfId="20" applyNumberFormat="1" applyFont="1" applyFill="1" applyBorder="1" applyAlignment="1">
      <alignment horizontal="right" vertical="center"/>
    </xf>
    <xf numFmtId="4" fontId="213" fillId="36" borderId="279" xfId="20" applyNumberFormat="1" applyFont="1" applyFill="1" applyBorder="1" applyAlignment="1">
      <alignment horizontal="right" vertical="center"/>
    </xf>
    <xf numFmtId="4" fontId="305" fillId="0" borderId="137" xfId="20" applyNumberFormat="1" applyFont="1" applyBorder="1" applyAlignment="1">
      <alignment horizontal="right" vertical="center"/>
    </xf>
    <xf numFmtId="4" fontId="27" fillId="0" borderId="281" xfId="20" applyNumberFormat="1" applyFont="1" applyBorder="1" applyAlignment="1">
      <alignment horizontal="left" vertical="center"/>
    </xf>
    <xf numFmtId="4" fontId="27" fillId="0" borderId="160" xfId="20" applyNumberFormat="1" applyFont="1" applyBorder="1" applyAlignment="1">
      <alignment horizontal="left" vertical="center"/>
    </xf>
    <xf numFmtId="4" fontId="27" fillId="0" borderId="160" xfId="20" applyNumberFormat="1" applyFont="1" applyBorder="1" applyAlignment="1">
      <alignment horizontal="center" vertical="center"/>
    </xf>
    <xf numFmtId="4" fontId="27" fillId="0" borderId="160" xfId="20" applyNumberFormat="1" applyFont="1" applyBorder="1" applyAlignment="1">
      <alignment horizontal="right" vertical="center"/>
    </xf>
    <xf numFmtId="4" fontId="213" fillId="0" borderId="160" xfId="20" applyNumberFormat="1" applyFont="1" applyBorder="1" applyAlignment="1">
      <alignment horizontal="right" vertical="center"/>
    </xf>
    <xf numFmtId="4" fontId="213" fillId="0" borderId="199" xfId="20" applyNumberFormat="1" applyFont="1" applyBorder="1" applyAlignment="1">
      <alignment horizontal="right" vertical="center"/>
    </xf>
    <xf numFmtId="4" fontId="305" fillId="36" borderId="305" xfId="20" applyNumberFormat="1" applyFont="1" applyFill="1" applyBorder="1" applyAlignment="1">
      <alignment horizontal="right" vertical="center"/>
    </xf>
    <xf numFmtId="0" fontId="27" fillId="37" borderId="125" xfId="20" applyFont="1" applyFill="1" applyBorder="1" applyAlignment="1">
      <alignment horizontal="center" vertical="center"/>
    </xf>
    <xf numFmtId="4" fontId="356" fillId="36" borderId="125" xfId="20" applyNumberFormat="1" applyFont="1" applyFill="1" applyBorder="1" applyAlignment="1">
      <alignment horizontal="right" vertical="center"/>
    </xf>
    <xf numFmtId="4" fontId="285" fillId="36" borderId="125" xfId="20" applyNumberFormat="1" applyFont="1" applyFill="1" applyBorder="1" applyAlignment="1">
      <alignment horizontal="right" vertical="center"/>
    </xf>
    <xf numFmtId="4" fontId="27" fillId="0" borderId="125" xfId="20" applyNumberFormat="1" applyFont="1" applyBorder="1" applyAlignment="1">
      <alignment horizontal="left" vertical="center"/>
    </xf>
    <xf numFmtId="4" fontId="27" fillId="0" borderId="125" xfId="20" applyNumberFormat="1" applyFont="1" applyBorder="1" applyAlignment="1">
      <alignment horizontal="center" vertical="center"/>
    </xf>
    <xf numFmtId="4" fontId="356" fillId="0" borderId="125" xfId="20" applyNumberFormat="1" applyFont="1" applyBorder="1" applyAlignment="1">
      <alignment horizontal="right" vertical="center"/>
    </xf>
    <xf numFmtId="4" fontId="305" fillId="36" borderId="125" xfId="20" applyNumberFormat="1" applyFont="1" applyFill="1" applyBorder="1" applyAlignment="1">
      <alignment horizontal="right" vertical="center"/>
    </xf>
    <xf numFmtId="4" fontId="305" fillId="0" borderId="129" xfId="20" applyNumberFormat="1" applyFont="1" applyBorder="1" applyAlignment="1">
      <alignment horizontal="right" vertical="center"/>
    </xf>
    <xf numFmtId="0" fontId="27" fillId="76" borderId="125" xfId="20" applyFont="1" applyFill="1" applyBorder="1" applyAlignment="1">
      <alignment horizontal="center" vertical="center"/>
    </xf>
    <xf numFmtId="0" fontId="27" fillId="76" borderId="125" xfId="20" applyFont="1" applyFill="1" applyBorder="1" applyAlignment="1">
      <alignment horizontal="left" vertical="center" wrapText="1"/>
    </xf>
    <xf numFmtId="0" fontId="27" fillId="77" borderId="125" xfId="20" applyFont="1" applyFill="1" applyBorder="1" applyAlignment="1">
      <alignment horizontal="center" vertical="center"/>
    </xf>
    <xf numFmtId="4" fontId="27" fillId="76" borderId="125" xfId="20" applyNumberFormat="1" applyFont="1" applyFill="1" applyBorder="1" applyAlignment="1">
      <alignment horizontal="right" vertical="center"/>
    </xf>
    <xf numFmtId="4" fontId="285" fillId="76" borderId="310" xfId="20" applyNumberFormat="1" applyFont="1" applyFill="1" applyBorder="1" applyAlignment="1">
      <alignment horizontal="right" vertical="center"/>
    </xf>
    <xf numFmtId="4" fontId="285" fillId="76" borderId="311" xfId="20" applyNumberFormat="1" applyFont="1" applyFill="1" applyBorder="1" applyAlignment="1">
      <alignment horizontal="right" vertical="center"/>
    </xf>
    <xf numFmtId="0" fontId="305" fillId="36" borderId="311" xfId="20" applyFont="1" applyFill="1" applyBorder="1" applyAlignment="1">
      <alignment horizontal="right" vertical="center"/>
    </xf>
    <xf numFmtId="0" fontId="285" fillId="76" borderId="0" xfId="20" applyFont="1" applyFill="1" applyAlignment="1">
      <alignment horizontal="right" vertical="center"/>
    </xf>
    <xf numFmtId="0" fontId="285" fillId="76" borderId="125" xfId="20" applyFont="1" applyFill="1" applyBorder="1" applyAlignment="1">
      <alignment horizontal="right" vertical="center"/>
    </xf>
    <xf numFmtId="4" fontId="285" fillId="76" borderId="125" xfId="20" applyNumberFormat="1" applyFont="1" applyFill="1" applyBorder="1" applyAlignment="1">
      <alignment horizontal="right" vertical="center"/>
    </xf>
    <xf numFmtId="0" fontId="27" fillId="36" borderId="306" xfId="20" applyFont="1" applyFill="1" applyBorder="1" applyAlignment="1">
      <alignment horizontal="left" vertical="center"/>
    </xf>
    <xf numFmtId="0" fontId="27" fillId="36" borderId="307" xfId="20" applyFont="1" applyFill="1" applyBorder="1" applyAlignment="1">
      <alignment horizontal="left" vertical="center"/>
    </xf>
    <xf numFmtId="0" fontId="27" fillId="36" borderId="307" xfId="20" applyFont="1" applyFill="1" applyBorder="1" applyAlignment="1">
      <alignment horizontal="center" vertical="center"/>
    </xf>
    <xf numFmtId="0" fontId="27" fillId="36" borderId="307" xfId="20" applyFont="1" applyFill="1" applyBorder="1" applyAlignment="1">
      <alignment horizontal="left" vertical="center" wrapText="1"/>
    </xf>
    <xf numFmtId="0" fontId="27" fillId="37" borderId="307" xfId="20" applyFont="1" applyFill="1" applyBorder="1" applyAlignment="1">
      <alignment horizontal="center" vertical="center"/>
    </xf>
    <xf numFmtId="4" fontId="27" fillId="36" borderId="307" xfId="20" applyNumberFormat="1" applyFont="1" applyFill="1" applyBorder="1" applyAlignment="1">
      <alignment horizontal="right" vertical="center"/>
    </xf>
    <xf numFmtId="4" fontId="356" fillId="36" borderId="307" xfId="20" applyNumberFormat="1" applyFont="1" applyFill="1" applyBorder="1" applyAlignment="1">
      <alignment horizontal="right" vertical="center"/>
    </xf>
    <xf numFmtId="4" fontId="285" fillId="36" borderId="307" xfId="20" applyNumberFormat="1" applyFont="1" applyFill="1" applyBorder="1" applyAlignment="1">
      <alignment horizontal="right" vertical="center"/>
    </xf>
    <xf numFmtId="4" fontId="285" fillId="36" borderId="308" xfId="20" applyNumberFormat="1" applyFont="1" applyFill="1" applyBorder="1" applyAlignment="1">
      <alignment horizontal="right" vertical="center"/>
    </xf>
    <xf numFmtId="4" fontId="285" fillId="76" borderId="0" xfId="20" applyNumberFormat="1" applyFont="1" applyFill="1" applyAlignment="1">
      <alignment horizontal="right" vertical="center"/>
    </xf>
    <xf numFmtId="0" fontId="305" fillId="36" borderId="125" xfId="20" applyFont="1" applyFill="1" applyBorder="1" applyAlignment="1">
      <alignment horizontal="right" vertical="center"/>
    </xf>
    <xf numFmtId="0" fontId="235" fillId="0" borderId="138" xfId="20" applyFont="1" applyBorder="1" applyAlignment="1">
      <alignment horizontal="center" vertical="center"/>
    </xf>
    <xf numFmtId="0" fontId="222" fillId="76" borderId="306" xfId="20" applyFont="1" applyFill="1" applyBorder="1" applyAlignment="1">
      <alignment horizontal="left" vertical="center"/>
    </xf>
    <xf numFmtId="0" fontId="222" fillId="76" borderId="307" xfId="20" applyFont="1" applyFill="1" applyBorder="1" applyAlignment="1">
      <alignment horizontal="left" vertical="center"/>
    </xf>
    <xf numFmtId="0" fontId="222" fillId="76" borderId="307" xfId="20" applyFont="1" applyFill="1" applyBorder="1" applyAlignment="1">
      <alignment horizontal="center"/>
    </xf>
    <xf numFmtId="0" fontId="27" fillId="77" borderId="307" xfId="20" applyFont="1" applyFill="1" applyBorder="1" applyAlignment="1">
      <alignment horizontal="center" vertical="center"/>
    </xf>
    <xf numFmtId="4" fontId="27" fillId="76" borderId="307" xfId="20" applyNumberFormat="1" applyFont="1" applyFill="1" applyBorder="1" applyAlignment="1">
      <alignment horizontal="right" vertical="center"/>
    </xf>
    <xf numFmtId="4" fontId="356" fillId="76" borderId="307" xfId="20" applyNumberFormat="1" applyFont="1" applyFill="1" applyBorder="1" applyAlignment="1">
      <alignment horizontal="right" vertical="center"/>
    </xf>
    <xf numFmtId="0" fontId="285" fillId="76" borderId="312" xfId="20" applyFont="1" applyFill="1" applyBorder="1" applyAlignment="1">
      <alignment horizontal="right" vertical="center"/>
    </xf>
    <xf numFmtId="0" fontId="285" fillId="76" borderId="164" xfId="20" applyFont="1" applyFill="1" applyBorder="1" applyAlignment="1">
      <alignment horizontal="right" vertical="center"/>
    </xf>
    <xf numFmtId="0" fontId="222" fillId="36" borderId="125" xfId="20" applyFont="1" applyFill="1" applyBorder="1" applyAlignment="1">
      <alignment horizontal="center"/>
    </xf>
    <xf numFmtId="0" fontId="285" fillId="36" borderId="137" xfId="20" applyFont="1" applyFill="1" applyBorder="1" applyAlignment="1">
      <alignment horizontal="right" vertical="center"/>
    </xf>
    <xf numFmtId="0" fontId="285" fillId="0" borderId="0" xfId="20" applyFont="1" applyAlignment="1">
      <alignment horizontal="right" vertical="center"/>
    </xf>
    <xf numFmtId="4" fontId="285" fillId="36" borderId="312" xfId="20" applyNumberFormat="1" applyFont="1" applyFill="1" applyBorder="1" applyAlignment="1">
      <alignment horizontal="right" vertical="center"/>
    </xf>
    <xf numFmtId="4" fontId="282" fillId="36" borderId="307" xfId="20" applyNumberFormat="1" applyFont="1" applyFill="1" applyBorder="1" applyAlignment="1">
      <alignment horizontal="right" vertical="center"/>
    </xf>
    <xf numFmtId="4" fontId="305" fillId="36" borderId="313" xfId="20" applyNumberFormat="1" applyFont="1" applyFill="1" applyBorder="1" applyAlignment="1">
      <alignment horizontal="right" vertical="center"/>
    </xf>
    <xf numFmtId="0" fontId="27" fillId="76" borderId="306" xfId="20" applyFont="1" applyFill="1" applyBorder="1" applyAlignment="1">
      <alignment horizontal="left" vertical="center"/>
    </xf>
    <xf numFmtId="0" fontId="27" fillId="76" borderId="307" xfId="20" applyFont="1" applyFill="1" applyBorder="1" applyAlignment="1">
      <alignment horizontal="left" vertical="center"/>
    </xf>
    <xf numFmtId="0" fontId="27" fillId="76" borderId="307" xfId="20" applyFont="1" applyFill="1" applyBorder="1" applyAlignment="1">
      <alignment horizontal="center" vertical="center"/>
    </xf>
    <xf numFmtId="0" fontId="27" fillId="76" borderId="307" xfId="20" applyFont="1" applyFill="1" applyBorder="1" applyAlignment="1">
      <alignment horizontal="left" vertical="center" wrapText="1"/>
    </xf>
    <xf numFmtId="4" fontId="381" fillId="76" borderId="307" xfId="20" applyNumberFormat="1" applyFont="1" applyFill="1" applyBorder="1" applyAlignment="1">
      <alignment horizontal="right" vertical="center"/>
    </xf>
    <xf numFmtId="4" fontId="285" fillId="0" borderId="312" xfId="20" applyNumberFormat="1" applyFont="1" applyBorder="1" applyAlignment="1">
      <alignment horizontal="right" vertical="center"/>
    </xf>
    <xf numFmtId="4" fontId="282" fillId="0" borderId="307" xfId="20" applyNumberFormat="1" applyFont="1" applyBorder="1" applyAlignment="1">
      <alignment horizontal="right" vertical="center"/>
    </xf>
    <xf numFmtId="4" fontId="285" fillId="0" borderId="307" xfId="20" applyNumberFormat="1" applyFont="1" applyBorder="1" applyAlignment="1">
      <alignment horizontal="right" vertical="center"/>
    </xf>
    <xf numFmtId="4" fontId="285" fillId="0" borderId="308" xfId="20" applyNumberFormat="1" applyFont="1" applyBorder="1" applyAlignment="1">
      <alignment horizontal="right" vertical="center"/>
    </xf>
    <xf numFmtId="4" fontId="305" fillId="0" borderId="155" xfId="20" applyNumberFormat="1" applyFont="1" applyBorder="1" applyAlignment="1">
      <alignment horizontal="right" vertical="center"/>
    </xf>
    <xf numFmtId="4" fontId="356" fillId="76" borderId="125" xfId="20" applyNumberFormat="1" applyFont="1" applyFill="1" applyBorder="1" applyAlignment="1">
      <alignment horizontal="right" vertical="center"/>
    </xf>
    <xf numFmtId="4" fontId="285" fillId="0" borderId="0" xfId="20" applyNumberFormat="1" applyFont="1" applyAlignment="1">
      <alignment horizontal="right" vertical="center"/>
    </xf>
    <xf numFmtId="4" fontId="282" fillId="0" borderId="125" xfId="20" applyNumberFormat="1" applyFont="1" applyBorder="1" applyAlignment="1">
      <alignment horizontal="right" vertical="center"/>
    </xf>
    <xf numFmtId="4" fontId="285" fillId="0" borderId="125" xfId="20" applyNumberFormat="1" applyFont="1" applyBorder="1" applyAlignment="1">
      <alignment horizontal="right" vertical="center"/>
    </xf>
    <xf numFmtId="4" fontId="285" fillId="36" borderId="310" xfId="20" applyNumberFormat="1" applyFont="1" applyFill="1" applyBorder="1" applyAlignment="1">
      <alignment horizontal="right" vertical="center"/>
    </xf>
    <xf numFmtId="4" fontId="282" fillId="36" borderId="311" xfId="20" applyNumberFormat="1" applyFont="1" applyFill="1" applyBorder="1" applyAlignment="1">
      <alignment horizontal="right" vertical="center"/>
    </xf>
    <xf numFmtId="4" fontId="285" fillId="36" borderId="311" xfId="20" applyNumberFormat="1" applyFont="1" applyFill="1" applyBorder="1" applyAlignment="1">
      <alignment horizontal="right" vertical="center"/>
    </xf>
    <xf numFmtId="4" fontId="305" fillId="36" borderId="311" xfId="20" applyNumberFormat="1" applyFont="1" applyFill="1" applyBorder="1" applyAlignment="1">
      <alignment horizontal="right" vertical="center"/>
    </xf>
    <xf numFmtId="0" fontId="27" fillId="76" borderId="170" xfId="20" applyFont="1" applyFill="1" applyBorder="1" applyAlignment="1">
      <alignment horizontal="center" vertical="center"/>
    </xf>
    <xf numFmtId="0" fontId="27" fillId="76" borderId="170" xfId="20" applyFont="1" applyFill="1" applyBorder="1" applyAlignment="1">
      <alignment horizontal="left" vertical="center" wrapText="1"/>
    </xf>
    <xf numFmtId="0" fontId="27" fillId="77" borderId="170" xfId="20" applyFont="1" applyFill="1" applyBorder="1" applyAlignment="1">
      <alignment horizontal="center" vertical="center"/>
    </xf>
    <xf numFmtId="4" fontId="285" fillId="76" borderId="224" xfId="20" applyNumberFormat="1" applyFont="1" applyFill="1" applyBorder="1" applyAlignment="1">
      <alignment horizontal="right" vertical="center"/>
    </xf>
    <xf numFmtId="4" fontId="282" fillId="76" borderId="314" xfId="20" applyNumberFormat="1" applyFont="1" applyFill="1" applyBorder="1" applyAlignment="1">
      <alignment horizontal="right" vertical="center"/>
    </xf>
    <xf numFmtId="4" fontId="285" fillId="76" borderId="314" xfId="20" applyNumberFormat="1" applyFont="1" applyFill="1" applyBorder="1" applyAlignment="1">
      <alignment horizontal="right" vertical="center"/>
    </xf>
    <xf numFmtId="4" fontId="305" fillId="36" borderId="314" xfId="20" applyNumberFormat="1" applyFont="1" applyFill="1" applyBorder="1" applyAlignment="1">
      <alignment horizontal="right" vertical="center"/>
    </xf>
    <xf numFmtId="4" fontId="305" fillId="0" borderId="315" xfId="20" applyNumberFormat="1" applyFont="1" applyBorder="1" applyAlignment="1">
      <alignment horizontal="right" vertical="center"/>
    </xf>
    <xf numFmtId="4" fontId="305" fillId="36" borderId="174" xfId="20" applyNumberFormat="1" applyFont="1" applyFill="1" applyBorder="1" applyAlignment="1">
      <alignment horizontal="right" vertical="center"/>
    </xf>
    <xf numFmtId="4" fontId="22" fillId="36" borderId="310" xfId="20" applyNumberFormat="1" applyFont="1" applyFill="1" applyBorder="1" applyAlignment="1">
      <alignment horizontal="right" vertical="center"/>
    </xf>
    <xf numFmtId="4" fontId="22" fillId="76" borderId="310" xfId="20" applyNumberFormat="1" applyFont="1" applyFill="1" applyBorder="1" applyAlignment="1">
      <alignment horizontal="right" vertical="center"/>
    </xf>
    <xf numFmtId="4" fontId="285" fillId="76" borderId="316" xfId="20" applyNumberFormat="1" applyFont="1" applyFill="1" applyBorder="1" applyAlignment="1">
      <alignment horizontal="right" vertical="center"/>
    </xf>
    <xf numFmtId="0" fontId="285" fillId="76" borderId="316" xfId="20" applyFont="1" applyFill="1" applyBorder="1" applyAlignment="1">
      <alignment horizontal="right" vertical="center"/>
    </xf>
    <xf numFmtId="0" fontId="305" fillId="36" borderId="317" xfId="20" applyFont="1" applyFill="1" applyBorder="1" applyAlignment="1">
      <alignment horizontal="right" vertical="center"/>
    </xf>
    <xf numFmtId="4" fontId="285" fillId="36" borderId="318" xfId="20" applyNumberFormat="1" applyFont="1" applyFill="1" applyBorder="1" applyAlignment="1">
      <alignment horizontal="right" vertical="center"/>
    </xf>
    <xf numFmtId="4" fontId="285" fillId="36" borderId="319" xfId="20" applyNumberFormat="1" applyFont="1" applyFill="1" applyBorder="1" applyAlignment="1">
      <alignment horizontal="right" vertical="center"/>
    </xf>
    <xf numFmtId="4" fontId="285" fillId="36" borderId="320" xfId="20" applyNumberFormat="1" applyFont="1" applyFill="1" applyBorder="1" applyAlignment="1">
      <alignment horizontal="right" vertical="center"/>
    </xf>
    <xf numFmtId="4" fontId="305" fillId="0" borderId="321" xfId="20" applyNumberFormat="1" applyFont="1" applyBorder="1" applyAlignment="1">
      <alignment horizontal="right" vertical="center"/>
    </xf>
    <xf numFmtId="0" fontId="27" fillId="76" borderId="160" xfId="20" applyFont="1" applyFill="1" applyBorder="1" applyAlignment="1">
      <alignment horizontal="left" vertical="center"/>
    </xf>
    <xf numFmtId="0" fontId="27" fillId="77" borderId="160" xfId="20" applyFont="1" applyFill="1" applyBorder="1" applyAlignment="1">
      <alignment horizontal="center" vertical="center"/>
    </xf>
    <xf numFmtId="4" fontId="27" fillId="76" borderId="160" xfId="20" applyNumberFormat="1" applyFont="1" applyFill="1" applyBorder="1" applyAlignment="1">
      <alignment horizontal="right" vertical="center"/>
    </xf>
    <xf numFmtId="4" fontId="356" fillId="76" borderId="160" xfId="20" applyNumberFormat="1" applyFont="1" applyFill="1" applyBorder="1" applyAlignment="1">
      <alignment horizontal="right" vertical="center"/>
    </xf>
    <xf numFmtId="4" fontId="382" fillId="76" borderId="310" xfId="20" applyNumberFormat="1" applyFont="1" applyFill="1" applyBorder="1" applyAlignment="1">
      <alignment horizontal="right" vertical="center"/>
    </xf>
    <xf numFmtId="4" fontId="383" fillId="76" borderId="311" xfId="20" applyNumberFormat="1" applyFont="1" applyFill="1" applyBorder="1" applyAlignment="1">
      <alignment horizontal="right" vertical="center"/>
    </xf>
    <xf numFmtId="4" fontId="382" fillId="76" borderId="322" xfId="20" applyNumberFormat="1" applyFont="1" applyFill="1" applyBorder="1" applyAlignment="1">
      <alignment horizontal="right" vertical="center"/>
    </xf>
    <xf numFmtId="4" fontId="382" fillId="76" borderId="311" xfId="20" applyNumberFormat="1" applyFont="1" applyFill="1" applyBorder="1" applyAlignment="1">
      <alignment horizontal="right" vertical="center"/>
    </xf>
    <xf numFmtId="4" fontId="384" fillId="36" borderId="323" xfId="20" applyNumberFormat="1" applyFont="1" applyFill="1" applyBorder="1" applyAlignment="1">
      <alignment horizontal="right" vertical="center"/>
    </xf>
    <xf numFmtId="4" fontId="285" fillId="36" borderId="123" xfId="20" applyNumberFormat="1" applyFont="1" applyFill="1" applyBorder="1" applyAlignment="1">
      <alignment horizontal="right" vertical="center"/>
    </xf>
    <xf numFmtId="4" fontId="285" fillId="36" borderId="141" xfId="20" applyNumberFormat="1" applyFont="1" applyFill="1" applyBorder="1" applyAlignment="1">
      <alignment horizontal="right" vertical="center"/>
    </xf>
    <xf numFmtId="4" fontId="285" fillId="36" borderId="175" xfId="20" applyNumberFormat="1" applyFont="1" applyFill="1" applyBorder="1" applyAlignment="1">
      <alignment horizontal="right" vertical="center"/>
    </xf>
    <xf numFmtId="4" fontId="285" fillId="36" borderId="142" xfId="20" applyNumberFormat="1" applyFont="1" applyFill="1" applyBorder="1" applyAlignment="1">
      <alignment horizontal="right" vertical="center"/>
    </xf>
    <xf numFmtId="4" fontId="305" fillId="0" borderId="174" xfId="20" applyNumberFormat="1" applyFont="1" applyBorder="1" applyAlignment="1">
      <alignment horizontal="right" vertical="center"/>
    </xf>
    <xf numFmtId="0" fontId="27" fillId="24" borderId="125" xfId="20" applyFont="1" applyFill="1" applyBorder="1" applyAlignment="1">
      <alignment horizontal="left" vertical="center"/>
    </xf>
    <xf numFmtId="4" fontId="282" fillId="76" borderId="125" xfId="20" applyNumberFormat="1" applyFont="1" applyFill="1" applyBorder="1" applyAlignment="1">
      <alignment horizontal="right" vertical="center"/>
    </xf>
    <xf numFmtId="4" fontId="285" fillId="36" borderId="138" xfId="20" applyNumberFormat="1" applyFont="1" applyFill="1" applyBorder="1" applyAlignment="1">
      <alignment horizontal="right" vertical="center"/>
    </xf>
    <xf numFmtId="4" fontId="285" fillId="36" borderId="157" xfId="20" applyNumberFormat="1" applyFont="1" applyFill="1" applyBorder="1" applyAlignment="1">
      <alignment horizontal="right" vertical="center"/>
    </xf>
    <xf numFmtId="0" fontId="27" fillId="37" borderId="160" xfId="20" applyFont="1" applyFill="1" applyBorder="1" applyAlignment="1">
      <alignment horizontal="center" vertical="center"/>
    </xf>
    <xf numFmtId="4" fontId="285" fillId="36" borderId="324" xfId="20" applyNumberFormat="1" applyFont="1" applyFill="1" applyBorder="1" applyAlignment="1">
      <alignment horizontal="right" vertical="center"/>
    </xf>
    <xf numFmtId="4" fontId="285" fillId="36" borderId="325" xfId="20" applyNumberFormat="1" applyFont="1" applyFill="1" applyBorder="1" applyAlignment="1">
      <alignment horizontal="right" vertical="center"/>
    </xf>
    <xf numFmtId="4" fontId="285" fillId="36" borderId="326" xfId="20" applyNumberFormat="1" applyFont="1" applyFill="1" applyBorder="1" applyAlignment="1">
      <alignment horizontal="right" vertical="center"/>
    </xf>
    <xf numFmtId="0" fontId="305" fillId="0" borderId="316" xfId="20" applyFont="1" applyBorder="1" applyAlignment="1">
      <alignment horizontal="right" vertical="center"/>
    </xf>
    <xf numFmtId="0" fontId="285" fillId="76" borderId="314" xfId="20" applyFont="1" applyFill="1" applyBorder="1" applyAlignment="1">
      <alignment horizontal="right" vertical="center"/>
    </xf>
    <xf numFmtId="0" fontId="305" fillId="36" borderId="314" xfId="20" applyFont="1" applyFill="1" applyBorder="1" applyAlignment="1">
      <alignment horizontal="right" vertical="center"/>
    </xf>
    <xf numFmtId="0" fontId="285" fillId="0" borderId="129" xfId="20" applyFont="1" applyBorder="1" applyAlignment="1">
      <alignment horizontal="right" vertical="center"/>
    </xf>
    <xf numFmtId="4" fontId="285" fillId="0" borderId="129" xfId="20" applyNumberFormat="1" applyFont="1" applyBorder="1" applyAlignment="1">
      <alignment horizontal="right" vertical="center"/>
    </xf>
    <xf numFmtId="4" fontId="285" fillId="76" borderId="122" xfId="20" applyNumberFormat="1" applyFont="1" applyFill="1" applyBorder="1" applyAlignment="1">
      <alignment horizontal="right" vertical="center"/>
    </xf>
    <xf numFmtId="0" fontId="285" fillId="36" borderId="125" xfId="20" applyFont="1" applyFill="1" applyBorder="1" applyAlignment="1">
      <alignment horizontal="right" vertical="center"/>
    </xf>
    <xf numFmtId="4" fontId="285" fillId="24" borderId="224" xfId="20" applyNumberFormat="1" applyFont="1" applyFill="1" applyBorder="1" applyAlignment="1">
      <alignment horizontal="right" vertical="center"/>
    </xf>
    <xf numFmtId="4" fontId="282" fillId="0" borderId="314" xfId="20" applyNumberFormat="1" applyFont="1" applyBorder="1" applyAlignment="1">
      <alignment horizontal="right" vertical="center"/>
    </xf>
    <xf numFmtId="4" fontId="285" fillId="0" borderId="314" xfId="20" applyNumberFormat="1" applyFont="1" applyBorder="1" applyAlignment="1">
      <alignment horizontal="right" vertical="center"/>
    </xf>
    <xf numFmtId="4" fontId="305" fillId="0" borderId="314" xfId="20" applyNumberFormat="1" applyFont="1" applyBorder="1" applyAlignment="1">
      <alignment horizontal="right" vertical="center"/>
    </xf>
    <xf numFmtId="4" fontId="282" fillId="36" borderId="125" xfId="20" applyNumberFormat="1" applyFont="1" applyFill="1" applyBorder="1" applyAlignment="1">
      <alignment horizontal="right" vertical="center"/>
    </xf>
    <xf numFmtId="0" fontId="27" fillId="76" borderId="170" xfId="20" applyFont="1" applyFill="1" applyBorder="1" applyAlignment="1">
      <alignment horizontal="left" vertical="center"/>
    </xf>
    <xf numFmtId="4" fontId="285" fillId="24" borderId="327" xfId="20" applyNumberFormat="1" applyFont="1" applyFill="1" applyBorder="1" applyAlignment="1">
      <alignment horizontal="right" vertical="center"/>
    </xf>
    <xf numFmtId="4" fontId="282" fillId="0" borderId="328" xfId="20" applyNumberFormat="1" applyFont="1" applyBorder="1" applyAlignment="1">
      <alignment horizontal="right" vertical="center"/>
    </xf>
    <xf numFmtId="4" fontId="285" fillId="0" borderId="328" xfId="20" applyNumberFormat="1" applyFont="1" applyBorder="1" applyAlignment="1">
      <alignment horizontal="right" vertical="center"/>
    </xf>
    <xf numFmtId="4" fontId="305" fillId="0" borderId="328" xfId="20" applyNumberFormat="1" applyFont="1" applyBorder="1" applyAlignment="1">
      <alignment horizontal="right" vertical="center"/>
    </xf>
    <xf numFmtId="0" fontId="285" fillId="36" borderId="0" xfId="20" applyFont="1" applyFill="1" applyAlignment="1">
      <alignment horizontal="right" vertical="center"/>
    </xf>
    <xf numFmtId="0" fontId="27" fillId="76" borderId="160" xfId="20" applyFont="1" applyFill="1" applyBorder="1" applyAlignment="1">
      <alignment horizontal="center" vertical="center"/>
    </xf>
    <xf numFmtId="0" fontId="27" fillId="76" borderId="160" xfId="20" applyFont="1" applyFill="1" applyBorder="1" applyAlignment="1">
      <alignment horizontal="left" vertical="center" wrapText="1"/>
    </xf>
    <xf numFmtId="0" fontId="285" fillId="24" borderId="0" xfId="20" applyFont="1" applyFill="1" applyAlignment="1">
      <alignment horizontal="right" vertical="center"/>
    </xf>
    <xf numFmtId="4" fontId="285" fillId="36" borderId="329" xfId="20" applyNumberFormat="1" applyFont="1" applyFill="1" applyBorder="1" applyAlignment="1">
      <alignment horizontal="right" vertical="center"/>
    </xf>
    <xf numFmtId="4" fontId="282" fillId="36" borderId="328" xfId="20" applyNumberFormat="1" applyFont="1" applyFill="1" applyBorder="1" applyAlignment="1">
      <alignment horizontal="right" vertical="center"/>
    </xf>
    <xf numFmtId="4" fontId="285" fillId="36" borderId="328" xfId="20" applyNumberFormat="1" applyFont="1" applyFill="1" applyBorder="1" applyAlignment="1">
      <alignment horizontal="right" vertical="center"/>
    </xf>
    <xf numFmtId="4" fontId="305" fillId="36" borderId="328" xfId="20" applyNumberFormat="1" applyFont="1" applyFill="1" applyBorder="1" applyAlignment="1">
      <alignment horizontal="right" vertical="center"/>
    </xf>
    <xf numFmtId="0" fontId="233" fillId="0" borderId="125" xfId="20" applyFont="1" applyBorder="1" applyAlignment="1">
      <alignment horizontal="center"/>
    </xf>
    <xf numFmtId="0" fontId="222" fillId="24" borderId="125" xfId="20" applyFont="1" applyFill="1" applyBorder="1" applyAlignment="1">
      <alignment horizontal="left" vertical="center"/>
    </xf>
    <xf numFmtId="0" fontId="222" fillId="24" borderId="125" xfId="20" applyFont="1" applyFill="1" applyBorder="1" applyAlignment="1">
      <alignment horizontal="center"/>
    </xf>
    <xf numFmtId="4" fontId="285" fillId="24" borderId="137" xfId="20" applyNumberFormat="1" applyFont="1" applyFill="1" applyBorder="1" applyAlignment="1">
      <alignment horizontal="right" vertical="center"/>
    </xf>
    <xf numFmtId="0" fontId="293" fillId="36" borderId="125" xfId="20" applyFont="1" applyFill="1" applyBorder="1" applyAlignment="1">
      <alignment horizontal="center"/>
    </xf>
    <xf numFmtId="0" fontId="293" fillId="36" borderId="125" xfId="20" applyFont="1" applyFill="1" applyBorder="1" applyAlignment="1">
      <alignment horizontal="left" vertical="center"/>
    </xf>
    <xf numFmtId="0" fontId="222" fillId="0" borderId="328" xfId="20" applyFont="1" applyBorder="1" applyAlignment="1">
      <alignment horizontal="left" vertical="center"/>
    </xf>
    <xf numFmtId="0" fontId="222" fillId="0" borderId="328" xfId="20" applyFont="1" applyBorder="1" applyAlignment="1">
      <alignment horizontal="center"/>
    </xf>
    <xf numFmtId="4" fontId="27" fillId="76" borderId="170" xfId="20" applyNumberFormat="1" applyFont="1" applyFill="1" applyBorder="1" applyAlignment="1">
      <alignment horizontal="right" vertical="center"/>
    </xf>
    <xf numFmtId="4" fontId="285" fillId="0" borderId="327" xfId="20" applyNumberFormat="1" applyFont="1" applyBorder="1" applyAlignment="1">
      <alignment horizontal="right" vertical="center"/>
    </xf>
    <xf numFmtId="0" fontId="222" fillId="0" borderId="125" xfId="20" applyFont="1" applyBorder="1" applyAlignment="1">
      <alignment horizontal="center"/>
    </xf>
    <xf numFmtId="0" fontId="222" fillId="76" borderId="125" xfId="20" applyFont="1" applyFill="1" applyBorder="1" applyAlignment="1">
      <alignment horizontal="left" vertical="center"/>
    </xf>
    <xf numFmtId="0" fontId="222" fillId="76" borderId="125" xfId="20" applyFont="1" applyFill="1" applyBorder="1" applyAlignment="1">
      <alignment horizontal="center"/>
    </xf>
    <xf numFmtId="0" fontId="222" fillId="36" borderId="316" xfId="20" applyFont="1" applyFill="1" applyBorder="1" applyAlignment="1">
      <alignment horizontal="left" vertical="center"/>
    </xf>
    <xf numFmtId="0" fontId="222" fillId="36" borderId="316" xfId="20" applyFont="1" applyFill="1" applyBorder="1" applyAlignment="1">
      <alignment horizontal="center" vertical="center"/>
    </xf>
    <xf numFmtId="4" fontId="285" fillId="36" borderId="199" xfId="20" applyNumberFormat="1" applyFont="1" applyFill="1" applyBorder="1" applyAlignment="1">
      <alignment horizontal="right" vertical="center"/>
    </xf>
    <xf numFmtId="4" fontId="285" fillId="36" borderId="200" xfId="20" applyNumberFormat="1" applyFont="1" applyFill="1" applyBorder="1" applyAlignment="1">
      <alignment horizontal="right" vertical="center"/>
    </xf>
    <xf numFmtId="4" fontId="285" fillId="36" borderId="281" xfId="20" applyNumberFormat="1" applyFont="1" applyFill="1" applyBorder="1" applyAlignment="1">
      <alignment horizontal="right" vertical="center"/>
    </xf>
    <xf numFmtId="0" fontId="222" fillId="76" borderId="328" xfId="20" applyFont="1" applyFill="1" applyBorder="1" applyAlignment="1">
      <alignment horizontal="left" vertical="center"/>
    </xf>
    <xf numFmtId="0" fontId="222" fillId="76" borderId="328" xfId="20" applyFont="1" applyFill="1" applyBorder="1" applyAlignment="1">
      <alignment horizontal="center"/>
    </xf>
    <xf numFmtId="0" fontId="222" fillId="76" borderId="330" xfId="20" applyFont="1" applyFill="1" applyBorder="1" applyAlignment="1">
      <alignment horizontal="left" vertical="center"/>
    </xf>
    <xf numFmtId="0" fontId="27" fillId="77" borderId="306" xfId="20" applyFont="1" applyFill="1" applyBorder="1" applyAlignment="1">
      <alignment horizontal="center" vertical="center"/>
    </xf>
    <xf numFmtId="4" fontId="285" fillId="76" borderId="276" xfId="20" applyNumberFormat="1" applyFont="1" applyFill="1" applyBorder="1" applyAlignment="1">
      <alignment horizontal="right" vertical="center"/>
    </xf>
    <xf numFmtId="4" fontId="282" fillId="76" borderId="307" xfId="20" applyNumberFormat="1" applyFont="1" applyFill="1" applyBorder="1" applyAlignment="1">
      <alignment horizontal="right" vertical="center"/>
    </xf>
    <xf numFmtId="4" fontId="285" fillId="76" borderId="307" xfId="20" applyNumberFormat="1" applyFont="1" applyFill="1" applyBorder="1" applyAlignment="1">
      <alignment horizontal="right" vertical="center"/>
    </xf>
    <xf numFmtId="4" fontId="285" fillId="76" borderId="308" xfId="20" applyNumberFormat="1" applyFont="1" applyFill="1" applyBorder="1" applyAlignment="1">
      <alignment horizontal="right" vertical="center"/>
    </xf>
    <xf numFmtId="4" fontId="305" fillId="36" borderId="329" xfId="20" applyNumberFormat="1" applyFont="1" applyFill="1" applyBorder="1" applyAlignment="1">
      <alignment horizontal="right" vertical="center"/>
    </xf>
    <xf numFmtId="0" fontId="222" fillId="36" borderId="328" xfId="20" applyFont="1" applyFill="1" applyBorder="1" applyAlignment="1">
      <alignment horizontal="left" vertical="center"/>
    </xf>
    <xf numFmtId="0" fontId="222" fillId="36" borderId="328" xfId="20" applyFont="1" applyFill="1" applyBorder="1" applyAlignment="1">
      <alignment horizontal="center" vertical="center"/>
    </xf>
    <xf numFmtId="4" fontId="285" fillId="36" borderId="279" xfId="20" applyNumberFormat="1" applyFont="1" applyFill="1" applyBorder="1" applyAlignment="1">
      <alignment horizontal="right" vertical="center"/>
    </xf>
    <xf numFmtId="4" fontId="285" fillId="36" borderId="290" xfId="20" applyNumberFormat="1" applyFont="1" applyFill="1" applyBorder="1" applyAlignment="1">
      <alignment horizontal="right" vertical="center"/>
    </xf>
    <xf numFmtId="4" fontId="285" fillId="36" borderId="304" xfId="20" applyNumberFormat="1" applyFont="1" applyFill="1" applyBorder="1" applyAlignment="1">
      <alignment horizontal="right" vertical="center"/>
    </xf>
    <xf numFmtId="4" fontId="285" fillId="76" borderId="137" xfId="20" applyNumberFormat="1" applyFont="1" applyFill="1" applyBorder="1" applyAlignment="1">
      <alignment horizontal="right" vertical="center"/>
    </xf>
    <xf numFmtId="4" fontId="285" fillId="36" borderId="126" xfId="20" applyNumberFormat="1" applyFont="1" applyFill="1" applyBorder="1" applyAlignment="1">
      <alignment horizontal="right" vertical="center"/>
    </xf>
    <xf numFmtId="0" fontId="282" fillId="76" borderId="125" xfId="20" applyFont="1" applyFill="1" applyBorder="1" applyAlignment="1">
      <alignment horizontal="right" vertical="center"/>
    </xf>
    <xf numFmtId="0" fontId="368" fillId="36" borderId="125" xfId="20" applyFont="1" applyFill="1" applyBorder="1" applyAlignment="1">
      <alignment horizontal="right" vertical="center"/>
    </xf>
    <xf numFmtId="0" fontId="222" fillId="36" borderId="160" xfId="20" applyFont="1" applyFill="1" applyBorder="1" applyAlignment="1">
      <alignment horizontal="left" vertical="center"/>
    </xf>
    <xf numFmtId="0" fontId="282" fillId="36" borderId="160" xfId="20" applyFont="1" applyFill="1" applyBorder="1" applyAlignment="1">
      <alignment horizontal="right" vertical="center"/>
    </xf>
    <xf numFmtId="0" fontId="222" fillId="24" borderId="328" xfId="20" applyFont="1" applyFill="1" applyBorder="1" applyAlignment="1">
      <alignment horizontal="center"/>
    </xf>
    <xf numFmtId="0" fontId="222" fillId="24" borderId="328" xfId="20" applyFont="1" applyFill="1" applyBorder="1" applyAlignment="1">
      <alignment horizontal="left" vertical="center"/>
    </xf>
    <xf numFmtId="4" fontId="285" fillId="24" borderId="328" xfId="20" applyNumberFormat="1" applyFont="1" applyFill="1" applyBorder="1" applyAlignment="1">
      <alignment horizontal="right" vertical="center"/>
    </xf>
    <xf numFmtId="4" fontId="285" fillId="24" borderId="125" xfId="20" applyNumberFormat="1" applyFont="1" applyFill="1" applyBorder="1" applyAlignment="1">
      <alignment horizontal="right" vertical="center"/>
    </xf>
    <xf numFmtId="0" fontId="285" fillId="24" borderId="125" xfId="20" applyFont="1" applyFill="1" applyBorder="1" applyAlignment="1">
      <alignment horizontal="right" vertical="center"/>
    </xf>
    <xf numFmtId="0" fontId="305" fillId="0" borderId="328" xfId="20" applyFont="1" applyBorder="1" applyAlignment="1">
      <alignment horizontal="right" vertical="center"/>
    </xf>
    <xf numFmtId="0" fontId="222" fillId="36" borderId="331" xfId="20" applyFont="1" applyFill="1" applyBorder="1" applyAlignment="1">
      <alignment horizontal="center"/>
    </xf>
    <xf numFmtId="0" fontId="222" fillId="36" borderId="331" xfId="20" applyFont="1" applyFill="1" applyBorder="1" applyAlignment="1">
      <alignment horizontal="left" vertical="center"/>
    </xf>
    <xf numFmtId="4" fontId="285" fillId="36" borderId="332" xfId="20" applyNumberFormat="1" applyFont="1" applyFill="1" applyBorder="1" applyAlignment="1">
      <alignment horizontal="right" vertical="center"/>
    </xf>
    <xf numFmtId="4" fontId="282" fillId="36" borderId="331" xfId="20" applyNumberFormat="1" applyFont="1" applyFill="1" applyBorder="1" applyAlignment="1">
      <alignment horizontal="right" vertical="center"/>
    </xf>
    <xf numFmtId="4" fontId="285" fillId="36" borderId="331" xfId="20" applyNumberFormat="1" applyFont="1" applyFill="1" applyBorder="1" applyAlignment="1">
      <alignment horizontal="right" vertical="center"/>
    </xf>
    <xf numFmtId="4" fontId="285" fillId="24" borderId="329" xfId="20" applyNumberFormat="1" applyFont="1" applyFill="1" applyBorder="1" applyAlignment="1">
      <alignment horizontal="right" vertical="center"/>
    </xf>
    <xf numFmtId="4" fontId="285" fillId="36" borderId="137" xfId="20" applyNumberFormat="1" applyFont="1" applyFill="1" applyBorder="1" applyAlignment="1">
      <alignment horizontal="right" vertical="center"/>
    </xf>
    <xf numFmtId="4" fontId="285" fillId="76" borderId="327" xfId="20" applyNumberFormat="1" applyFont="1" applyFill="1" applyBorder="1" applyAlignment="1">
      <alignment horizontal="right" vertical="center"/>
    </xf>
    <xf numFmtId="4" fontId="285" fillId="76" borderId="328" xfId="20" applyNumberFormat="1" applyFont="1" applyFill="1" applyBorder="1" applyAlignment="1">
      <alignment horizontal="right" vertical="center"/>
    </xf>
    <xf numFmtId="0" fontId="305" fillId="36" borderId="328" xfId="20" applyFont="1" applyFill="1" applyBorder="1" applyAlignment="1">
      <alignment horizontal="right" vertical="center"/>
    </xf>
    <xf numFmtId="0" fontId="222" fillId="36" borderId="328" xfId="20" applyFont="1" applyFill="1" applyBorder="1" applyAlignment="1">
      <alignment horizontal="center"/>
    </xf>
    <xf numFmtId="4" fontId="285" fillId="36" borderId="327" xfId="20" applyNumberFormat="1" applyFont="1" applyFill="1" applyBorder="1" applyAlignment="1">
      <alignment horizontal="right" vertical="center"/>
    </xf>
    <xf numFmtId="0" fontId="222" fillId="0" borderId="314" xfId="20" applyFont="1" applyBorder="1" applyAlignment="1">
      <alignment horizontal="left" vertical="center"/>
    </xf>
    <xf numFmtId="0" fontId="222" fillId="0" borderId="314" xfId="20" applyFont="1" applyBorder="1" applyAlignment="1">
      <alignment horizontal="center"/>
    </xf>
    <xf numFmtId="0" fontId="222" fillId="24" borderId="314" xfId="20" applyFont="1" applyFill="1" applyBorder="1" applyAlignment="1">
      <alignment horizontal="left" vertical="center"/>
    </xf>
    <xf numFmtId="4" fontId="285" fillId="24" borderId="0" xfId="20" applyNumberFormat="1" applyFont="1" applyFill="1" applyAlignment="1">
      <alignment horizontal="right" vertical="center"/>
    </xf>
    <xf numFmtId="4" fontId="285" fillId="76" borderId="329" xfId="20" applyNumberFormat="1" applyFont="1" applyFill="1" applyBorder="1" applyAlignment="1">
      <alignment horizontal="right" vertical="center"/>
    </xf>
    <xf numFmtId="4" fontId="282" fillId="76" borderId="328" xfId="20" applyNumberFormat="1" applyFont="1" applyFill="1" applyBorder="1" applyAlignment="1">
      <alignment horizontal="right" vertical="center"/>
    </xf>
    <xf numFmtId="0" fontId="285" fillId="76" borderId="328" xfId="20" applyFont="1" applyFill="1" applyBorder="1" applyAlignment="1">
      <alignment horizontal="right" vertical="center"/>
    </xf>
    <xf numFmtId="4" fontId="285" fillId="36" borderId="333" xfId="20" applyNumberFormat="1" applyFont="1" applyFill="1" applyBorder="1" applyAlignment="1">
      <alignment horizontal="right" vertical="center"/>
    </xf>
    <xf numFmtId="4" fontId="285" fillId="36" borderId="334" xfId="20" applyNumberFormat="1" applyFont="1" applyFill="1" applyBorder="1" applyAlignment="1">
      <alignment horizontal="right" vertical="center"/>
    </xf>
    <xf numFmtId="4" fontId="285" fillId="36" borderId="335" xfId="20" applyNumberFormat="1" applyFont="1" applyFill="1" applyBorder="1" applyAlignment="1">
      <alignment horizontal="right" vertical="center"/>
    </xf>
    <xf numFmtId="0" fontId="222" fillId="76" borderId="328" xfId="20" applyFont="1" applyFill="1" applyBorder="1" applyAlignment="1">
      <alignment horizontal="center" vertical="center"/>
    </xf>
    <xf numFmtId="4" fontId="213" fillId="76" borderId="336" xfId="20" applyNumberFormat="1" applyFont="1" applyFill="1" applyBorder="1" applyAlignment="1">
      <alignment horizontal="right" vertical="center"/>
    </xf>
    <xf numFmtId="4" fontId="213" fillId="76" borderId="306" xfId="20" applyNumberFormat="1" applyFont="1" applyFill="1" applyBorder="1" applyAlignment="1">
      <alignment horizontal="right" vertical="center"/>
    </xf>
    <xf numFmtId="4" fontId="213" fillId="76" borderId="337" xfId="20" applyNumberFormat="1" applyFont="1" applyFill="1" applyBorder="1" applyAlignment="1">
      <alignment horizontal="right" vertical="center"/>
    </xf>
    <xf numFmtId="4" fontId="213" fillId="76" borderId="277" xfId="20" applyNumberFormat="1" applyFont="1" applyFill="1" applyBorder="1" applyAlignment="1">
      <alignment horizontal="right" vertical="center"/>
    </xf>
    <xf numFmtId="4" fontId="213" fillId="76" borderId="290" xfId="20" applyNumberFormat="1" applyFont="1" applyFill="1" applyBorder="1" applyAlignment="1">
      <alignment horizontal="right" vertical="center"/>
    </xf>
    <xf numFmtId="0" fontId="222" fillId="36" borderId="338" xfId="20" applyFont="1" applyFill="1" applyBorder="1" applyAlignment="1">
      <alignment horizontal="left" vertical="center"/>
    </xf>
    <xf numFmtId="0" fontId="222" fillId="36" borderId="338" xfId="20" applyFont="1" applyFill="1" applyBorder="1" applyAlignment="1">
      <alignment horizontal="center" vertical="center"/>
    </xf>
    <xf numFmtId="4" fontId="213" fillId="36" borderId="336" xfId="20" applyNumberFormat="1" applyFont="1" applyFill="1" applyBorder="1" applyAlignment="1">
      <alignment horizontal="right" vertical="center"/>
    </xf>
    <xf numFmtId="4" fontId="213" fillId="36" borderId="281" xfId="20" applyNumberFormat="1" applyFont="1" applyFill="1" applyBorder="1" applyAlignment="1">
      <alignment horizontal="right" vertical="center"/>
    </xf>
    <xf numFmtId="4" fontId="213" fillId="36" borderId="308" xfId="20" applyNumberFormat="1" applyFont="1" applyFill="1" applyBorder="1" applyAlignment="1">
      <alignment horizontal="right" vertical="center"/>
    </xf>
    <xf numFmtId="4" fontId="305" fillId="0" borderId="339" xfId="20" applyNumberFormat="1" applyFont="1" applyBorder="1" applyAlignment="1">
      <alignment horizontal="right" vertical="center"/>
    </xf>
    <xf numFmtId="0" fontId="285" fillId="0" borderId="172" xfId="20" applyFont="1" applyBorder="1" applyAlignment="1">
      <alignment horizontal="right" vertical="center"/>
    </xf>
    <xf numFmtId="0" fontId="285" fillId="0" borderId="160" xfId="20" applyFont="1" applyBorder="1" applyAlignment="1">
      <alignment horizontal="right" vertical="center"/>
    </xf>
    <xf numFmtId="0" fontId="285" fillId="76" borderId="329" xfId="20" applyFont="1" applyFill="1" applyBorder="1" applyAlignment="1">
      <alignment horizontal="right" vertical="center"/>
    </xf>
    <xf numFmtId="0" fontId="282" fillId="76" borderId="328" xfId="20" applyFont="1" applyFill="1" applyBorder="1" applyAlignment="1">
      <alignment horizontal="right" vertical="center"/>
    </xf>
    <xf numFmtId="0" fontId="285" fillId="76" borderId="137" xfId="20" applyFont="1" applyFill="1" applyBorder="1" applyAlignment="1">
      <alignment horizontal="right" vertical="center"/>
    </xf>
    <xf numFmtId="4" fontId="285" fillId="76" borderId="312" xfId="20" applyNumberFormat="1" applyFont="1" applyFill="1" applyBorder="1" applyAlignment="1">
      <alignment horizontal="right" vertical="center"/>
    </xf>
    <xf numFmtId="0" fontId="222" fillId="0" borderId="160" xfId="20" applyFont="1" applyBorder="1" applyAlignment="1">
      <alignment horizontal="left" vertical="center"/>
    </xf>
    <xf numFmtId="0" fontId="222" fillId="36" borderId="307" xfId="20" applyFont="1" applyFill="1" applyBorder="1" applyAlignment="1">
      <alignment horizontal="left" vertical="center"/>
    </xf>
    <xf numFmtId="0" fontId="222" fillId="36" borderId="336" xfId="20" applyFont="1" applyFill="1" applyBorder="1" applyAlignment="1">
      <alignment horizontal="left" vertical="center"/>
    </xf>
    <xf numFmtId="0" fontId="222" fillId="36" borderId="163" xfId="20" applyFont="1" applyFill="1" applyBorder="1" applyAlignment="1">
      <alignment horizontal="center" vertical="center"/>
    </xf>
    <xf numFmtId="0" fontId="222" fillId="36" borderId="277" xfId="20" applyFont="1" applyFill="1" applyBorder="1" applyAlignment="1">
      <alignment horizontal="left" vertical="center"/>
    </xf>
    <xf numFmtId="0" fontId="27" fillId="37" borderId="312" xfId="20" applyFont="1" applyFill="1" applyBorder="1" applyAlignment="1">
      <alignment horizontal="center" vertical="center"/>
    </xf>
    <xf numFmtId="4" fontId="213" fillId="36" borderId="307" xfId="20" applyNumberFormat="1" applyFont="1" applyFill="1" applyBorder="1" applyAlignment="1">
      <alignment horizontal="right" vertical="center"/>
    </xf>
    <xf numFmtId="0" fontId="222" fillId="36" borderId="306" xfId="20" applyFont="1" applyFill="1" applyBorder="1" applyAlignment="1">
      <alignment horizontal="left" vertical="center"/>
    </xf>
    <xf numFmtId="0" fontId="222" fillId="36" borderId="307" xfId="20" applyFont="1" applyFill="1" applyBorder="1" applyAlignment="1">
      <alignment horizontal="center" vertical="center"/>
    </xf>
    <xf numFmtId="4" fontId="305" fillId="0" borderId="329" xfId="20" applyNumberFormat="1" applyFont="1" applyBorder="1" applyAlignment="1">
      <alignment horizontal="right" vertical="center"/>
    </xf>
    <xf numFmtId="0" fontId="222" fillId="76" borderId="338" xfId="20" applyFont="1" applyFill="1" applyBorder="1" applyAlignment="1">
      <alignment horizontal="left" vertical="center"/>
    </xf>
    <xf numFmtId="0" fontId="285" fillId="76" borderId="340" xfId="20" applyFont="1" applyFill="1" applyBorder="1" applyAlignment="1">
      <alignment horizontal="right" vertical="center"/>
    </xf>
    <xf numFmtId="0" fontId="282" fillId="76" borderId="338" xfId="20" applyFont="1" applyFill="1" applyBorder="1" applyAlignment="1">
      <alignment horizontal="right" vertical="center"/>
    </xf>
    <xf numFmtId="4" fontId="285" fillId="76" borderId="338" xfId="20" applyNumberFormat="1" applyFont="1" applyFill="1" applyBorder="1" applyAlignment="1">
      <alignment horizontal="right" vertical="center"/>
    </xf>
    <xf numFmtId="0" fontId="222" fillId="36" borderId="308" xfId="20" applyFont="1" applyFill="1" applyBorder="1" applyAlignment="1">
      <alignment horizontal="left" vertical="center"/>
    </xf>
    <xf numFmtId="0" fontId="222" fillId="36" borderId="306" xfId="20" applyFont="1" applyFill="1" applyBorder="1" applyAlignment="1">
      <alignment horizontal="center" vertical="center"/>
    </xf>
    <xf numFmtId="0" fontId="222" fillId="76" borderId="157" xfId="20" applyFont="1" applyFill="1" applyBorder="1" applyAlignment="1">
      <alignment horizontal="left" vertical="center"/>
    </xf>
    <xf numFmtId="0" fontId="222" fillId="76" borderId="126" xfId="20" applyFont="1" applyFill="1" applyBorder="1" applyAlignment="1">
      <alignment horizontal="left" vertical="center"/>
    </xf>
    <xf numFmtId="0" fontId="222" fillId="76" borderId="137" xfId="20" applyFont="1" applyFill="1" applyBorder="1" applyAlignment="1">
      <alignment horizontal="center"/>
    </xf>
    <xf numFmtId="0" fontId="222" fillId="36" borderId="281" xfId="20" applyFont="1" applyFill="1" applyBorder="1" applyAlignment="1">
      <alignment horizontal="left" vertical="center"/>
    </xf>
    <xf numFmtId="0" fontId="222" fillId="36" borderId="199" xfId="20" applyFont="1" applyFill="1" applyBorder="1" applyAlignment="1">
      <alignment horizontal="left" vertical="center"/>
    </xf>
    <xf numFmtId="0" fontId="222" fillId="36" borderId="281" xfId="20" applyFont="1" applyFill="1" applyBorder="1" applyAlignment="1">
      <alignment horizontal="center" vertical="center"/>
    </xf>
    <xf numFmtId="0" fontId="222" fillId="76" borderId="338" xfId="20" applyFont="1" applyFill="1" applyBorder="1" applyAlignment="1">
      <alignment horizontal="center"/>
    </xf>
    <xf numFmtId="4" fontId="285" fillId="76" borderId="341" xfId="20" applyNumberFormat="1" applyFont="1" applyFill="1" applyBorder="1" applyAlignment="1">
      <alignment horizontal="right" vertical="center"/>
    </xf>
    <xf numFmtId="4" fontId="282" fillId="76" borderId="338" xfId="20" applyNumberFormat="1" applyFont="1" applyFill="1" applyBorder="1" applyAlignment="1">
      <alignment horizontal="right" vertical="center"/>
    </xf>
    <xf numFmtId="0" fontId="285" fillId="76" borderId="338" xfId="20" applyFont="1" applyFill="1" applyBorder="1" applyAlignment="1">
      <alignment horizontal="right" vertical="center"/>
    </xf>
    <xf numFmtId="0" fontId="222" fillId="24" borderId="0" xfId="20" applyFont="1" applyFill="1" applyAlignment="1">
      <alignment vertical="center"/>
    </xf>
    <xf numFmtId="0" fontId="285" fillId="36" borderId="327" xfId="20" applyFont="1" applyFill="1" applyBorder="1" applyAlignment="1">
      <alignment horizontal="right" vertical="center"/>
    </xf>
    <xf numFmtId="0" fontId="222" fillId="36" borderId="314" xfId="20" applyFont="1" applyFill="1" applyBorder="1" applyAlignment="1">
      <alignment horizontal="left" vertical="center"/>
    </xf>
    <xf numFmtId="0" fontId="222" fillId="36" borderId="314" xfId="20" applyFont="1" applyFill="1" applyBorder="1" applyAlignment="1">
      <alignment horizontal="center"/>
    </xf>
    <xf numFmtId="4" fontId="285" fillId="36" borderId="309" xfId="20" applyNumberFormat="1" applyFont="1" applyFill="1" applyBorder="1" applyAlignment="1">
      <alignment horizontal="right" vertical="center"/>
    </xf>
    <xf numFmtId="4" fontId="282" fillId="36" borderId="314" xfId="20" applyNumberFormat="1" applyFont="1" applyFill="1" applyBorder="1" applyAlignment="1">
      <alignment horizontal="right" vertical="center"/>
    </xf>
    <xf numFmtId="4" fontId="285" fillId="36" borderId="314" xfId="20" applyNumberFormat="1" applyFont="1" applyFill="1" applyBorder="1" applyAlignment="1">
      <alignment horizontal="right" vertical="center"/>
    </xf>
    <xf numFmtId="0" fontId="285" fillId="36" borderId="314" xfId="20" applyFont="1" applyFill="1" applyBorder="1" applyAlignment="1">
      <alignment horizontal="right" vertical="center"/>
    </xf>
    <xf numFmtId="0" fontId="285" fillId="0" borderId="328" xfId="20" applyFont="1" applyBorder="1" applyAlignment="1">
      <alignment horizontal="right" vertical="center"/>
    </xf>
    <xf numFmtId="0" fontId="285" fillId="36" borderId="328" xfId="20" applyFont="1" applyFill="1" applyBorder="1" applyAlignment="1">
      <alignment horizontal="right" vertical="center"/>
    </xf>
    <xf numFmtId="0" fontId="285" fillId="24" borderId="327" xfId="20" applyFont="1" applyFill="1" applyBorder="1" applyAlignment="1">
      <alignment horizontal="right" vertical="center"/>
    </xf>
    <xf numFmtId="0" fontId="285" fillId="36" borderId="329" xfId="20" applyFont="1" applyFill="1" applyBorder="1" applyAlignment="1">
      <alignment horizontal="right" vertical="center"/>
    </xf>
    <xf numFmtId="0" fontId="282" fillId="0" borderId="328" xfId="20" applyFont="1" applyBorder="1" applyAlignment="1">
      <alignment horizontal="right" vertical="center"/>
    </xf>
    <xf numFmtId="0" fontId="282" fillId="36" borderId="328" xfId="20" applyFont="1" applyFill="1" applyBorder="1" applyAlignment="1">
      <alignment horizontal="right" vertical="center"/>
    </xf>
    <xf numFmtId="0" fontId="22" fillId="36" borderId="137" xfId="20" applyFont="1" applyFill="1" applyBorder="1" applyAlignment="1">
      <alignment horizontal="right" vertical="center"/>
    </xf>
    <xf numFmtId="0" fontId="222" fillId="76" borderId="160" xfId="20" applyFont="1" applyFill="1" applyBorder="1" applyAlignment="1">
      <alignment horizontal="left" vertical="center"/>
    </xf>
    <xf numFmtId="0" fontId="222" fillId="24" borderId="129" xfId="20" applyFont="1" applyFill="1" applyBorder="1" applyAlignment="1">
      <alignment horizontal="center"/>
    </xf>
    <xf numFmtId="0" fontId="385" fillId="24" borderId="129" xfId="20" applyFont="1" applyFill="1" applyBorder="1" applyAlignment="1">
      <alignment horizontal="left" vertical="center"/>
    </xf>
    <xf numFmtId="4" fontId="282" fillId="0" borderId="280" xfId="20" applyNumberFormat="1" applyFont="1" applyBorder="1" applyAlignment="1">
      <alignment horizontal="right" vertical="center"/>
    </xf>
    <xf numFmtId="4" fontId="282" fillId="0" borderId="160" xfId="20" applyNumberFormat="1" applyFont="1" applyBorder="1" applyAlignment="1">
      <alignment horizontal="right" vertical="center"/>
    </xf>
    <xf numFmtId="4" fontId="282" fillId="0" borderId="129" xfId="20" applyNumberFormat="1" applyFont="1" applyBorder="1" applyAlignment="1">
      <alignment horizontal="right" vertical="center"/>
    </xf>
    <xf numFmtId="4" fontId="368" fillId="0" borderId="129" xfId="20" applyNumberFormat="1" applyFont="1" applyBorder="1" applyAlignment="1">
      <alignment horizontal="right" vertical="center"/>
    </xf>
    <xf numFmtId="173" fontId="104" fillId="0" borderId="0" xfId="20" applyNumberFormat="1" applyFont="1" applyAlignment="1">
      <alignment horizontal="left" vertical="center"/>
    </xf>
    <xf numFmtId="0" fontId="105" fillId="35" borderId="322" xfId="3" applyFont="1" applyFill="1" applyBorder="1" applyAlignment="1">
      <alignment horizontal="center"/>
    </xf>
    <xf numFmtId="0" fontId="105" fillId="28" borderId="322" xfId="3" applyFont="1" applyFill="1" applyBorder="1" applyAlignment="1">
      <alignment horizontal="center"/>
    </xf>
    <xf numFmtId="0" fontId="105" fillId="35" borderId="322" xfId="3" applyFont="1" applyFill="1" applyBorder="1" applyAlignment="1">
      <alignment horizontal="center" vertical="center"/>
    </xf>
    <xf numFmtId="3" fontId="143" fillId="0" borderId="197" xfId="3" applyNumberFormat="1" applyFont="1" applyBorder="1" applyAlignment="1">
      <alignment horizontal="center" vertical="center"/>
    </xf>
    <xf numFmtId="0" fontId="222" fillId="36" borderId="142" xfId="20" applyFont="1" applyFill="1" applyBorder="1" applyAlignment="1">
      <alignment horizontal="left" vertical="center"/>
    </xf>
    <xf numFmtId="0" fontId="222" fillId="36" borderId="170" xfId="20" applyFont="1" applyFill="1" applyBorder="1" applyAlignment="1">
      <alignment horizontal="left" vertical="center"/>
    </xf>
    <xf numFmtId="0" fontId="293" fillId="36" borderId="279" xfId="20" applyFont="1" applyFill="1" applyBorder="1" applyAlignment="1">
      <alignment horizontal="left" vertical="center"/>
    </xf>
    <xf numFmtId="0" fontId="104" fillId="37" borderId="152" xfId="20" applyFont="1" applyFill="1" applyBorder="1" applyAlignment="1">
      <alignment horizontal="center" vertical="center" wrapText="1"/>
    </xf>
    <xf numFmtId="4" fontId="93" fillId="36" borderId="157" xfId="20" applyNumberFormat="1" applyFont="1" applyFill="1" applyBorder="1" applyAlignment="1">
      <alignment horizontal="right" vertical="center"/>
    </xf>
    <xf numFmtId="4" fontId="95" fillId="36" borderId="0" xfId="20" applyNumberFormat="1" applyFont="1" applyFill="1" applyAlignment="1">
      <alignment horizontal="right" vertical="center"/>
    </xf>
    <xf numFmtId="4" fontId="305" fillId="36" borderId="122" xfId="20" applyNumberFormat="1" applyFont="1" applyFill="1" applyBorder="1" applyAlignment="1">
      <alignment horizontal="right" vertical="center"/>
    </xf>
    <xf numFmtId="3" fontId="143" fillId="0" borderId="152" xfId="3" applyNumberFormat="1" applyFont="1" applyBorder="1" applyAlignment="1">
      <alignment horizontal="center" vertical="center"/>
    </xf>
    <xf numFmtId="0" fontId="222" fillId="0" borderId="157" xfId="20" applyFont="1" applyBorder="1" applyAlignment="1">
      <alignment horizontal="left" vertical="center"/>
    </xf>
    <xf numFmtId="0" fontId="222" fillId="0" borderId="126" xfId="20" applyFont="1" applyBorder="1" applyAlignment="1">
      <alignment horizontal="left" vertical="center"/>
    </xf>
    <xf numFmtId="0" fontId="104" fillId="0" borderId="152" xfId="3" applyFont="1" applyBorder="1" applyAlignment="1">
      <alignment horizontal="center" vertical="center"/>
    </xf>
    <xf numFmtId="4" fontId="356" fillId="0" borderId="22" xfId="3" applyNumberFormat="1" applyFont="1" applyBorder="1" applyAlignment="1">
      <alignment horizontal="right" vertical="center"/>
    </xf>
    <xf numFmtId="4" fontId="22" fillId="0" borderId="157" xfId="20" applyNumberFormat="1" applyFont="1" applyBorder="1" applyAlignment="1">
      <alignment horizontal="right" vertical="center"/>
    </xf>
    <xf numFmtId="0" fontId="222" fillId="36" borderId="157" xfId="20" applyFont="1" applyFill="1" applyBorder="1" applyAlignment="1">
      <alignment horizontal="left" vertical="center"/>
    </xf>
    <xf numFmtId="0" fontId="222" fillId="36" borderId="126" xfId="20" applyFont="1" applyFill="1" applyBorder="1" applyAlignment="1">
      <alignment horizontal="left" vertical="center"/>
    </xf>
    <xf numFmtId="2" fontId="386" fillId="36" borderId="157" xfId="20" applyNumberFormat="1" applyFont="1" applyFill="1" applyBorder="1" applyAlignment="1">
      <alignment horizontal="right" vertical="center"/>
    </xf>
    <xf numFmtId="4" fontId="22" fillId="36" borderId="0" xfId="20" applyNumberFormat="1" applyFont="1" applyFill="1" applyAlignment="1">
      <alignment horizontal="right" vertical="center"/>
    </xf>
    <xf numFmtId="0" fontId="104" fillId="0" borderId="152" xfId="3" applyFont="1" applyBorder="1" applyAlignment="1">
      <alignment vertical="center"/>
    </xf>
    <xf numFmtId="2" fontId="27" fillId="0" borderId="152" xfId="3" applyNumberFormat="1" applyFont="1" applyBorder="1" applyAlignment="1">
      <alignment horizontal="right" vertical="center"/>
    </xf>
    <xf numFmtId="0" fontId="95" fillId="0" borderId="0" xfId="20" applyFont="1" applyAlignment="1">
      <alignment horizontal="right" vertical="center"/>
    </xf>
    <xf numFmtId="3" fontId="143" fillId="78" borderId="194" xfId="3" applyNumberFormat="1" applyFont="1" applyFill="1" applyBorder="1" applyAlignment="1">
      <alignment horizontal="center" vertical="center"/>
    </xf>
    <xf numFmtId="0" fontId="222" fillId="38" borderId="194" xfId="20" applyFont="1" applyFill="1" applyBorder="1" applyAlignment="1">
      <alignment horizontal="left" vertical="center"/>
    </xf>
    <xf numFmtId="0" fontId="27" fillId="36" borderId="194" xfId="20" applyFont="1" applyFill="1" applyBorder="1" applyAlignment="1">
      <alignment horizontal="left" vertical="center"/>
    </xf>
    <xf numFmtId="0" fontId="27" fillId="36" borderId="194" xfId="20" applyFont="1" applyFill="1" applyBorder="1" applyAlignment="1">
      <alignment horizontal="center" vertical="center"/>
    </xf>
    <xf numFmtId="0" fontId="27" fillId="36" borderId="194" xfId="20" applyFont="1" applyFill="1" applyBorder="1" applyAlignment="1">
      <alignment horizontal="left" vertical="center" wrapText="1"/>
    </xf>
    <xf numFmtId="0" fontId="104" fillId="37" borderId="194" xfId="20" applyFont="1" applyFill="1" applyBorder="1" applyAlignment="1">
      <alignment horizontal="center" vertical="center" wrapText="1"/>
    </xf>
    <xf numFmtId="4" fontId="27" fillId="36" borderId="194" xfId="20" applyNumberFormat="1" applyFont="1" applyFill="1" applyBorder="1" applyAlignment="1">
      <alignment horizontal="right" vertical="center"/>
    </xf>
    <xf numFmtId="4" fontId="27" fillId="36" borderId="281" xfId="3" applyNumberFormat="1" applyFont="1" applyFill="1" applyBorder="1" applyAlignment="1">
      <alignment horizontal="right" vertical="center"/>
    </xf>
    <xf numFmtId="4" fontId="27" fillId="36" borderId="280" xfId="3" applyNumberFormat="1" applyFont="1" applyFill="1" applyBorder="1" applyAlignment="1">
      <alignment horizontal="right" vertical="center"/>
    </xf>
    <xf numFmtId="0" fontId="7" fillId="0" borderId="2" xfId="3" applyFont="1" applyBorder="1" applyAlignment="1">
      <alignment horizontal="left"/>
    </xf>
    <xf numFmtId="2" fontId="7" fillId="0" borderId="2" xfId="3" applyNumberFormat="1" applyFont="1" applyBorder="1" applyAlignment="1">
      <alignment horizontal="left"/>
    </xf>
    <xf numFmtId="14" fontId="26" fillId="0" borderId="2" xfId="3" applyNumberFormat="1" applyBorder="1" applyAlignment="1">
      <alignment horizontal="left"/>
    </xf>
    <xf numFmtId="2" fontId="26" fillId="0" borderId="2" xfId="3" applyNumberFormat="1" applyBorder="1" applyAlignment="1">
      <alignment horizontal="left"/>
    </xf>
    <xf numFmtId="14" fontId="93" fillId="0" borderId="0" xfId="3" applyNumberFormat="1" applyFont="1" applyAlignment="1">
      <alignment horizontal="right" vertical="center"/>
    </xf>
    <xf numFmtId="14" fontId="26" fillId="0" borderId="2" xfId="3" applyNumberFormat="1" applyBorder="1" applyAlignment="1">
      <alignment horizontal="left" vertical="center"/>
    </xf>
    <xf numFmtId="165" fontId="0" fillId="0" borderId="342" xfId="0" applyNumberFormat="1" applyBorder="1" applyAlignment="1">
      <alignment horizontal="center" vertical="center"/>
    </xf>
    <xf numFmtId="171" fontId="122" fillId="0" borderId="0" xfId="3" applyNumberFormat="1" applyFont="1" applyAlignment="1">
      <alignment horizontal="center" vertical="center"/>
    </xf>
    <xf numFmtId="171" fontId="379" fillId="0" borderId="125" xfId="20" applyNumberFormat="1" applyFont="1" applyBorder="1" applyAlignment="1">
      <alignment horizontal="center" vertical="center"/>
    </xf>
    <xf numFmtId="171" fontId="379" fillId="0" borderId="138" xfId="20" applyNumberFormat="1" applyFont="1" applyBorder="1" applyAlignment="1">
      <alignment horizontal="center" vertical="center"/>
    </xf>
    <xf numFmtId="170" fontId="379" fillId="32" borderId="129" xfId="20" applyNumberFormat="1" applyFont="1" applyFill="1" applyBorder="1" applyAlignment="1">
      <alignment horizontal="center" vertical="center"/>
    </xf>
    <xf numFmtId="170" fontId="379" fillId="32" borderId="139" xfId="20" applyNumberFormat="1" applyFont="1" applyFill="1" applyBorder="1" applyAlignment="1">
      <alignment horizontal="center" vertical="center"/>
    </xf>
    <xf numFmtId="0" fontId="15" fillId="0" borderId="1" xfId="20" applyFont="1" applyBorder="1"/>
    <xf numFmtId="2" fontId="22" fillId="12" borderId="4" xfId="20" applyNumberFormat="1" applyFont="1" applyFill="1" applyBorder="1"/>
    <xf numFmtId="0" fontId="22" fillId="0" borderId="0" xfId="20" applyFont="1"/>
    <xf numFmtId="0" fontId="21" fillId="0" borderId="0" xfId="20" applyFont="1"/>
    <xf numFmtId="0" fontId="387" fillId="82" borderId="0" xfId="20" applyFont="1" applyFill="1"/>
    <xf numFmtId="0" fontId="96" fillId="82" borderId="0" xfId="20" applyFont="1" applyFill="1"/>
    <xf numFmtId="4" fontId="160" fillId="83" borderId="122" xfId="20" applyNumberFormat="1" applyFont="1" applyFill="1" applyBorder="1" applyAlignment="1">
      <alignment horizontal="right" vertical="center"/>
    </xf>
    <xf numFmtId="165" fontId="0" fillId="0" borderId="343" xfId="0" applyNumberFormat="1" applyBorder="1" applyAlignment="1">
      <alignment horizontal="center" vertical="center"/>
    </xf>
    <xf numFmtId="0" fontId="68" fillId="0" borderId="0" xfId="0" applyFont="1" applyAlignment="1">
      <alignment horizontal="left" vertical="center"/>
    </xf>
    <xf numFmtId="0" fontId="69" fillId="0" borderId="117" xfId="0" applyFont="1" applyBorder="1" applyAlignment="1">
      <alignment horizontal="center"/>
    </xf>
    <xf numFmtId="0" fontId="0" fillId="0" borderId="344" xfId="0" applyBorder="1" applyAlignment="1">
      <alignment horizontal="center"/>
    </xf>
    <xf numFmtId="0" fontId="0" fillId="0" borderId="6" xfId="0" applyBorder="1" applyAlignment="1">
      <alignment horizontal="center"/>
    </xf>
    <xf numFmtId="0" fontId="69" fillId="0" borderId="284" xfId="0" applyFont="1" applyBorder="1" applyAlignment="1">
      <alignment horizontal="center"/>
    </xf>
    <xf numFmtId="0" fontId="54" fillId="4" borderId="52" xfId="0" applyFont="1" applyFill="1" applyBorder="1" applyAlignment="1">
      <alignment horizontal="center" vertical="center"/>
    </xf>
    <xf numFmtId="0" fontId="9" fillId="41" borderId="52" xfId="0" applyFont="1" applyFill="1" applyBorder="1" applyAlignment="1">
      <alignment horizontal="center" vertical="center"/>
    </xf>
    <xf numFmtId="179" fontId="123" fillId="30" borderId="125" xfId="20" applyNumberFormat="1" applyFont="1" applyFill="1" applyBorder="1" applyAlignment="1">
      <alignment horizontal="center" vertical="center"/>
    </xf>
    <xf numFmtId="0" fontId="104" fillId="0" borderId="163" xfId="3" applyFont="1" applyBorder="1"/>
    <xf numFmtId="0" fontId="104" fillId="19" borderId="164" xfId="3" applyFont="1" applyFill="1" applyBorder="1"/>
    <xf numFmtId="169" fontId="124" fillId="0" borderId="156" xfId="20" applyNumberFormat="1" applyFont="1" applyBorder="1" applyAlignment="1">
      <alignment horizontal="center" vertical="center" wrapText="1"/>
    </xf>
    <xf numFmtId="171" fontId="126" fillId="0" borderId="152" xfId="20" applyNumberFormat="1" applyFont="1" applyBorder="1" applyAlignment="1">
      <alignment horizontal="center" vertical="center"/>
    </xf>
    <xf numFmtId="4" fontId="123" fillId="32" borderId="126" xfId="30" applyNumberFormat="1" applyFont="1" applyFill="1" applyBorder="1" applyAlignment="1">
      <alignment horizontal="center" vertical="center"/>
    </xf>
    <xf numFmtId="164" fontId="79" fillId="4" borderId="0" xfId="0" applyNumberFormat="1" applyFont="1" applyFill="1" applyAlignment="1">
      <alignment horizontal="center" vertical="center"/>
    </xf>
    <xf numFmtId="164" fontId="81" fillId="4" borderId="0" xfId="0" applyNumberFormat="1" applyFont="1" applyFill="1" applyAlignment="1">
      <alignment horizontal="center" vertical="center"/>
    </xf>
    <xf numFmtId="0" fontId="69" fillId="0" borderId="51" xfId="0" applyFont="1" applyBorder="1" applyAlignment="1">
      <alignment vertical="center"/>
    </xf>
    <xf numFmtId="0" fontId="69" fillId="0" borderId="56" xfId="0" applyFont="1" applyBorder="1" applyAlignment="1">
      <alignment vertical="center"/>
    </xf>
    <xf numFmtId="0" fontId="211" fillId="36" borderId="125" xfId="20" applyFont="1" applyFill="1" applyBorder="1" applyAlignment="1">
      <alignment horizontal="left" vertical="center" wrapText="1"/>
    </xf>
    <xf numFmtId="169" fontId="389" fillId="0" borderId="125" xfId="20" applyNumberFormat="1" applyFont="1" applyBorder="1" applyAlignment="1">
      <alignment horizontal="center" vertical="center" wrapText="1"/>
    </xf>
    <xf numFmtId="0" fontId="261" fillId="0" borderId="236" xfId="20" applyFont="1" applyBorder="1" applyAlignment="1">
      <alignment vertical="center" wrapText="1"/>
    </xf>
    <xf numFmtId="0" fontId="230" fillId="0" borderId="328" xfId="0" applyFont="1" applyBorder="1" applyAlignment="1">
      <alignment horizontal="left" vertical="center"/>
    </xf>
    <xf numFmtId="0" fontId="230" fillId="36" borderId="125" xfId="0" applyFont="1" applyFill="1" applyBorder="1" applyAlignment="1">
      <alignment horizontal="left" vertical="center"/>
    </xf>
    <xf numFmtId="0" fontId="230" fillId="0" borderId="125" xfId="0" applyFont="1" applyBorder="1" applyAlignment="1">
      <alignment horizontal="left" vertical="center"/>
    </xf>
    <xf numFmtId="0" fontId="230" fillId="84" borderId="125" xfId="0" applyFont="1" applyFill="1" applyBorder="1" applyAlignment="1">
      <alignment horizontal="left" vertical="center"/>
    </xf>
    <xf numFmtId="0" fontId="230" fillId="36" borderId="316" xfId="0" applyFont="1" applyFill="1" applyBorder="1" applyAlignment="1">
      <alignment horizontal="left" vertical="center"/>
    </xf>
    <xf numFmtId="0" fontId="222" fillId="24" borderId="129" xfId="20" applyFont="1" applyFill="1" applyBorder="1" applyAlignment="1">
      <alignment horizontal="left" vertical="center" wrapText="1"/>
    </xf>
    <xf numFmtId="0" fontId="15" fillId="0" borderId="0" xfId="20" applyFont="1" applyAlignment="1">
      <alignment vertical="center"/>
    </xf>
    <xf numFmtId="170" fontId="15" fillId="0" borderId="154" xfId="20" applyNumberFormat="1" applyFont="1" applyBorder="1" applyAlignment="1">
      <alignment horizontal="center" vertical="center"/>
    </xf>
    <xf numFmtId="170" fontId="126" fillId="30" borderId="129" xfId="20" applyNumberFormat="1" applyFont="1" applyFill="1" applyBorder="1" applyAlignment="1">
      <alignment horizontal="center" vertical="center"/>
    </xf>
    <xf numFmtId="170" fontId="126" fillId="30" borderId="118" xfId="20" applyNumberFormat="1" applyFont="1" applyFill="1" applyBorder="1" applyAlignment="1">
      <alignment horizontal="center" vertical="center"/>
    </xf>
    <xf numFmtId="170" fontId="126" fillId="30" borderId="139" xfId="20" applyNumberFormat="1" applyFont="1" applyFill="1" applyBorder="1" applyAlignment="1">
      <alignment horizontal="center" vertical="center"/>
    </xf>
    <xf numFmtId="0" fontId="120" fillId="0" borderId="150" xfId="20" applyFont="1" applyBorder="1" applyAlignment="1">
      <alignment horizontal="center"/>
    </xf>
    <xf numFmtId="170" fontId="126" fillId="32" borderId="129" xfId="20" applyNumberFormat="1" applyFont="1" applyFill="1" applyBorder="1" applyAlignment="1">
      <alignment horizontal="center" vertical="center"/>
    </xf>
    <xf numFmtId="170" fontId="126" fillId="32" borderId="131" xfId="20" applyNumberFormat="1" applyFont="1" applyFill="1" applyBorder="1" applyAlignment="1">
      <alignment horizontal="center" vertical="center"/>
    </xf>
    <xf numFmtId="170" fontId="126" fillId="32" borderId="153" xfId="20" applyNumberFormat="1" applyFont="1" applyFill="1" applyBorder="1" applyAlignment="1">
      <alignment horizontal="center" vertical="center"/>
    </xf>
    <xf numFmtId="170" fontId="126" fillId="32" borderId="155" xfId="20" applyNumberFormat="1" applyFont="1" applyFill="1" applyBorder="1" applyAlignment="1">
      <alignment horizontal="center" vertical="center"/>
    </xf>
    <xf numFmtId="170" fontId="126" fillId="32" borderId="118" xfId="20" applyNumberFormat="1" applyFont="1" applyFill="1" applyBorder="1" applyAlignment="1">
      <alignment horizontal="center" vertical="center"/>
    </xf>
    <xf numFmtId="170" fontId="126" fillId="32" borderId="139" xfId="20" applyNumberFormat="1" applyFont="1" applyFill="1" applyBorder="1" applyAlignment="1">
      <alignment horizontal="center" vertical="center"/>
    </xf>
    <xf numFmtId="0" fontId="125" fillId="4" borderId="125" xfId="20" applyFont="1" applyFill="1" applyBorder="1" applyAlignment="1">
      <alignment horizontal="left" vertical="center"/>
    </xf>
    <xf numFmtId="169" fontId="130" fillId="4" borderId="122" xfId="20" applyNumberFormat="1" applyFont="1" applyFill="1" applyBorder="1" applyAlignment="1">
      <alignment horizontal="center" vertical="center" wrapText="1"/>
    </xf>
    <xf numFmtId="169" fontId="124" fillId="4" borderId="122" xfId="20" applyNumberFormat="1" applyFont="1" applyFill="1" applyBorder="1" applyAlignment="1">
      <alignment horizontal="center" vertical="center"/>
    </xf>
    <xf numFmtId="0" fontId="15" fillId="0" borderId="152" xfId="20" applyFont="1" applyBorder="1" applyAlignment="1">
      <alignment horizontal="center" vertical="center"/>
    </xf>
    <xf numFmtId="0" fontId="15" fillId="30" borderId="152" xfId="20" applyFont="1" applyFill="1" applyBorder="1" applyAlignment="1">
      <alignment horizontal="center" vertical="center"/>
    </xf>
    <xf numFmtId="0" fontId="27" fillId="30" borderId="160" xfId="20" applyFont="1" applyFill="1" applyBorder="1" applyAlignment="1">
      <alignment horizontal="left" vertical="center"/>
    </xf>
    <xf numFmtId="0" fontId="15" fillId="30" borderId="172" xfId="20" applyFont="1" applyFill="1" applyBorder="1" applyAlignment="1">
      <alignment horizontal="center" vertical="center"/>
    </xf>
    <xf numFmtId="0" fontId="15" fillId="30" borderId="160" xfId="20" applyFont="1" applyFill="1" applyBorder="1" applyAlignment="1">
      <alignment horizontal="center" vertical="center"/>
    </xf>
    <xf numFmtId="0" fontId="88" fillId="0" borderId="0" xfId="20" applyFont="1"/>
    <xf numFmtId="4" fontId="240" fillId="36" borderId="122" xfId="20" applyNumberFormat="1" applyFont="1" applyFill="1" applyBorder="1" applyAlignment="1">
      <alignment horizontal="right" vertical="center"/>
    </xf>
    <xf numFmtId="4" fontId="240" fillId="36" borderId="125" xfId="20" applyNumberFormat="1" applyFont="1" applyFill="1" applyBorder="1" applyAlignment="1">
      <alignment horizontal="right" vertical="center"/>
    </xf>
    <xf numFmtId="4" fontId="160" fillId="83" borderId="125" xfId="20" applyNumberFormat="1" applyFont="1" applyFill="1" applyBorder="1" applyAlignment="1">
      <alignment horizontal="right" vertical="center"/>
    </xf>
    <xf numFmtId="4" fontId="160" fillId="52" borderId="125" xfId="20" applyNumberFormat="1" applyFont="1" applyFill="1" applyBorder="1" applyAlignment="1">
      <alignment horizontal="right" vertical="center"/>
    </xf>
    <xf numFmtId="0" fontId="27" fillId="0" borderId="137" xfId="20" applyFont="1" applyBorder="1" applyAlignment="1">
      <alignment horizontal="left" vertical="center"/>
    </xf>
    <xf numFmtId="4" fontId="240" fillId="38" borderId="125" xfId="20" applyNumberFormat="1" applyFont="1" applyFill="1" applyBorder="1" applyAlignment="1">
      <alignment horizontal="right" vertical="center"/>
    </xf>
    <xf numFmtId="4" fontId="160" fillId="76" borderId="125" xfId="20" applyNumberFormat="1" applyFont="1" applyFill="1" applyBorder="1" applyAlignment="1">
      <alignment horizontal="right" vertical="center"/>
    </xf>
    <xf numFmtId="4" fontId="200" fillId="38" borderId="125" xfId="20" applyNumberFormat="1" applyFont="1" applyFill="1" applyBorder="1" applyAlignment="1">
      <alignment horizontal="right" vertical="center"/>
    </xf>
    <xf numFmtId="3" fontId="26" fillId="0" borderId="0" xfId="20" applyNumberFormat="1"/>
    <xf numFmtId="0" fontId="53" fillId="41" borderId="52" xfId="0" applyFont="1" applyFill="1" applyBorder="1" applyAlignment="1">
      <alignment horizontal="center" vertical="center"/>
    </xf>
    <xf numFmtId="0" fontId="91" fillId="0" borderId="51" xfId="0" applyFont="1" applyBorder="1" applyAlignment="1">
      <alignment vertical="center"/>
    </xf>
    <xf numFmtId="0" fontId="91" fillId="0" borderId="56" xfId="0" applyFont="1" applyBorder="1" applyAlignment="1">
      <alignment vertical="center"/>
    </xf>
    <xf numFmtId="0" fontId="91" fillId="0" borderId="0" xfId="0" applyFont="1" applyAlignment="1">
      <alignment vertical="center"/>
    </xf>
    <xf numFmtId="0" fontId="91" fillId="0" borderId="112" xfId="0" applyFont="1" applyBorder="1" applyAlignment="1">
      <alignment vertical="center"/>
    </xf>
    <xf numFmtId="0" fontId="91" fillId="0" borderId="47" xfId="0" applyFont="1" applyBorder="1" applyAlignment="1">
      <alignment horizontal="left" vertical="center"/>
    </xf>
    <xf numFmtId="0" fontId="91" fillId="0" borderId="51" xfId="0" applyFont="1" applyBorder="1" applyAlignment="1">
      <alignment horizontal="left" vertical="center"/>
    </xf>
    <xf numFmtId="0" fontId="67" fillId="0" borderId="51" xfId="0" applyFont="1" applyBorder="1" applyAlignment="1">
      <alignment horizontal="left" vertical="center"/>
    </xf>
    <xf numFmtId="0" fontId="32" fillId="0" borderId="59" xfId="0" applyFont="1" applyBorder="1" applyAlignment="1">
      <alignment vertical="center"/>
    </xf>
    <xf numFmtId="0" fontId="32" fillId="0" borderId="0" xfId="0" applyFont="1" applyAlignment="1">
      <alignment vertical="center"/>
    </xf>
    <xf numFmtId="0" fontId="32" fillId="0" borderId="34" xfId="0" applyFont="1" applyBorder="1" applyAlignment="1">
      <alignment vertical="center"/>
    </xf>
    <xf numFmtId="0" fontId="54" fillId="12" borderId="49" xfId="0" applyFont="1" applyFill="1" applyBorder="1" applyAlignment="1">
      <alignment horizontal="center"/>
    </xf>
    <xf numFmtId="0" fontId="0" fillId="12" borderId="346" xfId="0" applyFill="1" applyBorder="1" applyAlignment="1">
      <alignment horizontal="center"/>
    </xf>
    <xf numFmtId="0" fontId="54" fillId="12" borderId="50" xfId="0" applyFont="1" applyFill="1" applyBorder="1" applyAlignment="1">
      <alignment horizontal="center" vertical="center"/>
    </xf>
    <xf numFmtId="0" fontId="0" fillId="12" borderId="6" xfId="0" applyFill="1" applyBorder="1" applyAlignment="1">
      <alignment horizontal="center"/>
    </xf>
    <xf numFmtId="0" fontId="54" fillId="0" borderId="50" xfId="0" applyFont="1" applyBorder="1" applyAlignment="1">
      <alignment horizontal="center"/>
    </xf>
    <xf numFmtId="0" fontId="54" fillId="0" borderId="50" xfId="0" applyFont="1" applyBorder="1" applyAlignment="1">
      <alignment horizontal="center" vertical="center"/>
    </xf>
    <xf numFmtId="0" fontId="34" fillId="4" borderId="113" xfId="0" applyFont="1" applyFill="1" applyBorder="1" applyAlignment="1">
      <alignment horizontal="center" vertical="center"/>
    </xf>
    <xf numFmtId="0" fontId="34" fillId="4" borderId="82" xfId="0" applyFont="1" applyFill="1" applyBorder="1" applyAlignment="1">
      <alignment horizontal="center" vertical="center"/>
    </xf>
    <xf numFmtId="0" fontId="0" fillId="12" borderId="6" xfId="0" applyFill="1" applyBorder="1" applyAlignment="1">
      <alignment horizontal="center" vertical="center"/>
    </xf>
    <xf numFmtId="0" fontId="54" fillId="12" borderId="112" xfId="0" applyFont="1" applyFill="1" applyBorder="1" applyAlignment="1">
      <alignment horizontal="center" vertical="center"/>
    </xf>
    <xf numFmtId="0" fontId="55" fillId="4" borderId="113" xfId="0" applyFont="1" applyFill="1" applyBorder="1" applyAlignment="1">
      <alignment horizontal="center" vertical="center"/>
    </xf>
    <xf numFmtId="0" fontId="55" fillId="4" borderId="82" xfId="0" applyFont="1" applyFill="1" applyBorder="1" applyAlignment="1">
      <alignment horizontal="center" vertical="center"/>
    </xf>
    <xf numFmtId="0" fontId="54" fillId="0" borderId="49" xfId="0" applyFont="1" applyBorder="1" applyAlignment="1">
      <alignment horizontal="center" vertical="center"/>
    </xf>
    <xf numFmtId="0" fontId="0" fillId="0" borderId="346" xfId="0" applyBorder="1" applyAlignment="1">
      <alignment horizontal="center" vertical="center"/>
    </xf>
    <xf numFmtId="0" fontId="55" fillId="0" borderId="49" xfId="0" applyFont="1" applyBorder="1" applyAlignment="1">
      <alignment horizontal="center" vertical="center"/>
    </xf>
    <xf numFmtId="0" fontId="55" fillId="0" borderId="346" xfId="0" applyFont="1" applyBorder="1" applyAlignment="1">
      <alignment horizontal="center" vertical="center"/>
    </xf>
    <xf numFmtId="0" fontId="55" fillId="12" borderId="112" xfId="0" applyFont="1" applyFill="1" applyBorder="1" applyAlignment="1">
      <alignment horizontal="center" vertical="center"/>
    </xf>
    <xf numFmtId="0" fontId="55" fillId="12" borderId="6" xfId="0" applyFont="1" applyFill="1" applyBorder="1" applyAlignment="1">
      <alignment horizontal="center" vertical="center"/>
    </xf>
    <xf numFmtId="0" fontId="54" fillId="12" borderId="49" xfId="0" applyFont="1" applyFill="1" applyBorder="1" applyAlignment="1">
      <alignment horizontal="center" vertical="center"/>
    </xf>
    <xf numFmtId="0" fontId="0" fillId="12" borderId="346" xfId="0" applyFill="1" applyBorder="1" applyAlignment="1">
      <alignment horizontal="center" vertical="center"/>
    </xf>
    <xf numFmtId="0" fontId="55" fillId="12" borderId="50" xfId="0" applyFont="1" applyFill="1" applyBorder="1" applyAlignment="1">
      <alignment horizontal="center" vertical="center"/>
    </xf>
    <xf numFmtId="0" fontId="0" fillId="4" borderId="113" xfId="0" applyFill="1" applyBorder="1" applyAlignment="1">
      <alignment horizontal="center" vertical="center"/>
    </xf>
    <xf numFmtId="0" fontId="0" fillId="4" borderId="82" xfId="0" applyFill="1" applyBorder="1" applyAlignment="1">
      <alignment horizontal="center" vertical="center"/>
    </xf>
    <xf numFmtId="0" fontId="59" fillId="15" borderId="347" xfId="0" applyFont="1" applyFill="1" applyBorder="1" applyAlignment="1">
      <alignment horizontal="center" vertical="center"/>
    </xf>
    <xf numFmtId="0" fontId="59" fillId="15" borderId="348" xfId="0" applyFont="1" applyFill="1" applyBorder="1" applyAlignment="1">
      <alignment horizontal="center" vertical="center"/>
    </xf>
    <xf numFmtId="173" fontId="126" fillId="31" borderId="125" xfId="20" applyNumberFormat="1" applyFont="1" applyFill="1" applyBorder="1" applyAlignment="1">
      <alignment horizontal="center" vertical="center"/>
    </xf>
    <xf numFmtId="0" fontId="27" fillId="0" borderId="277" xfId="28" applyFont="1" applyBorder="1"/>
    <xf numFmtId="166" fontId="26" fillId="19" borderId="277" xfId="20" applyNumberFormat="1" applyFill="1" applyBorder="1"/>
    <xf numFmtId="166" fontId="104" fillId="19" borderId="277" xfId="30" applyNumberFormat="1" applyFont="1" applyFill="1" applyBorder="1"/>
    <xf numFmtId="0" fontId="26" fillId="0" borderId="277" xfId="20" applyBorder="1"/>
    <xf numFmtId="166" fontId="93" fillId="19" borderId="277" xfId="20" applyNumberFormat="1" applyFont="1" applyFill="1" applyBorder="1" applyAlignment="1">
      <alignment horizontal="center"/>
    </xf>
    <xf numFmtId="166" fontId="104" fillId="19" borderId="277" xfId="28" applyNumberFormat="1" applyFont="1" applyFill="1" applyBorder="1"/>
    <xf numFmtId="166" fontId="93" fillId="19" borderId="177" xfId="20" applyNumberFormat="1" applyFont="1" applyFill="1" applyBorder="1" applyAlignment="1">
      <alignment horizontal="center"/>
    </xf>
    <xf numFmtId="43" fontId="0" fillId="19" borderId="0" xfId="9" applyFont="1" applyFill="1"/>
    <xf numFmtId="43" fontId="0" fillId="85" borderId="0" xfId="9" applyFont="1" applyFill="1"/>
    <xf numFmtId="177" fontId="93" fillId="0" borderId="0" xfId="20" applyNumberFormat="1" applyFont="1"/>
    <xf numFmtId="4" fontId="160" fillId="36" borderId="125" xfId="22" applyNumberFormat="1" applyFont="1" applyFill="1" applyBorder="1" applyAlignment="1">
      <alignment horizontal="right" vertical="center"/>
    </xf>
    <xf numFmtId="0" fontId="255" fillId="36" borderId="122" xfId="20" applyFont="1" applyFill="1" applyBorder="1" applyAlignment="1">
      <alignment horizontal="right" vertical="center"/>
    </xf>
    <xf numFmtId="4" fontId="255" fillId="0" borderId="125" xfId="20" applyNumberFormat="1" applyFont="1" applyBorder="1" applyAlignment="1">
      <alignment horizontal="right" vertical="center"/>
    </xf>
    <xf numFmtId="165" fontId="160" fillId="36" borderId="125" xfId="5" applyNumberFormat="1" applyFont="1" applyFill="1" applyBorder="1" applyAlignment="1">
      <alignment horizontal="right" vertical="center"/>
    </xf>
    <xf numFmtId="165" fontId="160" fillId="0" borderId="125" xfId="5" applyNumberFormat="1" applyFont="1" applyFill="1" applyBorder="1" applyAlignment="1">
      <alignment horizontal="right" vertical="center"/>
    </xf>
    <xf numFmtId="4" fontId="27" fillId="36" borderId="122" xfId="20" applyNumberFormat="1" applyFont="1" applyFill="1" applyBorder="1" applyAlignment="1">
      <alignment horizontal="right" vertical="center"/>
    </xf>
    <xf numFmtId="4" fontId="160" fillId="36" borderId="160" xfId="20" applyNumberFormat="1" applyFont="1" applyFill="1" applyBorder="1" applyAlignment="1">
      <alignment horizontal="right" vertical="center"/>
    </xf>
    <xf numFmtId="9" fontId="156" fillId="0" borderId="125" xfId="5" applyFont="1" applyBorder="1" applyAlignment="1">
      <alignment horizontal="right" vertical="center"/>
    </xf>
    <xf numFmtId="4" fontId="156" fillId="38" borderId="170" xfId="20" applyNumberFormat="1" applyFont="1" applyFill="1" applyBorder="1" applyAlignment="1">
      <alignment horizontal="right" vertical="center"/>
    </xf>
    <xf numFmtId="164" fontId="156" fillId="0" borderId="125" xfId="5" applyNumberFormat="1" applyFont="1" applyFill="1" applyBorder="1" applyAlignment="1">
      <alignment horizontal="right" vertical="center"/>
    </xf>
    <xf numFmtId="43" fontId="144" fillId="0" borderId="125" xfId="9" applyFont="1" applyFill="1" applyBorder="1" applyAlignment="1">
      <alignment horizontal="right" vertical="center"/>
    </xf>
    <xf numFmtId="4" fontId="144" fillId="36" borderId="160" xfId="20" applyNumberFormat="1" applyFont="1" applyFill="1" applyBorder="1" applyAlignment="1">
      <alignment horizontal="right" vertical="center"/>
    </xf>
    <xf numFmtId="4" fontId="156" fillId="36" borderId="160" xfId="20" applyNumberFormat="1" applyFont="1" applyFill="1" applyBorder="1" applyAlignment="1">
      <alignment horizontal="right" vertical="center"/>
    </xf>
    <xf numFmtId="4" fontId="104" fillId="0" borderId="138" xfId="3" applyNumberFormat="1" applyFont="1" applyBorder="1" applyAlignment="1">
      <alignment horizontal="right" vertical="center"/>
    </xf>
    <xf numFmtId="4" fontId="104" fillId="36" borderId="138" xfId="3" applyNumberFormat="1" applyFont="1" applyFill="1" applyBorder="1" applyAlignment="1">
      <alignment horizontal="right" vertical="center"/>
    </xf>
    <xf numFmtId="4" fontId="104" fillId="36" borderId="197" xfId="3" applyNumberFormat="1" applyFont="1" applyFill="1" applyBorder="1" applyAlignment="1">
      <alignment horizontal="right" vertical="center"/>
    </xf>
    <xf numFmtId="4" fontId="104" fillId="36" borderId="152" xfId="3" applyNumberFormat="1" applyFont="1" applyFill="1" applyBorder="1" applyAlignment="1">
      <alignment horizontal="right" vertical="center"/>
    </xf>
    <xf numFmtId="4" fontId="141" fillId="36" borderId="152" xfId="3" applyNumberFormat="1" applyFont="1" applyFill="1" applyBorder="1" applyAlignment="1">
      <alignment horizontal="right" vertical="center"/>
    </xf>
    <xf numFmtId="4" fontId="15" fillId="36" borderId="152" xfId="3" applyNumberFormat="1" applyFont="1" applyFill="1" applyBorder="1" applyAlignment="1">
      <alignment horizontal="right" vertical="center"/>
    </xf>
    <xf numFmtId="4" fontId="104" fillId="0" borderId="152" xfId="3" applyNumberFormat="1" applyFont="1" applyBorder="1" applyAlignment="1">
      <alignment horizontal="right" vertical="center"/>
    </xf>
    <xf numFmtId="4" fontId="15" fillId="0" borderId="194" xfId="3" applyNumberFormat="1" applyFont="1" applyBorder="1" applyAlignment="1">
      <alignment horizontal="right" vertical="center"/>
    </xf>
    <xf numFmtId="0" fontId="255" fillId="36" borderId="0" xfId="20" applyFont="1" applyFill="1" applyAlignment="1">
      <alignment horizontal="right" vertical="center"/>
    </xf>
    <xf numFmtId="0" fontId="255" fillId="0" borderId="125" xfId="20" applyFont="1" applyBorder="1" applyAlignment="1">
      <alignment horizontal="right" vertical="center"/>
    </xf>
    <xf numFmtId="0" fontId="255" fillId="0" borderId="0" xfId="20" applyFont="1" applyAlignment="1">
      <alignment horizontal="right" vertical="center"/>
    </xf>
    <xf numFmtId="4" fontId="156" fillId="36" borderId="0" xfId="20" applyNumberFormat="1" applyFont="1" applyFill="1" applyAlignment="1">
      <alignment horizontal="right" vertical="center"/>
    </xf>
    <xf numFmtId="4" fontId="156" fillId="0" borderId="0" xfId="20" applyNumberFormat="1" applyFont="1" applyAlignment="1">
      <alignment horizontal="right" vertical="center"/>
    </xf>
    <xf numFmtId="9" fontId="156" fillId="36" borderId="125" xfId="20" applyNumberFormat="1" applyFont="1" applyFill="1" applyBorder="1" applyAlignment="1">
      <alignment horizontal="right" vertical="center"/>
    </xf>
    <xf numFmtId="10" fontId="156" fillId="36" borderId="125" xfId="20" applyNumberFormat="1" applyFont="1" applyFill="1" applyBorder="1" applyAlignment="1">
      <alignment horizontal="right" vertical="center"/>
    </xf>
    <xf numFmtId="10" fontId="156" fillId="36" borderId="0" xfId="20" applyNumberFormat="1" applyFont="1" applyFill="1" applyAlignment="1">
      <alignment horizontal="right" vertical="center"/>
    </xf>
    <xf numFmtId="43" fontId="255" fillId="0" borderId="125" xfId="33" applyFont="1" applyBorder="1" applyAlignment="1">
      <alignment horizontal="right" vertical="center"/>
    </xf>
    <xf numFmtId="0" fontId="230" fillId="0" borderId="0" xfId="20" applyFont="1" applyAlignment="1">
      <alignment horizontal="center"/>
    </xf>
    <xf numFmtId="0" fontId="111" fillId="0" borderId="0" xfId="20" applyFont="1" applyAlignment="1">
      <alignment horizontal="center"/>
    </xf>
    <xf numFmtId="0" fontId="230" fillId="0" borderId="0" xfId="20" applyFont="1" applyAlignment="1">
      <alignment horizontal="right"/>
    </xf>
    <xf numFmtId="4" fontId="390" fillId="36" borderId="122" xfId="20" applyNumberFormat="1" applyFont="1" applyFill="1" applyBorder="1" applyAlignment="1">
      <alignment horizontal="right" vertical="center"/>
    </xf>
    <xf numFmtId="4" fontId="390" fillId="36" borderId="125" xfId="20" applyNumberFormat="1" applyFont="1" applyFill="1" applyBorder="1" applyAlignment="1">
      <alignment horizontal="right" vertical="center"/>
    </xf>
    <xf numFmtId="43" fontId="390" fillId="0" borderId="125" xfId="9" applyFont="1" applyBorder="1" applyAlignment="1">
      <alignment horizontal="right" vertical="center"/>
    </xf>
    <xf numFmtId="9" fontId="144" fillId="0" borderId="125" xfId="3" applyNumberFormat="1" applyFont="1" applyBorder="1" applyAlignment="1">
      <alignment horizontal="right" vertical="center"/>
    </xf>
    <xf numFmtId="9" fontId="160" fillId="0" borderId="125" xfId="3" applyNumberFormat="1" applyFont="1" applyBorder="1" applyAlignment="1">
      <alignment horizontal="right" vertical="center"/>
    </xf>
    <xf numFmtId="166" fontId="242" fillId="76" borderId="156" xfId="3" applyNumberFormat="1" applyFont="1" applyFill="1" applyBorder="1" applyAlignment="1">
      <alignment horizontal="right" vertical="center"/>
    </xf>
    <xf numFmtId="4" fontId="243" fillId="76" borderId="125" xfId="3" applyNumberFormat="1" applyFont="1" applyFill="1" applyBorder="1" applyAlignment="1">
      <alignment horizontal="right" vertical="center"/>
    </xf>
    <xf numFmtId="166" fontId="243" fillId="36" borderId="125" xfId="3" applyNumberFormat="1" applyFont="1" applyFill="1" applyBorder="1" applyAlignment="1">
      <alignment horizontal="right" vertical="center"/>
    </xf>
    <xf numFmtId="3" fontId="391" fillId="24" borderId="0" xfId="3" applyNumberFormat="1" applyFont="1" applyFill="1" applyAlignment="1">
      <alignment vertical="center"/>
    </xf>
    <xf numFmtId="166" fontId="243" fillId="24" borderId="125" xfId="3" applyNumberFormat="1" applyFont="1" applyFill="1" applyBorder="1" applyAlignment="1">
      <alignment horizontal="right" vertical="center"/>
    </xf>
    <xf numFmtId="166" fontId="242" fillId="0" borderId="137" xfId="3" applyNumberFormat="1" applyFont="1" applyBorder="1" applyAlignment="1">
      <alignment horizontal="right" vertical="center"/>
    </xf>
    <xf numFmtId="166" fontId="242" fillId="0" borderId="125" xfId="3" applyNumberFormat="1" applyFont="1" applyBorder="1" applyAlignment="1">
      <alignment horizontal="right" vertical="center"/>
    </xf>
    <xf numFmtId="166" fontId="243" fillId="24" borderId="137" xfId="3" applyNumberFormat="1" applyFont="1" applyFill="1" applyBorder="1" applyAlignment="1">
      <alignment horizontal="right" vertical="center"/>
    </xf>
    <xf numFmtId="166" fontId="242" fillId="24" borderId="137" xfId="3" applyNumberFormat="1" applyFont="1" applyFill="1" applyBorder="1" applyAlignment="1">
      <alignment horizontal="right" vertical="center"/>
    </xf>
    <xf numFmtId="166" fontId="243" fillId="36" borderId="137" xfId="3" applyNumberFormat="1" applyFont="1" applyFill="1" applyBorder="1" applyAlignment="1">
      <alignment horizontal="right" vertical="center"/>
    </xf>
    <xf numFmtId="166" fontId="242" fillId="36" borderId="137" xfId="3" applyNumberFormat="1" applyFont="1" applyFill="1" applyBorder="1" applyAlignment="1">
      <alignment horizontal="right" vertical="center"/>
    </xf>
    <xf numFmtId="4" fontId="243" fillId="76" borderId="137" xfId="3" applyNumberFormat="1" applyFont="1" applyFill="1" applyBorder="1" applyAlignment="1">
      <alignment horizontal="right" vertical="center"/>
    </xf>
    <xf numFmtId="166" fontId="243" fillId="76" borderId="125" xfId="3" applyNumberFormat="1" applyFont="1" applyFill="1" applyBorder="1" applyAlignment="1">
      <alignment horizontal="right" vertical="center"/>
    </xf>
    <xf numFmtId="166" fontId="243" fillId="76" borderId="137" xfId="3" applyNumberFormat="1" applyFont="1" applyFill="1" applyBorder="1" applyAlignment="1">
      <alignment horizontal="right" vertical="center"/>
    </xf>
    <xf numFmtId="166" fontId="242" fillId="76" borderId="137" xfId="3" applyNumberFormat="1" applyFont="1" applyFill="1" applyBorder="1" applyAlignment="1">
      <alignment horizontal="right" vertical="center"/>
    </xf>
    <xf numFmtId="166" fontId="243" fillId="0" borderId="137" xfId="3" applyNumberFormat="1" applyFont="1" applyBorder="1" applyAlignment="1">
      <alignment horizontal="right" vertical="center"/>
    </xf>
    <xf numFmtId="166" fontId="243" fillId="0" borderId="125" xfId="3" applyNumberFormat="1" applyFont="1" applyBorder="1" applyAlignment="1">
      <alignment horizontal="right" vertical="center"/>
    </xf>
    <xf numFmtId="4" fontId="243" fillId="0" borderId="6" xfId="3" applyNumberFormat="1" applyFont="1" applyBorder="1" applyAlignment="1">
      <alignment horizontal="right" vertical="center"/>
    </xf>
    <xf numFmtId="4" fontId="243" fillId="0" borderId="7" xfId="3" applyNumberFormat="1" applyFont="1" applyBorder="1" applyAlignment="1">
      <alignment horizontal="right" vertical="center"/>
    </xf>
    <xf numFmtId="179" fontId="243" fillId="24" borderId="125" xfId="3" applyNumberFormat="1" applyFont="1" applyFill="1" applyBorder="1" applyAlignment="1">
      <alignment horizontal="right" vertical="center"/>
    </xf>
    <xf numFmtId="4" fontId="15" fillId="36" borderId="140" xfId="20" applyNumberFormat="1" applyFont="1" applyFill="1" applyBorder="1" applyAlignment="1">
      <alignment horizontal="right" vertical="center"/>
    </xf>
    <xf numFmtId="3" fontId="80" fillId="0" borderId="197" xfId="20" applyNumberFormat="1" applyFont="1" applyBorder="1"/>
    <xf numFmtId="4" fontId="27" fillId="36" borderId="152" xfId="3" applyNumberFormat="1" applyFont="1" applyFill="1" applyBorder="1" applyAlignment="1">
      <alignment horizontal="right" vertical="center"/>
    </xf>
    <xf numFmtId="3" fontId="93" fillId="0" borderId="152" xfId="20" applyNumberFormat="1" applyFont="1" applyBorder="1"/>
    <xf numFmtId="2" fontId="356" fillId="0" borderId="152" xfId="3" applyNumberFormat="1" applyFont="1" applyBorder="1" applyAlignment="1">
      <alignment horizontal="right" vertical="center"/>
    </xf>
    <xf numFmtId="4" fontId="363" fillId="36" borderId="152" xfId="3" applyNumberFormat="1" applyFont="1" applyFill="1" applyBorder="1" applyAlignment="1">
      <alignment horizontal="right" vertical="center"/>
    </xf>
    <xf numFmtId="4" fontId="357" fillId="0" borderId="152" xfId="3" applyNumberFormat="1" applyFont="1" applyBorder="1" applyAlignment="1">
      <alignment horizontal="right" vertical="center"/>
    </xf>
    <xf numFmtId="4" fontId="27" fillId="0" borderId="152" xfId="3" applyNumberFormat="1" applyFont="1" applyBorder="1" applyAlignment="1">
      <alignment horizontal="right" vertical="center"/>
    </xf>
    <xf numFmtId="4" fontId="357" fillId="36" borderId="152" xfId="3" applyNumberFormat="1" applyFont="1" applyFill="1" applyBorder="1" applyAlignment="1">
      <alignment horizontal="right" vertical="center"/>
    </xf>
    <xf numFmtId="4" fontId="27" fillId="76" borderId="152" xfId="3" applyNumberFormat="1" applyFont="1" applyFill="1" applyBorder="1" applyAlignment="1">
      <alignment horizontal="right" vertical="center"/>
    </xf>
    <xf numFmtId="3" fontId="80" fillId="0" borderId="152" xfId="20" applyNumberFormat="1" applyFont="1" applyBorder="1"/>
    <xf numFmtId="166" fontId="27" fillId="36" borderId="152" xfId="3" applyNumberFormat="1" applyFont="1" applyFill="1" applyBorder="1" applyAlignment="1">
      <alignment horizontal="right" vertical="center"/>
    </xf>
    <xf numFmtId="4" fontId="204" fillId="36" borderId="152" xfId="3" applyNumberFormat="1" applyFont="1" applyFill="1" applyBorder="1" applyAlignment="1">
      <alignment horizontal="right" vertical="center"/>
    </xf>
    <xf numFmtId="4" fontId="204" fillId="0" borderId="152" xfId="3" applyNumberFormat="1" applyFont="1" applyBorder="1" applyAlignment="1">
      <alignment horizontal="right" vertical="center"/>
    </xf>
    <xf numFmtId="4" fontId="359" fillId="36" borderId="152" xfId="3" applyNumberFormat="1" applyFont="1" applyFill="1" applyBorder="1" applyAlignment="1">
      <alignment horizontal="right" vertical="center"/>
    </xf>
    <xf numFmtId="4" fontId="359" fillId="79" borderId="152" xfId="3" applyNumberFormat="1" applyFont="1" applyFill="1" applyBorder="1" applyAlignment="1">
      <alignment horizontal="right" vertical="center"/>
    </xf>
    <xf numFmtId="4" fontId="360" fillId="79" borderId="152" xfId="3" applyNumberFormat="1" applyFont="1" applyFill="1" applyBorder="1" applyAlignment="1">
      <alignment horizontal="right" vertical="center"/>
    </xf>
    <xf numFmtId="4" fontId="363" fillId="0" borderId="152" xfId="3" applyNumberFormat="1" applyFont="1" applyBorder="1" applyAlignment="1">
      <alignment horizontal="right" vertical="center"/>
    </xf>
    <xf numFmtId="4" fontId="357" fillId="36" borderId="152" xfId="20" applyNumberFormat="1" applyFont="1" applyFill="1" applyBorder="1" applyAlignment="1">
      <alignment horizontal="right" vertical="center"/>
    </xf>
    <xf numFmtId="0" fontId="104" fillId="77" borderId="197" xfId="3" applyFont="1" applyFill="1" applyBorder="1" applyAlignment="1">
      <alignment horizontal="center" vertical="center" wrapText="1"/>
    </xf>
    <xf numFmtId="0" fontId="104" fillId="37" borderId="152" xfId="3" applyFont="1" applyFill="1" applyBorder="1" applyAlignment="1">
      <alignment horizontal="center" vertical="center"/>
    </xf>
    <xf numFmtId="0" fontId="362" fillId="37" borderId="152" xfId="3" applyFont="1" applyFill="1" applyBorder="1" applyAlignment="1">
      <alignment horizontal="center" vertical="center"/>
    </xf>
    <xf numFmtId="0" fontId="104" fillId="77" borderId="152" xfId="3" applyFont="1" applyFill="1" applyBorder="1" applyAlignment="1">
      <alignment horizontal="center" vertical="center"/>
    </xf>
    <xf numFmtId="0" fontId="104" fillId="78" borderId="152" xfId="3" applyFont="1" applyFill="1" applyBorder="1" applyAlignment="1">
      <alignment horizontal="center" vertical="center"/>
    </xf>
    <xf numFmtId="0" fontId="104" fillId="80" borderId="152" xfId="3" applyFont="1" applyFill="1" applyBorder="1" applyAlignment="1">
      <alignment horizontal="center" vertical="center"/>
    </xf>
    <xf numFmtId="0" fontId="362" fillId="0" borderId="152" xfId="3" applyFont="1" applyBorder="1" applyAlignment="1">
      <alignment horizontal="center" vertical="center"/>
    </xf>
    <xf numFmtId="0" fontId="27" fillId="76" borderId="197" xfId="3" applyFont="1" applyFill="1" applyBorder="1" applyAlignment="1">
      <alignment horizontal="left" vertical="center"/>
    </xf>
    <xf numFmtId="0" fontId="27" fillId="36" borderId="152" xfId="3" applyFont="1" applyFill="1" applyBorder="1" applyAlignment="1">
      <alignment horizontal="left" vertical="center"/>
    </xf>
    <xf numFmtId="0" fontId="27" fillId="0" borderId="152" xfId="3" applyFont="1" applyBorder="1" applyAlignment="1">
      <alignment horizontal="left" vertical="center"/>
    </xf>
    <xf numFmtId="0" fontId="243" fillId="36" borderId="152" xfId="3" applyFont="1" applyFill="1" applyBorder="1" applyAlignment="1">
      <alignment horizontal="left" vertical="center"/>
    </xf>
    <xf numFmtId="0" fontId="27" fillId="76" borderId="152" xfId="3" applyFont="1" applyFill="1" applyBorder="1" applyAlignment="1">
      <alignment horizontal="left" vertical="center"/>
    </xf>
    <xf numFmtId="0" fontId="27" fillId="0" borderId="152" xfId="3" applyFont="1" applyBorder="1" applyAlignment="1">
      <alignment vertical="center"/>
    </xf>
    <xf numFmtId="0" fontId="27" fillId="36" borderId="152" xfId="3" applyFont="1" applyFill="1" applyBorder="1" applyAlignment="1">
      <alignment vertical="center"/>
    </xf>
    <xf numFmtId="0" fontId="27" fillId="78" borderId="152" xfId="3" applyFont="1" applyFill="1" applyBorder="1" applyAlignment="1">
      <alignment vertical="center"/>
    </xf>
    <xf numFmtId="0" fontId="27" fillId="0" borderId="152" xfId="3" applyFont="1" applyBorder="1" applyAlignment="1">
      <alignment vertical="center" wrapText="1"/>
    </xf>
    <xf numFmtId="0" fontId="93" fillId="0" borderId="152" xfId="20" applyFont="1" applyBorder="1" applyAlignment="1">
      <alignment vertical="center"/>
    </xf>
    <xf numFmtId="0" fontId="27" fillId="79" borderId="152" xfId="3" applyFont="1" applyFill="1" applyBorder="1" applyAlignment="1">
      <alignment vertical="center"/>
    </xf>
    <xf numFmtId="0" fontId="27" fillId="76" borderId="152" xfId="3" applyFont="1" applyFill="1" applyBorder="1" applyAlignment="1">
      <alignment vertical="center"/>
    </xf>
    <xf numFmtId="0" fontId="243" fillId="0" borderId="152" xfId="3" applyFont="1" applyBorder="1" applyAlignment="1">
      <alignment horizontal="left" vertical="center"/>
    </xf>
    <xf numFmtId="0" fontId="27" fillId="36" borderId="152" xfId="20" applyFont="1" applyFill="1" applyBorder="1" applyAlignment="1">
      <alignment horizontal="left" vertical="center" wrapText="1"/>
    </xf>
    <xf numFmtId="0" fontId="27" fillId="78" borderId="152" xfId="3" applyFont="1" applyFill="1" applyBorder="1" applyAlignment="1">
      <alignment horizontal="left" vertical="center"/>
    </xf>
    <xf numFmtId="0" fontId="27" fillId="36" borderId="152" xfId="20" applyFont="1" applyFill="1" applyBorder="1" applyAlignment="1">
      <alignment horizontal="left" vertical="center"/>
    </xf>
    <xf numFmtId="4" fontId="15" fillId="0" borderId="138" xfId="20" applyNumberFormat="1" applyFont="1" applyBorder="1" applyAlignment="1">
      <alignment horizontal="right" vertical="center"/>
    </xf>
    <xf numFmtId="4" fontId="15" fillId="36" borderId="138" xfId="20" applyNumberFormat="1" applyFont="1" applyFill="1" applyBorder="1" applyAlignment="1">
      <alignment horizontal="right" vertical="center"/>
    </xf>
    <xf numFmtId="4" fontId="15" fillId="0" borderId="139" xfId="20" applyNumberFormat="1" applyFont="1" applyBorder="1" applyAlignment="1">
      <alignment horizontal="right" vertical="center"/>
    </xf>
    <xf numFmtId="4" fontId="138" fillId="36" borderId="156" xfId="20" applyNumberFormat="1" applyFont="1" applyFill="1" applyBorder="1" applyAlignment="1">
      <alignment horizontal="right" vertical="center"/>
    </xf>
    <xf numFmtId="4" fontId="15" fillId="36" borderId="137" xfId="20" applyNumberFormat="1" applyFont="1" applyFill="1" applyBorder="1" applyAlignment="1">
      <alignment horizontal="right" vertical="center"/>
    </xf>
    <xf numFmtId="4" fontId="15" fillId="0" borderId="155" xfId="20" applyNumberFormat="1" applyFont="1" applyBorder="1" applyAlignment="1">
      <alignment horizontal="right" vertical="center"/>
    </xf>
    <xf numFmtId="0" fontId="105" fillId="35" borderId="197" xfId="20" applyFont="1" applyFill="1" applyBorder="1" applyAlignment="1">
      <alignment horizontal="center" vertical="center"/>
    </xf>
    <xf numFmtId="4" fontId="200" fillId="36" borderId="197" xfId="20" applyNumberFormat="1" applyFont="1" applyFill="1" applyBorder="1" applyAlignment="1">
      <alignment horizontal="right" vertical="center"/>
    </xf>
    <xf numFmtId="4" fontId="15" fillId="0" borderId="152" xfId="20" applyNumberFormat="1" applyFont="1" applyBorder="1" applyAlignment="1">
      <alignment horizontal="right" vertical="center"/>
    </xf>
    <xf numFmtId="4" fontId="160" fillId="36" borderId="152" xfId="20" applyNumberFormat="1" applyFont="1" applyFill="1" applyBorder="1" applyAlignment="1">
      <alignment horizontal="right" vertical="center"/>
    </xf>
    <xf numFmtId="4" fontId="15" fillId="36" borderId="152" xfId="20" applyNumberFormat="1" applyFont="1" applyFill="1" applyBorder="1" applyAlignment="1">
      <alignment horizontal="right" vertical="center"/>
    </xf>
    <xf numFmtId="4" fontId="15" fillId="0" borderId="194" xfId="20" applyNumberFormat="1" applyFont="1" applyBorder="1" applyAlignment="1">
      <alignment horizontal="right" vertical="center"/>
    </xf>
    <xf numFmtId="4" fontId="160" fillId="36" borderId="183" xfId="20" applyNumberFormat="1" applyFont="1" applyFill="1" applyBorder="1" applyAlignment="1">
      <alignment horizontal="right" vertical="center"/>
    </xf>
    <xf numFmtId="4" fontId="160" fillId="36" borderId="184" xfId="20" applyNumberFormat="1" applyFont="1" applyFill="1" applyBorder="1" applyAlignment="1">
      <alignment horizontal="right" vertical="center"/>
    </xf>
    <xf numFmtId="4" fontId="205" fillId="36" borderId="122" xfId="20" applyNumberFormat="1" applyFont="1" applyFill="1" applyBorder="1" applyAlignment="1">
      <alignment horizontal="right" vertical="center"/>
    </xf>
    <xf numFmtId="4" fontId="160" fillId="36" borderId="214" xfId="3" applyNumberFormat="1" applyFont="1" applyFill="1" applyBorder="1"/>
    <xf numFmtId="4" fontId="160" fillId="0" borderId="214" xfId="3" applyNumberFormat="1" applyFont="1" applyBorder="1"/>
    <xf numFmtId="4" fontId="156" fillId="36" borderId="122" xfId="28" applyNumberFormat="1" applyFont="1" applyFill="1" applyBorder="1" applyAlignment="1">
      <alignment horizontal="right" vertical="center"/>
    </xf>
    <xf numFmtId="4" fontId="144" fillId="36" borderId="122" xfId="28" applyNumberFormat="1" applyFont="1" applyFill="1" applyBorder="1" applyAlignment="1">
      <alignment horizontal="right" vertical="center"/>
    </xf>
    <xf numFmtId="9" fontId="156" fillId="0" borderId="125" xfId="29" applyFont="1" applyFill="1" applyBorder="1" applyAlignment="1">
      <alignment horizontal="right" vertical="center"/>
    </xf>
    <xf numFmtId="9" fontId="144" fillId="0" borderId="125" xfId="29" applyFont="1" applyFill="1" applyBorder="1" applyAlignment="1">
      <alignment horizontal="right" vertical="center"/>
    </xf>
    <xf numFmtId="4" fontId="156" fillId="36" borderId="125" xfId="28" applyNumberFormat="1" applyFont="1" applyFill="1" applyBorder="1" applyAlignment="1">
      <alignment horizontal="right" vertical="center"/>
    </xf>
    <xf numFmtId="4" fontId="144" fillId="36" borderId="125" xfId="28" applyNumberFormat="1" applyFont="1" applyFill="1" applyBorder="1" applyAlignment="1">
      <alignment horizontal="right" vertical="center"/>
    </xf>
    <xf numFmtId="4" fontId="156" fillId="0" borderId="125" xfId="28" applyNumberFormat="1" applyFont="1" applyBorder="1" applyAlignment="1">
      <alignment horizontal="right" vertical="center"/>
    </xf>
    <xf numFmtId="4" fontId="144" fillId="0" borderId="125" xfId="28" applyNumberFormat="1" applyFont="1" applyBorder="1" applyAlignment="1">
      <alignment horizontal="right" vertical="center"/>
    </xf>
    <xf numFmtId="4" fontId="156" fillId="36" borderId="225" xfId="28" applyNumberFormat="1" applyFont="1" applyFill="1" applyBorder="1" applyAlignment="1">
      <alignment horizontal="right" vertical="center"/>
    </xf>
    <xf numFmtId="4" fontId="144" fillId="36" borderId="225" xfId="28" applyNumberFormat="1" applyFont="1" applyFill="1" applyBorder="1" applyAlignment="1">
      <alignment horizontal="right" vertical="center"/>
    </xf>
    <xf numFmtId="9" fontId="156" fillId="0" borderId="125" xfId="29" applyFont="1" applyBorder="1" applyAlignment="1">
      <alignment horizontal="right" vertical="center"/>
    </xf>
    <xf numFmtId="9" fontId="144" fillId="0" borderId="125" xfId="29" applyFont="1" applyBorder="1" applyAlignment="1">
      <alignment horizontal="right" vertical="center"/>
    </xf>
    <xf numFmtId="4" fontId="160" fillId="0" borderId="125" xfId="28" applyNumberFormat="1" applyFont="1" applyBorder="1" applyAlignment="1">
      <alignment horizontal="right" vertical="center"/>
    </xf>
    <xf numFmtId="4" fontId="392" fillId="38" borderId="0" xfId="28" applyNumberFormat="1" applyFont="1" applyFill="1" applyAlignment="1">
      <alignment horizontal="right" vertical="center"/>
    </xf>
    <xf numFmtId="4" fontId="392" fillId="38" borderId="0" xfId="28" applyNumberFormat="1" applyFont="1" applyFill="1"/>
    <xf numFmtId="4" fontId="156" fillId="65" borderId="0" xfId="3" applyNumberFormat="1" applyFont="1" applyFill="1" applyAlignment="1">
      <alignment horizontal="right" vertical="center"/>
    </xf>
    <xf numFmtId="2" fontId="160" fillId="0" borderId="125" xfId="3" applyNumberFormat="1" applyFont="1" applyBorder="1"/>
    <xf numFmtId="2" fontId="160" fillId="36" borderId="125" xfId="3" applyNumberFormat="1" applyFont="1" applyFill="1" applyBorder="1"/>
    <xf numFmtId="0" fontId="368" fillId="0" borderId="125" xfId="20" applyFont="1" applyBorder="1" applyAlignment="1">
      <alignment horizontal="right" vertical="center"/>
    </xf>
    <xf numFmtId="0" fontId="105" fillId="35" borderId="141" xfId="3" applyFont="1" applyFill="1" applyBorder="1" applyAlignment="1">
      <alignment horizontal="center" vertical="center"/>
    </xf>
    <xf numFmtId="4" fontId="104" fillId="38" borderId="152" xfId="3" applyNumberFormat="1" applyFont="1" applyFill="1" applyBorder="1" applyAlignment="1">
      <alignment horizontal="right" vertical="center"/>
    </xf>
    <xf numFmtId="4" fontId="104" fillId="38" borderId="194" xfId="3" applyNumberFormat="1" applyFont="1" applyFill="1" applyBorder="1" applyAlignment="1">
      <alignment horizontal="right" vertical="center"/>
    </xf>
    <xf numFmtId="0" fontId="15" fillId="0" borderId="148" xfId="22" applyFont="1" applyBorder="1" applyAlignment="1">
      <alignment horizontal="center" vertical="center"/>
    </xf>
    <xf numFmtId="171" fontId="126" fillId="8" borderId="125" xfId="20" applyNumberFormat="1" applyFont="1" applyFill="1" applyBorder="1" applyAlignment="1">
      <alignment horizontal="center" vertical="center"/>
    </xf>
    <xf numFmtId="0" fontId="19" fillId="0" borderId="0" xfId="0" applyFont="1" applyAlignment="1">
      <alignment horizontal="left" vertical="center" wrapText="1"/>
    </xf>
    <xf numFmtId="0" fontId="0" fillId="0" borderId="0" xfId="0" applyAlignment="1">
      <alignment horizontal="left" wrapText="1"/>
    </xf>
    <xf numFmtId="0" fontId="3" fillId="3" borderId="5" xfId="0" applyFont="1" applyFill="1" applyBorder="1" applyAlignment="1">
      <alignment horizontal="center"/>
    </xf>
    <xf numFmtId="0" fontId="10" fillId="4" borderId="5" xfId="0" applyFont="1" applyFill="1" applyBorder="1" applyAlignment="1">
      <alignment horizontal="right" vertical="center" wrapText="1"/>
    </xf>
    <xf numFmtId="0" fontId="27" fillId="4" borderId="0" xfId="0" applyFont="1" applyFill="1" applyAlignment="1">
      <alignment horizontal="left" wrapText="1"/>
    </xf>
    <xf numFmtId="0" fontId="27" fillId="4" borderId="0" xfId="0" applyFont="1" applyFill="1" applyAlignment="1">
      <alignment horizontal="left" vertical="center" wrapText="1"/>
    </xf>
    <xf numFmtId="0" fontId="42" fillId="8" borderId="0" xfId="0" applyFont="1" applyFill="1" applyAlignment="1">
      <alignment horizontal="center"/>
    </xf>
    <xf numFmtId="0" fontId="36" fillId="2" borderId="22" xfId="0" applyFont="1" applyFill="1" applyBorder="1" applyAlignment="1">
      <alignment horizontal="center" vertical="center"/>
    </xf>
    <xf numFmtId="0" fontId="36" fillId="2" borderId="0" xfId="0" applyFont="1" applyFill="1" applyAlignment="1">
      <alignment horizontal="center" vertical="center"/>
    </xf>
    <xf numFmtId="165" fontId="1" fillId="6" borderId="14" xfId="0" applyNumberFormat="1" applyFont="1" applyFill="1" applyBorder="1" applyAlignment="1">
      <alignment horizontal="center" vertical="center"/>
    </xf>
    <xf numFmtId="165" fontId="1" fillId="6" borderId="15" xfId="0" applyNumberFormat="1" applyFont="1" applyFill="1" applyBorder="1" applyAlignment="1">
      <alignment horizontal="center" vertical="center"/>
    </xf>
    <xf numFmtId="165" fontId="1" fillId="6" borderId="16" xfId="0" applyNumberFormat="1" applyFont="1" applyFill="1" applyBorder="1" applyAlignment="1">
      <alignment horizontal="center" vertical="center"/>
    </xf>
    <xf numFmtId="0" fontId="3" fillId="7" borderId="2" xfId="0" applyFont="1" applyFill="1" applyBorder="1" applyAlignment="1">
      <alignment horizontal="center" vertical="center" wrapText="1"/>
    </xf>
    <xf numFmtId="0" fontId="0" fillId="7" borderId="2" xfId="0" applyFill="1" applyBorder="1" applyAlignment="1">
      <alignment horizontal="center" vertical="center" wrapText="1"/>
    </xf>
    <xf numFmtId="3"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66" fillId="0" borderId="0" xfId="0" applyFont="1" applyAlignment="1">
      <alignment horizontal="center" vertical="center"/>
    </xf>
    <xf numFmtId="3" fontId="0" fillId="0" borderId="0" xfId="0" applyNumberFormat="1" applyAlignment="1">
      <alignment horizontal="center" vertical="center"/>
    </xf>
    <xf numFmtId="0" fontId="0" fillId="0" borderId="0" xfId="0" applyAlignment="1">
      <alignment horizontal="center" vertical="center"/>
    </xf>
    <xf numFmtId="0" fontId="3" fillId="4" borderId="37" xfId="0" applyFont="1" applyFill="1" applyBorder="1" applyAlignment="1">
      <alignment horizontal="left" vertical="center" wrapText="1"/>
    </xf>
    <xf numFmtId="0" fontId="3" fillId="4" borderId="94" xfId="0" applyFont="1" applyFill="1" applyBorder="1" applyAlignment="1">
      <alignment horizontal="left" vertical="center" wrapText="1"/>
    </xf>
    <xf numFmtId="0" fontId="3" fillId="4" borderId="46" xfId="0" applyFont="1" applyFill="1" applyBorder="1" applyAlignment="1">
      <alignment horizontal="left" vertical="center" wrapText="1"/>
    </xf>
    <xf numFmtId="3" fontId="3" fillId="12" borderId="0" xfId="0" applyNumberFormat="1" applyFont="1" applyFill="1" applyAlignment="1">
      <alignment horizontal="center"/>
    </xf>
    <xf numFmtId="0" fontId="3" fillId="12" borderId="74" xfId="0" applyFont="1" applyFill="1" applyBorder="1" applyAlignment="1">
      <alignment horizontal="center"/>
    </xf>
    <xf numFmtId="0" fontId="63" fillId="4" borderId="85" xfId="0" applyFont="1" applyFill="1" applyBorder="1" applyAlignment="1">
      <alignment horizontal="center"/>
    </xf>
    <xf numFmtId="0" fontId="63" fillId="4" borderId="86" xfId="0" applyFont="1" applyFill="1" applyBorder="1" applyAlignment="1">
      <alignment horizontal="center"/>
    </xf>
    <xf numFmtId="0" fontId="63" fillId="4" borderId="87" xfId="0" applyFont="1" applyFill="1" applyBorder="1" applyAlignment="1">
      <alignment horizontal="center"/>
    </xf>
    <xf numFmtId="0" fontId="3" fillId="0" borderId="94" xfId="0" applyFont="1" applyBorder="1" applyAlignment="1">
      <alignment horizontal="left" vertical="center"/>
    </xf>
    <xf numFmtId="0" fontId="0" fillId="12" borderId="0" xfId="0" applyFill="1" applyAlignment="1">
      <alignment horizontal="center" vertical="center"/>
    </xf>
    <xf numFmtId="3" fontId="0" fillId="12" borderId="0" xfId="0" applyNumberFormat="1" applyFill="1" applyAlignment="1">
      <alignment horizontal="center" vertical="center"/>
    </xf>
    <xf numFmtId="0" fontId="48" fillId="4" borderId="90" xfId="0" applyFont="1" applyFill="1" applyBorder="1" applyAlignment="1">
      <alignment horizontal="center" vertical="center" wrapText="1"/>
    </xf>
    <xf numFmtId="0" fontId="48" fillId="4" borderId="345" xfId="0" applyFont="1" applyFill="1" applyBorder="1" applyAlignment="1">
      <alignment horizontal="center" vertical="center" wrapText="1"/>
    </xf>
    <xf numFmtId="0" fontId="30" fillId="9" borderId="0" xfId="0" applyFont="1" applyFill="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28" xfId="0" applyBorder="1" applyAlignment="1">
      <alignment horizontal="left" vertical="center" wrapText="1"/>
    </xf>
    <xf numFmtId="0" fontId="41" fillId="5" borderId="23" xfId="0" applyFont="1" applyFill="1" applyBorder="1" applyAlignment="1">
      <alignment horizontal="center" vertical="center"/>
    </xf>
    <xf numFmtId="0" fontId="41" fillId="5" borderId="24" xfId="0" applyFont="1" applyFill="1" applyBorder="1" applyAlignment="1">
      <alignment horizontal="center" vertical="center"/>
    </xf>
    <xf numFmtId="0" fontId="41" fillId="5" borderId="25" xfId="0" applyFont="1" applyFill="1" applyBorder="1" applyAlignment="1">
      <alignment horizontal="center" vertical="center"/>
    </xf>
    <xf numFmtId="0" fontId="20" fillId="3" borderId="29" xfId="0" applyFont="1" applyFill="1" applyBorder="1" applyAlignment="1">
      <alignment horizontal="center" vertical="center"/>
    </xf>
    <xf numFmtId="0" fontId="7" fillId="10" borderId="31" xfId="0" applyFont="1" applyFill="1" applyBorder="1" applyAlignment="1">
      <alignment horizontal="center" vertical="center"/>
    </xf>
    <xf numFmtId="0" fontId="7" fillId="10" borderId="32" xfId="0" applyFont="1" applyFill="1" applyBorder="1" applyAlignment="1">
      <alignment horizontal="center" vertical="center"/>
    </xf>
    <xf numFmtId="0" fontId="7" fillId="10" borderId="33" xfId="0" applyFont="1" applyFill="1" applyBorder="1" applyAlignment="1">
      <alignment horizontal="center" vertical="center"/>
    </xf>
    <xf numFmtId="0" fontId="7" fillId="10" borderId="38" xfId="0" applyFont="1" applyFill="1" applyBorder="1" applyAlignment="1">
      <alignment horizontal="center" vertical="center"/>
    </xf>
    <xf numFmtId="0" fontId="7" fillId="10" borderId="43" xfId="0" applyFont="1" applyFill="1" applyBorder="1" applyAlignment="1">
      <alignment horizontal="center" vertical="center"/>
    </xf>
    <xf numFmtId="0" fontId="30" fillId="2" borderId="37" xfId="0" applyFont="1" applyFill="1" applyBorder="1" applyAlignment="1">
      <alignment horizontal="center" vertical="center"/>
    </xf>
    <xf numFmtId="0" fontId="30" fillId="2" borderId="46" xfId="0" applyFont="1" applyFill="1" applyBorder="1" applyAlignment="1">
      <alignment horizontal="center" vertical="center"/>
    </xf>
    <xf numFmtId="0" fontId="48" fillId="4" borderId="89" xfId="0" applyFont="1" applyFill="1" applyBorder="1" applyAlignment="1">
      <alignment horizontal="center" vertical="center" wrapText="1"/>
    </xf>
    <xf numFmtId="0" fontId="48" fillId="4" borderId="112" xfId="0" applyFont="1" applyFill="1" applyBorder="1" applyAlignment="1">
      <alignment horizontal="center" vertical="center" wrapText="1"/>
    </xf>
    <xf numFmtId="0" fontId="33" fillId="2" borderId="98" xfId="0" applyFont="1" applyFill="1" applyBorder="1" applyAlignment="1">
      <alignment horizontal="center" vertical="center"/>
    </xf>
    <xf numFmtId="0" fontId="33" fillId="2" borderId="97" xfId="0" applyFont="1" applyFill="1" applyBorder="1" applyAlignment="1">
      <alignment horizontal="center" vertical="center"/>
    </xf>
    <xf numFmtId="0" fontId="33" fillId="2" borderId="99" xfId="0" applyFont="1" applyFill="1" applyBorder="1" applyAlignment="1">
      <alignment horizontal="center" vertical="center"/>
    </xf>
    <xf numFmtId="0" fontId="33" fillId="2" borderId="20" xfId="0" applyFont="1" applyFill="1" applyBorder="1" applyAlignment="1">
      <alignment horizontal="center" vertical="center"/>
    </xf>
    <xf numFmtId="0" fontId="33" fillId="2" borderId="0" xfId="0" applyFont="1" applyFill="1" applyAlignment="1">
      <alignment horizontal="center" vertical="center"/>
    </xf>
    <xf numFmtId="0" fontId="33" fillId="2" borderId="21" xfId="0" applyFont="1" applyFill="1" applyBorder="1" applyAlignment="1">
      <alignment horizontal="center" vertical="center"/>
    </xf>
    <xf numFmtId="0" fontId="0" fillId="22" borderId="1" xfId="0" applyFill="1" applyBorder="1" applyAlignment="1">
      <alignment horizontal="right"/>
    </xf>
    <xf numFmtId="0" fontId="0" fillId="22" borderId="3" xfId="0" applyFill="1" applyBorder="1" applyAlignment="1">
      <alignment horizontal="right"/>
    </xf>
    <xf numFmtId="0" fontId="0" fillId="0" borderId="88" xfId="0" applyBorder="1" applyAlignment="1">
      <alignment horizontal="center"/>
    </xf>
    <xf numFmtId="0" fontId="0" fillId="0" borderId="0" xfId="0" applyAlignment="1">
      <alignment horizontal="center" vertical="center" wrapText="1"/>
    </xf>
    <xf numFmtId="0" fontId="82" fillId="0" borderId="0" xfId="0" applyFont="1" applyAlignment="1">
      <alignment horizontal="left" vertical="center" wrapText="1"/>
    </xf>
    <xf numFmtId="0" fontId="54" fillId="4" borderId="0" xfId="0" applyFont="1" applyFill="1" applyAlignment="1">
      <alignment horizontal="left" vertical="center" wrapText="1"/>
    </xf>
    <xf numFmtId="166" fontId="0" fillId="0" borderId="0" xfId="0" applyNumberFormat="1" applyAlignment="1">
      <alignment horizontal="center" vertical="center"/>
    </xf>
    <xf numFmtId="0" fontId="43" fillId="4" borderId="0" xfId="1" applyFill="1" applyAlignment="1">
      <alignment horizontal="left" vertical="top" wrapText="1"/>
    </xf>
    <xf numFmtId="0" fontId="82" fillId="4" borderId="0" xfId="0" applyFont="1" applyFill="1" applyAlignment="1">
      <alignment horizontal="left" vertical="top" wrapText="1"/>
    </xf>
    <xf numFmtId="0" fontId="81" fillId="4" borderId="96" xfId="0" applyFont="1" applyFill="1" applyBorder="1" applyAlignment="1">
      <alignment horizontal="left" vertical="center" wrapText="1"/>
    </xf>
    <xf numFmtId="0" fontId="69" fillId="4" borderId="88" xfId="0" applyFont="1" applyFill="1" applyBorder="1" applyAlignment="1">
      <alignment horizontal="left" vertical="top" wrapText="1"/>
    </xf>
    <xf numFmtId="0" fontId="78" fillId="4" borderId="88" xfId="1" applyFont="1" applyFill="1" applyBorder="1" applyAlignment="1">
      <alignment horizontal="left" vertical="top" wrapText="1"/>
    </xf>
    <xf numFmtId="0" fontId="78" fillId="4" borderId="0" xfId="1" applyFont="1" applyFill="1" applyBorder="1" applyAlignment="1">
      <alignment horizontal="left" vertical="top" wrapText="1"/>
    </xf>
    <xf numFmtId="0" fontId="0" fillId="4" borderId="0" xfId="0" applyFill="1" applyAlignment="1">
      <alignment horizontal="left" vertical="top" wrapText="1"/>
    </xf>
    <xf numFmtId="0" fontId="0" fillId="4" borderId="0" xfId="0" applyFill="1" applyAlignment="1">
      <alignment horizontal="left" vertical="center" wrapText="1"/>
    </xf>
    <xf numFmtId="0" fontId="81" fillId="0" borderId="0" xfId="0" applyFont="1" applyAlignment="1">
      <alignment horizontal="center" vertical="center"/>
    </xf>
    <xf numFmtId="0" fontId="81" fillId="0" borderId="0" xfId="0" applyFont="1" applyAlignment="1">
      <alignment horizontal="left" vertical="center" wrapText="1"/>
    </xf>
    <xf numFmtId="0" fontId="81" fillId="4" borderId="0" xfId="0" applyFont="1" applyFill="1" applyAlignment="1">
      <alignment horizontal="left" vertical="center" wrapText="1"/>
    </xf>
    <xf numFmtId="0" fontId="43" fillId="4" borderId="88" xfId="1" applyFill="1" applyBorder="1" applyAlignment="1">
      <alignment horizontal="left" vertical="top" wrapText="1"/>
    </xf>
    <xf numFmtId="3" fontId="148" fillId="0" borderId="0" xfId="20" quotePrefix="1" applyNumberFormat="1" applyFont="1" applyAlignment="1">
      <alignment horizontal="left" vertical="center"/>
    </xf>
    <xf numFmtId="0" fontId="26" fillId="0" borderId="0" xfId="20"/>
    <xf numFmtId="0" fontId="108" fillId="27" borderId="135" xfId="20" applyFont="1" applyFill="1" applyBorder="1" applyAlignment="1">
      <alignment horizontal="center" vertical="center"/>
    </xf>
    <xf numFmtId="0" fontId="152" fillId="0" borderId="133" xfId="20" applyFont="1" applyBorder="1"/>
    <xf numFmtId="0" fontId="152" fillId="0" borderId="134" xfId="20" applyFont="1" applyBorder="1"/>
    <xf numFmtId="3" fontId="202" fillId="0" borderId="0" xfId="22" quotePrefix="1" applyNumberFormat="1" applyFont="1" applyAlignment="1">
      <alignment horizontal="left" vertical="center"/>
    </xf>
    <xf numFmtId="0" fontId="161" fillId="0" borderId="0" xfId="22"/>
    <xf numFmtId="0" fontId="108" fillId="27" borderId="135" xfId="22" applyFont="1" applyFill="1" applyBorder="1" applyAlignment="1">
      <alignment horizontal="center" vertical="center"/>
    </xf>
    <xf numFmtId="0" fontId="152" fillId="0" borderId="133" xfId="22" applyFont="1" applyBorder="1"/>
    <xf numFmtId="3" fontId="148" fillId="0" borderId="0" xfId="22" quotePrefix="1" applyNumberFormat="1" applyFont="1" applyAlignment="1">
      <alignment horizontal="left" vertical="center"/>
    </xf>
    <xf numFmtId="0" fontId="108" fillId="27" borderId="133" xfId="20" applyFont="1" applyFill="1" applyBorder="1" applyAlignment="1">
      <alignment horizontal="center" vertical="center"/>
    </xf>
    <xf numFmtId="0" fontId="108" fillId="27" borderId="134" xfId="20" applyFont="1" applyFill="1" applyBorder="1" applyAlignment="1">
      <alignment horizontal="center" vertical="center"/>
    </xf>
    <xf numFmtId="0" fontId="108" fillId="27" borderId="163" xfId="20" applyFont="1" applyFill="1" applyBorder="1" applyAlignment="1">
      <alignment horizontal="center" vertical="center"/>
    </xf>
    <xf numFmtId="0" fontId="108" fillId="27" borderId="164" xfId="20" applyFont="1" applyFill="1" applyBorder="1" applyAlignment="1">
      <alignment horizontal="center" vertical="center"/>
    </xf>
    <xf numFmtId="0" fontId="108" fillId="27" borderId="135" xfId="3" applyFont="1" applyFill="1" applyBorder="1" applyAlignment="1">
      <alignment horizontal="center" vertical="center"/>
    </xf>
    <xf numFmtId="0" fontId="108" fillId="27" borderId="133" xfId="3" applyFont="1" applyFill="1" applyBorder="1" applyAlignment="1">
      <alignment horizontal="center" vertical="center"/>
    </xf>
    <xf numFmtId="0" fontId="108" fillId="27" borderId="141" xfId="3" applyFont="1" applyFill="1" applyBorder="1" applyAlignment="1">
      <alignment horizontal="center" vertical="center"/>
    </xf>
    <xf numFmtId="0" fontId="152" fillId="0" borderId="141" xfId="3" applyFont="1" applyBorder="1"/>
    <xf numFmtId="0" fontId="152" fillId="0" borderId="133" xfId="3" applyFont="1" applyBorder="1"/>
    <xf numFmtId="3" fontId="148" fillId="0" borderId="0" xfId="3" quotePrefix="1" applyNumberFormat="1" applyFont="1" applyAlignment="1">
      <alignment horizontal="left" vertical="center"/>
    </xf>
    <xf numFmtId="0" fontId="26" fillId="0" borderId="0" xfId="3"/>
    <xf numFmtId="0" fontId="104" fillId="0" borderId="0" xfId="20" applyFont="1" applyAlignment="1">
      <alignment horizontal="left" vertical="center" wrapText="1"/>
    </xf>
    <xf numFmtId="3" fontId="148" fillId="0" borderId="0" xfId="27" quotePrefix="1" applyNumberFormat="1" applyFont="1" applyAlignment="1">
      <alignment horizontal="left" vertical="center"/>
    </xf>
    <xf numFmtId="0" fontId="245" fillId="0" borderId="0" xfId="27"/>
    <xf numFmtId="0" fontId="108" fillId="27" borderId="135" xfId="30" applyFont="1" applyFill="1" applyBorder="1" applyAlignment="1">
      <alignment horizontal="center" vertical="center"/>
    </xf>
    <xf numFmtId="0" fontId="152" fillId="0" borderId="133" xfId="30" applyFont="1" applyBorder="1"/>
    <xf numFmtId="3" fontId="148" fillId="0" borderId="0" xfId="31" quotePrefix="1" applyNumberFormat="1" applyFont="1" applyAlignment="1">
      <alignment horizontal="left" vertical="center"/>
    </xf>
    <xf numFmtId="0" fontId="297" fillId="0" borderId="0" xfId="31"/>
    <xf numFmtId="0" fontId="239" fillId="0" borderId="0" xfId="31" applyFont="1"/>
    <xf numFmtId="0" fontId="108" fillId="27" borderId="210" xfId="20" applyFont="1" applyFill="1" applyBorder="1" applyAlignment="1">
      <alignment horizontal="center" vertical="center"/>
    </xf>
    <xf numFmtId="0" fontId="108" fillId="27" borderId="211" xfId="20" applyFont="1" applyFill="1" applyBorder="1" applyAlignment="1">
      <alignment horizontal="center" vertical="center"/>
    </xf>
    <xf numFmtId="0" fontId="108" fillId="27" borderId="212" xfId="20" applyFont="1" applyFill="1" applyBorder="1" applyAlignment="1">
      <alignment horizontal="center" vertical="center"/>
    </xf>
    <xf numFmtId="0" fontId="27" fillId="0" borderId="0" xfId="20" applyFont="1" applyAlignment="1">
      <alignment horizontal="left" vertical="center" wrapText="1"/>
    </xf>
    <xf numFmtId="0" fontId="108" fillId="27" borderId="163" xfId="3" applyFont="1" applyFill="1" applyBorder="1" applyAlignment="1">
      <alignment horizontal="center" vertical="center"/>
    </xf>
    <xf numFmtId="0" fontId="108" fillId="27" borderId="276" xfId="3" applyFont="1" applyFill="1" applyBorder="1" applyAlignment="1">
      <alignment horizontal="center" vertical="center"/>
    </xf>
    <xf numFmtId="0" fontId="108" fillId="27" borderId="164" xfId="3" applyFont="1" applyFill="1" applyBorder="1" applyAlignment="1">
      <alignment horizontal="center" vertical="center"/>
    </xf>
    <xf numFmtId="0" fontId="104" fillId="0" borderId="152" xfId="3" applyFont="1" applyBorder="1" applyAlignment="1">
      <alignment horizontal="center" vertical="center"/>
    </xf>
    <xf numFmtId="0" fontId="104" fillId="37" borderId="152" xfId="3" applyFont="1" applyFill="1" applyBorder="1" applyAlignment="1">
      <alignment horizontal="center" vertical="center"/>
    </xf>
    <xf numFmtId="0" fontId="104" fillId="77" borderId="152" xfId="3" applyFont="1" applyFill="1" applyBorder="1" applyAlignment="1">
      <alignment horizontal="center" vertical="center"/>
    </xf>
    <xf numFmtId="0" fontId="152" fillId="0" borderId="141" xfId="20" applyFont="1" applyBorder="1"/>
    <xf numFmtId="3" fontId="95" fillId="67" borderId="0" xfId="20" applyNumberFormat="1" applyFont="1" applyFill="1" applyAlignment="1">
      <alignment horizontal="center" vertical="center"/>
    </xf>
    <xf numFmtId="3" fontId="79" fillId="67" borderId="0" xfId="20" applyNumberFormat="1" applyFont="1" applyFill="1" applyAlignment="1">
      <alignment horizontal="center" vertical="center"/>
    </xf>
    <xf numFmtId="0" fontId="250" fillId="54" borderId="0" xfId="20" applyFont="1" applyFill="1" applyAlignment="1">
      <alignment wrapText="1"/>
    </xf>
    <xf numFmtId="0" fontId="270" fillId="59" borderId="0" xfId="20" applyFont="1" applyFill="1"/>
    <xf numFmtId="0" fontId="108" fillId="27" borderId="135" xfId="28" applyFont="1" applyFill="1" applyBorder="1" applyAlignment="1">
      <alignment horizontal="center" vertical="center"/>
    </xf>
    <xf numFmtId="0" fontId="108" fillId="27" borderId="134" xfId="28" applyFont="1" applyFill="1" applyBorder="1" applyAlignment="1">
      <alignment horizontal="center" vertical="center"/>
    </xf>
    <xf numFmtId="3" fontId="148" fillId="0" borderId="0" xfId="28" quotePrefix="1" applyNumberFormat="1" applyFont="1" applyAlignment="1">
      <alignment horizontal="left" vertical="center"/>
    </xf>
    <xf numFmtId="0" fontId="272" fillId="0" borderId="0" xfId="28"/>
    <xf numFmtId="0" fontId="254" fillId="0" borderId="0" xfId="3" applyFont="1"/>
    <xf numFmtId="0" fontId="148" fillId="0" borderId="0" xfId="3" applyFont="1"/>
    <xf numFmtId="0" fontId="239" fillId="0" borderId="0" xfId="3" applyFont="1"/>
    <xf numFmtId="0" fontId="135" fillId="0" borderId="0" xfId="3" applyFont="1"/>
    <xf numFmtId="0" fontId="136" fillId="0" borderId="118" xfId="3" applyFont="1" applyBorder="1"/>
    <xf numFmtId="0" fontId="140" fillId="0" borderId="0" xfId="3" applyFont="1"/>
    <xf numFmtId="0" fontId="271" fillId="36" borderId="229" xfId="3" applyFont="1" applyFill="1" applyBorder="1" applyAlignment="1">
      <alignment wrapText="1"/>
    </xf>
    <xf numFmtId="0" fontId="271" fillId="36" borderId="230" xfId="3" applyFont="1" applyFill="1" applyBorder="1" applyAlignment="1">
      <alignment wrapText="1"/>
    </xf>
    <xf numFmtId="0" fontId="266" fillId="0" borderId="0" xfId="3" applyFont="1" applyAlignment="1">
      <alignment vertical="center" wrapText="1"/>
    </xf>
    <xf numFmtId="0" fontId="261" fillId="37" borderId="0" xfId="3" applyFont="1" applyFill="1" applyAlignment="1">
      <alignment vertical="center" wrapText="1"/>
    </xf>
    <xf numFmtId="0" fontId="250" fillId="36" borderId="0" xfId="3" applyFont="1" applyFill="1" applyAlignment="1">
      <alignment vertical="center" wrapText="1"/>
    </xf>
    <xf numFmtId="3" fontId="148" fillId="0" borderId="0" xfId="30" quotePrefix="1" applyNumberFormat="1" applyFont="1" applyAlignment="1">
      <alignment horizontal="left" vertical="center"/>
    </xf>
    <xf numFmtId="0" fontId="297" fillId="0" borderId="0" xfId="30"/>
    <xf numFmtId="0" fontId="15" fillId="0" borderId="0" xfId="30" applyFont="1" applyAlignment="1">
      <alignment horizontal="right" vertical="center" wrapText="1"/>
    </xf>
    <xf numFmtId="0" fontId="288" fillId="0" borderId="0" xfId="30" applyFont="1" applyAlignment="1">
      <alignment horizontal="left" vertical="center" wrapText="1"/>
    </xf>
    <xf numFmtId="0" fontId="261" fillId="0" borderId="0" xfId="30" applyFont="1" applyAlignment="1">
      <alignment horizontal="left" vertical="center" wrapText="1"/>
    </xf>
    <xf numFmtId="0" fontId="14" fillId="71" borderId="263" xfId="30" applyFont="1" applyFill="1" applyBorder="1" applyAlignment="1">
      <alignment horizontal="center"/>
    </xf>
    <xf numFmtId="0" fontId="152" fillId="0" borderId="264" xfId="30" applyFont="1" applyBorder="1"/>
    <xf numFmtId="0" fontId="152" fillId="0" borderId="265" xfId="30" applyFont="1" applyBorder="1"/>
    <xf numFmtId="0" fontId="223" fillId="0" borderId="0" xfId="20" applyFont="1"/>
    <xf numFmtId="0" fontId="223" fillId="0" borderId="141" xfId="20" applyFont="1" applyBorder="1"/>
    <xf numFmtId="0" fontId="353" fillId="0" borderId="0" xfId="20" applyFont="1" applyAlignment="1">
      <alignment horizontal="left" vertical="center"/>
    </xf>
    <xf numFmtId="0" fontId="315" fillId="27" borderId="135" xfId="30" applyFont="1" applyFill="1" applyBorder="1" applyAlignment="1">
      <alignment horizontal="center" vertical="center"/>
    </xf>
    <xf numFmtId="0" fontId="316" fillId="0" borderId="133" xfId="30" applyFont="1" applyBorder="1"/>
    <xf numFmtId="0" fontId="316" fillId="0" borderId="134" xfId="30" applyFont="1" applyBorder="1"/>
    <xf numFmtId="3" fontId="349" fillId="0" borderId="0" xfId="30" quotePrefix="1" applyNumberFormat="1" applyFont="1" applyAlignment="1">
      <alignment horizontal="left" vertical="center"/>
    </xf>
  </cellXfs>
  <cellStyles count="34">
    <cellStyle name="Comma" xfId="33" builtinId="3"/>
    <cellStyle name="Comma 2" xfId="16" xr:uid="{00D2396E-2C4A-4779-889A-79CC65E69A1D}"/>
    <cellStyle name="Comma 4" xfId="9" xr:uid="{B88C5F38-0C56-4D1C-A247-9D4138E17574}"/>
    <cellStyle name="Currency 3" xfId="7" xr:uid="{CD9D1D67-2E27-4479-98DD-088DADB91C29}"/>
    <cellStyle name="Hyperlink" xfId="1" builtinId="8"/>
    <cellStyle name="Hyperlink 2" xfId="6" xr:uid="{D4EC0940-772E-49F9-A509-A3CBB6E71F39}"/>
    <cellStyle name="Hyperlink 2 2" xfId="17" xr:uid="{4E4D2617-9213-4623-8D58-202FB9F81B5D}"/>
    <cellStyle name="Hyperlink 3" xfId="12" xr:uid="{ECA3435F-F668-478F-A608-B388A4A5C09A}"/>
    <cellStyle name="Hyperlink 4" xfId="24" xr:uid="{067699EF-0DDB-444F-A74F-9EF6D5CFCA8A}"/>
    <cellStyle name="Hyperlink 5" xfId="13" xr:uid="{139F1A8B-F1BA-4ABA-8C67-291254FBAC9F}"/>
    <cellStyle name="Normal" xfId="0" builtinId="0"/>
    <cellStyle name="Normal 10" xfId="28" xr:uid="{E77F4792-55D6-4AE6-A937-CA1BC9BEB5F4}"/>
    <cellStyle name="Normal 11" xfId="30" xr:uid="{F438FF31-4F18-4A3F-8AA4-F51D98D057A9}"/>
    <cellStyle name="Normal 2" xfId="2" xr:uid="{F0EEF4D0-4309-46B6-9F0F-B3D487D7A487}"/>
    <cellStyle name="Normal 2 2" xfId="20" xr:uid="{70D0C9B2-7E13-4EE6-A3EB-EF03B7BAAA50}"/>
    <cellStyle name="Normal 3" xfId="3" xr:uid="{8ABBFBDA-70E5-4AE9-91CC-3EA432F18461}"/>
    <cellStyle name="Normal 3 2" xfId="19" xr:uid="{748A436D-D2F4-45FA-AD6A-71D5FF224D5D}"/>
    <cellStyle name="Normal 3 3" xfId="21" xr:uid="{E7B0EA99-E27D-4130-A38E-92FB19797CCB}"/>
    <cellStyle name="Normal 3 3 2" xfId="26" xr:uid="{6FDE6A76-FE6D-473C-9D27-71F7094CFF2E}"/>
    <cellStyle name="Normal 3 4" xfId="31" xr:uid="{05072FC3-E300-4395-BBBA-0613970AD85B}"/>
    <cellStyle name="Normal 4" xfId="14" xr:uid="{F2AAFF57-ED17-4532-991A-69D8997F6BDB}"/>
    <cellStyle name="Normal 4 2" xfId="8" xr:uid="{B43C1644-92F7-428C-953C-9CE1770A1062}"/>
    <cellStyle name="Normal 5" xfId="18" xr:uid="{C0424EC2-FAC7-4874-A9B7-1CFE91A7575B}"/>
    <cellStyle name="Normal 6" xfId="10" xr:uid="{601BFDA6-6F10-4316-97FB-21F8C6002E5C}"/>
    <cellStyle name="Normal 7" xfId="22" xr:uid="{ADBBE6EB-87CC-4407-BA4E-1C889BFD2081}"/>
    <cellStyle name="Normal 8" xfId="4" xr:uid="{70AD3A1B-4AEC-4796-8237-06D8FBBAF155}"/>
    <cellStyle name="Normal 9" xfId="27" xr:uid="{52870559-ABA9-4EF4-985E-AF7E0DB2E15F}"/>
    <cellStyle name="Percent 2" xfId="11" xr:uid="{1D712609-5F87-49B6-B9B1-DB834440EC9E}"/>
    <cellStyle name="Percent 3" xfId="15" xr:uid="{33A7EEBE-7559-4CB4-91C5-C92188C20231}"/>
    <cellStyle name="Percent 4" xfId="5" xr:uid="{97463F15-F88A-472B-8A98-7CC953C28997}"/>
    <cellStyle name="Percent 5" xfId="23" xr:uid="{BBB24968-977D-4057-A1A4-EE2379866ACB}"/>
    <cellStyle name="Percent 6" xfId="29" xr:uid="{09E25599-4017-4162-9E8B-6E01FB4B6112}"/>
    <cellStyle name="Percent 7" xfId="32" xr:uid="{27978721-D72B-4717-B463-6060064F6290}"/>
    <cellStyle name="Pourcentage 2" xfId="25" xr:uid="{FAD63160-0647-4CC4-B79E-2B73DBDE0E4E}"/>
  </cellStyles>
  <dxfs count="1">
    <dxf>
      <font>
        <color auto="1"/>
      </font>
      <fill>
        <patternFill>
          <bgColor rgb="FFFF0000"/>
        </patternFill>
      </fill>
    </dxf>
  </dxfs>
  <tableStyles count="0" defaultTableStyle="TableStyleMedium2" defaultPivotStyle="PivotStyleLight16"/>
  <colors>
    <mruColors>
      <color rgb="FFEEECE1"/>
      <color rgb="FFFFE5E5"/>
      <color rgb="FFECF9E7"/>
      <color rgb="FF0DBF7B"/>
      <color rgb="FF1DE389"/>
      <color rgb="FF02CA53"/>
      <color rgb="FFC0E6F5"/>
      <color rgb="FFFDF7E9"/>
      <color rgb="FF94F8EA"/>
      <color rgb="FFF04E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calcChain" Target="calcChai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40130</xdr:colOff>
      <xdr:row>56</xdr:row>
      <xdr:rowOff>104775</xdr:rowOff>
    </xdr:from>
    <xdr:to>
      <xdr:col>7</xdr:col>
      <xdr:colOff>317766</xdr:colOff>
      <xdr:row>82</xdr:row>
      <xdr:rowOff>83821</xdr:rowOff>
    </xdr:to>
    <xdr:pic>
      <xdr:nvPicPr>
        <xdr:cNvPr id="2" name="Picture 1" descr="MapCC_SADCetCAE">
          <a:extLst>
            <a:ext uri="{FF2B5EF4-FFF2-40B4-BE49-F238E27FC236}">
              <a16:creationId xmlns:a16="http://schemas.microsoft.com/office/drawing/2014/main" id="{D1759C11-3A80-434E-873D-7A36126BE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210" y="12258675"/>
          <a:ext cx="5329696" cy="4680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8.xml.rels><?xml version="1.0" encoding="UTF-8" standalone="yes"?>
<Relationships xmlns="http://schemas.openxmlformats.org/package/2006/relationships"><Relationship Id="rId1" Type="http://schemas.openxmlformats.org/officeDocument/2006/relationships/hyperlink" Target="https://www.recyc-quebec.gouv.qc.ca/municipalites/matieres-organiques/residus-verts" TargetMode="External"/></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2.xml.rels><?xml version="1.0" encoding="UTF-8" standalone="yes"?>
<Relationships xmlns="http://schemas.openxmlformats.org/package/2006/relationships"><Relationship Id="rId1" Type="http://schemas.openxmlformats.org/officeDocument/2006/relationships/hyperlink" Target="../../../../../../../:b:/r/sites/quipe-Quantifs-QC/Shared%20Documents/Analyse%20et%20recherches/Projets%20d%27analyse%20et%20recherche/S%C3%89MECS/F.%C3%89.%20%C3%89pandage%20du%20digestat%20et%20GNR-%20v.30%20juin%202023%20-%20Version%20FINALE.pdf?csf=1&amp;web=1&amp;e=8e4bnT"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hyperlink" Target="https://www.epa.gov/sites/default/files/2016-04/documents/volume_to_weight_conversion_factors_memorandum_04192016_508fnl.pdf" TargetMode="External"/><Relationship Id="rId1" Type="http://schemas.openxmlformats.org/officeDocument/2006/relationships/hyperlink" Target="https://www.metric-conversions.org/fr/volume/conversion-de-metres-cubes.htm"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b:/s/quipe-Quantifs-QC/ERphrg5HsQxJhWh1Qb25w6wBXNPjbXL7qzjd8fBlZSFa8Q?e=p34W2l" TargetMode="External"/><Relationship Id="rId2" Type="http://schemas.openxmlformats.org/officeDocument/2006/relationships/hyperlink" Target="../../../../../../../:b:/s/quipe-Quantifs-QC/ETGpFy3QGpFFtrVASkJKSW4B5xyzhybbOLiSHX6RF-6SeQ?e=tZWHoG" TargetMode="External"/><Relationship Id="rId1" Type="http://schemas.openxmlformats.org/officeDocument/2006/relationships/hyperlink" Target="../../../../../../../:b:/s/quipe-Quantifs-QC/ETGpFy3QGpFFtrVASkJKSW4B5xyzhybbOLiSHX6RF-6SeQ?e=tZWHoG"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mamh.gouv.qc.ca/fileadmin/publications/organisation_municipale/organisation_territoriale/BRO_OrganisationMunicipale_2020.pdf" TargetMode="External"/><Relationship Id="rId2" Type="http://schemas.openxmlformats.org/officeDocument/2006/relationships/hyperlink" Target="https://www.newswire.ca/news-releases/will-announces-3-million-tons-of-greenhouse-gas-offsets-released-for-sale-870212697.html" TargetMode="External"/><Relationship Id="rId1" Type="http://schemas.openxmlformats.org/officeDocument/2006/relationships/hyperlink" Target="https://www.mamh.gouv.qc.ca/fileadmin/publications/organisation_municipale/organisation_territoriale/BRO_OrganisationMunicipale_2020.pdf" TargetMode="External"/><Relationship Id="rId4"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hyperlink" Target="http://afpq03.ca/wp-content/uploads/2014/06/EQUIVAL.pdf" TargetMode="External"/></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2.xml.rels><?xml version="1.0" encoding="UTF-8" standalone="yes"?>
<Relationships xmlns="http://schemas.openxmlformats.org/package/2006/relationships"><Relationship Id="rId1" Type="http://schemas.openxmlformats.org/officeDocument/2006/relationships/hyperlink" Target="https://www.aqua-calc.com/calculate/weight-to-volume/substance/propane" TargetMode="External"/></Relationships>
</file>

<file path=xl/worksheets/_rels/sheet92.xml.rels><?xml version="1.0" encoding="UTF-8" standalone="yes"?>
<Relationships xmlns="http://schemas.openxmlformats.org/package/2006/relationships"><Relationship Id="rId3" Type="http://schemas.openxmlformats.org/officeDocument/2006/relationships/hyperlink" Target="https://soghu.com/fr/rapport-annuel-2023" TargetMode="External"/><Relationship Id="rId2" Type="http://schemas.openxmlformats.org/officeDocument/2006/relationships/hyperlink" Target="https://soghu.com/wp-content/uploads/SOGHU-Rapport-Annuel-2021.pdf" TargetMode="External"/><Relationship Id="rId1" Type="http://schemas.openxmlformats.org/officeDocument/2006/relationships/hyperlink" Target="https://d35t1syewk4d42.cloudfront.net/file/851/NFA_PImpacts_v35.pdf" TargetMode="External"/><Relationship Id="rId4" Type="http://schemas.openxmlformats.org/officeDocument/2006/relationships/printerSettings" Target="../printerSettings/printerSettings9.bin"/></Relationships>
</file>

<file path=xl/worksheets/_rels/sheet94.xml.rels><?xml version="1.0" encoding="UTF-8" standalone="yes"?>
<Relationships xmlns="http://schemas.openxmlformats.org/package/2006/relationships"><Relationship Id="rId1" Type="http://schemas.openxmlformats.org/officeDocument/2006/relationships/hyperlink" Target="http://afpq03.ca/wp-content/uploads/2014/06/EQUIVAL.pdf" TargetMode="External"/></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546F-841B-4E0C-80B6-86C5B93324FC}">
  <sheetPr codeName="Sheet1"/>
  <dimension ref="B2:J28"/>
  <sheetViews>
    <sheetView workbookViewId="0">
      <selection activeCell="H9" sqref="H9"/>
    </sheetView>
  </sheetViews>
  <sheetFormatPr defaultColWidth="11.5546875" defaultRowHeight="14.4" x14ac:dyDescent="0.3"/>
  <cols>
    <col min="1" max="1" width="5.44140625" customWidth="1"/>
    <col min="2" max="2" width="15.33203125" customWidth="1"/>
    <col min="5" max="5" width="13.109375" customWidth="1"/>
    <col min="6" max="6" width="16.21875" customWidth="1"/>
    <col min="7" max="7" width="14.33203125" customWidth="1"/>
  </cols>
  <sheetData>
    <row r="2" spans="2:10" ht="25.95" customHeight="1" x14ac:dyDescent="0.45">
      <c r="B2" s="1" t="s">
        <v>0</v>
      </c>
      <c r="C2" s="1"/>
      <c r="D2" s="1"/>
      <c r="E2" s="1"/>
    </row>
    <row r="3" spans="2:10" ht="18" x14ac:dyDescent="0.35">
      <c r="B3" s="2" t="s">
        <v>1</v>
      </c>
      <c r="F3" s="3"/>
      <c r="G3" s="4"/>
    </row>
    <row r="4" spans="2:10" ht="15.6" x14ac:dyDescent="0.3">
      <c r="B4" s="5" t="s">
        <v>2</v>
      </c>
    </row>
    <row r="5" spans="2:10" ht="16.2" x14ac:dyDescent="0.3">
      <c r="B5" s="6" t="s">
        <v>296</v>
      </c>
      <c r="H5" s="4"/>
    </row>
    <row r="6" spans="2:10" ht="16.2" customHeight="1" x14ac:dyDescent="0.3">
      <c r="B6" s="7"/>
      <c r="H6" s="4"/>
    </row>
    <row r="7" spans="2:10" ht="11.4" customHeight="1" x14ac:dyDescent="0.3">
      <c r="B7" t="s">
        <v>2417</v>
      </c>
    </row>
    <row r="9" spans="2:10" ht="21" x14ac:dyDescent="0.3">
      <c r="B9" s="421">
        <v>2024</v>
      </c>
    </row>
    <row r="11" spans="2:10" ht="15.6" x14ac:dyDescent="0.3">
      <c r="B11" s="3" t="s">
        <v>292</v>
      </c>
    </row>
    <row r="12" spans="2:10" ht="7.2" customHeight="1" x14ac:dyDescent="0.3"/>
    <row r="13" spans="2:10" s="12" customFormat="1" ht="50.4" customHeight="1" x14ac:dyDescent="0.3">
      <c r="B13" s="8" t="s">
        <v>3</v>
      </c>
      <c r="C13" s="9" t="s">
        <v>4</v>
      </c>
      <c r="D13" s="10" t="s">
        <v>5</v>
      </c>
      <c r="E13" s="9" t="s">
        <v>6</v>
      </c>
      <c r="F13" s="11" t="s">
        <v>7</v>
      </c>
      <c r="H13" s="13"/>
      <c r="I13" s="13"/>
      <c r="J13" s="13"/>
    </row>
    <row r="14" spans="2:10" ht="20.399999999999999" customHeight="1" x14ac:dyDescent="0.3">
      <c r="B14" s="419" t="s">
        <v>297</v>
      </c>
      <c r="C14" s="14">
        <f>'ER 2024 scope 3 &amp; 13'!F123</f>
        <v>215283</v>
      </c>
      <c r="D14" s="15">
        <f>'ER 2024 scope 3 &amp; 13'!G123</f>
        <v>23494</v>
      </c>
      <c r="E14" s="16" t="s">
        <v>8</v>
      </c>
      <c r="F14" s="17">
        <f>C14-D14</f>
        <v>191789</v>
      </c>
    </row>
    <row r="15" spans="2:10" ht="20.399999999999999" customHeight="1" x14ac:dyDescent="0.3">
      <c r="B15" s="419" t="s">
        <v>298</v>
      </c>
      <c r="C15" s="14">
        <f>'ER 2024 scope 3 &amp; 13'!M123</f>
        <v>386668</v>
      </c>
      <c r="D15" s="15">
        <f>'ER 2024 scope 3 &amp; 13'!N123</f>
        <v>0</v>
      </c>
      <c r="E15" s="16" t="s">
        <v>8</v>
      </c>
      <c r="F15" s="17">
        <f>C15-D15</f>
        <v>386668</v>
      </c>
    </row>
    <row r="16" spans="2:10" ht="20.399999999999999" customHeight="1" x14ac:dyDescent="0.3">
      <c r="B16" s="18" t="s">
        <v>9</v>
      </c>
      <c r="C16" s="19">
        <f>SUM(C14:C15)</f>
        <v>601951</v>
      </c>
      <c r="D16" s="20">
        <f>SUM(D14:D15)</f>
        <v>23494</v>
      </c>
      <c r="E16" s="21" t="s">
        <v>8</v>
      </c>
      <c r="F16" s="22">
        <f>SUM(F14:F15)</f>
        <v>578457</v>
      </c>
    </row>
    <row r="17" spans="2:6" ht="13.5" customHeight="1" x14ac:dyDescent="0.3">
      <c r="B17" s="23"/>
      <c r="C17" s="24"/>
      <c r="D17" s="24"/>
      <c r="E17" s="25"/>
      <c r="F17" s="24"/>
    </row>
    <row r="18" spans="2:6" ht="10.199999999999999" customHeight="1" x14ac:dyDescent="0.3">
      <c r="B18" s="4309"/>
      <c r="C18" s="4309"/>
      <c r="D18" s="4309"/>
      <c r="E18" s="4309"/>
      <c r="F18" s="4309"/>
    </row>
    <row r="19" spans="2:6" x14ac:dyDescent="0.3">
      <c r="B19" s="26" t="s">
        <v>10</v>
      </c>
    </row>
    <row r="20" spans="2:6" ht="6.6" customHeight="1" x14ac:dyDescent="0.3"/>
    <row r="21" spans="2:6" ht="44.4" customHeight="1" x14ac:dyDescent="0.3">
      <c r="B21" s="8" t="s">
        <v>3</v>
      </c>
      <c r="C21" s="9" t="s">
        <v>4</v>
      </c>
      <c r="D21" s="10" t="s">
        <v>5</v>
      </c>
      <c r="E21" s="9" t="s">
        <v>6</v>
      </c>
      <c r="F21" s="11" t="s">
        <v>7</v>
      </c>
    </row>
    <row r="22" spans="2:6" ht="19.8" customHeight="1" x14ac:dyDescent="0.3">
      <c r="B22" s="27">
        <v>2024</v>
      </c>
      <c r="C22" s="28">
        <v>25567</v>
      </c>
      <c r="D22" s="29">
        <v>0</v>
      </c>
      <c r="E22" s="30" t="s">
        <v>8</v>
      </c>
      <c r="F22" s="31">
        <f>C22-D22</f>
        <v>25567</v>
      </c>
    </row>
    <row r="23" spans="2:6" ht="19.8" customHeight="1" x14ac:dyDescent="0.3">
      <c r="B23" s="32">
        <v>2023</v>
      </c>
      <c r="C23" s="33">
        <v>5120</v>
      </c>
      <c r="D23" s="34">
        <v>1512</v>
      </c>
      <c r="E23" s="35" t="s">
        <v>8</v>
      </c>
      <c r="F23" s="36">
        <f>C23-D23</f>
        <v>3608</v>
      </c>
    </row>
    <row r="24" spans="2:6" ht="19.8" customHeight="1" x14ac:dyDescent="0.3">
      <c r="B24" s="32">
        <v>2022</v>
      </c>
      <c r="C24" s="33">
        <v>4918</v>
      </c>
      <c r="D24" s="34">
        <v>1404</v>
      </c>
      <c r="E24" s="35" t="s">
        <v>8</v>
      </c>
      <c r="F24" s="36">
        <f>C24-D24</f>
        <v>3514</v>
      </c>
    </row>
    <row r="25" spans="2:6" ht="19.8" customHeight="1" x14ac:dyDescent="0.3">
      <c r="B25" s="32">
        <v>2021</v>
      </c>
      <c r="C25" s="33">
        <v>2019</v>
      </c>
      <c r="D25" s="34">
        <v>800</v>
      </c>
      <c r="E25" s="35" t="s">
        <v>8</v>
      </c>
      <c r="F25" s="36">
        <f>C25-D25</f>
        <v>1219</v>
      </c>
    </row>
    <row r="26" spans="2:6" ht="19.8" customHeight="1" x14ac:dyDescent="0.3">
      <c r="B26" s="32">
        <v>2020</v>
      </c>
      <c r="C26" s="33">
        <v>1927</v>
      </c>
      <c r="D26" s="34">
        <v>757</v>
      </c>
      <c r="E26" s="35" t="s">
        <v>8</v>
      </c>
      <c r="F26" s="36">
        <f t="shared" ref="F26" si="0">C26-D26</f>
        <v>1170</v>
      </c>
    </row>
    <row r="27" spans="2:6" ht="19.8" customHeight="1" x14ac:dyDescent="0.3">
      <c r="B27" s="18" t="s">
        <v>9</v>
      </c>
      <c r="C27" s="19">
        <f>SUM(C22:C26)</f>
        <v>39551</v>
      </c>
      <c r="D27" s="20">
        <f>SUM(D22:D26)</f>
        <v>4473</v>
      </c>
      <c r="E27" s="37" t="s">
        <v>8</v>
      </c>
      <c r="F27" s="22">
        <f>SUM(F22:F26)</f>
        <v>35078</v>
      </c>
    </row>
    <row r="28" spans="2:6" x14ac:dyDescent="0.3">
      <c r="D28" s="38"/>
    </row>
  </sheetData>
  <mergeCells count="1">
    <mergeCell ref="B18:F18"/>
  </mergeCells>
  <pageMargins left="0.7" right="0.7" top="0.75" bottom="0.75" header="0.3" footer="0.3"/>
  <pageSetup orientation="landscape" r:id="rId1"/>
  <headerFooter>
    <oddHeader>&amp;L&amp;G | Confidential &amp; Property of WILL Solutions Inc.</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796AF-151D-4D9B-AF65-331A3C8465F7}">
  <dimension ref="A1:AD885"/>
  <sheetViews>
    <sheetView zoomScale="90" zoomScaleNormal="90" workbookViewId="0">
      <selection activeCell="V16" sqref="V16"/>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7" style="428" customWidth="1"/>
    <col min="7" max="7" width="12.77734375" style="428" customWidth="1"/>
    <col min="8" max="8" width="12.77734375" style="428" hidden="1" customWidth="1"/>
    <col min="9" max="9" width="12.77734375" style="428" customWidth="1"/>
    <col min="10" max="12" width="12.77734375" style="428" hidden="1" customWidth="1"/>
    <col min="13" max="21" width="11.5546875" style="428" hidden="1" customWidth="1"/>
    <col min="22" max="22" width="11.5546875" style="428" customWidth="1"/>
    <col min="23"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2343</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31.8" customHeight="1" x14ac:dyDescent="0.3">
      <c r="A10" s="528"/>
      <c r="B10" s="529">
        <v>1</v>
      </c>
      <c r="C10" s="530" t="s">
        <v>348</v>
      </c>
      <c r="D10" s="531" t="s">
        <v>360</v>
      </c>
      <c r="E10" s="532" t="s">
        <v>350</v>
      </c>
      <c r="F10" s="533" t="s">
        <v>362</v>
      </c>
      <c r="G10" s="534">
        <v>2011</v>
      </c>
      <c r="H10" s="535"/>
      <c r="I10" s="536">
        <v>16104.7</v>
      </c>
      <c r="J10" s="597">
        <v>300</v>
      </c>
      <c r="K10" s="597">
        <v>800</v>
      </c>
      <c r="L10" s="597">
        <v>2200</v>
      </c>
      <c r="M10" s="597">
        <v>2779.35</v>
      </c>
      <c r="N10" s="597">
        <v>2779.35</v>
      </c>
      <c r="O10" s="597">
        <v>6303.4</v>
      </c>
      <c r="P10" s="597">
        <v>5275.9</v>
      </c>
      <c r="Q10" s="597">
        <v>96705.1</v>
      </c>
      <c r="R10" s="597">
        <v>1500.3</v>
      </c>
      <c r="S10" s="597">
        <v>3300.5</v>
      </c>
      <c r="T10" s="597">
        <v>30922</v>
      </c>
      <c r="U10" s="598">
        <v>158051</v>
      </c>
      <c r="V10" s="677">
        <v>232692</v>
      </c>
      <c r="W10" s="542"/>
      <c r="X10" s="535"/>
      <c r="Y10" s="542"/>
      <c r="Z10" s="535"/>
      <c r="AA10" s="528"/>
      <c r="AB10" s="528"/>
      <c r="AC10" s="528"/>
      <c r="AD10" s="528"/>
    </row>
    <row r="11" spans="1:30" ht="50.25" customHeight="1" x14ac:dyDescent="0.3">
      <c r="A11" s="528"/>
      <c r="B11" s="529"/>
      <c r="C11" s="453" t="s">
        <v>348</v>
      </c>
      <c r="D11" s="453" t="s">
        <v>361</v>
      </c>
      <c r="E11" s="543" t="s">
        <v>385</v>
      </c>
      <c r="F11" s="506" t="s">
        <v>364</v>
      </c>
      <c r="G11" s="496">
        <v>2011</v>
      </c>
      <c r="H11" s="544"/>
      <c r="I11" s="545">
        <v>835962</v>
      </c>
      <c r="J11" s="599">
        <v>782.69799999999998</v>
      </c>
      <c r="K11" s="599">
        <v>820.53</v>
      </c>
      <c r="L11" s="599">
        <v>843.56</v>
      </c>
      <c r="M11" s="599">
        <v>922.6</v>
      </c>
      <c r="N11" s="599">
        <v>843.95</v>
      </c>
      <c r="O11" s="599">
        <v>868.85</v>
      </c>
      <c r="P11" s="599">
        <v>1052.4000000000001</v>
      </c>
      <c r="Q11" s="599">
        <v>551.82000000000005</v>
      </c>
      <c r="R11" s="599">
        <v>769.94</v>
      </c>
      <c r="S11" s="599">
        <v>733.46</v>
      </c>
      <c r="T11" s="599">
        <v>743.27</v>
      </c>
      <c r="U11" s="600">
        <v>217.71</v>
      </c>
      <c r="V11" s="599">
        <v>0</v>
      </c>
      <c r="W11" s="548"/>
      <c r="X11" s="544"/>
      <c r="Y11" s="548"/>
      <c r="Z11" s="544"/>
      <c r="AA11" s="528"/>
      <c r="AB11" s="528"/>
      <c r="AC11" s="528"/>
      <c r="AD11" s="528"/>
    </row>
    <row r="12" spans="1:30" ht="30" customHeight="1" x14ac:dyDescent="0.3">
      <c r="A12" s="528"/>
      <c r="B12" s="529"/>
      <c r="C12" s="531"/>
      <c r="D12" s="531"/>
      <c r="E12" s="532"/>
      <c r="F12" s="533"/>
      <c r="G12" s="549"/>
      <c r="H12" s="550"/>
      <c r="I12" s="550"/>
      <c r="J12" s="550"/>
      <c r="K12" s="550"/>
      <c r="L12" s="550"/>
      <c r="M12" s="550"/>
      <c r="N12" s="550"/>
      <c r="O12" s="550"/>
      <c r="P12" s="550"/>
      <c r="Q12" s="550"/>
      <c r="R12" s="550"/>
      <c r="S12" s="550"/>
      <c r="T12" s="550"/>
      <c r="U12" s="542"/>
      <c r="V12" s="550"/>
      <c r="W12" s="542"/>
      <c r="X12" s="550"/>
      <c r="Y12" s="542"/>
      <c r="Z12" s="550"/>
      <c r="AA12" s="528"/>
      <c r="AB12" s="528"/>
      <c r="AC12" s="528"/>
      <c r="AD12" s="528"/>
    </row>
    <row r="13" spans="1:30" ht="24" customHeight="1" x14ac:dyDescent="0.3">
      <c r="A13" s="528"/>
      <c r="B13" s="552"/>
      <c r="C13" s="462"/>
      <c r="D13" s="462"/>
      <c r="E13" s="553"/>
      <c r="F13" s="554"/>
      <c r="G13" s="555"/>
      <c r="H13" s="556"/>
      <c r="I13" s="556"/>
      <c r="J13" s="556"/>
      <c r="K13" s="556"/>
      <c r="L13" s="556"/>
      <c r="M13" s="556"/>
      <c r="N13" s="556"/>
      <c r="O13" s="556"/>
      <c r="P13" s="556"/>
      <c r="Q13" s="556"/>
      <c r="R13" s="556"/>
      <c r="S13" s="556"/>
      <c r="T13" s="556"/>
      <c r="U13" s="557"/>
      <c r="V13" s="556"/>
      <c r="W13" s="557"/>
      <c r="X13" s="556"/>
      <c r="Y13" s="557"/>
      <c r="Z13" s="556"/>
      <c r="AA13" s="528"/>
      <c r="AB13" s="528"/>
      <c r="AC13" s="528"/>
      <c r="AD13" s="528"/>
    </row>
    <row r="14" spans="1:30" ht="15.75" customHeight="1" x14ac:dyDescent="0.3">
      <c r="A14" s="528"/>
      <c r="B14" s="558"/>
      <c r="C14" s="528"/>
      <c r="D14" s="528"/>
      <c r="E14" s="528"/>
      <c r="F14" s="528"/>
      <c r="G14" s="479"/>
      <c r="H14" s="479"/>
      <c r="I14" s="479"/>
      <c r="J14" s="479"/>
      <c r="K14" s="479"/>
      <c r="L14" s="479"/>
      <c r="M14" s="559"/>
      <c r="N14" s="559"/>
      <c r="O14" s="559"/>
      <c r="P14" s="559"/>
      <c r="Q14" s="559"/>
      <c r="R14" s="559"/>
      <c r="S14" s="559"/>
      <c r="T14" s="559"/>
      <c r="U14" s="559"/>
      <c r="V14" s="559"/>
      <c r="W14" s="559"/>
      <c r="X14" s="559"/>
      <c r="Y14" s="559"/>
      <c r="Z14" s="559"/>
      <c r="AA14" s="528"/>
      <c r="AB14" s="528"/>
      <c r="AC14" s="528"/>
      <c r="AD14" s="528"/>
    </row>
    <row r="15" spans="1:30" ht="15.75" customHeight="1" x14ac:dyDescent="0.3">
      <c r="A15" s="528"/>
      <c r="B15" s="560" t="s">
        <v>355</v>
      </c>
      <c r="C15" s="561" t="s">
        <v>356</v>
      </c>
      <c r="D15" s="528"/>
      <c r="E15" s="528"/>
      <c r="F15" s="528"/>
      <c r="G15" s="479"/>
      <c r="H15" s="479"/>
      <c r="I15" s="479"/>
      <c r="J15" s="479"/>
      <c r="K15" s="479"/>
      <c r="L15" s="479"/>
      <c r="M15" s="559"/>
      <c r="N15" s="559"/>
      <c r="O15" s="559"/>
      <c r="P15" s="559"/>
      <c r="Q15" s="559"/>
      <c r="R15" s="559"/>
      <c r="S15" s="559"/>
      <c r="T15" s="559"/>
      <c r="U15" s="559"/>
      <c r="V15" s="559"/>
      <c r="W15" s="559"/>
      <c r="X15" s="559"/>
      <c r="Y15" s="559"/>
      <c r="Z15" s="559"/>
      <c r="AA15" s="528"/>
      <c r="AB15" s="528"/>
      <c r="AC15" s="528"/>
      <c r="AD15" s="528"/>
    </row>
    <row r="16" spans="1:30" ht="15.75" customHeight="1" x14ac:dyDescent="0.3">
      <c r="A16" s="528"/>
      <c r="B16" s="558"/>
      <c r="C16" s="528"/>
      <c r="D16" s="528"/>
      <c r="E16" s="528"/>
      <c r="F16" s="528"/>
      <c r="G16" s="479"/>
      <c r="H16" s="479"/>
      <c r="I16" s="479"/>
      <c r="J16" s="479"/>
      <c r="K16" s="479"/>
      <c r="L16" s="479"/>
      <c r="M16" s="559"/>
      <c r="N16" s="559"/>
      <c r="O16" s="559"/>
      <c r="P16" s="559"/>
      <c r="Q16" s="559"/>
      <c r="R16" s="559"/>
      <c r="S16" s="559"/>
      <c r="T16" s="559"/>
      <c r="U16" s="559"/>
      <c r="V16" s="559"/>
      <c r="W16" s="559"/>
      <c r="X16" s="559"/>
      <c r="Y16" s="559"/>
      <c r="Z16" s="559"/>
      <c r="AA16" s="528"/>
      <c r="AB16" s="528"/>
      <c r="AC16" s="528"/>
      <c r="AD16" s="528"/>
    </row>
    <row r="17" spans="1:30" ht="15.75" customHeight="1" x14ac:dyDescent="0.3">
      <c r="A17" s="528"/>
      <c r="B17" s="4383" t="s">
        <v>357</v>
      </c>
      <c r="C17" s="4384"/>
      <c r="D17" s="528"/>
      <c r="E17" s="528"/>
      <c r="F17" s="528"/>
      <c r="G17" s="479"/>
      <c r="H17" s="479"/>
      <c r="I17" s="479"/>
      <c r="J17" s="479"/>
      <c r="K17" s="479"/>
      <c r="L17" s="479"/>
      <c r="M17" s="559"/>
      <c r="N17" s="559"/>
      <c r="O17" s="559"/>
      <c r="P17" s="559"/>
      <c r="Q17" s="559"/>
      <c r="R17" s="559"/>
      <c r="S17" s="559"/>
      <c r="T17" s="559"/>
      <c r="U17" s="559"/>
      <c r="V17" s="559"/>
      <c r="W17" s="559"/>
      <c r="X17" s="559"/>
      <c r="Y17" s="559"/>
      <c r="Z17" s="559"/>
      <c r="AA17" s="528"/>
      <c r="AB17" s="528"/>
      <c r="AC17" s="528"/>
      <c r="AD17" s="528"/>
    </row>
    <row r="18" spans="1:30" ht="15.75" customHeight="1" x14ac:dyDescent="0.3">
      <c r="A18" s="528"/>
      <c r="B18" s="562" t="s">
        <v>365</v>
      </c>
      <c r="C18" s="528" t="s">
        <v>366</v>
      </c>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562"/>
      <c r="C19" s="528"/>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row r="21" spans="1:30" ht="15.75" customHeight="1" x14ac:dyDescent="0.3"/>
    <row r="22" spans="1:30" ht="15.75" customHeight="1" x14ac:dyDescent="0.3"/>
    <row r="23" spans="1:30" ht="15.75" customHeight="1" x14ac:dyDescent="0.3"/>
    <row r="24" spans="1:30" ht="15.75" customHeight="1" x14ac:dyDescent="0.3"/>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B4CED-714F-4E4F-BCD7-3D04A29F86B6}">
  <dimension ref="A1:Z870"/>
  <sheetViews>
    <sheetView zoomScale="82" workbookViewId="0">
      <selection activeCell="AB14" sqref="AB14"/>
    </sheetView>
  </sheetViews>
  <sheetFormatPr defaultColWidth="12.44140625" defaultRowHeight="15" customHeight="1" x14ac:dyDescent="0.3"/>
  <cols>
    <col min="1" max="1" width="2.6640625" style="1336" customWidth="1"/>
    <col min="2" max="2" width="5.109375" style="1336" customWidth="1"/>
    <col min="3" max="3" width="34" style="1336" customWidth="1"/>
    <col min="4" max="4" width="45.77734375" style="1336" customWidth="1"/>
    <col min="5" max="5" width="9.5546875" style="1336" customWidth="1"/>
    <col min="6" max="6" width="38.21875" style="1336" customWidth="1"/>
    <col min="7" max="7" width="15.6640625" style="1336" customWidth="1"/>
    <col min="8" max="8" width="12.77734375" style="1336" hidden="1" customWidth="1"/>
    <col min="9" max="9" width="12.77734375" style="1336" customWidth="1"/>
    <col min="10" max="12" width="12.77734375" style="1336" hidden="1" customWidth="1"/>
    <col min="13" max="25" width="11.5546875" style="1336" hidden="1" customWidth="1"/>
    <col min="26" max="26" width="11.5546875" style="1336" customWidth="1"/>
    <col min="27" max="30" width="11.6640625" style="1336" customWidth="1"/>
    <col min="31" max="16384" width="12.44140625" style="1336"/>
  </cols>
  <sheetData>
    <row r="1" spans="1:26" ht="23.25" customHeight="1" x14ac:dyDescent="0.35">
      <c r="A1" s="1334"/>
      <c r="B1" s="1335" t="s">
        <v>2396</v>
      </c>
    </row>
    <row r="2" spans="1:26" ht="13.5" customHeight="1" x14ac:dyDescent="0.3">
      <c r="A2" s="1334"/>
      <c r="B2" s="1337" t="s">
        <v>340</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row>
    <row r="3" spans="1:26" ht="15.75" customHeight="1" x14ac:dyDescent="0.3">
      <c r="B3" s="1339"/>
    </row>
    <row r="4" spans="1:26" ht="15.75" customHeight="1" x14ac:dyDescent="0.3"/>
    <row r="5" spans="1:26" ht="15.75" customHeight="1" x14ac:dyDescent="0.3">
      <c r="B5" s="1342" t="s">
        <v>409</v>
      </c>
    </row>
    <row r="6" spans="1:26" ht="15.75" customHeight="1" x14ac:dyDescent="0.3">
      <c r="B6" s="1342"/>
    </row>
    <row r="7" spans="1:26" ht="15.75" customHeight="1" x14ac:dyDescent="0.3">
      <c r="B7" s="1340" t="s">
        <v>410</v>
      </c>
      <c r="C7" s="1341"/>
      <c r="D7" s="1341"/>
    </row>
    <row r="8" spans="1:26" ht="15.75" customHeight="1" x14ac:dyDescent="0.3"/>
    <row r="9" spans="1:26" ht="15.75" customHeight="1" x14ac:dyDescent="0.3">
      <c r="B9" s="1345" t="s">
        <v>301</v>
      </c>
      <c r="C9" s="1346" t="s">
        <v>343</v>
      </c>
      <c r="D9" s="1347" t="s">
        <v>344</v>
      </c>
      <c r="E9" s="1347" t="s">
        <v>345</v>
      </c>
      <c r="F9" s="1347" t="s">
        <v>346</v>
      </c>
      <c r="G9" s="1348" t="s">
        <v>347</v>
      </c>
      <c r="H9" s="1349">
        <v>2025</v>
      </c>
      <c r="I9" s="1349">
        <v>2024</v>
      </c>
      <c r="J9" s="1349">
        <v>2023</v>
      </c>
      <c r="K9" s="1349">
        <v>2022</v>
      </c>
      <c r="L9" s="1349">
        <v>2021</v>
      </c>
      <c r="M9" s="1349">
        <v>2020</v>
      </c>
      <c r="N9" s="1349">
        <v>2019</v>
      </c>
      <c r="O9" s="1350">
        <v>2018</v>
      </c>
      <c r="P9" s="1350">
        <v>2017</v>
      </c>
      <c r="Q9" s="1350">
        <v>2016</v>
      </c>
      <c r="R9" s="1350">
        <v>2015</v>
      </c>
      <c r="S9" s="1350">
        <v>2014</v>
      </c>
      <c r="T9" s="1350">
        <v>2013</v>
      </c>
      <c r="U9" s="1350">
        <v>2012</v>
      </c>
      <c r="V9" s="1350">
        <v>2011</v>
      </c>
      <c r="W9" s="1350">
        <v>2010</v>
      </c>
      <c r="X9" s="1350">
        <v>2009</v>
      </c>
      <c r="Y9" s="1350">
        <v>2008</v>
      </c>
      <c r="Z9" s="1351" t="s">
        <v>332</v>
      </c>
    </row>
    <row r="10" spans="1:26" ht="24.75" customHeight="1" x14ac:dyDescent="0.3">
      <c r="B10" s="1366">
        <v>1</v>
      </c>
      <c r="C10" s="2457" t="s">
        <v>348</v>
      </c>
      <c r="D10" s="2458" t="s">
        <v>1389</v>
      </c>
      <c r="E10" s="2459" t="s">
        <v>363</v>
      </c>
      <c r="F10" s="1355" t="s">
        <v>1390</v>
      </c>
      <c r="G10" s="2116"/>
      <c r="H10" s="1431"/>
      <c r="I10" s="1432">
        <v>5070.46</v>
      </c>
      <c r="J10" s="2460">
        <v>4957.03</v>
      </c>
      <c r="K10" s="2461">
        <v>4881.21</v>
      </c>
      <c r="L10" s="2461">
        <v>4170.45</v>
      </c>
      <c r="M10" s="2462">
        <v>679.71</v>
      </c>
      <c r="N10" s="2463">
        <v>3887.9</v>
      </c>
      <c r="O10" s="2463">
        <v>2124.75</v>
      </c>
      <c r="P10" s="2463">
        <v>2091.33</v>
      </c>
      <c r="Q10" s="2463">
        <v>2303.4899999999998</v>
      </c>
      <c r="R10" s="2463">
        <v>1841.62</v>
      </c>
      <c r="S10" s="2463">
        <v>1954.31</v>
      </c>
      <c r="T10" s="2463">
        <v>2049.87</v>
      </c>
      <c r="U10" s="2464">
        <v>1745.98</v>
      </c>
      <c r="V10" s="2463">
        <v>2401.89</v>
      </c>
      <c r="W10" s="2465">
        <v>422.44</v>
      </c>
      <c r="X10" s="2466"/>
      <c r="Y10" s="2467"/>
      <c r="Z10" s="2466"/>
    </row>
    <row r="11" spans="1:26" ht="24.75" customHeight="1" x14ac:dyDescent="0.3">
      <c r="B11" s="1366">
        <v>2</v>
      </c>
      <c r="C11" s="2468" t="s">
        <v>348</v>
      </c>
      <c r="D11" s="2468" t="s">
        <v>1350</v>
      </c>
      <c r="E11" s="2469" t="s">
        <v>363</v>
      </c>
      <c r="F11" s="1367" t="s">
        <v>1391</v>
      </c>
      <c r="G11" s="1419"/>
      <c r="H11" s="1438"/>
      <c r="I11" s="2111">
        <v>302.26400000000001</v>
      </c>
      <c r="J11" s="2470">
        <v>314.18400000000003</v>
      </c>
      <c r="K11" s="2471">
        <v>321.45</v>
      </c>
      <c r="L11" s="2472">
        <v>258.12</v>
      </c>
      <c r="M11" s="2472">
        <v>352.22</v>
      </c>
      <c r="N11" s="2473">
        <v>212.67</v>
      </c>
      <c r="O11" s="2473">
        <v>102.31</v>
      </c>
      <c r="P11" s="2473">
        <v>224.41</v>
      </c>
      <c r="Q11" s="2473">
        <v>86.6</v>
      </c>
      <c r="R11" s="2473">
        <v>68.27</v>
      </c>
      <c r="S11" s="2473">
        <v>307.66000000000003</v>
      </c>
      <c r="T11" s="2473">
        <v>180.1</v>
      </c>
      <c r="U11" s="2474">
        <v>152.09</v>
      </c>
      <c r="V11" s="2473">
        <v>97.49</v>
      </c>
      <c r="W11" s="2474">
        <v>55.57</v>
      </c>
      <c r="X11" s="2475"/>
      <c r="Y11" s="2476"/>
      <c r="Z11" s="2475"/>
    </row>
    <row r="12" spans="1:26" ht="24.75" customHeight="1" x14ac:dyDescent="0.3">
      <c r="B12" s="1366">
        <v>3</v>
      </c>
      <c r="C12" s="2458" t="s">
        <v>348</v>
      </c>
      <c r="D12" s="2458" t="s">
        <v>1392</v>
      </c>
      <c r="E12" s="2477" t="s">
        <v>363</v>
      </c>
      <c r="F12" s="1355" t="s">
        <v>1393</v>
      </c>
      <c r="G12" s="2116"/>
      <c r="H12" s="1444"/>
      <c r="I12" s="1967">
        <v>2165.8969999999999</v>
      </c>
      <c r="J12" s="2478">
        <v>2264.777</v>
      </c>
      <c r="K12" s="2479">
        <v>2417.71</v>
      </c>
      <c r="L12" s="2479">
        <v>2471.67</v>
      </c>
      <c r="M12" s="2479">
        <v>2376.36</v>
      </c>
      <c r="N12" s="2480">
        <v>2504.34</v>
      </c>
      <c r="O12" s="2480">
        <v>1673.48</v>
      </c>
      <c r="P12" s="2480">
        <v>1374.59</v>
      </c>
      <c r="Q12" s="2480">
        <v>1391.91</v>
      </c>
      <c r="R12" s="2480">
        <v>1082.03</v>
      </c>
      <c r="S12" s="2480">
        <v>1103</v>
      </c>
      <c r="T12" s="2480">
        <v>1186.49</v>
      </c>
      <c r="U12" s="2464">
        <v>1105.49</v>
      </c>
      <c r="V12" s="2480">
        <v>1059.25</v>
      </c>
      <c r="W12" s="2464">
        <v>1117.48</v>
      </c>
      <c r="X12" s="2481"/>
      <c r="Y12" s="2467"/>
      <c r="Z12" s="2481"/>
    </row>
    <row r="13" spans="1:26" ht="24.75" customHeight="1" x14ac:dyDescent="0.3">
      <c r="B13" s="1366"/>
      <c r="C13" s="2468" t="s">
        <v>1394</v>
      </c>
      <c r="D13" s="2468" t="s">
        <v>1354</v>
      </c>
      <c r="E13" s="2469" t="s">
        <v>453</v>
      </c>
      <c r="F13" s="1367"/>
      <c r="G13" s="1419"/>
      <c r="H13" s="1438"/>
      <c r="I13" s="2482">
        <v>0.71</v>
      </c>
      <c r="J13" s="2483">
        <v>0.71</v>
      </c>
      <c r="K13" s="2484">
        <v>0.71</v>
      </c>
      <c r="L13" s="2484">
        <v>0.71</v>
      </c>
      <c r="M13" s="2484">
        <v>0.71</v>
      </c>
      <c r="N13" s="2485">
        <v>0.81</v>
      </c>
      <c r="O13" s="2485">
        <v>0.71</v>
      </c>
      <c r="P13" s="2485">
        <v>0.71</v>
      </c>
      <c r="Q13" s="2485">
        <v>0.71</v>
      </c>
      <c r="R13" s="2485">
        <v>0.71</v>
      </c>
      <c r="S13" s="2485">
        <v>0.74</v>
      </c>
      <c r="T13" s="2485">
        <v>0.74</v>
      </c>
      <c r="U13" s="2486">
        <v>0.74</v>
      </c>
      <c r="V13" s="2485">
        <v>0.75</v>
      </c>
      <c r="W13" s="2486">
        <v>0.75</v>
      </c>
      <c r="X13" s="2475"/>
      <c r="Y13" s="2476"/>
      <c r="Z13" s="2475"/>
    </row>
    <row r="14" spans="1:26" ht="24.75" customHeight="1" x14ac:dyDescent="0.3">
      <c r="B14" s="1366"/>
      <c r="C14" s="2458" t="s">
        <v>374</v>
      </c>
      <c r="D14" s="2458" t="s">
        <v>1395</v>
      </c>
      <c r="E14" s="2477" t="s">
        <v>363</v>
      </c>
      <c r="F14" s="1355"/>
      <c r="G14" s="2116"/>
      <c r="H14" s="1444"/>
      <c r="I14" s="2487">
        <f>I12*I13</f>
        <v>1537.7868699999999</v>
      </c>
      <c r="J14" s="2488">
        <f>J12*J13</f>
        <v>1607.9916699999999</v>
      </c>
      <c r="K14" s="2489">
        <v>1716.58</v>
      </c>
      <c r="L14" s="2489">
        <v>1754.89</v>
      </c>
      <c r="M14" s="2489">
        <v>1924.9</v>
      </c>
      <c r="N14" s="2480">
        <v>2028.5</v>
      </c>
      <c r="O14" s="2480">
        <v>1188.17</v>
      </c>
      <c r="P14" s="2490">
        <v>975.96</v>
      </c>
      <c r="Q14" s="2490">
        <v>988.26</v>
      </c>
      <c r="R14" s="2490">
        <v>768.24</v>
      </c>
      <c r="S14" s="2490">
        <v>816.22</v>
      </c>
      <c r="T14" s="2490">
        <v>878</v>
      </c>
      <c r="U14" s="2465">
        <v>818.06</v>
      </c>
      <c r="V14" s="2490">
        <v>794.44</v>
      </c>
      <c r="W14" s="2465">
        <v>838.11</v>
      </c>
      <c r="X14" s="2481"/>
      <c r="Y14" s="2467"/>
      <c r="Z14" s="2481"/>
    </row>
    <row r="15" spans="1:26" ht="24.75" customHeight="1" x14ac:dyDescent="0.3">
      <c r="B15" s="1366">
        <v>4</v>
      </c>
      <c r="C15" s="2468" t="s">
        <v>348</v>
      </c>
      <c r="D15" s="2468" t="s">
        <v>1396</v>
      </c>
      <c r="E15" s="2469" t="s">
        <v>363</v>
      </c>
      <c r="F15" s="1367" t="s">
        <v>1391</v>
      </c>
      <c r="G15" s="1419"/>
      <c r="H15" s="1438"/>
      <c r="I15" s="2111">
        <v>6473.7049999999999</v>
      </c>
      <c r="J15" s="2491">
        <v>6396.0659999999998</v>
      </c>
      <c r="K15" s="2492">
        <v>6341.88</v>
      </c>
      <c r="L15" s="2492">
        <v>4089.83</v>
      </c>
      <c r="M15" s="2492">
        <v>3820.14</v>
      </c>
      <c r="N15" s="2493">
        <v>2232.0100000000002</v>
      </c>
      <c r="O15" s="2473">
        <v>320.70999999999998</v>
      </c>
      <c r="P15" s="2473"/>
      <c r="Q15" s="2473"/>
      <c r="R15" s="2473"/>
      <c r="S15" s="2473"/>
      <c r="T15" s="2473"/>
      <c r="U15" s="2474"/>
      <c r="V15" s="2473"/>
      <c r="W15" s="2474"/>
      <c r="X15" s="2475"/>
      <c r="Y15" s="2476"/>
      <c r="Z15" s="2475"/>
    </row>
    <row r="16" spans="1:26" ht="24.75" customHeight="1" x14ac:dyDescent="0.3">
      <c r="B16" s="1366">
        <v>5</v>
      </c>
      <c r="C16" s="1355" t="s">
        <v>348</v>
      </c>
      <c r="D16" s="1355" t="s">
        <v>2161</v>
      </c>
      <c r="E16" s="1376" t="s">
        <v>363</v>
      </c>
      <c r="F16" s="1355"/>
      <c r="G16" s="1443" t="s">
        <v>1397</v>
      </c>
      <c r="H16" s="1444"/>
      <c r="I16" s="2487">
        <v>52.435000000000002</v>
      </c>
      <c r="J16" s="2494">
        <v>4.7939999999999996</v>
      </c>
      <c r="K16" s="1445"/>
      <c r="L16" s="1445"/>
      <c r="M16" s="1445"/>
      <c r="N16" s="1445"/>
      <c r="O16" s="1445"/>
      <c r="P16" s="1445"/>
      <c r="Q16" s="1445"/>
      <c r="R16" s="1445"/>
      <c r="S16" s="1446"/>
      <c r="T16" s="1446"/>
      <c r="U16" s="1447"/>
      <c r="V16" s="1446"/>
      <c r="W16" s="1447"/>
      <c r="X16" s="1446"/>
      <c r="Y16" s="1447"/>
      <c r="Z16" s="1444"/>
    </row>
    <row r="17" spans="2:26" ht="24.75" customHeight="1" x14ac:dyDescent="0.3">
      <c r="B17" s="1411"/>
      <c r="C17" s="1412"/>
      <c r="D17" s="1412"/>
      <c r="E17" s="1413"/>
      <c r="F17" s="1412"/>
      <c r="G17" s="1448"/>
      <c r="H17" s="1449"/>
      <c r="I17" s="1449"/>
      <c r="J17" s="1450"/>
      <c r="K17" s="1450"/>
      <c r="L17" s="1450"/>
      <c r="M17" s="1450"/>
      <c r="N17" s="1450"/>
      <c r="O17" s="1450"/>
      <c r="P17" s="1449"/>
      <c r="Q17" s="1449"/>
      <c r="R17" s="1449"/>
      <c r="S17" s="1449"/>
      <c r="T17" s="1449"/>
      <c r="U17" s="1451"/>
      <c r="V17" s="1449"/>
      <c r="W17" s="1451"/>
      <c r="X17" s="1449"/>
      <c r="Y17" s="1451"/>
      <c r="Z17" s="1449"/>
    </row>
    <row r="18" spans="2:26" ht="15.75" customHeight="1" x14ac:dyDescent="0.3"/>
    <row r="19" spans="2:26" ht="15.75" customHeight="1" x14ac:dyDescent="0.3">
      <c r="B19" s="1421" t="s">
        <v>355</v>
      </c>
      <c r="C19" s="1422" t="s">
        <v>356</v>
      </c>
    </row>
    <row r="20" spans="2:26" ht="15.75" customHeight="1" x14ac:dyDescent="0.3"/>
    <row r="21" spans="2:26" ht="15.75" customHeight="1" x14ac:dyDescent="0.3">
      <c r="B21" s="4402" t="s">
        <v>357</v>
      </c>
      <c r="C21" s="4403"/>
    </row>
    <row r="22" spans="2:26" ht="15.75" customHeight="1" x14ac:dyDescent="0.3">
      <c r="B22" s="1425" t="s">
        <v>508</v>
      </c>
      <c r="C22" s="2495" t="s">
        <v>1398</v>
      </c>
    </row>
    <row r="23" spans="2:26" ht="15.75" customHeight="1" x14ac:dyDescent="0.3">
      <c r="B23" s="1425"/>
    </row>
    <row r="24" spans="2:26" ht="15.75" customHeight="1" x14ac:dyDescent="0.3"/>
    <row r="25" spans="2:26" ht="15.75" customHeight="1" x14ac:dyDescent="0.3"/>
    <row r="26" spans="2:26" ht="15.75" customHeight="1" x14ac:dyDescent="0.3"/>
    <row r="27" spans="2:26" ht="15.75" customHeight="1" x14ac:dyDescent="0.3"/>
    <row r="28" spans="2:26" ht="15.75" customHeight="1" x14ac:dyDescent="0.3"/>
    <row r="29" spans="2:26" ht="15.75" customHeight="1" x14ac:dyDescent="0.3"/>
    <row r="30" spans="2:26" ht="15.75" customHeight="1" x14ac:dyDescent="0.3"/>
    <row r="31" spans="2:26" ht="15.75" customHeight="1" x14ac:dyDescent="0.3"/>
    <row r="32" spans="2:2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C4BC-E600-41E2-BDEE-CB7BD81BA6BA}">
  <dimension ref="A1:L986"/>
  <sheetViews>
    <sheetView topLeftCell="A14" zoomScale="82" workbookViewId="0">
      <selection activeCell="M28" sqref="M28"/>
    </sheetView>
  </sheetViews>
  <sheetFormatPr defaultColWidth="12.44140625" defaultRowHeight="15" customHeight="1" x14ac:dyDescent="0.3"/>
  <cols>
    <col min="1" max="1" width="2.6640625" style="428" customWidth="1"/>
    <col min="2" max="2" width="35.109375" style="428" customWidth="1"/>
    <col min="3" max="3" width="24.6640625" style="428" customWidth="1"/>
    <col min="4" max="4" width="1.5546875" style="428" customWidth="1"/>
    <col min="5" max="5" width="14.6640625" style="428" customWidth="1"/>
    <col min="6" max="6" width="7.33203125" style="428" customWidth="1"/>
    <col min="7" max="7" width="34" style="428" customWidth="1"/>
    <col min="8" max="9" width="21.109375" style="428" customWidth="1"/>
    <col min="10" max="10" width="1.5546875" style="428" customWidth="1"/>
    <col min="11" max="11" width="15.21875" style="428" customWidth="1"/>
    <col min="12" max="12" width="11.6640625" style="428" customWidth="1"/>
    <col min="13" max="16384" width="12.44140625" style="428"/>
  </cols>
  <sheetData>
    <row r="1" spans="1:12" ht="21.75" customHeight="1" x14ac:dyDescent="0.35">
      <c r="A1" s="424"/>
      <c r="B1" s="425" t="s">
        <v>549</v>
      </c>
      <c r="C1" s="426"/>
      <c r="D1" s="427"/>
      <c r="F1" s="427"/>
      <c r="J1" s="427"/>
    </row>
    <row r="2" spans="1:12" ht="15.75" customHeight="1" x14ac:dyDescent="0.3">
      <c r="A2" s="424"/>
      <c r="B2" s="429" t="s">
        <v>299</v>
      </c>
      <c r="C2" s="430"/>
      <c r="D2" s="430"/>
      <c r="E2" s="430"/>
      <c r="F2" s="430"/>
      <c r="G2" s="430"/>
      <c r="H2" s="430"/>
      <c r="I2" s="430"/>
      <c r="J2" s="430"/>
      <c r="K2" s="430"/>
    </row>
    <row r="3" spans="1:12" ht="9.75" customHeight="1" x14ac:dyDescent="0.3">
      <c r="A3" s="427"/>
      <c r="B3" s="431"/>
      <c r="D3" s="427"/>
      <c r="F3" s="427"/>
      <c r="J3" s="427"/>
    </row>
    <row r="4" spans="1:12" ht="6" customHeight="1" x14ac:dyDescent="0.3">
      <c r="B4" s="427"/>
      <c r="D4" s="427"/>
      <c r="F4" s="427"/>
      <c r="J4" s="427"/>
    </row>
    <row r="5" spans="1:12" ht="6" customHeight="1" x14ac:dyDescent="0.3">
      <c r="A5" s="431"/>
      <c r="D5" s="427"/>
      <c r="F5" s="427"/>
      <c r="J5" s="427"/>
    </row>
    <row r="6" spans="1:12" ht="15.75" customHeight="1" x14ac:dyDescent="0.3">
      <c r="C6" s="428">
        <v>1000000</v>
      </c>
      <c r="D6" s="427"/>
      <c r="E6" s="427"/>
      <c r="F6" s="427"/>
      <c r="J6" s="427"/>
    </row>
    <row r="7" spans="1:12" ht="37.200000000000003" customHeight="1" x14ac:dyDescent="0.3">
      <c r="A7" s="432"/>
      <c r="B7" s="433">
        <v>2024</v>
      </c>
      <c r="C7" s="434" t="s">
        <v>22</v>
      </c>
      <c r="D7" s="432"/>
      <c r="E7" s="435" t="s">
        <v>300</v>
      </c>
      <c r="F7" s="432"/>
      <c r="G7" s="433">
        <v>2024</v>
      </c>
      <c r="H7" s="4385" t="s">
        <v>23</v>
      </c>
      <c r="I7" s="4386"/>
      <c r="J7" s="609"/>
      <c r="K7" s="435" t="s">
        <v>300</v>
      </c>
      <c r="L7" s="432"/>
    </row>
    <row r="8" spans="1:12" ht="18" customHeight="1" x14ac:dyDescent="0.35">
      <c r="B8" s="436" t="s">
        <v>301</v>
      </c>
      <c r="C8" s="437">
        <v>1</v>
      </c>
      <c r="D8" s="427"/>
      <c r="E8" s="438"/>
      <c r="F8" s="427"/>
      <c r="G8" s="436" t="s">
        <v>301</v>
      </c>
      <c r="H8" s="648">
        <v>1</v>
      </c>
      <c r="I8" s="572">
        <v>2</v>
      </c>
      <c r="J8" s="610"/>
      <c r="K8" s="438"/>
    </row>
    <row r="9" spans="1:12" ht="46.5" customHeight="1" x14ac:dyDescent="0.3">
      <c r="B9" s="439" t="s">
        <v>302</v>
      </c>
      <c r="C9" s="440" t="s">
        <v>1399</v>
      </c>
      <c r="D9" s="441"/>
      <c r="E9" s="442"/>
      <c r="F9" s="443"/>
      <c r="G9" s="439" t="s">
        <v>302</v>
      </c>
      <c r="H9" s="573" t="s">
        <v>1400</v>
      </c>
      <c r="I9" s="573" t="s">
        <v>1401</v>
      </c>
      <c r="J9" s="611"/>
      <c r="K9" s="442"/>
    </row>
    <row r="10" spans="1:12" ht="46.5" customHeight="1" x14ac:dyDescent="0.3">
      <c r="B10" s="444" t="s">
        <v>304</v>
      </c>
      <c r="C10" s="1123" t="s">
        <v>1402</v>
      </c>
      <c r="D10" s="441"/>
      <c r="E10" s="446"/>
      <c r="F10" s="443"/>
      <c r="G10" s="444" t="s">
        <v>304</v>
      </c>
      <c r="H10" s="445" t="s">
        <v>1403</v>
      </c>
      <c r="I10" s="445" t="s">
        <v>1404</v>
      </c>
      <c r="J10" s="612"/>
      <c r="K10" s="446"/>
    </row>
    <row r="11" spans="1:12" ht="18.75" customHeight="1" x14ac:dyDescent="0.3">
      <c r="A11" s="447"/>
      <c r="B11" s="448" t="s">
        <v>306</v>
      </c>
      <c r="C11" s="449">
        <f>(C17*C18)</f>
        <v>45.785998614859466</v>
      </c>
      <c r="D11" s="450"/>
      <c r="E11" s="451">
        <f>SUM(C11:C11)</f>
        <v>45.785998614859466</v>
      </c>
      <c r="F11" s="452"/>
      <c r="G11" s="448" t="s">
        <v>306</v>
      </c>
      <c r="H11" s="1089">
        <f>(H17*H18)</f>
        <v>6961.3727630315843</v>
      </c>
      <c r="I11" s="651">
        <f>(I17*I18)</f>
        <v>78.479234458620709</v>
      </c>
      <c r="J11" s="614"/>
      <c r="K11" s="451">
        <f>SUM(H11:I11)</f>
        <v>7039.8519974902047</v>
      </c>
      <c r="L11" s="447"/>
    </row>
    <row r="12" spans="1:12" ht="18.75" customHeight="1" x14ac:dyDescent="0.3">
      <c r="A12" s="447"/>
      <c r="B12" s="453" t="s">
        <v>307</v>
      </c>
      <c r="C12" s="454">
        <f>(C22*C23)</f>
        <v>0.29865600000000003</v>
      </c>
      <c r="D12" s="455"/>
      <c r="E12" s="456">
        <f>SUM(C12:C12)</f>
        <v>0.29865600000000003</v>
      </c>
      <c r="F12" s="457"/>
      <c r="G12" s="453" t="s">
        <v>307</v>
      </c>
      <c r="H12" s="577">
        <f>(H22*H23)</f>
        <v>0</v>
      </c>
      <c r="I12" s="577">
        <f>(I22*I23)</f>
        <v>0</v>
      </c>
      <c r="J12" s="614"/>
      <c r="K12" s="456">
        <f>SUM(H12:I12)</f>
        <v>0</v>
      </c>
      <c r="L12" s="447"/>
    </row>
    <row r="13" spans="1:12" ht="18.75" customHeight="1" x14ac:dyDescent="0.3">
      <c r="A13" s="447"/>
      <c r="B13" s="448" t="s">
        <v>308</v>
      </c>
      <c r="C13" s="458" t="s">
        <v>8</v>
      </c>
      <c r="D13" s="459"/>
      <c r="E13" s="460"/>
      <c r="F13" s="461"/>
      <c r="G13" s="448" t="s">
        <v>308</v>
      </c>
      <c r="H13" s="654" t="s">
        <v>8</v>
      </c>
      <c r="I13" s="578" t="s">
        <v>8</v>
      </c>
      <c r="J13" s="615"/>
      <c r="K13" s="460"/>
      <c r="L13" s="447"/>
    </row>
    <row r="14" spans="1:12" ht="18.75" customHeight="1" x14ac:dyDescent="0.3">
      <c r="A14" s="447"/>
      <c r="B14" s="462" t="s">
        <v>309</v>
      </c>
      <c r="C14" s="463">
        <f t="shared" ref="C14" si="0">C11-C12</f>
        <v>45.487342614859465</v>
      </c>
      <c r="D14" s="455"/>
      <c r="E14" s="464">
        <f>SUM(C14:C14)</f>
        <v>45.487342614859465</v>
      </c>
      <c r="F14" s="457"/>
      <c r="G14" s="462" t="s">
        <v>309</v>
      </c>
      <c r="H14" s="655">
        <f t="shared" ref="H14:I14" si="1">H11-H12</f>
        <v>6961.3727630315843</v>
      </c>
      <c r="I14" s="579">
        <f t="shared" si="1"/>
        <v>78.479234458620709</v>
      </c>
      <c r="J14" s="614"/>
      <c r="K14" s="464">
        <f>SUM(H14:I14)</f>
        <v>7039.8519974902047</v>
      </c>
      <c r="L14" s="447"/>
    </row>
    <row r="15" spans="1:12" ht="19.5" customHeight="1" x14ac:dyDescent="0.4">
      <c r="B15" s="465" t="s">
        <v>310</v>
      </c>
      <c r="C15" s="466"/>
      <c r="D15" s="467"/>
      <c r="E15" s="468"/>
      <c r="F15" s="467"/>
      <c r="G15" s="616" t="s">
        <v>395</v>
      </c>
      <c r="H15" s="659"/>
      <c r="I15" s="617"/>
      <c r="J15" s="618"/>
      <c r="K15" s="468"/>
      <c r="L15" s="427"/>
    </row>
    <row r="16" spans="1:12" ht="35.4" customHeight="1" x14ac:dyDescent="0.3">
      <c r="A16" s="447"/>
      <c r="B16" s="469" t="s">
        <v>311</v>
      </c>
      <c r="C16" s="470" t="s">
        <v>1405</v>
      </c>
      <c r="D16" s="457"/>
      <c r="E16" s="471"/>
      <c r="F16" s="457"/>
      <c r="G16" s="469" t="s">
        <v>311</v>
      </c>
      <c r="H16" s="601" t="s">
        <v>1406</v>
      </c>
      <c r="I16" s="601" t="s">
        <v>1407</v>
      </c>
      <c r="J16" s="619"/>
      <c r="K16" s="620"/>
      <c r="L16" s="447"/>
    </row>
    <row r="17" spans="1:12" ht="21" customHeight="1" x14ac:dyDescent="0.3">
      <c r="A17" s="447"/>
      <c r="B17" s="472" t="s">
        <v>313</v>
      </c>
      <c r="C17" s="473">
        <f>'CF-1510|GDS'!I11</f>
        <v>16513.002597755658</v>
      </c>
      <c r="D17" s="474"/>
      <c r="F17" s="475"/>
      <c r="G17" s="472" t="s">
        <v>398</v>
      </c>
      <c r="H17" s="662">
        <f>'CF-1510|GDS'!I30</f>
        <v>8580.9699999999993</v>
      </c>
      <c r="I17" s="662">
        <f>'CF-1510|GDS'!I31</f>
        <v>21.47</v>
      </c>
      <c r="J17" s="622"/>
      <c r="K17" s="623"/>
      <c r="L17" s="447"/>
    </row>
    <row r="18" spans="1:12" ht="18.75" customHeight="1" x14ac:dyDescent="0.3">
      <c r="A18" s="447"/>
      <c r="B18" s="476" t="s">
        <v>314</v>
      </c>
      <c r="C18" s="477">
        <v>2.7727240000000003E-3</v>
      </c>
      <c r="D18" s="478"/>
      <c r="F18" s="479"/>
      <c r="G18" s="476" t="s">
        <v>314</v>
      </c>
      <c r="H18" s="584">
        <v>0.81125709133484736</v>
      </c>
      <c r="I18" s="584">
        <v>3.6552973664937451</v>
      </c>
      <c r="J18" s="614"/>
      <c r="K18" s="491"/>
      <c r="L18" s="447"/>
    </row>
    <row r="19" spans="1:12" ht="19.5" customHeight="1" x14ac:dyDescent="0.3">
      <c r="A19" s="447"/>
      <c r="B19" s="480" t="s">
        <v>315</v>
      </c>
      <c r="C19" s="481">
        <f>C17*C18</f>
        <v>45.785998614859466</v>
      </c>
      <c r="D19" s="478"/>
      <c r="F19" s="479"/>
      <c r="G19" s="480" t="s">
        <v>315</v>
      </c>
      <c r="H19" s="664">
        <f>H17*H18</f>
        <v>6961.3727630315843</v>
      </c>
      <c r="I19" s="663">
        <f>I17*I18</f>
        <v>78.479234458620709</v>
      </c>
      <c r="J19" s="614"/>
      <c r="K19" s="494"/>
      <c r="L19" s="447"/>
    </row>
    <row r="20" spans="1:12" ht="21" customHeight="1" x14ac:dyDescent="0.4">
      <c r="B20" s="465" t="s">
        <v>316</v>
      </c>
      <c r="C20" s="482"/>
      <c r="D20" s="483"/>
      <c r="E20" s="484"/>
      <c r="F20" s="483"/>
      <c r="G20" s="465" t="s">
        <v>316</v>
      </c>
      <c r="H20" s="665"/>
      <c r="I20" s="587"/>
      <c r="J20" s="618"/>
      <c r="K20" s="495"/>
    </row>
    <row r="21" spans="1:12" ht="32.4" customHeight="1" x14ac:dyDescent="0.3">
      <c r="A21" s="447"/>
      <c r="B21" s="469" t="s">
        <v>183</v>
      </c>
      <c r="C21" s="470" t="s">
        <v>352</v>
      </c>
      <c r="D21" s="479"/>
      <c r="E21" s="485"/>
      <c r="F21" s="479"/>
      <c r="G21" s="469" t="s">
        <v>183</v>
      </c>
      <c r="H21" s="601" t="s">
        <v>1408</v>
      </c>
      <c r="I21" s="601" t="s">
        <v>1409</v>
      </c>
      <c r="J21" s="614"/>
      <c r="K21" s="496"/>
      <c r="L21" s="447"/>
    </row>
    <row r="22" spans="1:12" ht="21" customHeight="1" x14ac:dyDescent="0.3">
      <c r="A22" s="447"/>
      <c r="B22" s="486" t="s">
        <v>319</v>
      </c>
      <c r="C22" s="487">
        <f>'CF-1510|GDS'!I10</f>
        <v>175680</v>
      </c>
      <c r="D22" s="479"/>
      <c r="E22" s="488"/>
      <c r="F22" s="479"/>
      <c r="G22" s="486" t="s">
        <v>398</v>
      </c>
      <c r="H22" s="666">
        <f>H17</f>
        <v>8580.9699999999993</v>
      </c>
      <c r="I22" s="589">
        <f>I17</f>
        <v>21.47</v>
      </c>
      <c r="J22" s="622"/>
      <c r="K22" s="623"/>
      <c r="L22" s="447"/>
    </row>
    <row r="23" spans="1:12" ht="21" customHeight="1" x14ac:dyDescent="0.3">
      <c r="A23" s="447"/>
      <c r="B23" s="489" t="s">
        <v>314</v>
      </c>
      <c r="C23" s="490">
        <v>1.7E-6</v>
      </c>
      <c r="D23" s="479"/>
      <c r="E23" s="491"/>
      <c r="F23" s="479"/>
      <c r="G23" s="489" t="s">
        <v>314</v>
      </c>
      <c r="H23" s="590">
        <v>0</v>
      </c>
      <c r="I23" s="590">
        <v>0</v>
      </c>
      <c r="J23" s="614"/>
      <c r="K23" s="491"/>
      <c r="L23" s="447"/>
    </row>
    <row r="24" spans="1:12" ht="21" customHeight="1" x14ac:dyDescent="0.3">
      <c r="A24" s="447"/>
      <c r="B24" s="492" t="s">
        <v>315</v>
      </c>
      <c r="C24" s="493">
        <f t="shared" ref="C24" si="2">C22*C23</f>
        <v>0.29865600000000003</v>
      </c>
      <c r="D24" s="479"/>
      <c r="E24" s="494"/>
      <c r="F24" s="479"/>
      <c r="G24" s="492" t="s">
        <v>315</v>
      </c>
      <c r="H24" s="668">
        <f t="shared" ref="H24:I24" si="3">H22*H23</f>
        <v>0</v>
      </c>
      <c r="I24" s="591">
        <f t="shared" si="3"/>
        <v>0</v>
      </c>
      <c r="J24" s="614"/>
      <c r="K24" s="494"/>
      <c r="L24" s="447"/>
    </row>
    <row r="25" spans="1:12" ht="28.5" customHeight="1" x14ac:dyDescent="0.3">
      <c r="A25" s="447"/>
      <c r="B25" s="498" t="s">
        <v>320</v>
      </c>
      <c r="C25" s="499" t="s">
        <v>499</v>
      </c>
      <c r="D25" s="500"/>
      <c r="E25" s="501"/>
      <c r="F25" s="500"/>
      <c r="G25" s="498" t="s">
        <v>320</v>
      </c>
      <c r="H25" s="626" t="s">
        <v>401</v>
      </c>
      <c r="I25" s="626" t="s">
        <v>401</v>
      </c>
      <c r="J25" s="614"/>
      <c r="K25" s="496"/>
      <c r="L25" s="447"/>
    </row>
    <row r="26" spans="1:12" ht="24" customHeight="1" x14ac:dyDescent="0.3">
      <c r="B26" s="502" t="s">
        <v>322</v>
      </c>
      <c r="C26" s="503">
        <v>3</v>
      </c>
      <c r="D26" s="504"/>
      <c r="E26" s="505"/>
      <c r="F26" s="504"/>
      <c r="G26" s="502" t="s">
        <v>322</v>
      </c>
      <c r="H26" s="674">
        <v>13</v>
      </c>
      <c r="I26" s="596">
        <v>13</v>
      </c>
      <c r="J26" s="618"/>
      <c r="K26" s="495"/>
    </row>
    <row r="27" spans="1:12" ht="33" customHeight="1" x14ac:dyDescent="0.3">
      <c r="A27" s="447"/>
      <c r="B27" s="506" t="s">
        <v>323</v>
      </c>
      <c r="C27" s="507" t="s">
        <v>324</v>
      </c>
      <c r="D27" s="479"/>
      <c r="E27" s="496"/>
      <c r="F27" s="479"/>
      <c r="G27" s="506" t="s">
        <v>323</v>
      </c>
      <c r="H27" s="496" t="s">
        <v>324</v>
      </c>
      <c r="I27" s="595" t="s">
        <v>324</v>
      </c>
      <c r="J27" s="614"/>
      <c r="K27" s="496"/>
      <c r="L27" s="447"/>
    </row>
    <row r="28" spans="1:12" ht="33" customHeight="1" x14ac:dyDescent="0.3">
      <c r="A28" s="447"/>
      <c r="B28" s="508" t="s">
        <v>325</v>
      </c>
      <c r="C28" s="509" t="s">
        <v>326</v>
      </c>
      <c r="D28" s="479"/>
      <c r="E28" s="496"/>
      <c r="F28" s="479"/>
      <c r="G28" s="508" t="s">
        <v>325</v>
      </c>
      <c r="H28" s="674" t="s">
        <v>326</v>
      </c>
      <c r="I28" s="596" t="s">
        <v>326</v>
      </c>
      <c r="J28" s="614"/>
      <c r="K28" s="496"/>
      <c r="L28" s="447"/>
    </row>
    <row r="29" spans="1:12" ht="33" customHeight="1" x14ac:dyDescent="0.3">
      <c r="A29" s="447"/>
      <c r="B29" s="506" t="s">
        <v>327</v>
      </c>
      <c r="C29" s="507" t="s">
        <v>433</v>
      </c>
      <c r="D29" s="479"/>
      <c r="E29" s="496"/>
      <c r="F29" s="479"/>
      <c r="G29" s="506" t="s">
        <v>327</v>
      </c>
      <c r="H29" s="595" t="s">
        <v>402</v>
      </c>
      <c r="I29" s="595" t="s">
        <v>402</v>
      </c>
      <c r="J29" s="614"/>
      <c r="K29" s="496"/>
      <c r="L29" s="447"/>
    </row>
    <row r="30" spans="1:12" ht="21" customHeight="1" x14ac:dyDescent="0.3">
      <c r="B30" s="510" t="s">
        <v>329</v>
      </c>
      <c r="C30" s="509">
        <v>1</v>
      </c>
      <c r="D30" s="467"/>
      <c r="E30" s="467"/>
      <c r="F30" s="467"/>
      <c r="G30" s="510" t="s">
        <v>329</v>
      </c>
      <c r="H30" s="596">
        <v>4</v>
      </c>
      <c r="I30" s="596">
        <v>1</v>
      </c>
      <c r="J30" s="618"/>
      <c r="K30" s="467"/>
    </row>
    <row r="31" spans="1:12" ht="21" customHeight="1" x14ac:dyDescent="0.3">
      <c r="B31" s="453" t="s">
        <v>330</v>
      </c>
      <c r="C31" s="507" t="s">
        <v>324</v>
      </c>
      <c r="D31" s="483"/>
      <c r="E31" s="495"/>
      <c r="F31" s="483"/>
      <c r="G31" s="453" t="s">
        <v>330</v>
      </c>
      <c r="H31" s="496" t="s">
        <v>324</v>
      </c>
      <c r="I31" s="595" t="s">
        <v>324</v>
      </c>
      <c r="J31" s="618"/>
      <c r="K31" s="495"/>
    </row>
    <row r="32" spans="1:12" ht="21" customHeight="1" x14ac:dyDescent="0.3">
      <c r="B32" s="510" t="s">
        <v>331</v>
      </c>
      <c r="C32" s="509" t="s">
        <v>324</v>
      </c>
      <c r="D32" s="483"/>
      <c r="E32" s="495"/>
      <c r="F32" s="483"/>
      <c r="G32" s="510" t="s">
        <v>331</v>
      </c>
      <c r="H32" s="674" t="s">
        <v>324</v>
      </c>
      <c r="I32" s="596" t="s">
        <v>324</v>
      </c>
      <c r="J32" s="618"/>
      <c r="K32" s="495"/>
    </row>
    <row r="33" spans="2:11" ht="21" customHeight="1" x14ac:dyDescent="0.3">
      <c r="B33" s="462" t="s">
        <v>332</v>
      </c>
      <c r="C33" s="511" t="s">
        <v>333</v>
      </c>
      <c r="D33" s="483"/>
      <c r="E33" s="495"/>
      <c r="F33" s="483"/>
      <c r="G33" s="462" t="s">
        <v>332</v>
      </c>
      <c r="H33" s="675" t="s">
        <v>333</v>
      </c>
      <c r="I33" s="555" t="s">
        <v>333</v>
      </c>
      <c r="J33" s="618"/>
      <c r="K33" s="495"/>
    </row>
    <row r="34" spans="2:11" ht="15.75" customHeight="1" x14ac:dyDescent="0.3">
      <c r="B34" s="427"/>
      <c r="C34" s="427"/>
      <c r="D34" s="483"/>
      <c r="E34" s="483"/>
      <c r="F34" s="483"/>
      <c r="G34" s="427"/>
      <c r="J34" s="427"/>
      <c r="K34" s="427"/>
    </row>
    <row r="35" spans="2:11" ht="15.75" customHeight="1" x14ac:dyDescent="0.3">
      <c r="B35" s="512" t="s">
        <v>334</v>
      </c>
      <c r="C35" s="427"/>
      <c r="D35" s="483"/>
      <c r="E35" s="483"/>
      <c r="F35" s="483"/>
      <c r="J35" s="427"/>
      <c r="K35" s="427"/>
    </row>
    <row r="36" spans="2:11" ht="15.75" customHeight="1" x14ac:dyDescent="0.3">
      <c r="B36" s="512" t="s">
        <v>335</v>
      </c>
      <c r="C36" s="427"/>
      <c r="D36" s="483"/>
      <c r="E36" s="483"/>
      <c r="F36" s="483"/>
      <c r="J36" s="427"/>
      <c r="K36" s="427"/>
    </row>
    <row r="37" spans="2:11" ht="15.75" customHeight="1" x14ac:dyDescent="0.3">
      <c r="B37" s="512" t="s">
        <v>336</v>
      </c>
      <c r="C37" s="427"/>
      <c r="D37" s="483"/>
      <c r="E37" s="483"/>
      <c r="F37" s="483"/>
      <c r="J37" s="427"/>
      <c r="K37" s="427"/>
    </row>
    <row r="38" spans="2:11" ht="15.75" customHeight="1" x14ac:dyDescent="0.3">
      <c r="B38" s="512" t="s">
        <v>337</v>
      </c>
      <c r="C38" s="427"/>
      <c r="D38" s="483"/>
      <c r="E38" s="483"/>
      <c r="F38" s="483"/>
      <c r="J38" s="427"/>
      <c r="K38" s="427"/>
    </row>
    <row r="39" spans="2:11" ht="15.75" customHeight="1" x14ac:dyDescent="0.3">
      <c r="B39" s="512" t="s">
        <v>338</v>
      </c>
      <c r="D39" s="427"/>
      <c r="F39" s="427"/>
      <c r="J39" s="427"/>
      <c r="K39" s="427"/>
    </row>
    <row r="40" spans="2:11" ht="15.75" customHeight="1" x14ac:dyDescent="0.3">
      <c r="B40" s="512" t="s">
        <v>339</v>
      </c>
      <c r="D40" s="427"/>
      <c r="F40" s="427"/>
      <c r="J40" s="427"/>
      <c r="K40" s="427"/>
    </row>
    <row r="41" spans="2:11" ht="15.75" customHeight="1" x14ac:dyDescent="0.3">
      <c r="D41" s="427"/>
      <c r="F41" s="427"/>
      <c r="J41" s="427"/>
      <c r="K41" s="427"/>
    </row>
    <row r="42" spans="2:11" ht="15.75" customHeight="1" x14ac:dyDescent="0.3">
      <c r="D42" s="427"/>
      <c r="F42" s="427"/>
      <c r="J42" s="427"/>
      <c r="K42" s="427"/>
    </row>
    <row r="43" spans="2:11" ht="15.75" customHeight="1" x14ac:dyDescent="0.3">
      <c r="D43" s="427"/>
      <c r="F43" s="427"/>
      <c r="J43" s="427"/>
      <c r="K43" s="427"/>
    </row>
    <row r="44" spans="2:11" ht="15.75" customHeight="1" x14ac:dyDescent="0.3">
      <c r="D44" s="427"/>
      <c r="F44" s="427"/>
      <c r="J44" s="427"/>
    </row>
    <row r="45" spans="2:11" ht="15.75" customHeight="1" x14ac:dyDescent="0.3">
      <c r="D45" s="427"/>
      <c r="F45" s="427"/>
      <c r="J45" s="427"/>
    </row>
    <row r="46" spans="2:11" ht="15.75" customHeight="1" x14ac:dyDescent="0.3">
      <c r="D46" s="427"/>
      <c r="F46" s="427"/>
      <c r="J46" s="427"/>
    </row>
    <row r="47" spans="2:11" ht="15.75" customHeight="1" x14ac:dyDescent="0.3">
      <c r="D47" s="427"/>
      <c r="F47" s="427"/>
      <c r="J47" s="427"/>
    </row>
    <row r="48" spans="2:11" ht="15.75" customHeight="1" x14ac:dyDescent="0.3">
      <c r="D48" s="427"/>
      <c r="F48" s="427"/>
      <c r="J48" s="427"/>
    </row>
    <row r="49" spans="4:10" ht="15.75" customHeight="1" x14ac:dyDescent="0.3">
      <c r="D49" s="427"/>
      <c r="F49" s="427"/>
      <c r="J49" s="427"/>
    </row>
    <row r="50" spans="4:10" ht="15.75" customHeight="1" x14ac:dyDescent="0.3">
      <c r="D50" s="427"/>
      <c r="F50" s="427"/>
      <c r="J50" s="427"/>
    </row>
    <row r="51" spans="4:10" ht="15.75" customHeight="1" x14ac:dyDescent="0.3">
      <c r="D51" s="427"/>
      <c r="F51" s="427"/>
      <c r="J51" s="427"/>
    </row>
    <row r="52" spans="4:10" ht="15.75" customHeight="1" x14ac:dyDescent="0.3">
      <c r="D52" s="427"/>
      <c r="F52" s="427"/>
      <c r="J52" s="427"/>
    </row>
    <row r="53" spans="4:10" ht="15.75" customHeight="1" x14ac:dyDescent="0.3">
      <c r="D53" s="427"/>
      <c r="F53" s="427"/>
      <c r="J53" s="427"/>
    </row>
    <row r="54" spans="4:10" ht="15.75" customHeight="1" x14ac:dyDescent="0.3">
      <c r="D54" s="427"/>
      <c r="F54" s="427"/>
      <c r="J54" s="427"/>
    </row>
    <row r="55" spans="4:10" ht="15.75" customHeight="1" x14ac:dyDescent="0.3">
      <c r="D55" s="427"/>
      <c r="F55" s="427"/>
      <c r="J55" s="427"/>
    </row>
    <row r="56" spans="4:10" ht="15.75" customHeight="1" x14ac:dyDescent="0.3">
      <c r="D56" s="427"/>
      <c r="F56" s="427"/>
      <c r="J56" s="427"/>
    </row>
    <row r="57" spans="4:10" ht="15.75" customHeight="1" x14ac:dyDescent="0.3">
      <c r="D57" s="427"/>
      <c r="F57" s="427"/>
      <c r="J57" s="427"/>
    </row>
    <row r="58" spans="4:10" ht="15.75" customHeight="1" x14ac:dyDescent="0.3">
      <c r="D58" s="427"/>
      <c r="F58" s="427"/>
      <c r="J58" s="427"/>
    </row>
    <row r="59" spans="4:10" ht="15.75" customHeight="1" x14ac:dyDescent="0.3">
      <c r="D59" s="427"/>
      <c r="F59" s="427"/>
      <c r="J59" s="427"/>
    </row>
    <row r="60" spans="4:10" ht="15.75" customHeight="1" x14ac:dyDescent="0.3">
      <c r="D60" s="427"/>
      <c r="F60" s="427"/>
      <c r="J60" s="427"/>
    </row>
    <row r="61" spans="4:10" ht="15.75" customHeight="1" x14ac:dyDescent="0.3">
      <c r="D61" s="427"/>
      <c r="F61" s="427"/>
      <c r="J61" s="427"/>
    </row>
    <row r="62" spans="4:10" ht="15.75" customHeight="1" x14ac:dyDescent="0.3">
      <c r="D62" s="427"/>
      <c r="F62" s="427"/>
      <c r="J62" s="427"/>
    </row>
    <row r="63" spans="4:10" ht="15.75" customHeight="1" x14ac:dyDescent="0.3">
      <c r="D63" s="427"/>
      <c r="F63" s="427"/>
      <c r="J63" s="427"/>
    </row>
    <row r="64" spans="4:10" ht="15.75" customHeight="1" x14ac:dyDescent="0.3">
      <c r="D64" s="427"/>
      <c r="F64" s="427"/>
      <c r="J64" s="427"/>
    </row>
    <row r="65" spans="4:10" ht="15.75" customHeight="1" x14ac:dyDescent="0.3">
      <c r="D65" s="427"/>
      <c r="F65" s="427"/>
      <c r="J65" s="427"/>
    </row>
    <row r="66" spans="4:10" ht="15.75" customHeight="1" x14ac:dyDescent="0.3">
      <c r="D66" s="427"/>
      <c r="F66" s="427"/>
      <c r="J66" s="427"/>
    </row>
    <row r="67" spans="4:10" ht="15.75" customHeight="1" x14ac:dyDescent="0.3">
      <c r="D67" s="427"/>
      <c r="F67" s="427"/>
      <c r="J67" s="427"/>
    </row>
    <row r="68" spans="4:10" ht="15.75" customHeight="1" x14ac:dyDescent="0.3">
      <c r="D68" s="427"/>
      <c r="F68" s="427"/>
      <c r="J68" s="427"/>
    </row>
    <row r="69" spans="4:10" ht="15.75" customHeight="1" x14ac:dyDescent="0.3">
      <c r="D69" s="427"/>
      <c r="F69" s="427"/>
      <c r="J69" s="427"/>
    </row>
    <row r="70" spans="4:10" ht="15.75" customHeight="1" x14ac:dyDescent="0.3">
      <c r="D70" s="427"/>
      <c r="F70" s="427"/>
      <c r="J70" s="427"/>
    </row>
    <row r="71" spans="4:10" ht="15.75" customHeight="1" x14ac:dyDescent="0.3">
      <c r="D71" s="427"/>
      <c r="F71" s="427"/>
      <c r="J71" s="427"/>
    </row>
    <row r="72" spans="4:10" ht="15.75" customHeight="1" x14ac:dyDescent="0.3">
      <c r="D72" s="427"/>
      <c r="F72" s="427"/>
      <c r="J72" s="427"/>
    </row>
    <row r="73" spans="4:10" ht="15.75" customHeight="1" x14ac:dyDescent="0.3">
      <c r="D73" s="427"/>
      <c r="F73" s="427"/>
      <c r="J73" s="427"/>
    </row>
    <row r="74" spans="4:10" ht="15.75" customHeight="1" x14ac:dyDescent="0.3">
      <c r="D74" s="427"/>
      <c r="F74" s="427"/>
      <c r="J74" s="427"/>
    </row>
    <row r="75" spans="4:10" ht="15.75" customHeight="1" x14ac:dyDescent="0.3">
      <c r="D75" s="427"/>
      <c r="F75" s="427"/>
      <c r="J75" s="427"/>
    </row>
    <row r="76" spans="4:10" ht="15.75" customHeight="1" x14ac:dyDescent="0.3">
      <c r="D76" s="427"/>
      <c r="F76" s="427"/>
      <c r="J76" s="427"/>
    </row>
    <row r="77" spans="4:10" ht="15.75" customHeight="1" x14ac:dyDescent="0.3">
      <c r="D77" s="427"/>
      <c r="F77" s="427"/>
      <c r="J77" s="427"/>
    </row>
    <row r="78" spans="4:10" ht="15.75" customHeight="1" x14ac:dyDescent="0.3">
      <c r="D78" s="427"/>
      <c r="F78" s="427"/>
      <c r="J78" s="427"/>
    </row>
    <row r="79" spans="4:10" ht="15.75" customHeight="1" x14ac:dyDescent="0.3">
      <c r="D79" s="427"/>
      <c r="F79" s="427"/>
      <c r="J79" s="427"/>
    </row>
    <row r="80" spans="4:10" ht="15.75" customHeight="1" x14ac:dyDescent="0.3">
      <c r="D80" s="427"/>
      <c r="F80" s="427"/>
      <c r="J80" s="427"/>
    </row>
    <row r="81" spans="4:10" ht="15.75" customHeight="1" x14ac:dyDescent="0.3">
      <c r="D81" s="427"/>
      <c r="F81" s="427"/>
      <c r="J81" s="427"/>
    </row>
    <row r="82" spans="4:10" ht="15.75" customHeight="1" x14ac:dyDescent="0.3">
      <c r="D82" s="427"/>
      <c r="F82" s="427"/>
      <c r="J82" s="427"/>
    </row>
    <row r="83" spans="4:10" ht="15.75" customHeight="1" x14ac:dyDescent="0.3">
      <c r="D83" s="427"/>
      <c r="F83" s="427"/>
      <c r="J83" s="427"/>
    </row>
    <row r="84" spans="4:10" ht="15.75" customHeight="1" x14ac:dyDescent="0.3">
      <c r="D84" s="427"/>
      <c r="F84" s="427"/>
      <c r="J84" s="427"/>
    </row>
    <row r="85" spans="4:10" ht="15.75" customHeight="1" x14ac:dyDescent="0.3">
      <c r="D85" s="427"/>
      <c r="F85" s="427"/>
      <c r="J85" s="427"/>
    </row>
    <row r="86" spans="4:10" ht="15.75" customHeight="1" x14ac:dyDescent="0.3">
      <c r="D86" s="427"/>
      <c r="F86" s="427"/>
      <c r="J86" s="427"/>
    </row>
    <row r="87" spans="4:10" ht="15.75" customHeight="1" x14ac:dyDescent="0.3">
      <c r="D87" s="427"/>
      <c r="F87" s="427"/>
      <c r="J87" s="427"/>
    </row>
    <row r="88" spans="4:10" ht="15.75" customHeight="1" x14ac:dyDescent="0.3">
      <c r="D88" s="427"/>
      <c r="F88" s="427"/>
      <c r="J88" s="427"/>
    </row>
    <row r="89" spans="4:10" ht="15.75" customHeight="1" x14ac:dyDescent="0.3">
      <c r="D89" s="427"/>
      <c r="F89" s="427"/>
      <c r="J89" s="427"/>
    </row>
    <row r="90" spans="4:10" ht="15.75" customHeight="1" x14ac:dyDescent="0.3">
      <c r="D90" s="427"/>
      <c r="F90" s="427"/>
      <c r="J90" s="427"/>
    </row>
    <row r="91" spans="4:10" ht="15.75" customHeight="1" x14ac:dyDescent="0.3">
      <c r="D91" s="427"/>
      <c r="F91" s="427"/>
      <c r="J91" s="427"/>
    </row>
    <row r="92" spans="4:10" ht="15.75" customHeight="1" x14ac:dyDescent="0.3">
      <c r="D92" s="427"/>
      <c r="F92" s="427"/>
      <c r="J92" s="427"/>
    </row>
    <row r="93" spans="4:10" ht="15.75" customHeight="1" x14ac:dyDescent="0.3">
      <c r="D93" s="427"/>
      <c r="F93" s="427"/>
      <c r="J93" s="427"/>
    </row>
    <row r="94" spans="4:10" ht="15.75" customHeight="1" x14ac:dyDescent="0.3">
      <c r="D94" s="427"/>
      <c r="F94" s="427"/>
      <c r="J94" s="427"/>
    </row>
    <row r="95" spans="4:10" ht="15.75" customHeight="1" x14ac:dyDescent="0.3">
      <c r="D95" s="427"/>
      <c r="F95" s="427"/>
      <c r="J95" s="427"/>
    </row>
    <row r="96" spans="4:10" ht="15.75" customHeight="1" x14ac:dyDescent="0.3">
      <c r="D96" s="427"/>
      <c r="F96" s="427"/>
      <c r="J96" s="427"/>
    </row>
    <row r="97" spans="4:10" ht="15.75" customHeight="1" x14ac:dyDescent="0.3">
      <c r="D97" s="427"/>
      <c r="F97" s="427"/>
      <c r="J97" s="427"/>
    </row>
    <row r="98" spans="4:10" ht="15.75" customHeight="1" x14ac:dyDescent="0.3">
      <c r="D98" s="427"/>
      <c r="F98" s="427"/>
      <c r="J98" s="427"/>
    </row>
    <row r="99" spans="4:10" ht="15.75" customHeight="1" x14ac:dyDescent="0.3">
      <c r="D99" s="427"/>
      <c r="F99" s="427"/>
      <c r="J99" s="427"/>
    </row>
    <row r="100" spans="4:10" ht="15.75" customHeight="1" x14ac:dyDescent="0.3">
      <c r="D100" s="427"/>
      <c r="F100" s="427"/>
      <c r="J100" s="427"/>
    </row>
    <row r="101" spans="4:10" ht="15.75" customHeight="1" x14ac:dyDescent="0.3">
      <c r="D101" s="427"/>
      <c r="F101" s="427"/>
      <c r="J101" s="427"/>
    </row>
    <row r="102" spans="4:10" ht="15.75" customHeight="1" x14ac:dyDescent="0.3">
      <c r="D102" s="427"/>
      <c r="F102" s="427"/>
      <c r="J102" s="427"/>
    </row>
    <row r="103" spans="4:10" ht="15.75" customHeight="1" x14ac:dyDescent="0.3">
      <c r="D103" s="427"/>
      <c r="F103" s="427"/>
      <c r="J103" s="427"/>
    </row>
    <row r="104" spans="4:10" ht="15.75" customHeight="1" x14ac:dyDescent="0.3">
      <c r="D104" s="427"/>
      <c r="F104" s="427"/>
      <c r="J104" s="427"/>
    </row>
    <row r="105" spans="4:10" ht="15.75" customHeight="1" x14ac:dyDescent="0.3">
      <c r="D105" s="427"/>
      <c r="F105" s="427"/>
      <c r="J105" s="427"/>
    </row>
    <row r="106" spans="4:10" ht="15.75" customHeight="1" x14ac:dyDescent="0.3">
      <c r="D106" s="427"/>
      <c r="F106" s="427"/>
      <c r="J106" s="427"/>
    </row>
    <row r="107" spans="4:10" ht="15.75" customHeight="1" x14ac:dyDescent="0.3">
      <c r="D107" s="427"/>
      <c r="F107" s="427"/>
      <c r="J107" s="427"/>
    </row>
    <row r="108" spans="4:10" ht="15.75" customHeight="1" x14ac:dyDescent="0.3">
      <c r="D108" s="427"/>
      <c r="F108" s="427"/>
      <c r="J108" s="427"/>
    </row>
    <row r="109" spans="4:10" ht="15.75" customHeight="1" x14ac:dyDescent="0.3">
      <c r="D109" s="427"/>
      <c r="F109" s="427"/>
      <c r="J109" s="427"/>
    </row>
    <row r="110" spans="4:10" ht="15.75" customHeight="1" x14ac:dyDescent="0.3">
      <c r="D110" s="427"/>
      <c r="F110" s="427"/>
      <c r="J110" s="427"/>
    </row>
    <row r="111" spans="4:10" ht="15.75" customHeight="1" x14ac:dyDescent="0.3">
      <c r="D111" s="427"/>
      <c r="F111" s="427"/>
      <c r="J111" s="427"/>
    </row>
    <row r="112" spans="4:10" ht="15.75" customHeight="1" x14ac:dyDescent="0.3">
      <c r="D112" s="427"/>
      <c r="F112" s="427"/>
      <c r="J112" s="427"/>
    </row>
    <row r="113" spans="4:10" ht="15.75" customHeight="1" x14ac:dyDescent="0.3">
      <c r="D113" s="427"/>
      <c r="F113" s="427"/>
      <c r="J113" s="427"/>
    </row>
    <row r="114" spans="4:10" ht="15.75" customHeight="1" x14ac:dyDescent="0.3">
      <c r="D114" s="427"/>
      <c r="F114" s="427"/>
      <c r="J114" s="427"/>
    </row>
    <row r="115" spans="4:10" ht="15.75" customHeight="1" x14ac:dyDescent="0.3">
      <c r="D115" s="427"/>
      <c r="F115" s="427"/>
      <c r="J115" s="427"/>
    </row>
    <row r="116" spans="4:10" ht="15.75" customHeight="1" x14ac:dyDescent="0.3">
      <c r="D116" s="427"/>
      <c r="F116" s="427"/>
      <c r="J116" s="427"/>
    </row>
    <row r="117" spans="4:10" ht="15.75" customHeight="1" x14ac:dyDescent="0.3">
      <c r="D117" s="427"/>
      <c r="F117" s="427"/>
      <c r="J117" s="427"/>
    </row>
    <row r="118" spans="4:10" ht="15.75" customHeight="1" x14ac:dyDescent="0.3">
      <c r="D118" s="427"/>
      <c r="F118" s="427"/>
      <c r="J118" s="427"/>
    </row>
    <row r="119" spans="4:10" ht="15.75" customHeight="1" x14ac:dyDescent="0.3">
      <c r="D119" s="427"/>
      <c r="F119" s="427"/>
      <c r="J119" s="427"/>
    </row>
    <row r="120" spans="4:10" ht="15.75" customHeight="1" x14ac:dyDescent="0.3">
      <c r="D120" s="427"/>
      <c r="F120" s="427"/>
      <c r="J120" s="427"/>
    </row>
    <row r="121" spans="4:10" ht="15.75" customHeight="1" x14ac:dyDescent="0.3">
      <c r="D121" s="427"/>
      <c r="F121" s="427"/>
      <c r="J121" s="427"/>
    </row>
    <row r="122" spans="4:10" ht="15.75" customHeight="1" x14ac:dyDescent="0.3">
      <c r="D122" s="427"/>
      <c r="F122" s="427"/>
      <c r="J122" s="427"/>
    </row>
    <row r="123" spans="4:10" ht="15.75" customHeight="1" x14ac:dyDescent="0.3">
      <c r="D123" s="427"/>
      <c r="F123" s="427"/>
      <c r="J123" s="427"/>
    </row>
    <row r="124" spans="4:10" ht="15.75" customHeight="1" x14ac:dyDescent="0.3">
      <c r="D124" s="427"/>
      <c r="F124" s="427"/>
      <c r="J124" s="427"/>
    </row>
    <row r="125" spans="4:10" ht="15.75" customHeight="1" x14ac:dyDescent="0.3">
      <c r="D125" s="427"/>
      <c r="F125" s="427"/>
      <c r="J125" s="427"/>
    </row>
    <row r="126" spans="4:10" ht="15.75" customHeight="1" x14ac:dyDescent="0.3">
      <c r="D126" s="427"/>
      <c r="F126" s="427"/>
      <c r="J126" s="427"/>
    </row>
    <row r="127" spans="4:10" ht="15.75" customHeight="1" x14ac:dyDescent="0.3">
      <c r="D127" s="427"/>
      <c r="F127" s="427"/>
      <c r="J127" s="427"/>
    </row>
    <row r="128" spans="4:10" ht="15.75" customHeight="1" x14ac:dyDescent="0.3">
      <c r="D128" s="427"/>
      <c r="F128" s="427"/>
      <c r="J128" s="427"/>
    </row>
    <row r="129" spans="4:10" ht="15.75" customHeight="1" x14ac:dyDescent="0.3">
      <c r="D129" s="427"/>
      <c r="F129" s="427"/>
      <c r="J129" s="427"/>
    </row>
    <row r="130" spans="4:10" ht="15.75" customHeight="1" x14ac:dyDescent="0.3">
      <c r="D130" s="427"/>
      <c r="F130" s="427"/>
      <c r="J130" s="427"/>
    </row>
    <row r="131" spans="4:10" ht="15.75" customHeight="1" x14ac:dyDescent="0.3">
      <c r="D131" s="427"/>
      <c r="F131" s="427"/>
      <c r="J131" s="427"/>
    </row>
    <row r="132" spans="4:10" ht="15.75" customHeight="1" x14ac:dyDescent="0.3">
      <c r="D132" s="427"/>
      <c r="F132" s="427"/>
      <c r="J132" s="427"/>
    </row>
    <row r="133" spans="4:10" ht="15.75" customHeight="1" x14ac:dyDescent="0.3">
      <c r="D133" s="427"/>
      <c r="F133" s="427"/>
      <c r="J133" s="427"/>
    </row>
    <row r="134" spans="4:10" ht="15.75" customHeight="1" x14ac:dyDescent="0.3">
      <c r="D134" s="427"/>
      <c r="F134" s="427"/>
      <c r="J134" s="427"/>
    </row>
    <row r="135" spans="4:10" ht="15.75" customHeight="1" x14ac:dyDescent="0.3">
      <c r="D135" s="427"/>
      <c r="F135" s="427"/>
      <c r="J135" s="427"/>
    </row>
    <row r="136" spans="4:10" ht="15.75" customHeight="1" x14ac:dyDescent="0.3">
      <c r="D136" s="427"/>
      <c r="F136" s="427"/>
      <c r="J136" s="427"/>
    </row>
    <row r="137" spans="4:10" ht="15.75" customHeight="1" x14ac:dyDescent="0.3">
      <c r="D137" s="427"/>
      <c r="F137" s="427"/>
      <c r="J137" s="427"/>
    </row>
    <row r="138" spans="4:10" ht="15.75" customHeight="1" x14ac:dyDescent="0.3">
      <c r="D138" s="427"/>
      <c r="F138" s="427"/>
      <c r="J138" s="427"/>
    </row>
    <row r="139" spans="4:10" ht="15.75" customHeight="1" x14ac:dyDescent="0.3">
      <c r="D139" s="427"/>
      <c r="F139" s="427"/>
      <c r="J139" s="427"/>
    </row>
    <row r="140" spans="4:10" ht="15.75" customHeight="1" x14ac:dyDescent="0.3">
      <c r="D140" s="427"/>
      <c r="F140" s="427"/>
      <c r="J140" s="427"/>
    </row>
    <row r="141" spans="4:10" ht="15.75" customHeight="1" x14ac:dyDescent="0.3">
      <c r="D141" s="427"/>
      <c r="F141" s="427"/>
      <c r="J141" s="427"/>
    </row>
    <row r="142" spans="4:10" ht="15.75" customHeight="1" x14ac:dyDescent="0.3">
      <c r="D142" s="427"/>
      <c r="F142" s="427"/>
      <c r="J142" s="427"/>
    </row>
    <row r="143" spans="4:10" ht="15.75" customHeight="1" x14ac:dyDescent="0.3">
      <c r="D143" s="427"/>
      <c r="F143" s="427"/>
      <c r="J143" s="427"/>
    </row>
    <row r="144" spans="4:10" ht="15.75" customHeight="1" x14ac:dyDescent="0.3">
      <c r="D144" s="427"/>
      <c r="F144" s="427"/>
      <c r="J144" s="427"/>
    </row>
    <row r="145" spans="4:10" ht="15.75" customHeight="1" x14ac:dyDescent="0.3">
      <c r="D145" s="427"/>
      <c r="F145" s="427"/>
      <c r="J145" s="427"/>
    </row>
    <row r="146" spans="4:10" ht="15.75" customHeight="1" x14ac:dyDescent="0.3">
      <c r="D146" s="427"/>
      <c r="F146" s="427"/>
      <c r="J146" s="427"/>
    </row>
    <row r="147" spans="4:10" ht="15.75" customHeight="1" x14ac:dyDescent="0.3">
      <c r="D147" s="427"/>
      <c r="F147" s="427"/>
      <c r="J147" s="427"/>
    </row>
    <row r="148" spans="4:10" ht="15.75" customHeight="1" x14ac:dyDescent="0.3">
      <c r="D148" s="427"/>
      <c r="F148" s="427"/>
      <c r="J148" s="427"/>
    </row>
    <row r="149" spans="4:10" ht="15.75" customHeight="1" x14ac:dyDescent="0.3">
      <c r="D149" s="427"/>
      <c r="F149" s="427"/>
      <c r="J149" s="427"/>
    </row>
    <row r="150" spans="4:10" ht="15.75" customHeight="1" x14ac:dyDescent="0.3">
      <c r="D150" s="427"/>
      <c r="F150" s="427"/>
      <c r="J150" s="427"/>
    </row>
    <row r="151" spans="4:10" ht="15.75" customHeight="1" x14ac:dyDescent="0.3">
      <c r="D151" s="427"/>
      <c r="F151" s="427"/>
      <c r="J151" s="427"/>
    </row>
    <row r="152" spans="4:10" ht="15.75" customHeight="1" x14ac:dyDescent="0.3">
      <c r="D152" s="427"/>
      <c r="F152" s="427"/>
      <c r="J152" s="427"/>
    </row>
    <row r="153" spans="4:10" ht="15.75" customHeight="1" x14ac:dyDescent="0.3">
      <c r="D153" s="427"/>
      <c r="F153" s="427"/>
      <c r="J153" s="427"/>
    </row>
    <row r="154" spans="4:10" ht="15.75" customHeight="1" x14ac:dyDescent="0.3">
      <c r="D154" s="427"/>
      <c r="F154" s="427"/>
      <c r="J154" s="427"/>
    </row>
    <row r="155" spans="4:10" ht="15.75" customHeight="1" x14ac:dyDescent="0.3">
      <c r="D155" s="427"/>
      <c r="F155" s="427"/>
      <c r="J155" s="427"/>
    </row>
    <row r="156" spans="4:10" ht="15.75" customHeight="1" x14ac:dyDescent="0.3">
      <c r="D156" s="427"/>
      <c r="F156" s="427"/>
      <c r="J156" s="427"/>
    </row>
    <row r="157" spans="4:10" ht="15.75" customHeight="1" x14ac:dyDescent="0.3">
      <c r="D157" s="427"/>
      <c r="F157" s="427"/>
      <c r="J157" s="427"/>
    </row>
    <row r="158" spans="4:10" ht="15.75" customHeight="1" x14ac:dyDescent="0.3">
      <c r="D158" s="427"/>
      <c r="F158" s="427"/>
      <c r="J158" s="427"/>
    </row>
    <row r="159" spans="4:10" ht="15.75" customHeight="1" x14ac:dyDescent="0.3">
      <c r="D159" s="427"/>
      <c r="F159" s="427"/>
      <c r="J159" s="427"/>
    </row>
    <row r="160" spans="4:10" ht="15.75" customHeight="1" x14ac:dyDescent="0.3">
      <c r="D160" s="427"/>
      <c r="F160" s="427"/>
      <c r="J160" s="427"/>
    </row>
    <row r="161" spans="4:10" ht="15.75" customHeight="1" x14ac:dyDescent="0.3">
      <c r="D161" s="427"/>
      <c r="F161" s="427"/>
      <c r="J161" s="427"/>
    </row>
    <row r="162" spans="4:10" ht="15.75" customHeight="1" x14ac:dyDescent="0.3">
      <c r="D162" s="427"/>
      <c r="F162" s="427"/>
      <c r="J162" s="427"/>
    </row>
    <row r="163" spans="4:10" ht="15.75" customHeight="1" x14ac:dyDescent="0.3">
      <c r="D163" s="427"/>
      <c r="F163" s="427"/>
      <c r="J163" s="427"/>
    </row>
    <row r="164" spans="4:10" ht="15.75" customHeight="1" x14ac:dyDescent="0.3">
      <c r="D164" s="427"/>
      <c r="F164" s="427"/>
      <c r="J164" s="427"/>
    </row>
    <row r="165" spans="4:10" ht="15.75" customHeight="1" x14ac:dyDescent="0.3">
      <c r="D165" s="427"/>
      <c r="F165" s="427"/>
      <c r="J165" s="427"/>
    </row>
    <row r="166" spans="4:10" ht="15.75" customHeight="1" x14ac:dyDescent="0.3">
      <c r="D166" s="427"/>
      <c r="F166" s="427"/>
      <c r="J166" s="427"/>
    </row>
    <row r="167" spans="4:10" ht="15.75" customHeight="1" x14ac:dyDescent="0.3">
      <c r="D167" s="427"/>
      <c r="F167" s="427"/>
      <c r="J167" s="427"/>
    </row>
    <row r="168" spans="4:10" ht="15.75" customHeight="1" x14ac:dyDescent="0.3">
      <c r="D168" s="427"/>
      <c r="F168" s="427"/>
      <c r="J168" s="427"/>
    </row>
    <row r="169" spans="4:10" ht="15.75" customHeight="1" x14ac:dyDescent="0.3">
      <c r="D169" s="427"/>
      <c r="F169" s="427"/>
      <c r="J169" s="427"/>
    </row>
    <row r="170" spans="4:10" ht="15.75" customHeight="1" x14ac:dyDescent="0.3">
      <c r="D170" s="427"/>
      <c r="F170" s="427"/>
      <c r="J170" s="427"/>
    </row>
    <row r="171" spans="4:10" ht="15.75" customHeight="1" x14ac:dyDescent="0.3">
      <c r="D171" s="427"/>
      <c r="F171" s="427"/>
      <c r="J171" s="427"/>
    </row>
    <row r="172" spans="4:10" ht="15.75" customHeight="1" x14ac:dyDescent="0.3">
      <c r="D172" s="427"/>
      <c r="F172" s="427"/>
      <c r="J172" s="427"/>
    </row>
    <row r="173" spans="4:10" ht="15.75" customHeight="1" x14ac:dyDescent="0.3">
      <c r="D173" s="427"/>
      <c r="F173" s="427"/>
      <c r="J173" s="427"/>
    </row>
    <row r="174" spans="4:10" ht="15.75" customHeight="1" x14ac:dyDescent="0.3">
      <c r="D174" s="427"/>
      <c r="F174" s="427"/>
      <c r="J174" s="427"/>
    </row>
    <row r="175" spans="4:10" ht="15.75" customHeight="1" x14ac:dyDescent="0.3">
      <c r="D175" s="427"/>
      <c r="F175" s="427"/>
      <c r="J175" s="427"/>
    </row>
    <row r="176" spans="4:10" ht="15.75" customHeight="1" x14ac:dyDescent="0.3">
      <c r="D176" s="427"/>
      <c r="F176" s="427"/>
      <c r="J176" s="427"/>
    </row>
    <row r="177" spans="4:10" ht="15.75" customHeight="1" x14ac:dyDescent="0.3">
      <c r="D177" s="427"/>
      <c r="F177" s="427"/>
      <c r="J177" s="427"/>
    </row>
    <row r="178" spans="4:10" ht="15.75" customHeight="1" x14ac:dyDescent="0.3">
      <c r="D178" s="427"/>
      <c r="F178" s="427"/>
      <c r="J178" s="427"/>
    </row>
    <row r="179" spans="4:10" ht="15.75" customHeight="1" x14ac:dyDescent="0.3">
      <c r="D179" s="427"/>
      <c r="F179" s="427"/>
      <c r="J179" s="427"/>
    </row>
    <row r="180" spans="4:10" ht="15.75" customHeight="1" x14ac:dyDescent="0.3">
      <c r="D180" s="427"/>
      <c r="F180" s="427"/>
      <c r="J180" s="427"/>
    </row>
    <row r="181" spans="4:10" ht="15.75" customHeight="1" x14ac:dyDescent="0.3">
      <c r="D181" s="427"/>
      <c r="F181" s="427"/>
      <c r="J181" s="427"/>
    </row>
    <row r="182" spans="4:10" ht="15.75" customHeight="1" x14ac:dyDescent="0.3">
      <c r="D182" s="427"/>
      <c r="F182" s="427"/>
      <c r="J182" s="427"/>
    </row>
    <row r="183" spans="4:10" ht="15.75" customHeight="1" x14ac:dyDescent="0.3">
      <c r="D183" s="427"/>
      <c r="F183" s="427"/>
      <c r="J183" s="427"/>
    </row>
    <row r="184" spans="4:10" ht="15.75" customHeight="1" x14ac:dyDescent="0.3">
      <c r="D184" s="427"/>
      <c r="F184" s="427"/>
      <c r="J184" s="427"/>
    </row>
    <row r="185" spans="4:10" ht="15.75" customHeight="1" x14ac:dyDescent="0.3">
      <c r="D185" s="427"/>
      <c r="F185" s="427"/>
      <c r="J185" s="427"/>
    </row>
    <row r="186" spans="4:10" ht="15.75" customHeight="1" x14ac:dyDescent="0.3">
      <c r="D186" s="427"/>
      <c r="F186" s="427"/>
      <c r="J186" s="427"/>
    </row>
    <row r="187" spans="4:10" ht="15.75" customHeight="1" x14ac:dyDescent="0.3">
      <c r="D187" s="427"/>
      <c r="F187" s="427"/>
      <c r="J187" s="427"/>
    </row>
    <row r="188" spans="4:10" ht="15.75" customHeight="1" x14ac:dyDescent="0.3">
      <c r="D188" s="427"/>
      <c r="F188" s="427"/>
      <c r="J188" s="427"/>
    </row>
    <row r="189" spans="4:10" ht="15.75" customHeight="1" x14ac:dyDescent="0.3">
      <c r="D189" s="427"/>
      <c r="F189" s="427"/>
      <c r="J189" s="427"/>
    </row>
    <row r="190" spans="4:10" ht="15.75" customHeight="1" x14ac:dyDescent="0.3">
      <c r="D190" s="427"/>
      <c r="F190" s="427"/>
      <c r="J190" s="427"/>
    </row>
    <row r="191" spans="4:10" ht="15.75" customHeight="1" x14ac:dyDescent="0.3">
      <c r="D191" s="427"/>
      <c r="F191" s="427"/>
      <c r="J191" s="427"/>
    </row>
    <row r="192" spans="4:10" ht="15.75" customHeight="1" x14ac:dyDescent="0.3">
      <c r="D192" s="427"/>
      <c r="F192" s="427"/>
      <c r="J192" s="427"/>
    </row>
    <row r="193" spans="4:10" ht="15.75" customHeight="1" x14ac:dyDescent="0.3">
      <c r="D193" s="427"/>
      <c r="F193" s="427"/>
      <c r="J193" s="427"/>
    </row>
    <row r="194" spans="4:10" ht="15.75" customHeight="1" x14ac:dyDescent="0.3">
      <c r="D194" s="427"/>
      <c r="F194" s="427"/>
      <c r="J194" s="427"/>
    </row>
    <row r="195" spans="4:10" ht="15.75" customHeight="1" x14ac:dyDescent="0.3">
      <c r="D195" s="427"/>
      <c r="F195" s="427"/>
      <c r="J195" s="427"/>
    </row>
    <row r="196" spans="4:10" ht="15.75" customHeight="1" x14ac:dyDescent="0.3">
      <c r="D196" s="427"/>
      <c r="F196" s="427"/>
      <c r="J196" s="427"/>
    </row>
    <row r="197" spans="4:10" ht="15.75" customHeight="1" x14ac:dyDescent="0.3">
      <c r="D197" s="427"/>
      <c r="F197" s="427"/>
      <c r="J197" s="427"/>
    </row>
    <row r="198" spans="4:10" ht="15.75" customHeight="1" x14ac:dyDescent="0.3">
      <c r="D198" s="427"/>
      <c r="F198" s="427"/>
      <c r="J198" s="427"/>
    </row>
    <row r="199" spans="4:10" ht="15.75" customHeight="1" x14ac:dyDescent="0.3">
      <c r="D199" s="427"/>
      <c r="F199" s="427"/>
      <c r="J199" s="427"/>
    </row>
    <row r="200" spans="4:10" ht="15.75" customHeight="1" x14ac:dyDescent="0.3">
      <c r="D200" s="427"/>
      <c r="F200" s="427"/>
      <c r="J200" s="427"/>
    </row>
    <row r="201" spans="4:10" ht="15.75" customHeight="1" x14ac:dyDescent="0.3">
      <c r="D201" s="427"/>
      <c r="F201" s="427"/>
      <c r="J201" s="427"/>
    </row>
    <row r="202" spans="4:10" ht="15.75" customHeight="1" x14ac:dyDescent="0.3">
      <c r="D202" s="427"/>
      <c r="F202" s="427"/>
      <c r="J202" s="427"/>
    </row>
    <row r="203" spans="4:10" ht="15.75" customHeight="1" x14ac:dyDescent="0.3">
      <c r="D203" s="427"/>
      <c r="F203" s="427"/>
      <c r="J203" s="427"/>
    </row>
    <row r="204" spans="4:10" ht="15.75" customHeight="1" x14ac:dyDescent="0.3">
      <c r="D204" s="427"/>
      <c r="F204" s="427"/>
      <c r="J204" s="427"/>
    </row>
    <row r="205" spans="4:10" ht="15.75" customHeight="1" x14ac:dyDescent="0.3">
      <c r="D205" s="427"/>
      <c r="F205" s="427"/>
      <c r="J205" s="427"/>
    </row>
    <row r="206" spans="4:10" ht="15.75" customHeight="1" x14ac:dyDescent="0.3">
      <c r="D206" s="427"/>
      <c r="F206" s="427"/>
      <c r="J206" s="427"/>
    </row>
    <row r="207" spans="4:10" ht="15.75" customHeight="1" x14ac:dyDescent="0.3">
      <c r="D207" s="427"/>
      <c r="F207" s="427"/>
      <c r="J207" s="427"/>
    </row>
    <row r="208" spans="4:10" ht="15.75" customHeight="1" x14ac:dyDescent="0.3">
      <c r="D208" s="427"/>
      <c r="F208" s="427"/>
      <c r="J208" s="427"/>
    </row>
    <row r="209" spans="4:10" ht="15.75" customHeight="1" x14ac:dyDescent="0.3">
      <c r="D209" s="427"/>
      <c r="F209" s="427"/>
      <c r="J209" s="427"/>
    </row>
    <row r="210" spans="4:10" ht="15.75" customHeight="1" x14ac:dyDescent="0.3">
      <c r="D210" s="427"/>
      <c r="F210" s="427"/>
      <c r="J210" s="427"/>
    </row>
    <row r="211" spans="4:10" ht="15.75" customHeight="1" x14ac:dyDescent="0.3">
      <c r="D211" s="427"/>
      <c r="F211" s="427"/>
      <c r="J211" s="427"/>
    </row>
    <row r="212" spans="4:10" ht="15.75" customHeight="1" x14ac:dyDescent="0.3">
      <c r="D212" s="427"/>
      <c r="F212" s="427"/>
      <c r="J212" s="427"/>
    </row>
    <row r="213" spans="4:10" ht="15.75" customHeight="1" x14ac:dyDescent="0.3">
      <c r="D213" s="427"/>
      <c r="F213" s="427"/>
      <c r="J213" s="427"/>
    </row>
    <row r="214" spans="4:10" ht="15.75" customHeight="1" x14ac:dyDescent="0.3">
      <c r="D214" s="427"/>
      <c r="F214" s="427"/>
      <c r="J214" s="427"/>
    </row>
    <row r="215" spans="4:10" ht="15.75" customHeight="1" x14ac:dyDescent="0.3">
      <c r="D215" s="427"/>
      <c r="F215" s="427"/>
      <c r="J215" s="427"/>
    </row>
    <row r="216" spans="4:10" ht="15.75" customHeight="1" x14ac:dyDescent="0.3">
      <c r="D216" s="427"/>
      <c r="F216" s="427"/>
      <c r="J216" s="427"/>
    </row>
    <row r="217" spans="4:10" ht="15.75" customHeight="1" x14ac:dyDescent="0.3">
      <c r="D217" s="427"/>
      <c r="F217" s="427"/>
      <c r="J217" s="427"/>
    </row>
    <row r="218" spans="4:10" ht="15.75" customHeight="1" x14ac:dyDescent="0.3">
      <c r="D218" s="427"/>
      <c r="F218" s="427"/>
      <c r="J218" s="427"/>
    </row>
    <row r="219" spans="4:10" ht="15.75" customHeight="1" x14ac:dyDescent="0.3">
      <c r="D219" s="427"/>
      <c r="F219" s="427"/>
      <c r="J219" s="427"/>
    </row>
    <row r="220" spans="4:10" ht="15.75" customHeight="1" x14ac:dyDescent="0.3">
      <c r="D220" s="427"/>
      <c r="F220" s="427"/>
      <c r="J220" s="427"/>
    </row>
    <row r="221" spans="4:10" ht="15.75" customHeight="1" x14ac:dyDescent="0.3">
      <c r="D221" s="427"/>
      <c r="F221" s="427"/>
      <c r="J221" s="427"/>
    </row>
    <row r="222" spans="4:10" ht="15.75" customHeight="1" x14ac:dyDescent="0.3">
      <c r="D222" s="427"/>
      <c r="F222" s="427"/>
      <c r="J222" s="427"/>
    </row>
    <row r="223" spans="4:10" ht="15.75" customHeight="1" x14ac:dyDescent="0.3">
      <c r="D223" s="427"/>
      <c r="F223" s="427"/>
      <c r="J223" s="427"/>
    </row>
    <row r="224" spans="4:10" ht="15.75" customHeight="1" x14ac:dyDescent="0.3">
      <c r="D224" s="427"/>
      <c r="F224" s="427"/>
      <c r="J224" s="427"/>
    </row>
    <row r="225" spans="4:10" ht="15.75" customHeight="1" x14ac:dyDescent="0.3">
      <c r="D225" s="427"/>
      <c r="F225" s="427"/>
      <c r="J225" s="427"/>
    </row>
    <row r="226" spans="4:10" ht="15.75" customHeight="1" x14ac:dyDescent="0.3">
      <c r="D226" s="427"/>
      <c r="F226" s="427"/>
      <c r="J226" s="427"/>
    </row>
    <row r="227" spans="4:10" ht="15.75" customHeight="1" x14ac:dyDescent="0.3">
      <c r="D227" s="427"/>
      <c r="F227" s="427"/>
      <c r="J227" s="427"/>
    </row>
    <row r="228" spans="4:10" ht="15.75" customHeight="1" x14ac:dyDescent="0.3">
      <c r="D228" s="427"/>
      <c r="F228" s="427"/>
      <c r="J228" s="427"/>
    </row>
    <row r="229" spans="4:10" ht="15.75" customHeight="1" x14ac:dyDescent="0.3">
      <c r="D229" s="427"/>
      <c r="F229" s="427"/>
      <c r="J229" s="427"/>
    </row>
    <row r="230" spans="4:10" ht="15.75" customHeight="1" x14ac:dyDescent="0.3">
      <c r="D230" s="427"/>
      <c r="F230" s="427"/>
      <c r="J230" s="427"/>
    </row>
    <row r="231" spans="4:10" ht="15.75" customHeight="1" x14ac:dyDescent="0.3">
      <c r="D231" s="427"/>
      <c r="F231" s="427"/>
      <c r="J231" s="427"/>
    </row>
    <row r="232" spans="4:10" ht="15.75" customHeight="1" x14ac:dyDescent="0.3">
      <c r="D232" s="427"/>
      <c r="F232" s="427"/>
      <c r="J232" s="427"/>
    </row>
    <row r="233" spans="4:10" ht="15.75" customHeight="1" x14ac:dyDescent="0.3">
      <c r="D233" s="427"/>
      <c r="F233" s="427"/>
      <c r="J233" s="427"/>
    </row>
    <row r="234" spans="4:10" ht="15.75" customHeight="1" x14ac:dyDescent="0.3">
      <c r="D234" s="427"/>
      <c r="F234" s="427"/>
      <c r="J234" s="427"/>
    </row>
    <row r="235" spans="4:10" ht="15.75" customHeight="1" x14ac:dyDescent="0.3">
      <c r="D235" s="427"/>
      <c r="F235" s="427"/>
      <c r="J235" s="427"/>
    </row>
    <row r="236" spans="4:10" ht="15.75" customHeight="1" x14ac:dyDescent="0.3">
      <c r="D236" s="427"/>
      <c r="F236" s="427"/>
      <c r="J236" s="427"/>
    </row>
    <row r="237" spans="4:10" ht="15.75" customHeight="1" x14ac:dyDescent="0.3">
      <c r="D237" s="427"/>
      <c r="F237" s="427"/>
      <c r="J237" s="427"/>
    </row>
    <row r="238" spans="4:10" ht="15.75" customHeight="1" x14ac:dyDescent="0.3">
      <c r="D238" s="427"/>
      <c r="F238" s="427"/>
      <c r="J238" s="427"/>
    </row>
    <row r="239" spans="4:10" ht="15.75" customHeight="1" x14ac:dyDescent="0.3">
      <c r="D239" s="427"/>
      <c r="F239" s="427"/>
      <c r="J239" s="427"/>
    </row>
    <row r="240" spans="4:10" ht="15.75" customHeight="1" x14ac:dyDescent="0.3">
      <c r="D240" s="427"/>
      <c r="F240" s="427"/>
      <c r="J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H7:I7"/>
  </mergeCells>
  <dataValidations count="1">
    <dataValidation type="list" allowBlank="1" showErrorMessage="1" sqref="B17 B22" xr:uid="{99E34636-67F7-4D20-856C-57458BB39439}">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64D80-49FB-4941-8199-C5E9646510FE}">
  <dimension ref="A1:AD905"/>
  <sheetViews>
    <sheetView zoomScale="80" zoomScaleNormal="80" workbookViewId="0">
      <selection activeCell="AD17" sqref="AD17"/>
    </sheetView>
  </sheetViews>
  <sheetFormatPr defaultColWidth="12.44140625" defaultRowHeight="15" customHeight="1" x14ac:dyDescent="0.3"/>
  <cols>
    <col min="1" max="1" width="2.6640625" style="428" customWidth="1"/>
    <col min="2" max="2" width="5.109375" style="428" customWidth="1"/>
    <col min="3" max="3" width="35.664062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2397</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1026</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540</v>
      </c>
      <c r="D10" s="531" t="s">
        <v>352</v>
      </c>
      <c r="E10" s="532" t="s">
        <v>904</v>
      </c>
      <c r="F10" s="533"/>
      <c r="G10" s="534">
        <v>2015</v>
      </c>
      <c r="H10" s="535"/>
      <c r="I10" s="536">
        <v>175680</v>
      </c>
      <c r="J10" s="540">
        <v>291240</v>
      </c>
      <c r="K10" s="597">
        <v>309960</v>
      </c>
      <c r="L10" s="597">
        <v>0</v>
      </c>
      <c r="M10" s="540">
        <v>231840</v>
      </c>
      <c r="N10" s="597">
        <v>214200</v>
      </c>
      <c r="O10" s="597">
        <v>231120</v>
      </c>
      <c r="P10" s="597">
        <v>179400</v>
      </c>
      <c r="Q10" s="597">
        <v>66960</v>
      </c>
      <c r="R10" s="597">
        <v>0</v>
      </c>
      <c r="S10" s="597">
        <v>0</v>
      </c>
      <c r="T10" s="597">
        <v>0</v>
      </c>
      <c r="U10" s="598">
        <v>0</v>
      </c>
      <c r="V10" s="597">
        <v>0</v>
      </c>
      <c r="W10" s="598">
        <v>0</v>
      </c>
      <c r="X10" s="597"/>
      <c r="Y10" s="542"/>
      <c r="Z10" s="535"/>
      <c r="AA10" s="528"/>
      <c r="AB10" s="528"/>
      <c r="AC10" s="528"/>
      <c r="AD10" s="528"/>
    </row>
    <row r="11" spans="1:30" ht="24" customHeight="1" x14ac:dyDescent="0.3">
      <c r="A11" s="528"/>
      <c r="B11" s="529"/>
      <c r="C11" s="453" t="s">
        <v>374</v>
      </c>
      <c r="D11" s="453" t="s">
        <v>1410</v>
      </c>
      <c r="E11" s="543" t="s">
        <v>350</v>
      </c>
      <c r="F11" s="506" t="s">
        <v>1411</v>
      </c>
      <c r="G11" s="496"/>
      <c r="H11" s="544"/>
      <c r="I11" s="1611">
        <f>I10/10.6388888974</f>
        <v>16513.002597755658</v>
      </c>
      <c r="J11" s="547">
        <v>27372.180451127817</v>
      </c>
      <c r="K11" s="599">
        <v>29131.58</v>
      </c>
      <c r="L11" s="599">
        <v>0</v>
      </c>
      <c r="M11" s="599">
        <v>21789.47</v>
      </c>
      <c r="N11" s="599">
        <v>20131.580000000002</v>
      </c>
      <c r="O11" s="599">
        <v>21721.8</v>
      </c>
      <c r="P11" s="599">
        <v>16860.900000000001</v>
      </c>
      <c r="Q11" s="599">
        <v>6293.23</v>
      </c>
      <c r="R11" s="599">
        <v>0</v>
      </c>
      <c r="S11" s="599">
        <v>0</v>
      </c>
      <c r="T11" s="599">
        <v>0</v>
      </c>
      <c r="U11" s="600">
        <v>0</v>
      </c>
      <c r="V11" s="599">
        <v>0</v>
      </c>
      <c r="W11" s="600">
        <v>0</v>
      </c>
      <c r="X11" s="599"/>
      <c r="Y11" s="548"/>
      <c r="Z11" s="544"/>
      <c r="AA11" s="528"/>
      <c r="AB11" s="528"/>
      <c r="AC11" s="528"/>
      <c r="AD11" s="528"/>
    </row>
    <row r="12" spans="1:30" ht="30" customHeight="1" x14ac:dyDescent="0.3">
      <c r="A12" s="528"/>
      <c r="B12" s="529"/>
      <c r="C12" s="531"/>
      <c r="D12" s="531"/>
      <c r="E12" s="532"/>
      <c r="F12" s="533"/>
      <c r="G12" s="549"/>
      <c r="H12" s="550"/>
      <c r="I12" s="550"/>
      <c r="J12" s="550"/>
      <c r="K12" s="550"/>
      <c r="L12" s="550"/>
      <c r="M12" s="550"/>
      <c r="N12" s="550"/>
      <c r="O12" s="550"/>
      <c r="P12" s="550"/>
      <c r="Q12" s="550"/>
      <c r="R12" s="550"/>
      <c r="S12" s="550"/>
      <c r="T12" s="550"/>
      <c r="U12" s="542"/>
      <c r="V12" s="550"/>
      <c r="W12" s="542"/>
      <c r="X12" s="550"/>
      <c r="Y12" s="542"/>
      <c r="Z12" s="550"/>
      <c r="AA12" s="528"/>
      <c r="AB12" s="528"/>
      <c r="AC12" s="528"/>
      <c r="AD12" s="528"/>
    </row>
    <row r="13" spans="1:30" ht="24" customHeight="1" x14ac:dyDescent="0.3">
      <c r="A13" s="528"/>
      <c r="B13" s="529"/>
      <c r="C13" s="453"/>
      <c r="D13" s="453"/>
      <c r="E13" s="543"/>
      <c r="F13" s="506"/>
      <c r="G13" s="496"/>
      <c r="H13" s="544"/>
      <c r="I13" s="544"/>
      <c r="J13" s="544"/>
      <c r="K13" s="544"/>
      <c r="L13" s="544"/>
      <c r="M13" s="544"/>
      <c r="N13" s="544"/>
      <c r="O13" s="544"/>
      <c r="P13" s="544"/>
      <c r="Q13" s="544"/>
      <c r="R13" s="544"/>
      <c r="S13" s="544"/>
      <c r="T13" s="544"/>
      <c r="U13" s="548"/>
      <c r="V13" s="544"/>
      <c r="W13" s="548"/>
      <c r="X13" s="544"/>
      <c r="Y13" s="548"/>
      <c r="Z13" s="544"/>
      <c r="AA13" s="528"/>
      <c r="AB13" s="528"/>
      <c r="AC13" s="528"/>
      <c r="AD13" s="528"/>
    </row>
    <row r="14" spans="1:30" ht="24" customHeight="1" x14ac:dyDescent="0.3">
      <c r="A14" s="528"/>
      <c r="B14" s="529"/>
      <c r="C14" s="531"/>
      <c r="D14" s="531"/>
      <c r="E14" s="532"/>
      <c r="F14" s="533"/>
      <c r="G14" s="551"/>
      <c r="H14" s="550"/>
      <c r="I14" s="550"/>
      <c r="J14" s="550"/>
      <c r="K14" s="550"/>
      <c r="L14" s="550"/>
      <c r="M14" s="550"/>
      <c r="N14" s="550"/>
      <c r="O14" s="550"/>
      <c r="P14" s="550"/>
      <c r="Q14" s="550"/>
      <c r="R14" s="550"/>
      <c r="S14" s="550"/>
      <c r="T14" s="550"/>
      <c r="U14" s="542"/>
      <c r="V14" s="550"/>
      <c r="W14" s="542"/>
      <c r="X14" s="550"/>
      <c r="Y14" s="542"/>
      <c r="Z14" s="550"/>
      <c r="AA14" s="528"/>
      <c r="AB14" s="528"/>
      <c r="AC14" s="528"/>
      <c r="AD14" s="528"/>
    </row>
    <row r="15" spans="1:30" ht="24" customHeight="1" x14ac:dyDescent="0.3">
      <c r="A15" s="528"/>
      <c r="B15" s="552"/>
      <c r="C15" s="462"/>
      <c r="D15" s="462"/>
      <c r="E15" s="553"/>
      <c r="F15" s="554"/>
      <c r="G15" s="555"/>
      <c r="H15" s="556"/>
      <c r="I15" s="556"/>
      <c r="J15" s="556"/>
      <c r="K15" s="556"/>
      <c r="L15" s="556"/>
      <c r="M15" s="556"/>
      <c r="N15" s="556"/>
      <c r="O15" s="556"/>
      <c r="P15" s="556"/>
      <c r="Q15" s="556"/>
      <c r="R15" s="556"/>
      <c r="S15" s="556"/>
      <c r="T15" s="556"/>
      <c r="U15" s="557"/>
      <c r="V15" s="556"/>
      <c r="W15" s="557"/>
      <c r="X15" s="556"/>
      <c r="Y15" s="557"/>
      <c r="Z15" s="556"/>
      <c r="AA15" s="528"/>
      <c r="AB15" s="528"/>
      <c r="AC15" s="528"/>
      <c r="AD15" s="528"/>
    </row>
    <row r="16" spans="1:30" ht="15.75" customHeight="1" x14ac:dyDescent="0.3">
      <c r="A16" s="528"/>
      <c r="B16" s="558"/>
      <c r="C16" s="528"/>
      <c r="D16" s="528"/>
      <c r="E16" s="528"/>
      <c r="F16" s="528"/>
      <c r="G16" s="479"/>
      <c r="H16" s="479"/>
      <c r="I16" s="479"/>
      <c r="J16" s="479"/>
      <c r="K16" s="479"/>
      <c r="L16" s="479"/>
      <c r="M16" s="559"/>
      <c r="N16" s="559"/>
      <c r="O16" s="559"/>
      <c r="P16" s="559"/>
      <c r="Q16" s="559"/>
      <c r="R16" s="559">
        <v>30.2</v>
      </c>
      <c r="S16" s="559"/>
      <c r="T16" s="559"/>
      <c r="U16" s="559"/>
      <c r="V16" s="559"/>
      <c r="W16" s="559"/>
      <c r="X16" s="559"/>
      <c r="Y16" s="559"/>
      <c r="Z16" s="559"/>
      <c r="AA16" s="528"/>
      <c r="AB16" s="528"/>
      <c r="AC16" s="528"/>
      <c r="AD16" s="528"/>
    </row>
    <row r="17" spans="1:30" ht="15.75" customHeight="1" x14ac:dyDescent="0.3">
      <c r="A17" s="528"/>
      <c r="B17" s="560" t="s">
        <v>355</v>
      </c>
      <c r="C17" s="561" t="s">
        <v>356</v>
      </c>
      <c r="D17" s="528"/>
      <c r="E17" s="528"/>
      <c r="F17" s="528"/>
      <c r="G17" s="479"/>
      <c r="H17" s="479"/>
      <c r="I17" s="479"/>
      <c r="J17" s="479"/>
      <c r="K17" s="479"/>
      <c r="L17" s="479"/>
      <c r="M17" s="559"/>
      <c r="N17" s="559"/>
      <c r="O17" s="559"/>
      <c r="P17" s="559"/>
      <c r="Q17" s="559"/>
      <c r="R17" s="559"/>
      <c r="S17" s="559"/>
      <c r="T17" s="559"/>
      <c r="U17" s="559"/>
      <c r="V17" s="559"/>
      <c r="W17" s="559"/>
      <c r="X17" s="559"/>
      <c r="Y17" s="559"/>
      <c r="Z17" s="559"/>
      <c r="AA17" s="528"/>
      <c r="AB17" s="528"/>
      <c r="AC17" s="528"/>
      <c r="AD17" s="528"/>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4383" t="s">
        <v>357</v>
      </c>
      <c r="C19" s="4384"/>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62" t="s">
        <v>365</v>
      </c>
      <c r="C20" s="528" t="s">
        <v>1412</v>
      </c>
      <c r="D20" s="528"/>
      <c r="E20" s="528"/>
      <c r="F20" s="528"/>
      <c r="G20" s="479"/>
      <c r="H20" s="479"/>
      <c r="I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562"/>
      <c r="C21" s="528" t="s">
        <v>1413</v>
      </c>
      <c r="D21" s="528"/>
      <c r="E21" s="479">
        <v>246820</v>
      </c>
      <c r="F21" s="528" t="s">
        <v>904</v>
      </c>
      <c r="G21" s="479"/>
      <c r="H21" s="479"/>
      <c r="I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562"/>
      <c r="C22" s="528" t="s">
        <v>1415</v>
      </c>
      <c r="D22" s="528"/>
      <c r="E22" s="479">
        <v>107640</v>
      </c>
      <c r="F22" s="528" t="s">
        <v>1414</v>
      </c>
      <c r="G22" s="479"/>
      <c r="H22" s="479"/>
      <c r="I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E23" s="479">
        <v>66960</v>
      </c>
      <c r="F23" s="528" t="s">
        <v>1416</v>
      </c>
    </row>
    <row r="24" spans="1:30" ht="15.75" customHeight="1" x14ac:dyDescent="0.3"/>
    <row r="25" spans="1:30" ht="21" customHeight="1" x14ac:dyDescent="0.3">
      <c r="B25" s="519" t="s">
        <v>409</v>
      </c>
    </row>
    <row r="26" spans="1:30" ht="9" customHeight="1" x14ac:dyDescent="0.3">
      <c r="B26" s="519"/>
    </row>
    <row r="27" spans="1:30" ht="21" customHeight="1" x14ac:dyDescent="0.3">
      <c r="B27" s="517" t="s">
        <v>410</v>
      </c>
      <c r="C27" s="518"/>
      <c r="D27" s="518"/>
    </row>
    <row r="28" spans="1:30" ht="12" customHeight="1" x14ac:dyDescent="0.3"/>
    <row r="29" spans="1:30" ht="15.75" customHeight="1" x14ac:dyDescent="0.3">
      <c r="B29" s="521" t="s">
        <v>301</v>
      </c>
      <c r="C29" s="522" t="s">
        <v>343</v>
      </c>
      <c r="D29" s="523" t="s">
        <v>344</v>
      </c>
      <c r="E29" s="523" t="s">
        <v>345</v>
      </c>
      <c r="F29" s="523" t="s">
        <v>346</v>
      </c>
      <c r="G29" s="524" t="s">
        <v>347</v>
      </c>
      <c r="H29" s="525">
        <v>2025</v>
      </c>
      <c r="I29" s="525">
        <v>2024</v>
      </c>
      <c r="J29" s="525">
        <v>2023</v>
      </c>
      <c r="K29" s="525">
        <v>2022</v>
      </c>
      <c r="L29" s="525">
        <v>2021</v>
      </c>
      <c r="M29" s="525">
        <v>2020</v>
      </c>
      <c r="N29" s="525">
        <v>2019</v>
      </c>
      <c r="O29" s="526">
        <v>2018</v>
      </c>
      <c r="P29" s="526">
        <v>2017</v>
      </c>
      <c r="Q29" s="526">
        <v>2016</v>
      </c>
      <c r="R29" s="526">
        <v>2015</v>
      </c>
      <c r="S29" s="526">
        <v>2014</v>
      </c>
      <c r="T29" s="526">
        <v>2013</v>
      </c>
      <c r="U29" s="526">
        <v>2012</v>
      </c>
      <c r="V29" s="526">
        <v>2011</v>
      </c>
      <c r="W29" s="526">
        <v>2010</v>
      </c>
      <c r="X29" s="526">
        <v>2009</v>
      </c>
      <c r="Y29" s="526">
        <v>2008</v>
      </c>
      <c r="Z29" s="527" t="s">
        <v>332</v>
      </c>
    </row>
    <row r="30" spans="1:30" ht="24" customHeight="1" x14ac:dyDescent="0.3">
      <c r="B30" s="529">
        <v>1</v>
      </c>
      <c r="C30" s="530" t="s">
        <v>540</v>
      </c>
      <c r="D30" s="531" t="s">
        <v>1332</v>
      </c>
      <c r="E30" s="532" t="s">
        <v>363</v>
      </c>
      <c r="F30" s="531" t="s">
        <v>1417</v>
      </c>
      <c r="G30" s="534">
        <v>2013</v>
      </c>
      <c r="H30" s="635"/>
      <c r="I30" s="536">
        <v>8580.9699999999993</v>
      </c>
      <c r="J30" s="540">
        <v>13206.57</v>
      </c>
      <c r="K30" s="597">
        <v>5730.98</v>
      </c>
      <c r="L30" s="597">
        <v>0</v>
      </c>
      <c r="M30" s="597">
        <v>8935.09</v>
      </c>
      <c r="N30" s="597">
        <v>8957.0300000000007</v>
      </c>
      <c r="O30" s="597">
        <v>10650.26</v>
      </c>
      <c r="P30" s="597">
        <v>1353.35</v>
      </c>
      <c r="Q30" s="597">
        <v>3582.16</v>
      </c>
      <c r="R30" s="597">
        <v>1637.71</v>
      </c>
      <c r="S30" s="597">
        <v>1255.1600000000001</v>
      </c>
      <c r="T30" s="597">
        <v>1003.59</v>
      </c>
      <c r="U30" s="542"/>
      <c r="V30" s="535"/>
      <c r="W30" s="542"/>
      <c r="X30" s="535"/>
      <c r="Y30" s="542"/>
      <c r="Z30" s="535"/>
    </row>
    <row r="31" spans="1:30" ht="24" customHeight="1" x14ac:dyDescent="0.3">
      <c r="B31" s="529">
        <v>2</v>
      </c>
      <c r="C31" s="453" t="s">
        <v>540</v>
      </c>
      <c r="D31" s="453" t="s">
        <v>1418</v>
      </c>
      <c r="E31" s="543" t="s">
        <v>363</v>
      </c>
      <c r="F31" s="453" t="s">
        <v>1419</v>
      </c>
      <c r="G31" s="479">
        <v>2013</v>
      </c>
      <c r="H31" s="638"/>
      <c r="I31" s="545">
        <v>21.47</v>
      </c>
      <c r="J31" s="547">
        <v>98.96</v>
      </c>
      <c r="K31" s="599">
        <v>30.2</v>
      </c>
      <c r="L31" s="599">
        <v>0</v>
      </c>
      <c r="M31" s="599">
        <v>112.1</v>
      </c>
      <c r="N31" s="599">
        <v>106.39</v>
      </c>
      <c r="O31" s="599">
        <v>144.86000000000001</v>
      </c>
      <c r="P31" s="599">
        <v>76.02</v>
      </c>
      <c r="Q31" s="599">
        <v>45.87</v>
      </c>
      <c r="R31" s="599">
        <v>60.24</v>
      </c>
      <c r="S31" s="599">
        <v>24.76</v>
      </c>
      <c r="T31" s="599">
        <v>10.210000000000001</v>
      </c>
      <c r="U31" s="548"/>
      <c r="V31" s="544"/>
      <c r="W31" s="548"/>
      <c r="X31" s="544"/>
      <c r="Y31" s="548"/>
      <c r="Z31" s="544"/>
    </row>
    <row r="32" spans="1:30" ht="24" customHeight="1" x14ac:dyDescent="0.3">
      <c r="B32" s="529">
        <v>3</v>
      </c>
      <c r="C32" s="531" t="s">
        <v>540</v>
      </c>
      <c r="D32" s="531" t="s">
        <v>1420</v>
      </c>
      <c r="E32" s="532" t="s">
        <v>363</v>
      </c>
      <c r="F32" s="531" t="s">
        <v>1421</v>
      </c>
      <c r="G32" s="639">
        <v>2013</v>
      </c>
      <c r="H32" s="640"/>
      <c r="I32" s="2497"/>
      <c r="J32" s="603">
        <v>0</v>
      </c>
      <c r="K32" s="603">
        <v>0</v>
      </c>
      <c r="L32" s="603">
        <v>0</v>
      </c>
      <c r="M32" s="603">
        <v>0</v>
      </c>
      <c r="N32" s="603">
        <v>0</v>
      </c>
      <c r="O32" s="603">
        <v>0</v>
      </c>
      <c r="P32" s="603">
        <v>0</v>
      </c>
      <c r="Q32" s="603">
        <v>56.28</v>
      </c>
      <c r="R32" s="603">
        <v>0</v>
      </c>
      <c r="S32" s="603">
        <v>0</v>
      </c>
      <c r="T32" s="603">
        <v>20.7</v>
      </c>
      <c r="U32" s="542"/>
      <c r="V32" s="550"/>
      <c r="W32" s="542"/>
      <c r="X32" s="550"/>
      <c r="Y32" s="542"/>
      <c r="Z32" s="550"/>
    </row>
    <row r="33" spans="2:26" ht="24" customHeight="1" x14ac:dyDescent="0.3">
      <c r="B33" s="529"/>
      <c r="C33" s="453"/>
      <c r="D33" s="453"/>
      <c r="E33" s="543"/>
      <c r="F33" s="453"/>
      <c r="G33" s="479"/>
      <c r="H33" s="638"/>
      <c r="I33" s="2498"/>
      <c r="J33" s="599"/>
      <c r="K33" s="599"/>
      <c r="L33" s="599"/>
      <c r="M33" s="599"/>
      <c r="N33" s="599"/>
      <c r="O33" s="599"/>
      <c r="P33" s="599"/>
      <c r="Q33" s="599"/>
      <c r="R33" s="599"/>
      <c r="S33" s="599"/>
      <c r="T33" s="599"/>
      <c r="U33" s="548"/>
      <c r="V33" s="544"/>
      <c r="W33" s="548"/>
      <c r="X33" s="544"/>
      <c r="Y33" s="548"/>
      <c r="Z33" s="544"/>
    </row>
    <row r="34" spans="2:26" ht="24" customHeight="1" x14ac:dyDescent="0.3">
      <c r="B34" s="529"/>
      <c r="C34" s="531"/>
      <c r="D34" s="531"/>
      <c r="E34" s="532"/>
      <c r="F34" s="531"/>
      <c r="G34" s="639"/>
      <c r="H34" s="640"/>
      <c r="I34" s="2497"/>
      <c r="J34" s="603"/>
      <c r="K34" s="603"/>
      <c r="L34" s="603"/>
      <c r="M34" s="603"/>
      <c r="N34" s="603"/>
      <c r="O34" s="603"/>
      <c r="P34" s="603"/>
      <c r="Q34" s="603"/>
      <c r="R34" s="603"/>
      <c r="S34" s="603"/>
      <c r="T34" s="603"/>
      <c r="U34" s="542"/>
      <c r="V34" s="550"/>
      <c r="W34" s="542"/>
      <c r="X34" s="550"/>
      <c r="Y34" s="542"/>
      <c r="Z34" s="550"/>
    </row>
    <row r="35" spans="2:26" ht="24" customHeight="1" x14ac:dyDescent="0.3">
      <c r="B35" s="552"/>
      <c r="C35" s="462"/>
      <c r="D35" s="462"/>
      <c r="E35" s="553"/>
      <c r="F35" s="462"/>
      <c r="G35" s="645"/>
      <c r="H35" s="646"/>
      <c r="I35" s="646"/>
      <c r="J35" s="556"/>
      <c r="K35" s="556"/>
      <c r="L35" s="556"/>
      <c r="M35" s="556"/>
      <c r="N35" s="556"/>
      <c r="O35" s="556"/>
      <c r="P35" s="556"/>
      <c r="Q35" s="556"/>
      <c r="R35" s="556"/>
      <c r="S35" s="556"/>
      <c r="T35" s="556"/>
      <c r="U35" s="557"/>
      <c r="V35" s="556"/>
      <c r="W35" s="557"/>
      <c r="X35" s="556"/>
      <c r="Y35" s="557"/>
      <c r="Z35" s="556"/>
    </row>
    <row r="36" spans="2:26" ht="15.75" customHeight="1" x14ac:dyDescent="0.3"/>
    <row r="37" spans="2:26" ht="15.75" customHeight="1" x14ac:dyDescent="0.3">
      <c r="B37" s="560" t="s">
        <v>355</v>
      </c>
      <c r="C37" s="561" t="s">
        <v>356</v>
      </c>
    </row>
    <row r="38" spans="2:26" ht="15.75" customHeight="1" x14ac:dyDescent="0.3"/>
    <row r="39" spans="2:26" ht="15.75" customHeight="1" x14ac:dyDescent="0.3">
      <c r="B39" s="4383" t="s">
        <v>357</v>
      </c>
      <c r="C39" s="4384"/>
    </row>
    <row r="40" spans="2:26" ht="15.75" customHeight="1" x14ac:dyDescent="0.3">
      <c r="B40" s="562" t="s">
        <v>301</v>
      </c>
      <c r="C40" s="1286" t="s">
        <v>2162</v>
      </c>
    </row>
    <row r="41" spans="2:26" ht="15.75" customHeight="1" x14ac:dyDescent="0.3">
      <c r="B41" s="562" t="s">
        <v>546</v>
      </c>
      <c r="C41" s="428" t="s">
        <v>1422</v>
      </c>
    </row>
    <row r="42" spans="2:26" ht="15.75" customHeight="1" x14ac:dyDescent="0.3"/>
    <row r="43" spans="2:26" ht="15.75" customHeight="1" x14ac:dyDescent="0.3"/>
    <row r="44" spans="2:26" ht="15.75" customHeight="1" x14ac:dyDescent="0.3"/>
    <row r="45" spans="2:26" ht="15.75" customHeight="1" x14ac:dyDescent="0.3"/>
    <row r="46" spans="2:26" ht="15.75" customHeight="1" x14ac:dyDescent="0.3"/>
    <row r="47" spans="2:26" ht="15.75" customHeight="1" x14ac:dyDescent="0.3"/>
    <row r="48" spans="2:2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sheetData>
  <mergeCells count="2">
    <mergeCell ref="B19:C19"/>
    <mergeCell ref="B39:C39"/>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8C6B6-BCF9-4621-B136-D8E62149179E}">
  <dimension ref="A1:G1001"/>
  <sheetViews>
    <sheetView topLeftCell="A27" workbookViewId="0">
      <selection activeCell="H36" sqref="H36"/>
    </sheetView>
  </sheetViews>
  <sheetFormatPr defaultColWidth="12.44140625" defaultRowHeight="15" customHeight="1" x14ac:dyDescent="0.3"/>
  <cols>
    <col min="1" max="1" width="2.6640625" style="428" customWidth="1"/>
    <col min="2" max="2" width="35.109375" style="428" customWidth="1"/>
    <col min="3" max="3" width="21.77734375" style="428" bestFit="1" customWidth="1"/>
    <col min="4" max="4" width="1.5546875" style="428" customWidth="1"/>
    <col min="5" max="5" width="14.6640625" style="428" customWidth="1"/>
    <col min="6" max="6" width="7.33203125" style="428" customWidth="1"/>
    <col min="7" max="7" width="11.6640625" style="428" customWidth="1"/>
    <col min="8" max="16384" width="12.44140625" style="428"/>
  </cols>
  <sheetData>
    <row r="1" spans="1:7" ht="21.75" customHeight="1" x14ac:dyDescent="0.35">
      <c r="A1" s="424"/>
      <c r="B1" s="425" t="s">
        <v>549</v>
      </c>
      <c r="D1" s="427"/>
      <c r="F1" s="427"/>
    </row>
    <row r="2" spans="1:7" ht="15.75" customHeight="1" x14ac:dyDescent="0.3">
      <c r="A2" s="424"/>
      <c r="B2" s="429" t="s">
        <v>299</v>
      </c>
      <c r="C2" s="430"/>
      <c r="D2" s="430"/>
      <c r="E2" s="430"/>
      <c r="F2" s="430"/>
    </row>
    <row r="3" spans="1:7" ht="9.75" customHeight="1" x14ac:dyDescent="0.3">
      <c r="A3" s="427"/>
      <c r="B3" s="431"/>
      <c r="D3" s="427"/>
      <c r="F3" s="427"/>
    </row>
    <row r="4" spans="1:7" ht="6" customHeight="1" x14ac:dyDescent="0.3">
      <c r="B4" s="427"/>
      <c r="D4" s="427"/>
      <c r="F4" s="427"/>
    </row>
    <row r="5" spans="1:7" ht="6" customHeight="1" x14ac:dyDescent="0.3">
      <c r="A5" s="431"/>
      <c r="D5" s="427"/>
      <c r="F5" s="427"/>
    </row>
    <row r="6" spans="1:7" ht="15.75" customHeight="1" x14ac:dyDescent="0.3">
      <c r="C6" s="428">
        <v>1000000</v>
      </c>
      <c r="D6" s="427"/>
      <c r="E6" s="427"/>
      <c r="F6" s="427"/>
    </row>
    <row r="7" spans="1:7" ht="37.200000000000003" customHeight="1" x14ac:dyDescent="0.3">
      <c r="A7" s="432"/>
      <c r="B7" s="433">
        <v>2024</v>
      </c>
      <c r="C7" s="434" t="s">
        <v>22</v>
      </c>
      <c r="D7" s="432"/>
      <c r="E7" s="435" t="s">
        <v>300</v>
      </c>
      <c r="F7" s="432"/>
      <c r="G7" s="432"/>
    </row>
    <row r="8" spans="1:7" ht="18" customHeight="1" x14ac:dyDescent="0.35">
      <c r="B8" s="436" t="s">
        <v>301</v>
      </c>
      <c r="C8" s="572">
        <v>1</v>
      </c>
      <c r="D8" s="427"/>
      <c r="E8" s="438"/>
      <c r="F8" s="427"/>
    </row>
    <row r="9" spans="1:7" ht="46.5" customHeight="1" x14ac:dyDescent="0.3">
      <c r="B9" s="439" t="s">
        <v>302</v>
      </c>
      <c r="C9" s="573" t="s">
        <v>1423</v>
      </c>
      <c r="D9" s="574"/>
      <c r="E9" s="442"/>
      <c r="F9" s="443"/>
    </row>
    <row r="10" spans="1:7" ht="46.5" customHeight="1" x14ac:dyDescent="0.3">
      <c r="B10" s="444" t="s">
        <v>304</v>
      </c>
      <c r="C10" s="445" t="s">
        <v>1424</v>
      </c>
      <c r="D10" s="574"/>
      <c r="E10" s="446"/>
      <c r="F10" s="443"/>
    </row>
    <row r="11" spans="1:7" ht="18.75" customHeight="1" x14ac:dyDescent="0.3">
      <c r="A11" s="447"/>
      <c r="B11" s="448" t="s">
        <v>306</v>
      </c>
      <c r="C11" s="575">
        <f>(C17*C18)+(C22*C23)</f>
        <v>23.732790976259615</v>
      </c>
      <c r="D11" s="576"/>
      <c r="E11" s="451">
        <f>SUM(C11:C11)</f>
        <v>23.732790976259615</v>
      </c>
      <c r="F11" s="452"/>
      <c r="G11" s="447"/>
    </row>
    <row r="12" spans="1:7" ht="18.75" customHeight="1" x14ac:dyDescent="0.3">
      <c r="A12" s="447"/>
      <c r="B12" s="453" t="s">
        <v>307</v>
      </c>
      <c r="C12" s="577">
        <f>(C32*C33)+(C37*C38)</f>
        <v>4.3865634939999998</v>
      </c>
      <c r="D12" s="455"/>
      <c r="E12" s="456">
        <f>SUM(C12:C12)</f>
        <v>4.3865634939999998</v>
      </c>
      <c r="F12" s="457"/>
      <c r="G12" s="447"/>
    </row>
    <row r="13" spans="1:7" ht="18.75" customHeight="1" x14ac:dyDescent="0.3">
      <c r="A13" s="447"/>
      <c r="B13" s="448" t="s">
        <v>308</v>
      </c>
      <c r="C13" s="578" t="s">
        <v>8</v>
      </c>
      <c r="D13" s="459"/>
      <c r="E13" s="460"/>
      <c r="F13" s="461"/>
      <c r="G13" s="447"/>
    </row>
    <row r="14" spans="1:7" ht="18.75" customHeight="1" x14ac:dyDescent="0.3">
      <c r="A14" s="447"/>
      <c r="B14" s="462" t="s">
        <v>309</v>
      </c>
      <c r="C14" s="579">
        <f t="shared" ref="C14" si="0">C11-C12</f>
        <v>19.346227482259614</v>
      </c>
      <c r="D14" s="455"/>
      <c r="E14" s="464">
        <f>SUM(C14:C14)</f>
        <v>19.346227482259614</v>
      </c>
      <c r="F14" s="457"/>
      <c r="G14" s="447"/>
    </row>
    <row r="15" spans="1:7" ht="19.5" customHeight="1" x14ac:dyDescent="0.4">
      <c r="B15" s="465" t="s">
        <v>310</v>
      </c>
      <c r="C15" s="580"/>
      <c r="D15" s="467"/>
      <c r="E15" s="468"/>
      <c r="F15" s="467"/>
      <c r="G15" s="427"/>
    </row>
    <row r="16" spans="1:7" ht="35.4" customHeight="1" x14ac:dyDescent="0.3">
      <c r="A16" s="447"/>
      <c r="B16" s="469" t="s">
        <v>311</v>
      </c>
      <c r="C16" s="601" t="s">
        <v>1425</v>
      </c>
      <c r="D16" s="581"/>
      <c r="E16" s="471"/>
      <c r="F16" s="457"/>
      <c r="G16" s="447"/>
    </row>
    <row r="17" spans="1:7" ht="21" customHeight="1" x14ac:dyDescent="0.3">
      <c r="A17" s="447"/>
      <c r="B17" s="472" t="s">
        <v>313</v>
      </c>
      <c r="C17" s="582">
        <f>'CF-1511|GDS'!I12</f>
        <v>12855.31769352093</v>
      </c>
      <c r="D17" s="583"/>
      <c r="F17" s="475"/>
      <c r="G17" s="447"/>
    </row>
    <row r="18" spans="1:7" ht="18.75" customHeight="1" x14ac:dyDescent="0.3">
      <c r="A18" s="447"/>
      <c r="B18" s="476" t="s">
        <v>314</v>
      </c>
      <c r="C18" s="584">
        <v>1.5392919999999998E-3</v>
      </c>
      <c r="D18" s="478"/>
      <c r="F18" s="479"/>
      <c r="G18" s="447"/>
    </row>
    <row r="19" spans="1:7" ht="19.5" customHeight="1" x14ac:dyDescent="0.3">
      <c r="A19" s="447"/>
      <c r="B19" s="480" t="s">
        <v>315</v>
      </c>
      <c r="C19" s="585">
        <f>C17*C18</f>
        <v>19.788087683095217</v>
      </c>
      <c r="D19" s="586"/>
      <c r="F19" s="479"/>
      <c r="G19" s="447"/>
    </row>
    <row r="20" spans="1:7" ht="19.5" customHeight="1" x14ac:dyDescent="0.4">
      <c r="B20" s="465" t="s">
        <v>310</v>
      </c>
      <c r="C20" s="580"/>
      <c r="D20" s="467"/>
      <c r="F20" s="467"/>
    </row>
    <row r="21" spans="1:7" ht="37.950000000000003" customHeight="1" x14ac:dyDescent="0.3">
      <c r="A21" s="447"/>
      <c r="B21" s="469" t="s">
        <v>311</v>
      </c>
      <c r="C21" s="601" t="s">
        <v>1426</v>
      </c>
      <c r="D21" s="1094"/>
      <c r="F21" s="457"/>
      <c r="G21" s="447"/>
    </row>
    <row r="22" spans="1:7" ht="21" customHeight="1" x14ac:dyDescent="0.3">
      <c r="A22" s="447"/>
      <c r="B22" s="472" t="s">
        <v>313</v>
      </c>
      <c r="C22" s="661">
        <f>'CF-1511|GDS'!I13</f>
        <v>1442.8623029684218</v>
      </c>
      <c r="D22" s="583"/>
      <c r="F22" s="475"/>
      <c r="G22" s="447"/>
    </row>
    <row r="23" spans="1:7" ht="18.75" customHeight="1" x14ac:dyDescent="0.3">
      <c r="A23" s="447"/>
      <c r="B23" s="476" t="s">
        <v>314</v>
      </c>
      <c r="C23" s="584">
        <v>2.7339430000000004E-3</v>
      </c>
      <c r="D23" s="586"/>
      <c r="E23" s="1095"/>
      <c r="F23" s="479"/>
      <c r="G23" s="447"/>
    </row>
    <row r="24" spans="1:7" ht="19.5" customHeight="1" x14ac:dyDescent="0.3">
      <c r="A24" s="447"/>
      <c r="B24" s="480" t="s">
        <v>315</v>
      </c>
      <c r="C24" s="585">
        <f>C22*C23</f>
        <v>3.9447032931643964</v>
      </c>
      <c r="D24" s="586"/>
      <c r="E24" s="1096"/>
      <c r="F24" s="479"/>
      <c r="G24" s="447"/>
    </row>
    <row r="25" spans="1:7" ht="19.5" customHeight="1" x14ac:dyDescent="0.4">
      <c r="B25" s="465" t="s">
        <v>310</v>
      </c>
      <c r="C25" s="580"/>
      <c r="D25" s="467"/>
      <c r="F25" s="467"/>
    </row>
    <row r="26" spans="1:7" ht="37.950000000000003" customHeight="1" x14ac:dyDescent="0.3">
      <c r="A26" s="447"/>
      <c r="B26" s="469" t="s">
        <v>311</v>
      </c>
      <c r="C26" s="601" t="s">
        <v>1427</v>
      </c>
      <c r="D26" s="1094"/>
      <c r="F26" s="457"/>
      <c r="G26" s="447"/>
    </row>
    <row r="27" spans="1:7" ht="21" customHeight="1" x14ac:dyDescent="0.3">
      <c r="A27" s="447"/>
      <c r="B27" s="472" t="s">
        <v>319</v>
      </c>
      <c r="C27" s="661">
        <f>'CF-1511|GDS'!I14</f>
        <v>114626.95789351909</v>
      </c>
      <c r="D27" s="583"/>
      <c r="F27" s="475"/>
      <c r="G27" s="447"/>
    </row>
    <row r="28" spans="1:7" ht="18.75" customHeight="1" x14ac:dyDescent="0.3">
      <c r="A28" s="447"/>
      <c r="B28" s="476" t="s">
        <v>314</v>
      </c>
      <c r="C28" s="584">
        <v>1.7E-6</v>
      </c>
      <c r="D28" s="586"/>
      <c r="E28" s="1095"/>
      <c r="F28" s="479"/>
      <c r="G28" s="447"/>
    </row>
    <row r="29" spans="1:7" ht="19.5" customHeight="1" x14ac:dyDescent="0.3">
      <c r="A29" s="447"/>
      <c r="B29" s="480" t="s">
        <v>315</v>
      </c>
      <c r="C29" s="585">
        <f>C27*C28</f>
        <v>0.19486582841898245</v>
      </c>
      <c r="D29" s="586"/>
      <c r="E29" s="1096"/>
      <c r="F29" s="479"/>
      <c r="G29" s="447"/>
    </row>
    <row r="30" spans="1:7" ht="21" customHeight="1" x14ac:dyDescent="0.4">
      <c r="B30" s="465" t="s">
        <v>316</v>
      </c>
      <c r="C30" s="587"/>
      <c r="D30" s="483"/>
      <c r="E30" s="484"/>
      <c r="F30" s="483"/>
    </row>
    <row r="31" spans="1:7" ht="32.4" customHeight="1" x14ac:dyDescent="0.3">
      <c r="A31" s="447"/>
      <c r="B31" s="469" t="s">
        <v>183</v>
      </c>
      <c r="C31" s="601" t="s">
        <v>352</v>
      </c>
      <c r="D31" s="588"/>
      <c r="E31" s="485"/>
      <c r="F31" s="479"/>
      <c r="G31" s="447"/>
    </row>
    <row r="32" spans="1:7" ht="21" customHeight="1" x14ac:dyDescent="0.3">
      <c r="A32" s="447"/>
      <c r="B32" s="486" t="s">
        <v>319</v>
      </c>
      <c r="C32" s="589">
        <f>'CF-1511|GDS'!I9</f>
        <v>502740</v>
      </c>
      <c r="D32" s="479"/>
      <c r="E32" s="488"/>
      <c r="F32" s="479"/>
      <c r="G32" s="447"/>
    </row>
    <row r="33" spans="1:7" ht="21" customHeight="1" x14ac:dyDescent="0.3">
      <c r="A33" s="447"/>
      <c r="B33" s="489" t="s">
        <v>314</v>
      </c>
      <c r="C33" s="590">
        <v>1.7E-6</v>
      </c>
      <c r="D33" s="588"/>
      <c r="E33" s="491"/>
      <c r="F33" s="479"/>
      <c r="G33" s="447"/>
    </row>
    <row r="34" spans="1:7" ht="21" customHeight="1" x14ac:dyDescent="0.3">
      <c r="A34" s="447"/>
      <c r="B34" s="492" t="s">
        <v>315</v>
      </c>
      <c r="C34" s="591">
        <f t="shared" ref="C34" si="1">C32*C33</f>
        <v>0.85465800000000003</v>
      </c>
      <c r="D34" s="588"/>
      <c r="E34" s="494"/>
      <c r="F34" s="479"/>
      <c r="G34" s="447"/>
    </row>
    <row r="35" spans="1:7" ht="21" customHeight="1" x14ac:dyDescent="0.4">
      <c r="B35" s="465" t="s">
        <v>316</v>
      </c>
      <c r="C35" s="587"/>
      <c r="D35" s="483"/>
      <c r="E35" s="495"/>
      <c r="F35" s="483"/>
    </row>
    <row r="36" spans="1:7" ht="30.6" customHeight="1" x14ac:dyDescent="0.3">
      <c r="A36" s="447"/>
      <c r="B36" s="469" t="s">
        <v>183</v>
      </c>
      <c r="C36" s="601" t="s">
        <v>403</v>
      </c>
      <c r="D36" s="588"/>
      <c r="E36" s="496"/>
      <c r="F36" s="479"/>
      <c r="G36" s="447"/>
    </row>
    <row r="37" spans="1:7" ht="21" customHeight="1" x14ac:dyDescent="0.3">
      <c r="A37" s="447"/>
      <c r="B37" s="486" t="s">
        <v>313</v>
      </c>
      <c r="C37" s="589">
        <f>'CF-1511|GDS'!I11</f>
        <v>2294.5</v>
      </c>
      <c r="D37" s="479"/>
      <c r="E37" s="488"/>
      <c r="F37" s="479"/>
      <c r="G37" s="447"/>
    </row>
    <row r="38" spans="1:7" ht="21" customHeight="1" x14ac:dyDescent="0.3">
      <c r="A38" s="447"/>
      <c r="B38" s="489" t="s">
        <v>314</v>
      </c>
      <c r="C38" s="590">
        <v>1.5392919999999998E-3</v>
      </c>
      <c r="D38" s="588"/>
      <c r="E38" s="491"/>
      <c r="F38" s="479"/>
      <c r="G38" s="447"/>
    </row>
    <row r="39" spans="1:7" ht="21" customHeight="1" x14ac:dyDescent="0.3">
      <c r="A39" s="447"/>
      <c r="B39" s="492" t="s">
        <v>315</v>
      </c>
      <c r="C39" s="591">
        <f t="shared" ref="C39" si="2">C37*C38</f>
        <v>3.5319054939999996</v>
      </c>
      <c r="D39" s="588"/>
      <c r="E39" s="494"/>
      <c r="F39" s="479"/>
      <c r="G39" s="447"/>
    </row>
    <row r="40" spans="1:7" ht="36" customHeight="1" x14ac:dyDescent="0.3">
      <c r="A40" s="447"/>
      <c r="B40" s="498" t="s">
        <v>320</v>
      </c>
      <c r="C40" s="592" t="s">
        <v>499</v>
      </c>
      <c r="D40" s="593"/>
      <c r="E40" s="501"/>
      <c r="F40" s="500"/>
      <c r="G40" s="447"/>
    </row>
    <row r="41" spans="1:7" ht="24" customHeight="1" x14ac:dyDescent="0.3">
      <c r="B41" s="502" t="s">
        <v>322</v>
      </c>
      <c r="C41" s="594">
        <v>3</v>
      </c>
      <c r="D41" s="504"/>
      <c r="E41" s="505"/>
      <c r="F41" s="504"/>
    </row>
    <row r="42" spans="1:7" ht="33" customHeight="1" x14ac:dyDescent="0.3">
      <c r="A42" s="447"/>
      <c r="B42" s="506" t="s">
        <v>323</v>
      </c>
      <c r="C42" s="595" t="s">
        <v>324</v>
      </c>
      <c r="D42" s="479"/>
      <c r="E42" s="496"/>
      <c r="F42" s="479"/>
      <c r="G42" s="447"/>
    </row>
    <row r="43" spans="1:7" ht="33" customHeight="1" x14ac:dyDescent="0.3">
      <c r="A43" s="447"/>
      <c r="B43" s="508" t="s">
        <v>325</v>
      </c>
      <c r="C43" s="596" t="s">
        <v>326</v>
      </c>
      <c r="D43" s="479"/>
      <c r="E43" s="496"/>
      <c r="F43" s="479"/>
      <c r="G43" s="447"/>
    </row>
    <row r="44" spans="1:7" ht="33" customHeight="1" x14ac:dyDescent="0.3">
      <c r="A44" s="447"/>
      <c r="B44" s="506" t="s">
        <v>327</v>
      </c>
      <c r="C44" s="595" t="s">
        <v>433</v>
      </c>
      <c r="D44" s="479"/>
      <c r="E44" s="496"/>
      <c r="F44" s="479"/>
      <c r="G44" s="447"/>
    </row>
    <row r="45" spans="1:7" ht="21" customHeight="1" x14ac:dyDescent="0.3">
      <c r="B45" s="510" t="s">
        <v>329</v>
      </c>
      <c r="C45" s="596">
        <v>1</v>
      </c>
      <c r="D45" s="467"/>
      <c r="E45" s="467"/>
      <c r="F45" s="467"/>
    </row>
    <row r="46" spans="1:7" ht="21" customHeight="1" x14ac:dyDescent="0.3">
      <c r="B46" s="453" t="s">
        <v>330</v>
      </c>
      <c r="C46" s="595" t="s">
        <v>324</v>
      </c>
      <c r="D46" s="483"/>
      <c r="E46" s="495"/>
      <c r="F46" s="483"/>
    </row>
    <row r="47" spans="1:7" ht="21" customHeight="1" x14ac:dyDescent="0.3">
      <c r="B47" s="510" t="s">
        <v>331</v>
      </c>
      <c r="C47" s="596" t="s">
        <v>324</v>
      </c>
      <c r="D47" s="483"/>
      <c r="E47" s="495"/>
      <c r="F47" s="483"/>
    </row>
    <row r="48" spans="1:7" ht="21" customHeight="1" x14ac:dyDescent="0.3">
      <c r="B48" s="462" t="s">
        <v>332</v>
      </c>
      <c r="C48" s="555" t="s">
        <v>333</v>
      </c>
      <c r="D48" s="483"/>
      <c r="E48" s="495"/>
      <c r="F48" s="483"/>
    </row>
    <row r="49" spans="2:6" ht="15.75" customHeight="1" x14ac:dyDescent="0.3">
      <c r="B49" s="427"/>
      <c r="C49" s="427"/>
      <c r="D49" s="483"/>
      <c r="E49" s="483"/>
      <c r="F49" s="483"/>
    </row>
    <row r="50" spans="2:6" ht="15.75" customHeight="1" x14ac:dyDescent="0.3">
      <c r="B50" s="512" t="s">
        <v>334</v>
      </c>
      <c r="C50" s="427"/>
      <c r="D50" s="483"/>
      <c r="E50" s="483"/>
      <c r="F50" s="483"/>
    </row>
    <row r="51" spans="2:6" ht="15.75" customHeight="1" x14ac:dyDescent="0.3">
      <c r="B51" s="512" t="s">
        <v>335</v>
      </c>
      <c r="C51" s="427"/>
      <c r="D51" s="483"/>
      <c r="E51" s="483"/>
      <c r="F51" s="483"/>
    </row>
    <row r="52" spans="2:6" ht="15.75" customHeight="1" x14ac:dyDescent="0.3">
      <c r="B52" s="512" t="s">
        <v>336</v>
      </c>
      <c r="C52" s="427"/>
      <c r="D52" s="483"/>
      <c r="E52" s="483"/>
      <c r="F52" s="483"/>
    </row>
    <row r="53" spans="2:6" ht="15.75" customHeight="1" x14ac:dyDescent="0.3">
      <c r="B53" s="512" t="s">
        <v>337</v>
      </c>
      <c r="C53" s="427"/>
      <c r="D53" s="483"/>
      <c r="E53" s="483"/>
      <c r="F53" s="483"/>
    </row>
    <row r="54" spans="2:6" ht="15.75" customHeight="1" x14ac:dyDescent="0.3">
      <c r="B54" s="512" t="s">
        <v>338</v>
      </c>
      <c r="D54" s="427"/>
      <c r="F54" s="427"/>
    </row>
    <row r="55" spans="2:6" ht="15.75" customHeight="1" x14ac:dyDescent="0.3">
      <c r="B55" s="512" t="s">
        <v>339</v>
      </c>
      <c r="D55" s="427"/>
      <c r="F55" s="427"/>
    </row>
    <row r="56" spans="2:6" ht="15.75" customHeight="1" x14ac:dyDescent="0.3">
      <c r="D56" s="427"/>
      <c r="F56" s="427"/>
    </row>
    <row r="57" spans="2:6" ht="15.75" customHeight="1" x14ac:dyDescent="0.3">
      <c r="D57" s="427"/>
      <c r="F57" s="427"/>
    </row>
    <row r="58" spans="2:6" ht="15.75" customHeight="1" x14ac:dyDescent="0.3">
      <c r="D58" s="427"/>
      <c r="F58" s="427"/>
    </row>
    <row r="59" spans="2:6" ht="15.75" customHeight="1" x14ac:dyDescent="0.3">
      <c r="D59" s="427"/>
      <c r="F59" s="427"/>
    </row>
    <row r="60" spans="2:6" ht="15.75" customHeight="1" x14ac:dyDescent="0.3">
      <c r="D60" s="427"/>
      <c r="F60" s="427"/>
    </row>
    <row r="61" spans="2:6" ht="15.75" customHeight="1" x14ac:dyDescent="0.3">
      <c r="D61" s="427"/>
      <c r="F61" s="427"/>
    </row>
    <row r="62" spans="2:6" ht="15.75" customHeight="1" x14ac:dyDescent="0.3">
      <c r="D62" s="427"/>
      <c r="F62" s="427"/>
    </row>
    <row r="63" spans="2:6" ht="15.75" customHeight="1" x14ac:dyDescent="0.3">
      <c r="D63" s="427"/>
      <c r="F63" s="427"/>
    </row>
    <row r="64" spans="2:6" ht="15.75" customHeight="1" x14ac:dyDescent="0.3">
      <c r="D64" s="427"/>
      <c r="F64" s="427"/>
    </row>
    <row r="65" spans="4:6" ht="15.75" customHeight="1" x14ac:dyDescent="0.3">
      <c r="D65" s="427"/>
      <c r="F65" s="427"/>
    </row>
    <row r="66" spans="4:6" ht="15.75" customHeight="1" x14ac:dyDescent="0.3">
      <c r="D66" s="427"/>
      <c r="F66" s="427"/>
    </row>
    <row r="67" spans="4:6" ht="15.75" customHeight="1" x14ac:dyDescent="0.3">
      <c r="D67" s="427"/>
      <c r="F67" s="427"/>
    </row>
    <row r="68" spans="4:6" ht="15.75" customHeight="1" x14ac:dyDescent="0.3">
      <c r="D68" s="427"/>
      <c r="F68" s="427"/>
    </row>
    <row r="69" spans="4:6" ht="15.75" customHeight="1" x14ac:dyDescent="0.3">
      <c r="D69" s="427"/>
      <c r="F69" s="427"/>
    </row>
    <row r="70" spans="4:6" ht="15.75" customHeight="1" x14ac:dyDescent="0.3">
      <c r="D70" s="427"/>
      <c r="F70" s="427"/>
    </row>
    <row r="71" spans="4:6" ht="15.75" customHeight="1" x14ac:dyDescent="0.3">
      <c r="D71" s="427"/>
      <c r="F71" s="427"/>
    </row>
    <row r="72" spans="4:6" ht="15.75" customHeight="1" x14ac:dyDescent="0.3">
      <c r="D72" s="427"/>
      <c r="F72" s="427"/>
    </row>
    <row r="73" spans="4:6" ht="15.75" customHeight="1" x14ac:dyDescent="0.3">
      <c r="D73" s="427"/>
      <c r="F73" s="427"/>
    </row>
    <row r="74" spans="4:6" ht="15.75" customHeight="1" x14ac:dyDescent="0.3">
      <c r="D74" s="427"/>
      <c r="F74" s="427"/>
    </row>
    <row r="75" spans="4:6" ht="15.75" customHeight="1" x14ac:dyDescent="0.3">
      <c r="D75" s="427"/>
      <c r="F75" s="427"/>
    </row>
    <row r="76" spans="4:6" ht="15.75" customHeight="1" x14ac:dyDescent="0.3">
      <c r="D76" s="427"/>
      <c r="F76" s="427"/>
    </row>
    <row r="77" spans="4:6" ht="15.75" customHeight="1" x14ac:dyDescent="0.3">
      <c r="D77" s="427"/>
      <c r="F77" s="427"/>
    </row>
    <row r="78" spans="4:6" ht="15.75" customHeight="1" x14ac:dyDescent="0.3">
      <c r="D78" s="427"/>
      <c r="F78" s="427"/>
    </row>
    <row r="79" spans="4:6" ht="15.75" customHeight="1" x14ac:dyDescent="0.3">
      <c r="D79" s="427"/>
      <c r="F79" s="427"/>
    </row>
    <row r="80" spans="4:6" ht="15.75" customHeight="1" x14ac:dyDescent="0.3">
      <c r="D80" s="427"/>
      <c r="F80" s="427"/>
    </row>
    <row r="81" spans="4:6" ht="15.75" customHeight="1" x14ac:dyDescent="0.3">
      <c r="D81" s="427"/>
      <c r="F81" s="427"/>
    </row>
    <row r="82" spans="4:6" ht="15.75" customHeight="1" x14ac:dyDescent="0.3">
      <c r="D82" s="427"/>
      <c r="F82" s="427"/>
    </row>
    <row r="83" spans="4:6" ht="15.75" customHeight="1" x14ac:dyDescent="0.3">
      <c r="D83" s="427"/>
      <c r="F83" s="427"/>
    </row>
    <row r="84" spans="4:6" ht="15.75" customHeight="1" x14ac:dyDescent="0.3">
      <c r="D84" s="427"/>
      <c r="F84" s="427"/>
    </row>
    <row r="85" spans="4:6" ht="15.75" customHeight="1" x14ac:dyDescent="0.3">
      <c r="D85" s="427"/>
      <c r="F85" s="427"/>
    </row>
    <row r="86" spans="4:6" ht="15.75" customHeight="1" x14ac:dyDescent="0.3">
      <c r="D86" s="427"/>
      <c r="F86" s="427"/>
    </row>
    <row r="87" spans="4:6" ht="15.75" customHeight="1" x14ac:dyDescent="0.3">
      <c r="D87" s="427"/>
      <c r="F87" s="427"/>
    </row>
    <row r="88" spans="4:6" ht="15.75" customHeight="1" x14ac:dyDescent="0.3">
      <c r="D88" s="427"/>
      <c r="F88" s="427"/>
    </row>
    <row r="89" spans="4:6" ht="15.75" customHeight="1" x14ac:dyDescent="0.3">
      <c r="D89" s="427"/>
      <c r="F89" s="427"/>
    </row>
    <row r="90" spans="4:6" ht="15.75" customHeight="1" x14ac:dyDescent="0.3">
      <c r="D90" s="427"/>
      <c r="F90" s="427"/>
    </row>
    <row r="91" spans="4:6" ht="15.75" customHeight="1" x14ac:dyDescent="0.3">
      <c r="D91" s="427"/>
      <c r="F91" s="427"/>
    </row>
    <row r="92" spans="4:6" ht="15.75" customHeight="1" x14ac:dyDescent="0.3">
      <c r="D92" s="427"/>
      <c r="F92" s="427"/>
    </row>
    <row r="93" spans="4:6" ht="15.75" customHeight="1" x14ac:dyDescent="0.3">
      <c r="D93" s="427"/>
      <c r="F93" s="427"/>
    </row>
    <row r="94" spans="4:6" ht="15.75" customHeight="1" x14ac:dyDescent="0.3">
      <c r="D94" s="427"/>
      <c r="F94" s="427"/>
    </row>
    <row r="95" spans="4:6" ht="15.75" customHeight="1" x14ac:dyDescent="0.3">
      <c r="D95" s="427"/>
      <c r="F95" s="427"/>
    </row>
    <row r="96" spans="4:6" ht="15.75" customHeight="1" x14ac:dyDescent="0.3">
      <c r="D96" s="427"/>
      <c r="F96" s="427"/>
    </row>
    <row r="97" spans="4:6" ht="15.75" customHeight="1" x14ac:dyDescent="0.3">
      <c r="D97" s="427"/>
      <c r="F97" s="427"/>
    </row>
    <row r="98" spans="4:6" ht="15.75" customHeight="1" x14ac:dyDescent="0.3">
      <c r="D98" s="427"/>
      <c r="F98" s="427"/>
    </row>
    <row r="99" spans="4:6" ht="15.75" customHeight="1" x14ac:dyDescent="0.3">
      <c r="D99" s="427"/>
      <c r="F99" s="427"/>
    </row>
    <row r="100" spans="4:6" ht="15.75" customHeight="1" x14ac:dyDescent="0.3">
      <c r="D100" s="427"/>
      <c r="F100" s="427"/>
    </row>
    <row r="101" spans="4:6" ht="15.75" customHeight="1" x14ac:dyDescent="0.3">
      <c r="D101" s="427"/>
      <c r="F101" s="427"/>
    </row>
    <row r="102" spans="4:6" ht="15.75" customHeight="1" x14ac:dyDescent="0.3">
      <c r="D102" s="427"/>
      <c r="F102" s="427"/>
    </row>
    <row r="103" spans="4:6" ht="15.75" customHeight="1" x14ac:dyDescent="0.3">
      <c r="D103" s="427"/>
      <c r="F103" s="427"/>
    </row>
    <row r="104" spans="4:6" ht="15.75" customHeight="1" x14ac:dyDescent="0.3">
      <c r="D104" s="427"/>
      <c r="F104" s="427"/>
    </row>
    <row r="105" spans="4:6" ht="15.75" customHeight="1" x14ac:dyDescent="0.3">
      <c r="D105" s="427"/>
      <c r="F105" s="427"/>
    </row>
    <row r="106" spans="4:6" ht="15.75" customHeight="1" x14ac:dyDescent="0.3">
      <c r="D106" s="427"/>
      <c r="F106" s="427"/>
    </row>
    <row r="107" spans="4:6" ht="15.75" customHeight="1" x14ac:dyDescent="0.3">
      <c r="D107" s="427"/>
      <c r="F107" s="427"/>
    </row>
    <row r="108" spans="4:6" ht="15.75" customHeight="1" x14ac:dyDescent="0.3">
      <c r="D108" s="427"/>
      <c r="F108" s="427"/>
    </row>
    <row r="109" spans="4:6" ht="15.75" customHeight="1" x14ac:dyDescent="0.3">
      <c r="D109" s="427"/>
      <c r="F109" s="427"/>
    </row>
    <row r="110" spans="4:6" ht="15.75" customHeight="1" x14ac:dyDescent="0.3">
      <c r="D110" s="427"/>
      <c r="F110" s="427"/>
    </row>
    <row r="111" spans="4:6" ht="15.75" customHeight="1" x14ac:dyDescent="0.3">
      <c r="D111" s="427"/>
      <c r="F111" s="427"/>
    </row>
    <row r="112" spans="4:6" ht="15.75" customHeight="1" x14ac:dyDescent="0.3">
      <c r="D112" s="427"/>
      <c r="F112" s="427"/>
    </row>
    <row r="113" spans="4:6" ht="15.75" customHeight="1" x14ac:dyDescent="0.3">
      <c r="D113" s="427"/>
      <c r="F113" s="427"/>
    </row>
    <row r="114" spans="4:6" ht="15.75" customHeight="1" x14ac:dyDescent="0.3">
      <c r="D114" s="427"/>
      <c r="F114" s="427"/>
    </row>
    <row r="115" spans="4:6" ht="15.75" customHeight="1" x14ac:dyDescent="0.3">
      <c r="D115" s="427"/>
      <c r="F115" s="427"/>
    </row>
    <row r="116" spans="4:6" ht="15.75" customHeight="1" x14ac:dyDescent="0.3">
      <c r="D116" s="427"/>
      <c r="F116" s="427"/>
    </row>
    <row r="117" spans="4:6" ht="15.75" customHeight="1" x14ac:dyDescent="0.3">
      <c r="D117" s="427"/>
      <c r="F117" s="427"/>
    </row>
    <row r="118" spans="4:6" ht="15.75" customHeight="1" x14ac:dyDescent="0.3">
      <c r="D118" s="427"/>
      <c r="F118" s="427"/>
    </row>
    <row r="119" spans="4:6" ht="15.75" customHeight="1" x14ac:dyDescent="0.3">
      <c r="D119" s="427"/>
      <c r="F119" s="427"/>
    </row>
    <row r="120" spans="4:6" ht="15.75" customHeight="1" x14ac:dyDescent="0.3">
      <c r="D120" s="427"/>
      <c r="F120" s="427"/>
    </row>
    <row r="121" spans="4:6" ht="15.75" customHeight="1" x14ac:dyDescent="0.3">
      <c r="D121" s="427"/>
      <c r="F121" s="427"/>
    </row>
    <row r="122" spans="4:6" ht="15.75" customHeight="1" x14ac:dyDescent="0.3">
      <c r="D122" s="427"/>
      <c r="F122" s="427"/>
    </row>
    <row r="123" spans="4:6" ht="15.75" customHeight="1" x14ac:dyDescent="0.3">
      <c r="D123" s="427"/>
      <c r="F123" s="427"/>
    </row>
    <row r="124" spans="4:6" ht="15.75" customHeight="1" x14ac:dyDescent="0.3">
      <c r="D124" s="427"/>
      <c r="F124" s="427"/>
    </row>
    <row r="125" spans="4:6" ht="15.75" customHeight="1" x14ac:dyDescent="0.3">
      <c r="D125" s="427"/>
      <c r="F125" s="427"/>
    </row>
    <row r="126" spans="4:6" ht="15.75" customHeight="1" x14ac:dyDescent="0.3">
      <c r="D126" s="427"/>
      <c r="F126" s="427"/>
    </row>
    <row r="127" spans="4:6" ht="15.75" customHeight="1" x14ac:dyDescent="0.3">
      <c r="D127" s="427"/>
      <c r="F127" s="427"/>
    </row>
    <row r="128" spans="4:6" ht="15.75" customHeight="1" x14ac:dyDescent="0.3">
      <c r="D128" s="427"/>
      <c r="F128" s="427"/>
    </row>
    <row r="129" spans="4:6" ht="15.75" customHeight="1" x14ac:dyDescent="0.3">
      <c r="D129" s="427"/>
      <c r="F129" s="427"/>
    </row>
    <row r="130" spans="4:6" ht="15.75" customHeight="1" x14ac:dyDescent="0.3">
      <c r="D130" s="427"/>
      <c r="F130" s="427"/>
    </row>
    <row r="131" spans="4:6" ht="15.75" customHeight="1" x14ac:dyDescent="0.3">
      <c r="D131" s="427"/>
      <c r="F131" s="427"/>
    </row>
    <row r="132" spans="4:6" ht="15.75" customHeight="1" x14ac:dyDescent="0.3">
      <c r="D132" s="427"/>
      <c r="F132" s="427"/>
    </row>
    <row r="133" spans="4:6" ht="15.75" customHeight="1" x14ac:dyDescent="0.3">
      <c r="D133" s="427"/>
      <c r="F133" s="427"/>
    </row>
    <row r="134" spans="4:6" ht="15.75" customHeight="1" x14ac:dyDescent="0.3">
      <c r="D134" s="427"/>
      <c r="F134" s="427"/>
    </row>
    <row r="135" spans="4:6" ht="15.75" customHeight="1" x14ac:dyDescent="0.3">
      <c r="D135" s="427"/>
      <c r="F135" s="427"/>
    </row>
    <row r="136" spans="4:6" ht="15.75" customHeight="1" x14ac:dyDescent="0.3">
      <c r="D136" s="427"/>
      <c r="F136" s="427"/>
    </row>
    <row r="137" spans="4:6" ht="15.75" customHeight="1" x14ac:dyDescent="0.3">
      <c r="D137" s="427"/>
      <c r="F137" s="427"/>
    </row>
    <row r="138" spans="4:6" ht="15.75" customHeight="1" x14ac:dyDescent="0.3">
      <c r="D138" s="427"/>
      <c r="F138" s="427"/>
    </row>
    <row r="139" spans="4:6" ht="15.75" customHeight="1" x14ac:dyDescent="0.3">
      <c r="D139" s="427"/>
      <c r="F139" s="427"/>
    </row>
    <row r="140" spans="4:6" ht="15.75" customHeight="1" x14ac:dyDescent="0.3">
      <c r="D140" s="427"/>
      <c r="F140" s="427"/>
    </row>
    <row r="141" spans="4:6" ht="15.75" customHeight="1" x14ac:dyDescent="0.3">
      <c r="D141" s="427"/>
      <c r="F141" s="427"/>
    </row>
    <row r="142" spans="4:6" ht="15.75" customHeight="1" x14ac:dyDescent="0.3">
      <c r="D142" s="427"/>
      <c r="F142" s="427"/>
    </row>
    <row r="143" spans="4:6" ht="15.75" customHeight="1" x14ac:dyDescent="0.3">
      <c r="D143" s="427"/>
      <c r="F143" s="427"/>
    </row>
    <row r="144" spans="4:6" ht="15.75" customHeight="1" x14ac:dyDescent="0.3">
      <c r="D144" s="427"/>
      <c r="F144" s="427"/>
    </row>
    <row r="145" spans="4:6" ht="15.75" customHeight="1" x14ac:dyDescent="0.3">
      <c r="D145" s="427"/>
      <c r="F145" s="427"/>
    </row>
    <row r="146" spans="4:6" ht="15.75" customHeight="1" x14ac:dyDescent="0.3">
      <c r="D146" s="427"/>
      <c r="F146" s="427"/>
    </row>
    <row r="147" spans="4:6" ht="15.75" customHeight="1" x14ac:dyDescent="0.3">
      <c r="D147" s="427"/>
      <c r="F147" s="427"/>
    </row>
    <row r="148" spans="4:6" ht="15.75" customHeight="1" x14ac:dyDescent="0.3">
      <c r="D148" s="427"/>
      <c r="F148" s="427"/>
    </row>
    <row r="149" spans="4:6" ht="15.75" customHeight="1" x14ac:dyDescent="0.3">
      <c r="D149" s="427"/>
      <c r="F149" s="427"/>
    </row>
    <row r="150" spans="4:6" ht="15.75" customHeight="1" x14ac:dyDescent="0.3">
      <c r="D150" s="427"/>
      <c r="F150" s="427"/>
    </row>
    <row r="151" spans="4:6" ht="15.75" customHeight="1" x14ac:dyDescent="0.3">
      <c r="D151" s="427"/>
      <c r="F151" s="427"/>
    </row>
    <row r="152" spans="4:6" ht="15.75" customHeight="1" x14ac:dyDescent="0.3">
      <c r="D152" s="427"/>
      <c r="F152" s="427"/>
    </row>
    <row r="153" spans="4:6" ht="15.75" customHeight="1" x14ac:dyDescent="0.3">
      <c r="D153" s="427"/>
      <c r="F153" s="427"/>
    </row>
    <row r="154" spans="4:6" ht="15.75" customHeight="1" x14ac:dyDescent="0.3">
      <c r="D154" s="427"/>
      <c r="F154" s="427"/>
    </row>
    <row r="155" spans="4:6" ht="15.75" customHeight="1" x14ac:dyDescent="0.3">
      <c r="D155" s="427"/>
      <c r="F155" s="427"/>
    </row>
    <row r="156" spans="4:6" ht="15.75" customHeight="1" x14ac:dyDescent="0.3">
      <c r="D156" s="427"/>
      <c r="F156" s="427"/>
    </row>
    <row r="157" spans="4:6" ht="15.75" customHeight="1" x14ac:dyDescent="0.3">
      <c r="D157" s="427"/>
      <c r="F157" s="427"/>
    </row>
    <row r="158" spans="4:6" ht="15.75" customHeight="1" x14ac:dyDescent="0.3">
      <c r="D158" s="427"/>
      <c r="F158" s="427"/>
    </row>
    <row r="159" spans="4:6" ht="15.75" customHeight="1" x14ac:dyDescent="0.3">
      <c r="D159" s="427"/>
      <c r="F159" s="427"/>
    </row>
    <row r="160" spans="4:6" ht="15.75" customHeight="1" x14ac:dyDescent="0.3">
      <c r="D160" s="427"/>
      <c r="F160" s="427"/>
    </row>
    <row r="161" spans="4:6" ht="15.75" customHeight="1" x14ac:dyDescent="0.3">
      <c r="D161" s="427"/>
      <c r="F161" s="427"/>
    </row>
    <row r="162" spans="4:6" ht="15.75" customHeight="1" x14ac:dyDescent="0.3">
      <c r="D162" s="427"/>
      <c r="F162" s="427"/>
    </row>
    <row r="163" spans="4:6" ht="15.75" customHeight="1" x14ac:dyDescent="0.3">
      <c r="D163" s="427"/>
      <c r="F163" s="427"/>
    </row>
    <row r="164" spans="4:6" ht="15.75" customHeight="1" x14ac:dyDescent="0.3">
      <c r="D164" s="427"/>
      <c r="F164" s="427"/>
    </row>
    <row r="165" spans="4:6" ht="15.75" customHeight="1" x14ac:dyDescent="0.3">
      <c r="D165" s="427"/>
      <c r="F165" s="427"/>
    </row>
    <row r="166" spans="4:6" ht="15.75" customHeight="1" x14ac:dyDescent="0.3">
      <c r="D166" s="427"/>
      <c r="F166" s="427"/>
    </row>
    <row r="167" spans="4:6" ht="15.75" customHeight="1" x14ac:dyDescent="0.3">
      <c r="D167" s="427"/>
      <c r="F167" s="427"/>
    </row>
    <row r="168" spans="4:6" ht="15.75" customHeight="1" x14ac:dyDescent="0.3">
      <c r="D168" s="427"/>
      <c r="F168" s="427"/>
    </row>
    <row r="169" spans="4:6" ht="15.75" customHeight="1" x14ac:dyDescent="0.3">
      <c r="D169" s="427"/>
      <c r="F169" s="427"/>
    </row>
    <row r="170" spans="4:6" ht="15.75" customHeight="1" x14ac:dyDescent="0.3">
      <c r="D170" s="427"/>
      <c r="F170" s="427"/>
    </row>
    <row r="171" spans="4:6" ht="15.75" customHeight="1" x14ac:dyDescent="0.3">
      <c r="D171" s="427"/>
      <c r="F171" s="427"/>
    </row>
    <row r="172" spans="4:6" ht="15.75" customHeight="1" x14ac:dyDescent="0.3">
      <c r="D172" s="427"/>
      <c r="F172" s="427"/>
    </row>
    <row r="173" spans="4:6" ht="15.75" customHeight="1" x14ac:dyDescent="0.3">
      <c r="D173" s="427"/>
      <c r="F173" s="427"/>
    </row>
    <row r="174" spans="4:6" ht="15.75" customHeight="1" x14ac:dyDescent="0.3">
      <c r="D174" s="427"/>
      <c r="F174" s="427"/>
    </row>
    <row r="175" spans="4:6" ht="15.75" customHeight="1" x14ac:dyDescent="0.3">
      <c r="D175" s="427"/>
      <c r="F175" s="427"/>
    </row>
    <row r="176" spans="4:6" ht="15.75" customHeight="1" x14ac:dyDescent="0.3">
      <c r="D176" s="427"/>
      <c r="F176" s="427"/>
    </row>
    <row r="177" spans="4:6" ht="15.75" customHeight="1" x14ac:dyDescent="0.3">
      <c r="D177" s="427"/>
      <c r="F177" s="427"/>
    </row>
    <row r="178" spans="4:6" ht="15.75" customHeight="1" x14ac:dyDescent="0.3">
      <c r="D178" s="427"/>
      <c r="F178" s="427"/>
    </row>
    <row r="179" spans="4:6" ht="15.75" customHeight="1" x14ac:dyDescent="0.3">
      <c r="D179" s="427"/>
      <c r="F179" s="427"/>
    </row>
    <row r="180" spans="4:6" ht="15.75" customHeight="1" x14ac:dyDescent="0.3">
      <c r="D180" s="427"/>
      <c r="F180" s="427"/>
    </row>
    <row r="181" spans="4:6" ht="15.75" customHeight="1" x14ac:dyDescent="0.3">
      <c r="D181" s="427"/>
      <c r="F181" s="427"/>
    </row>
    <row r="182" spans="4:6" ht="15.75" customHeight="1" x14ac:dyDescent="0.3">
      <c r="D182" s="427"/>
      <c r="F182" s="427"/>
    </row>
    <row r="183" spans="4:6" ht="15.75" customHeight="1" x14ac:dyDescent="0.3">
      <c r="D183" s="427"/>
      <c r="F183" s="427"/>
    </row>
    <row r="184" spans="4:6" ht="15.75" customHeight="1" x14ac:dyDescent="0.3">
      <c r="D184" s="427"/>
      <c r="F184" s="427"/>
    </row>
    <row r="185" spans="4:6" ht="15.75" customHeight="1" x14ac:dyDescent="0.3">
      <c r="D185" s="427"/>
      <c r="F185" s="427"/>
    </row>
    <row r="186" spans="4:6" ht="15.75" customHeight="1" x14ac:dyDescent="0.3">
      <c r="D186" s="427"/>
      <c r="F186" s="427"/>
    </row>
    <row r="187" spans="4:6" ht="15.75" customHeight="1" x14ac:dyDescent="0.3">
      <c r="D187" s="427"/>
      <c r="F187" s="427"/>
    </row>
    <row r="188" spans="4:6" ht="15.75" customHeight="1" x14ac:dyDescent="0.3">
      <c r="D188" s="427"/>
      <c r="F188" s="427"/>
    </row>
    <row r="189" spans="4:6" ht="15.75" customHeight="1" x14ac:dyDescent="0.3">
      <c r="D189" s="427"/>
      <c r="F189" s="427"/>
    </row>
    <row r="190" spans="4:6" ht="15.75" customHeight="1" x14ac:dyDescent="0.3">
      <c r="D190" s="427"/>
      <c r="F190" s="427"/>
    </row>
    <row r="191" spans="4:6" ht="15.75" customHeight="1" x14ac:dyDescent="0.3">
      <c r="D191" s="427"/>
      <c r="F191" s="427"/>
    </row>
    <row r="192" spans="4:6" ht="15.75" customHeight="1" x14ac:dyDescent="0.3">
      <c r="D192" s="427"/>
      <c r="F192" s="427"/>
    </row>
    <row r="193" spans="4:6" ht="15.75" customHeight="1" x14ac:dyDescent="0.3">
      <c r="D193" s="427"/>
      <c r="F193" s="427"/>
    </row>
    <row r="194" spans="4:6" ht="15.75" customHeight="1" x14ac:dyDescent="0.3">
      <c r="D194" s="427"/>
      <c r="F194" s="427"/>
    </row>
    <row r="195" spans="4:6" ht="15.75" customHeight="1" x14ac:dyDescent="0.3">
      <c r="D195" s="427"/>
      <c r="F195" s="427"/>
    </row>
    <row r="196" spans="4:6" ht="15.75" customHeight="1" x14ac:dyDescent="0.3">
      <c r="D196" s="427"/>
      <c r="F196" s="427"/>
    </row>
    <row r="197" spans="4:6" ht="15.75" customHeight="1" x14ac:dyDescent="0.3">
      <c r="D197" s="427"/>
      <c r="F197" s="427"/>
    </row>
    <row r="198" spans="4:6" ht="15.75" customHeight="1" x14ac:dyDescent="0.3">
      <c r="D198" s="427"/>
      <c r="F198" s="427"/>
    </row>
    <row r="199" spans="4:6" ht="15.75" customHeight="1" x14ac:dyDescent="0.3">
      <c r="D199" s="427"/>
      <c r="F199" s="427"/>
    </row>
    <row r="200" spans="4:6" ht="15.75" customHeight="1" x14ac:dyDescent="0.3">
      <c r="D200" s="427"/>
      <c r="F200" s="427"/>
    </row>
    <row r="201" spans="4:6" ht="15.75" customHeight="1" x14ac:dyDescent="0.3">
      <c r="D201" s="427"/>
      <c r="F201" s="427"/>
    </row>
    <row r="202" spans="4:6" ht="15.75" customHeight="1" x14ac:dyDescent="0.3">
      <c r="D202" s="427"/>
      <c r="F202" s="427"/>
    </row>
    <row r="203" spans="4:6" ht="15.75" customHeight="1" x14ac:dyDescent="0.3">
      <c r="D203" s="427"/>
      <c r="F203" s="427"/>
    </row>
    <row r="204" spans="4:6" ht="15.75" customHeight="1" x14ac:dyDescent="0.3">
      <c r="D204" s="427"/>
      <c r="F204" s="427"/>
    </row>
    <row r="205" spans="4:6" ht="15.75" customHeight="1" x14ac:dyDescent="0.3">
      <c r="D205" s="427"/>
      <c r="F205" s="427"/>
    </row>
    <row r="206" spans="4:6" ht="15.75" customHeight="1" x14ac:dyDescent="0.3">
      <c r="D206" s="427"/>
      <c r="F206" s="427"/>
    </row>
    <row r="207" spans="4:6" ht="15.75" customHeight="1" x14ac:dyDescent="0.3">
      <c r="D207" s="427"/>
      <c r="F207" s="427"/>
    </row>
    <row r="208" spans="4:6" ht="15.75" customHeight="1" x14ac:dyDescent="0.3">
      <c r="D208" s="427"/>
      <c r="F208" s="427"/>
    </row>
    <row r="209" spans="4:6" ht="15.75" customHeight="1" x14ac:dyDescent="0.3">
      <c r="D209" s="427"/>
      <c r="F209" s="427"/>
    </row>
    <row r="210" spans="4:6" ht="15.75" customHeight="1" x14ac:dyDescent="0.3">
      <c r="D210" s="427"/>
      <c r="F210" s="427"/>
    </row>
    <row r="211" spans="4:6" ht="15.75" customHeight="1" x14ac:dyDescent="0.3">
      <c r="D211" s="427"/>
      <c r="F211" s="427"/>
    </row>
    <row r="212" spans="4:6" ht="15.75" customHeight="1" x14ac:dyDescent="0.3">
      <c r="D212" s="427"/>
      <c r="F212" s="427"/>
    </row>
    <row r="213" spans="4:6" ht="15.75" customHeight="1" x14ac:dyDescent="0.3">
      <c r="D213" s="427"/>
      <c r="F213" s="427"/>
    </row>
    <row r="214" spans="4:6" ht="15.75" customHeight="1" x14ac:dyDescent="0.3">
      <c r="D214" s="427"/>
      <c r="F214" s="427"/>
    </row>
    <row r="215" spans="4:6" ht="15.75" customHeight="1" x14ac:dyDescent="0.3">
      <c r="D215" s="427"/>
      <c r="F215" s="427"/>
    </row>
    <row r="216" spans="4:6" ht="15.75" customHeight="1" x14ac:dyDescent="0.3">
      <c r="D216" s="427"/>
      <c r="F216" s="427"/>
    </row>
    <row r="217" spans="4:6" ht="15.75" customHeight="1" x14ac:dyDescent="0.3">
      <c r="D217" s="427"/>
      <c r="F217" s="427"/>
    </row>
    <row r="218" spans="4:6" ht="15.75" customHeight="1" x14ac:dyDescent="0.3">
      <c r="D218" s="427"/>
      <c r="F218" s="427"/>
    </row>
    <row r="219" spans="4:6" ht="15.75" customHeight="1" x14ac:dyDescent="0.3">
      <c r="D219" s="427"/>
      <c r="F219" s="427"/>
    </row>
    <row r="220" spans="4:6" ht="15.75" customHeight="1" x14ac:dyDescent="0.3">
      <c r="D220" s="427"/>
      <c r="F220" s="427"/>
    </row>
    <row r="221" spans="4:6" ht="15.75" customHeight="1" x14ac:dyDescent="0.3">
      <c r="D221" s="427"/>
      <c r="F221" s="427"/>
    </row>
    <row r="222" spans="4:6" ht="15.75" customHeight="1" x14ac:dyDescent="0.3">
      <c r="D222" s="427"/>
      <c r="F222" s="427"/>
    </row>
    <row r="223" spans="4:6" ht="15.75" customHeight="1" x14ac:dyDescent="0.3">
      <c r="D223" s="427"/>
      <c r="F223" s="427"/>
    </row>
    <row r="224" spans="4:6" ht="15.75" customHeight="1" x14ac:dyDescent="0.3">
      <c r="D224" s="427"/>
      <c r="F224" s="427"/>
    </row>
    <row r="225" spans="4:6" ht="15.75" customHeight="1" x14ac:dyDescent="0.3">
      <c r="D225" s="427"/>
      <c r="F225" s="427"/>
    </row>
    <row r="226" spans="4:6" ht="15.75" customHeight="1" x14ac:dyDescent="0.3">
      <c r="D226" s="427"/>
      <c r="F226" s="427"/>
    </row>
    <row r="227" spans="4:6" ht="15.75" customHeight="1" x14ac:dyDescent="0.3">
      <c r="D227" s="427"/>
      <c r="F227" s="427"/>
    </row>
    <row r="228" spans="4:6" ht="15.75" customHeight="1" x14ac:dyDescent="0.3">
      <c r="D228" s="427"/>
      <c r="F228" s="427"/>
    </row>
    <row r="229" spans="4:6" ht="15.75" customHeight="1" x14ac:dyDescent="0.3">
      <c r="D229" s="427"/>
      <c r="F229" s="427"/>
    </row>
    <row r="230" spans="4:6" ht="15.75" customHeight="1" x14ac:dyDescent="0.3">
      <c r="D230" s="427"/>
      <c r="F230" s="427"/>
    </row>
    <row r="231" spans="4:6" ht="15.75" customHeight="1" x14ac:dyDescent="0.3">
      <c r="D231" s="427"/>
      <c r="F231" s="427"/>
    </row>
    <row r="232" spans="4:6" ht="15.75" customHeight="1" x14ac:dyDescent="0.3">
      <c r="D232" s="427"/>
      <c r="F232" s="427"/>
    </row>
    <row r="233" spans="4:6" ht="15.75" customHeight="1" x14ac:dyDescent="0.3">
      <c r="D233" s="427"/>
      <c r="F233" s="427"/>
    </row>
    <row r="234" spans="4:6" ht="15.75" customHeight="1" x14ac:dyDescent="0.3">
      <c r="D234" s="427"/>
      <c r="F234" s="427"/>
    </row>
    <row r="235" spans="4:6" ht="15.75" customHeight="1" x14ac:dyDescent="0.3">
      <c r="D235" s="427"/>
      <c r="F235" s="427"/>
    </row>
    <row r="236" spans="4:6" ht="15.75" customHeight="1" x14ac:dyDescent="0.3">
      <c r="D236" s="427"/>
      <c r="F236" s="427"/>
    </row>
    <row r="237" spans="4:6" ht="15.75" customHeight="1" x14ac:dyDescent="0.3">
      <c r="D237" s="427"/>
      <c r="F237" s="427"/>
    </row>
    <row r="238" spans="4:6" ht="15.75" customHeight="1" x14ac:dyDescent="0.3">
      <c r="D238" s="427"/>
      <c r="F238" s="427"/>
    </row>
    <row r="239" spans="4:6" ht="15.75" customHeight="1" x14ac:dyDescent="0.3">
      <c r="D239" s="427"/>
      <c r="F239" s="427"/>
    </row>
    <row r="240" spans="4:6" ht="15.75" customHeight="1" x14ac:dyDescent="0.3">
      <c r="D240" s="427"/>
      <c r="F240" s="427"/>
    </row>
    <row r="241" spans="4:6" ht="15.75" customHeight="1" x14ac:dyDescent="0.3">
      <c r="D241" s="427"/>
      <c r="F241" s="427"/>
    </row>
    <row r="242" spans="4:6" ht="15.75" customHeight="1" x14ac:dyDescent="0.3">
      <c r="D242" s="427"/>
      <c r="F242" s="427"/>
    </row>
    <row r="243" spans="4:6" ht="15.75" customHeight="1" x14ac:dyDescent="0.3">
      <c r="D243" s="427"/>
      <c r="F243" s="427"/>
    </row>
    <row r="244" spans="4:6" ht="15.75" customHeight="1" x14ac:dyDescent="0.3">
      <c r="D244" s="427"/>
      <c r="F244" s="427"/>
    </row>
    <row r="245" spans="4:6" ht="15.75" customHeight="1" x14ac:dyDescent="0.3">
      <c r="D245" s="427"/>
      <c r="F245" s="427"/>
    </row>
    <row r="246" spans="4:6" ht="15.75" customHeight="1" x14ac:dyDescent="0.3">
      <c r="D246" s="427"/>
      <c r="F246" s="427"/>
    </row>
    <row r="247" spans="4:6" ht="15.75" customHeight="1" x14ac:dyDescent="0.3">
      <c r="D247" s="427"/>
      <c r="F247" s="427"/>
    </row>
    <row r="248" spans="4:6" ht="15.75" customHeight="1" x14ac:dyDescent="0.3">
      <c r="D248" s="427"/>
      <c r="F248" s="427"/>
    </row>
    <row r="249" spans="4:6" ht="15.75" customHeight="1" x14ac:dyDescent="0.3">
      <c r="D249" s="427"/>
      <c r="F249" s="427"/>
    </row>
    <row r="250" spans="4:6" ht="15.75" customHeight="1" x14ac:dyDescent="0.3">
      <c r="D250" s="427"/>
      <c r="F250" s="427"/>
    </row>
    <row r="251" spans="4:6" ht="15.75" customHeight="1" x14ac:dyDescent="0.3">
      <c r="D251" s="427"/>
      <c r="F251" s="427"/>
    </row>
    <row r="252" spans="4:6" ht="15.75" customHeight="1" x14ac:dyDescent="0.3">
      <c r="D252" s="427"/>
      <c r="F252" s="427"/>
    </row>
    <row r="253" spans="4:6" ht="15.75" customHeight="1" x14ac:dyDescent="0.3">
      <c r="D253" s="427"/>
      <c r="F253" s="427"/>
    </row>
    <row r="254" spans="4:6" ht="15.75" customHeight="1" x14ac:dyDescent="0.3">
      <c r="D254" s="427"/>
      <c r="F254" s="427"/>
    </row>
    <row r="255" spans="4:6" ht="15.75" customHeight="1" x14ac:dyDescent="0.3">
      <c r="D255" s="427"/>
      <c r="F255" s="427"/>
    </row>
    <row r="256" spans="4: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sheetData>
  <dataValidations count="1">
    <dataValidation type="list" allowBlank="1" showErrorMessage="1" sqref="B17 B37 B32 B22 B27" xr:uid="{C908CC90-A089-437A-9736-F8B5D9CEC661}">
      <formula1>$B$50:$B$55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E6DB2-1445-4D05-B699-D68C5662A230}">
  <dimension ref="A1:AD909"/>
  <sheetViews>
    <sheetView topLeftCell="A32" zoomScale="76" workbookViewId="0">
      <selection activeCell="AE14" sqref="AE14"/>
    </sheetView>
  </sheetViews>
  <sheetFormatPr defaultColWidth="12.44140625" defaultRowHeight="15" customHeight="1" x14ac:dyDescent="0.3"/>
  <cols>
    <col min="1" max="1" width="2.6640625" style="1336" customWidth="1"/>
    <col min="2" max="2" width="5.109375" style="1336" customWidth="1"/>
    <col min="3" max="3" width="30.44140625" style="1336" customWidth="1"/>
    <col min="4" max="4" width="42.6640625" style="1336" customWidth="1"/>
    <col min="5" max="5" width="15.21875" style="1336" customWidth="1"/>
    <col min="6" max="6" width="30" style="1336" customWidth="1"/>
    <col min="7" max="7" width="12.77734375" style="1336" customWidth="1"/>
    <col min="8" max="8" width="12.77734375" style="1336" hidden="1" customWidth="1"/>
    <col min="9" max="9" width="12.77734375" style="1336" customWidth="1"/>
    <col min="10" max="12" width="12.77734375" style="1336" hidden="1" customWidth="1"/>
    <col min="13" max="24" width="11.5546875" style="1336" hidden="1" customWidth="1"/>
    <col min="25" max="26" width="11.5546875" style="1336" customWidth="1"/>
    <col min="27" max="30" width="11.6640625" style="1336" customWidth="1"/>
    <col min="31" max="16384" width="12.44140625" style="1336"/>
  </cols>
  <sheetData>
    <row r="1" spans="1:30" ht="23.25" customHeight="1" x14ac:dyDescent="0.35">
      <c r="A1" s="2499"/>
      <c r="B1" s="4434" t="s">
        <v>1472</v>
      </c>
      <c r="C1" s="4434"/>
      <c r="D1" s="2128"/>
      <c r="E1" s="2128"/>
      <c r="F1" s="2128"/>
      <c r="G1" s="2128"/>
      <c r="H1" s="2128"/>
      <c r="I1" s="2128"/>
      <c r="J1" s="2128"/>
      <c r="K1" s="2128"/>
      <c r="L1" s="2128"/>
      <c r="M1" s="2128"/>
      <c r="N1" s="2128"/>
      <c r="O1" s="2128"/>
      <c r="P1" s="2128"/>
      <c r="Q1" s="2128"/>
      <c r="R1" s="2128"/>
      <c r="S1" s="2128"/>
      <c r="T1" s="2128"/>
      <c r="U1" s="2128"/>
      <c r="V1" s="2128"/>
      <c r="W1" s="2128"/>
      <c r="X1" s="2128"/>
      <c r="Y1" s="2128"/>
      <c r="Z1" s="2128"/>
      <c r="AA1" s="2128"/>
      <c r="AB1" s="2128"/>
      <c r="AC1" s="2128"/>
      <c r="AD1" s="2128"/>
    </row>
    <row r="2" spans="1:30" ht="13.5" customHeight="1" x14ac:dyDescent="0.3">
      <c r="A2" s="2499"/>
      <c r="B2" s="4435" t="s">
        <v>340</v>
      </c>
      <c r="C2" s="4435"/>
      <c r="D2" s="2442"/>
      <c r="E2" s="2442"/>
      <c r="F2" s="2442"/>
      <c r="G2" s="2442"/>
      <c r="H2" s="2442"/>
      <c r="I2" s="2442"/>
      <c r="J2" s="2442"/>
      <c r="K2" s="2442"/>
      <c r="L2" s="2442"/>
      <c r="M2" s="2442"/>
      <c r="N2" s="2442"/>
      <c r="O2" s="2442"/>
      <c r="P2" s="2442"/>
      <c r="Q2" s="2442"/>
      <c r="R2" s="2442"/>
      <c r="S2" s="2442"/>
      <c r="T2" s="2442"/>
      <c r="U2" s="2442"/>
      <c r="V2" s="2442"/>
      <c r="W2" s="2442"/>
      <c r="X2" s="2442"/>
      <c r="Y2" s="2442"/>
      <c r="Z2" s="2442"/>
      <c r="AA2" s="2128"/>
      <c r="AB2" s="2128"/>
      <c r="AC2" s="2128"/>
      <c r="AD2" s="2128"/>
    </row>
    <row r="3" spans="1:30" ht="15.75" customHeight="1" x14ac:dyDescent="0.3">
      <c r="A3" s="4433"/>
      <c r="B3" s="4433"/>
      <c r="C3" s="2128"/>
      <c r="D3" s="2128"/>
      <c r="E3" s="2128"/>
      <c r="F3" s="2128"/>
      <c r="G3" s="2128"/>
      <c r="H3" s="2128"/>
      <c r="I3" s="2128"/>
      <c r="J3" s="2128"/>
      <c r="K3" s="2128"/>
      <c r="L3" s="2128"/>
      <c r="M3" s="2128"/>
      <c r="N3" s="2128"/>
      <c r="O3" s="2128"/>
      <c r="P3" s="2128"/>
      <c r="Q3" s="2128"/>
      <c r="R3" s="2128"/>
      <c r="S3" s="2128"/>
      <c r="T3" s="2128"/>
      <c r="U3" s="2128"/>
      <c r="V3" s="2128"/>
      <c r="W3" s="2128"/>
      <c r="X3" s="2128"/>
      <c r="Y3" s="2128"/>
      <c r="Z3" s="2128"/>
      <c r="AA3" s="2128"/>
      <c r="AB3" s="2128"/>
      <c r="AC3" s="2128"/>
      <c r="AD3" s="2128"/>
    </row>
    <row r="4" spans="1:30" ht="15.75" customHeight="1" x14ac:dyDescent="0.3">
      <c r="A4" s="2128"/>
      <c r="B4" s="517" t="s">
        <v>1026</v>
      </c>
      <c r="C4" s="2600"/>
      <c r="D4" s="2600"/>
      <c r="E4" s="2128"/>
      <c r="F4" s="2128"/>
      <c r="G4" s="2128"/>
      <c r="H4" s="2128"/>
      <c r="I4" s="2128"/>
      <c r="J4" s="2128"/>
      <c r="K4" s="2128"/>
      <c r="L4" s="2128"/>
      <c r="M4" s="2128"/>
      <c r="N4" s="2128"/>
      <c r="O4" s="2128"/>
      <c r="P4" s="2128"/>
      <c r="Q4" s="2128"/>
      <c r="R4" s="2128"/>
      <c r="S4" s="2128"/>
      <c r="T4" s="2128"/>
      <c r="U4" s="2128"/>
      <c r="V4" s="2128"/>
      <c r="W4" s="2128"/>
      <c r="X4" s="2128"/>
      <c r="Y4" s="2128"/>
      <c r="Z4" s="2128"/>
      <c r="AA4" s="2128"/>
      <c r="AB4" s="2128"/>
      <c r="AC4" s="2128"/>
      <c r="AD4" s="2128"/>
    </row>
    <row r="5" spans="1:30" ht="19.2" customHeight="1" x14ac:dyDescent="0.3">
      <c r="A5" s="2128"/>
      <c r="B5" s="517" t="s">
        <v>341</v>
      </c>
      <c r="C5" s="2600"/>
      <c r="D5" s="2600"/>
      <c r="E5" s="2128"/>
      <c r="F5" s="2128"/>
      <c r="G5" s="2128"/>
      <c r="H5" s="2128"/>
      <c r="I5" s="2128"/>
      <c r="J5" s="2128"/>
      <c r="K5" s="2128"/>
      <c r="L5" s="2128"/>
      <c r="M5" s="2128"/>
      <c r="N5" s="2128"/>
      <c r="O5" s="2128"/>
      <c r="P5" s="2128"/>
      <c r="Q5" s="2128"/>
      <c r="R5" s="2128"/>
      <c r="S5" s="2128"/>
      <c r="T5" s="2128"/>
      <c r="U5" s="2128"/>
      <c r="V5" s="2128"/>
      <c r="W5" s="2128"/>
      <c r="X5" s="2128"/>
      <c r="Y5" s="2128"/>
      <c r="Z5" s="2128"/>
      <c r="AA5" s="2128"/>
      <c r="AB5" s="2128"/>
      <c r="AC5" s="2128"/>
      <c r="AD5" s="2128"/>
    </row>
    <row r="6" spans="1:30" ht="19.2" customHeight="1" x14ac:dyDescent="0.3">
      <c r="A6" s="2128"/>
      <c r="B6" s="4436" t="s">
        <v>1428</v>
      </c>
      <c r="C6" s="4436"/>
      <c r="D6" s="2128"/>
      <c r="E6" s="2128"/>
      <c r="F6" s="2128"/>
      <c r="G6" s="2128"/>
      <c r="H6" s="2128"/>
      <c r="I6" s="2128"/>
      <c r="J6" s="2128"/>
      <c r="K6" s="2128"/>
      <c r="L6" s="2128"/>
      <c r="M6" s="2128"/>
      <c r="N6" s="2128"/>
      <c r="O6" s="2128"/>
      <c r="P6" s="2128"/>
      <c r="Q6" s="2128"/>
      <c r="R6" s="2128"/>
      <c r="S6" s="2128"/>
      <c r="T6" s="2128"/>
      <c r="U6" s="2128"/>
      <c r="V6" s="2128"/>
      <c r="W6" s="2128"/>
      <c r="X6" s="2128"/>
      <c r="Y6" s="2128"/>
      <c r="Z6" s="2128"/>
      <c r="AA6" s="2128"/>
      <c r="AB6" s="2128"/>
      <c r="AC6" s="2128"/>
      <c r="AD6" s="2128"/>
    </row>
    <row r="7" spans="1:30" ht="15.75" customHeight="1" x14ac:dyDescent="0.3">
      <c r="A7" s="4433"/>
      <c r="B7" s="4433"/>
      <c r="C7" s="2128"/>
      <c r="D7" s="2128"/>
      <c r="E7" s="2128"/>
      <c r="F7" s="2128"/>
      <c r="G7" s="1973"/>
      <c r="H7" s="1973"/>
      <c r="I7" s="1973"/>
      <c r="J7" s="1973"/>
      <c r="K7" s="1973"/>
      <c r="L7" s="1973"/>
      <c r="M7" s="2128"/>
      <c r="N7" s="2128"/>
      <c r="O7" s="2128"/>
      <c r="P7" s="2128"/>
      <c r="Q7" s="2128"/>
      <c r="R7" s="2128"/>
      <c r="S7" s="2128"/>
      <c r="T7" s="2128"/>
      <c r="U7" s="2128"/>
      <c r="V7" s="2128"/>
      <c r="W7" s="2128"/>
      <c r="X7" s="2128"/>
      <c r="Y7" s="2128"/>
      <c r="Z7" s="1973"/>
      <c r="AA7" s="2128"/>
      <c r="AB7" s="2128"/>
      <c r="AC7" s="2128"/>
      <c r="AD7" s="2128"/>
    </row>
    <row r="8" spans="1:30" ht="15.75" customHeight="1" x14ac:dyDescent="0.3">
      <c r="A8" s="2128"/>
      <c r="B8" s="2407" t="s">
        <v>301</v>
      </c>
      <c r="C8" s="2096" t="s">
        <v>343</v>
      </c>
      <c r="D8" s="2097" t="s">
        <v>344</v>
      </c>
      <c r="E8" s="2097" t="s">
        <v>345</v>
      </c>
      <c r="F8" s="2097" t="s">
        <v>346</v>
      </c>
      <c r="G8" s="2500" t="s">
        <v>347</v>
      </c>
      <c r="H8" s="2501">
        <v>2025</v>
      </c>
      <c r="I8" s="2501">
        <v>2024</v>
      </c>
      <c r="J8" s="2501">
        <v>2023</v>
      </c>
      <c r="K8" s="2501">
        <v>2022</v>
      </c>
      <c r="L8" s="2501">
        <v>2021</v>
      </c>
      <c r="M8" s="2501">
        <v>2020</v>
      </c>
      <c r="N8" s="2501">
        <v>2019</v>
      </c>
      <c r="O8" s="2096">
        <v>2018</v>
      </c>
      <c r="P8" s="2096">
        <v>2017</v>
      </c>
      <c r="Q8" s="2096">
        <v>2016</v>
      </c>
      <c r="R8" s="2096">
        <v>2015</v>
      </c>
      <c r="S8" s="2096">
        <v>2014</v>
      </c>
      <c r="T8" s="2096">
        <v>2013</v>
      </c>
      <c r="U8" s="2096">
        <v>2012</v>
      </c>
      <c r="V8" s="2096">
        <v>2011</v>
      </c>
      <c r="W8" s="2096">
        <v>2010</v>
      </c>
      <c r="X8" s="2096">
        <v>2009</v>
      </c>
      <c r="Y8" s="2096">
        <v>2008</v>
      </c>
      <c r="Z8" s="2098" t="s">
        <v>332</v>
      </c>
      <c r="AA8" s="2128"/>
      <c r="AB8" s="2128"/>
      <c r="AC8" s="2128"/>
      <c r="AD8" s="2128"/>
    </row>
    <row r="9" spans="1:30" ht="28.5" customHeight="1" x14ac:dyDescent="0.3">
      <c r="A9" s="1973"/>
      <c r="B9" s="2413">
        <v>1</v>
      </c>
      <c r="C9" s="2502" t="s">
        <v>1429</v>
      </c>
      <c r="D9" s="2114" t="s">
        <v>352</v>
      </c>
      <c r="E9" s="2503" t="s">
        <v>904</v>
      </c>
      <c r="F9" s="2504"/>
      <c r="G9" s="2505">
        <v>2008</v>
      </c>
      <c r="H9" s="2506"/>
      <c r="I9" s="2507">
        <v>502740</v>
      </c>
      <c r="J9" s="2508">
        <v>349020</v>
      </c>
      <c r="K9" s="2508">
        <v>262170</v>
      </c>
      <c r="L9" s="2509">
        <v>230336</v>
      </c>
      <c r="M9" s="2509">
        <v>183038</v>
      </c>
      <c r="N9" s="2510">
        <v>208526</v>
      </c>
      <c r="O9" s="2510">
        <v>201534</v>
      </c>
      <c r="P9" s="2510">
        <v>210383</v>
      </c>
      <c r="Q9" s="2510">
        <v>210216</v>
      </c>
      <c r="R9" s="2510">
        <v>191702</v>
      </c>
      <c r="S9" s="2510">
        <v>185834</v>
      </c>
      <c r="T9" s="2510">
        <v>184752</v>
      </c>
      <c r="U9" s="2511">
        <v>223997</v>
      </c>
      <c r="V9" s="2510">
        <v>231549</v>
      </c>
      <c r="W9" s="2511">
        <v>196421</v>
      </c>
      <c r="X9" s="2512"/>
      <c r="Y9" s="2045"/>
      <c r="Z9" s="2506"/>
      <c r="AA9" s="1973"/>
      <c r="AB9" s="1973"/>
      <c r="AC9" s="1973"/>
      <c r="AD9" s="1973"/>
    </row>
    <row r="10" spans="1:30" ht="48" customHeight="1" x14ac:dyDescent="0.3">
      <c r="A10" s="1973"/>
      <c r="B10" s="2413"/>
      <c r="C10" s="2513" t="s">
        <v>374</v>
      </c>
      <c r="D10" s="2514" t="s">
        <v>1430</v>
      </c>
      <c r="E10" s="2515" t="s">
        <v>618</v>
      </c>
      <c r="F10" s="2109"/>
      <c r="G10" s="2059"/>
      <c r="H10" s="2516"/>
      <c r="I10" s="2516"/>
      <c r="J10" s="2517"/>
      <c r="K10" s="2517"/>
      <c r="L10" s="2518"/>
      <c r="M10" s="2518"/>
      <c r="N10" s="2519"/>
      <c r="O10" s="2519"/>
      <c r="P10" s="2519"/>
      <c r="Q10" s="2519"/>
      <c r="R10" s="2519"/>
      <c r="S10" s="2519"/>
      <c r="T10" s="2519"/>
      <c r="U10" s="2073"/>
      <c r="V10" s="2519"/>
      <c r="W10" s="2073"/>
      <c r="X10" s="2519">
        <v>24.02</v>
      </c>
      <c r="Y10" s="2520">
        <v>24.02</v>
      </c>
      <c r="Z10" s="2516"/>
      <c r="AA10" s="1973"/>
      <c r="AB10" s="1973"/>
      <c r="AC10" s="1973"/>
      <c r="AD10" s="1973"/>
    </row>
    <row r="11" spans="1:30" ht="24" customHeight="1" x14ac:dyDescent="0.3">
      <c r="A11" s="1973"/>
      <c r="B11" s="2413"/>
      <c r="C11" s="2114" t="s">
        <v>1429</v>
      </c>
      <c r="D11" s="2114" t="s">
        <v>403</v>
      </c>
      <c r="E11" s="2521" t="s">
        <v>350</v>
      </c>
      <c r="F11" s="2114" t="s">
        <v>1431</v>
      </c>
      <c r="G11" s="2522"/>
      <c r="H11" s="2523"/>
      <c r="I11" s="2524">
        <v>2294.5</v>
      </c>
      <c r="J11" s="2525">
        <f>157.73+129.92</f>
        <v>287.64999999999998</v>
      </c>
      <c r="K11" s="2525">
        <v>193</v>
      </c>
      <c r="L11" s="2525">
        <v>569.29999999999995</v>
      </c>
      <c r="M11" s="2508">
        <v>1397.9</v>
      </c>
      <c r="N11" s="2526">
        <v>1465.5</v>
      </c>
      <c r="O11" s="2526">
        <v>1254</v>
      </c>
      <c r="P11" s="2526">
        <v>1433</v>
      </c>
      <c r="Q11" s="2526">
        <v>1563</v>
      </c>
      <c r="R11" s="2526">
        <v>1829</v>
      </c>
      <c r="S11" s="2526">
        <v>1609</v>
      </c>
      <c r="T11" s="2526">
        <v>1456</v>
      </c>
      <c r="U11" s="2048">
        <v>1603</v>
      </c>
      <c r="V11" s="2526">
        <v>14671</v>
      </c>
      <c r="W11" s="2048">
        <v>9854</v>
      </c>
      <c r="X11" s="2527"/>
      <c r="Y11" s="2068"/>
      <c r="Z11" s="2523"/>
      <c r="AA11" s="1973"/>
      <c r="AB11" s="1973"/>
      <c r="AC11" s="1973"/>
      <c r="AD11" s="1973"/>
    </row>
    <row r="12" spans="1:30" ht="24" customHeight="1" x14ac:dyDescent="0.3">
      <c r="A12" s="1973"/>
      <c r="B12" s="2413"/>
      <c r="C12" s="2109" t="s">
        <v>374</v>
      </c>
      <c r="D12" s="2109" t="s">
        <v>1425</v>
      </c>
      <c r="E12" s="2515" t="s">
        <v>350</v>
      </c>
      <c r="F12" s="2109"/>
      <c r="G12" s="2059"/>
      <c r="H12" s="2516"/>
      <c r="I12" s="4301">
        <f>C51*D28</f>
        <v>12855.31769352093</v>
      </c>
      <c r="J12" s="2516"/>
      <c r="K12" s="2516"/>
      <c r="L12" s="2516"/>
      <c r="M12" s="2516"/>
      <c r="N12" s="2516"/>
      <c r="O12" s="2516"/>
      <c r="P12" s="2516"/>
      <c r="Q12" s="2516"/>
      <c r="R12" s="2516"/>
      <c r="S12" s="2516"/>
      <c r="T12" s="2516"/>
      <c r="U12" s="2059"/>
      <c r="V12" s="2516"/>
      <c r="W12" s="2059"/>
      <c r="X12" s="2516"/>
      <c r="Y12" s="2059"/>
      <c r="Z12" s="2516"/>
      <c r="AA12" s="1973"/>
      <c r="AB12" s="1973"/>
      <c r="AC12" s="1973"/>
      <c r="AD12" s="1973"/>
    </row>
    <row r="13" spans="1:30" ht="24" customHeight="1" x14ac:dyDescent="0.3">
      <c r="A13" s="1973"/>
      <c r="B13" s="2413"/>
      <c r="C13" s="2114" t="s">
        <v>374</v>
      </c>
      <c r="D13" s="2114" t="s">
        <v>1432</v>
      </c>
      <c r="E13" s="2521" t="s">
        <v>350</v>
      </c>
      <c r="F13" s="2114"/>
      <c r="G13" s="2522"/>
      <c r="H13" s="2523"/>
      <c r="I13" s="4302">
        <f>C61*D29</f>
        <v>1442.8623029684218</v>
      </c>
      <c r="J13" s="2523"/>
      <c r="K13" s="2523"/>
      <c r="L13" s="2523"/>
      <c r="M13" s="2523"/>
      <c r="N13" s="2523"/>
      <c r="O13" s="2523"/>
      <c r="P13" s="2523"/>
      <c r="Q13" s="2523"/>
      <c r="R13" s="2523"/>
      <c r="S13" s="2523"/>
      <c r="T13" s="2523"/>
      <c r="U13" s="2049"/>
      <c r="V13" s="2523"/>
      <c r="W13" s="2049"/>
      <c r="X13" s="2523"/>
      <c r="Y13" s="2049"/>
      <c r="Z13" s="2523"/>
      <c r="AA13" s="1973"/>
      <c r="AB13" s="1973"/>
      <c r="AC13" s="1973"/>
      <c r="AD13" s="1973"/>
    </row>
    <row r="14" spans="1:30" ht="24" customHeight="1" x14ac:dyDescent="0.3">
      <c r="A14" s="1973"/>
      <c r="B14" s="2413"/>
      <c r="C14" s="2109" t="s">
        <v>374</v>
      </c>
      <c r="D14" s="2109" t="s">
        <v>1427</v>
      </c>
      <c r="E14" s="2515" t="s">
        <v>353</v>
      </c>
      <c r="F14" s="2109"/>
      <c r="G14" s="2059"/>
      <c r="H14" s="2516"/>
      <c r="I14" s="4301">
        <f>C41*D27</f>
        <v>114626.95789351909</v>
      </c>
      <c r="J14" s="2516"/>
      <c r="K14" s="2516"/>
      <c r="L14" s="2516"/>
      <c r="M14" s="2516"/>
      <c r="N14" s="2516"/>
      <c r="O14" s="2516"/>
      <c r="P14" s="2516"/>
      <c r="Q14" s="2516"/>
      <c r="R14" s="2516"/>
      <c r="S14" s="2516"/>
      <c r="T14" s="2516"/>
      <c r="U14" s="2059"/>
      <c r="V14" s="2516"/>
      <c r="W14" s="2059"/>
      <c r="X14" s="2516"/>
      <c r="Y14" s="2059"/>
      <c r="Z14" s="2516"/>
      <c r="AA14" s="1973"/>
      <c r="AB14" s="1973"/>
      <c r="AC14" s="1973"/>
      <c r="AD14" s="1973"/>
    </row>
    <row r="15" spans="1:30" ht="24" customHeight="1" x14ac:dyDescent="0.3">
      <c r="A15" s="1973"/>
      <c r="B15" s="2413"/>
      <c r="C15" s="2114"/>
      <c r="D15" s="2114"/>
      <c r="E15" s="2114"/>
      <c r="F15" s="2114"/>
      <c r="G15" s="2528"/>
      <c r="H15" s="2523"/>
      <c r="I15" s="2523"/>
      <c r="J15" s="2523"/>
      <c r="K15" s="2523"/>
      <c r="L15" s="2523"/>
      <c r="M15" s="2523"/>
      <c r="N15" s="2523"/>
      <c r="O15" s="2523"/>
      <c r="P15" s="2523"/>
      <c r="Q15" s="2523"/>
      <c r="R15" s="2523"/>
      <c r="S15" s="2523"/>
      <c r="T15" s="2523"/>
      <c r="U15" s="2049"/>
      <c r="V15" s="2523"/>
      <c r="W15" s="2049"/>
      <c r="X15" s="2523"/>
      <c r="Y15" s="2049"/>
      <c r="Z15" s="2523"/>
      <c r="AA15" s="1973"/>
      <c r="AB15" s="1973"/>
      <c r="AC15" s="1973"/>
      <c r="AD15" s="1973"/>
    </row>
    <row r="16" spans="1:30" ht="24" customHeight="1" x14ac:dyDescent="0.3">
      <c r="A16" s="1973"/>
      <c r="B16" s="2440"/>
      <c r="C16" s="2529"/>
      <c r="D16" s="2529"/>
      <c r="E16" s="2529"/>
      <c r="F16" s="2529"/>
      <c r="G16" s="2530"/>
      <c r="H16" s="2530"/>
      <c r="I16" s="2530"/>
      <c r="J16" s="2530"/>
      <c r="K16" s="2530"/>
      <c r="L16" s="2530"/>
      <c r="M16" s="2530"/>
      <c r="N16" s="2530"/>
      <c r="O16" s="2530"/>
      <c r="P16" s="2530"/>
      <c r="Q16" s="2530"/>
      <c r="R16" s="2530"/>
      <c r="S16" s="2530"/>
      <c r="T16" s="2530"/>
      <c r="U16" s="2531"/>
      <c r="V16" s="2530"/>
      <c r="W16" s="2531"/>
      <c r="X16" s="2530"/>
      <c r="Y16" s="2531"/>
      <c r="Z16" s="2530"/>
      <c r="AA16" s="1973"/>
      <c r="AB16" s="1973"/>
      <c r="AC16" s="1973"/>
      <c r="AD16" s="1973"/>
    </row>
    <row r="17" spans="1:30" ht="24" customHeight="1" x14ac:dyDescent="0.3">
      <c r="A17" s="4431"/>
      <c r="B17" s="4431"/>
      <c r="C17" s="1973"/>
      <c r="D17" s="1973"/>
      <c r="E17" s="1973"/>
      <c r="F17" s="1973"/>
      <c r="G17" s="1973"/>
      <c r="H17" s="1973"/>
      <c r="I17" s="1973"/>
      <c r="J17" s="1973"/>
      <c r="K17" s="1973"/>
      <c r="L17" s="1973"/>
      <c r="M17" s="1973"/>
      <c r="N17" s="1973"/>
      <c r="O17" s="1973"/>
      <c r="P17" s="1973"/>
      <c r="Q17" s="1973"/>
      <c r="R17" s="1973"/>
      <c r="S17" s="1973"/>
      <c r="T17" s="1973"/>
      <c r="U17" s="1973"/>
      <c r="V17" s="1973"/>
      <c r="W17" s="1973"/>
      <c r="X17" s="1973"/>
      <c r="Y17" s="1973"/>
      <c r="Z17" s="1973"/>
      <c r="AA17" s="1973"/>
      <c r="AB17" s="1973"/>
      <c r="AC17" s="1973"/>
      <c r="AD17" s="1973"/>
    </row>
    <row r="18" spans="1:30" ht="24" customHeight="1" x14ac:dyDescent="0.3">
      <c r="A18" s="1973"/>
      <c r="B18" s="2532" t="s">
        <v>355</v>
      </c>
      <c r="C18" s="2059" t="s">
        <v>356</v>
      </c>
      <c r="D18" s="1973"/>
      <c r="E18" s="1973"/>
      <c r="F18" s="1973"/>
      <c r="G18" s="1973"/>
      <c r="H18" s="1973"/>
      <c r="I18" s="1973"/>
      <c r="J18" s="1973"/>
      <c r="K18" s="1973"/>
      <c r="L18" s="1973"/>
      <c r="M18" s="1973"/>
      <c r="N18" s="1973"/>
      <c r="O18" s="1973"/>
      <c r="P18" s="1973"/>
      <c r="Q18" s="1973"/>
      <c r="R18" s="1973"/>
      <c r="S18" s="1973"/>
      <c r="T18" s="1973"/>
      <c r="U18" s="1973"/>
      <c r="V18" s="1973"/>
      <c r="W18" s="1973"/>
      <c r="X18" s="1973"/>
      <c r="Y18" s="1973"/>
      <c r="Z18" s="1973"/>
      <c r="AA18" s="1973"/>
      <c r="AB18" s="1973"/>
      <c r="AC18" s="1973"/>
      <c r="AD18" s="1973"/>
    </row>
    <row r="19" spans="1:30" ht="15.75" customHeight="1" x14ac:dyDescent="0.3">
      <c r="A19" s="4431"/>
      <c r="B19" s="4431"/>
      <c r="C19" s="1973"/>
      <c r="D19" s="1973"/>
      <c r="E19" s="1973"/>
      <c r="F19" s="1973"/>
      <c r="G19" s="1973"/>
      <c r="H19" s="1973"/>
      <c r="I19" s="1973"/>
      <c r="J19" s="1973"/>
      <c r="K19" s="1973"/>
      <c r="L19" s="1973"/>
      <c r="M19" s="1973"/>
      <c r="N19" s="1973"/>
      <c r="O19" s="1973"/>
      <c r="P19" s="1973"/>
      <c r="Q19" s="1973"/>
      <c r="R19" s="1973"/>
      <c r="S19" s="1973"/>
      <c r="T19" s="1973"/>
      <c r="U19" s="1973"/>
      <c r="V19" s="1973"/>
      <c r="W19" s="1973"/>
      <c r="X19" s="1973"/>
      <c r="Y19" s="1973"/>
      <c r="Z19" s="1973"/>
      <c r="AA19" s="1973"/>
      <c r="AB19" s="1973"/>
      <c r="AC19" s="1973"/>
      <c r="AD19" s="1973"/>
    </row>
    <row r="20" spans="1:30" ht="15.75" customHeight="1" x14ac:dyDescent="0.3">
      <c r="A20" s="1973"/>
      <c r="B20" s="4432" t="s">
        <v>357</v>
      </c>
      <c r="C20" s="4432"/>
      <c r="D20" s="1973"/>
      <c r="E20" s="1973"/>
      <c r="F20" s="1973"/>
      <c r="G20" s="1973"/>
      <c r="H20" s="1973"/>
      <c r="I20" s="1973"/>
      <c r="J20" s="1973"/>
      <c r="K20" s="1973"/>
      <c r="L20" s="1973"/>
      <c r="M20" s="1973"/>
      <c r="N20" s="1973"/>
      <c r="O20" s="1973"/>
      <c r="P20" s="1973"/>
      <c r="Q20" s="1973"/>
      <c r="R20" s="1973"/>
      <c r="S20" s="1973"/>
      <c r="T20" s="1973"/>
      <c r="U20" s="1973"/>
      <c r="V20" s="1973"/>
      <c r="W20" s="1973"/>
      <c r="X20" s="1973"/>
      <c r="Y20" s="1973"/>
      <c r="Z20" s="1973"/>
      <c r="AA20" s="1973"/>
      <c r="AB20" s="1973"/>
      <c r="AC20" s="1973"/>
      <c r="AD20" s="1973"/>
    </row>
    <row r="21" spans="1:30" ht="15.75" customHeight="1" x14ac:dyDescent="0.3">
      <c r="A21" s="4431"/>
      <c r="B21" s="4431"/>
      <c r="C21" s="1973"/>
      <c r="D21" s="1973"/>
      <c r="E21" s="1973"/>
      <c r="F21" s="1973"/>
      <c r="G21" s="1973"/>
      <c r="H21" s="1973"/>
      <c r="I21" s="1973"/>
      <c r="J21" s="1973"/>
      <c r="K21" s="1973"/>
      <c r="L21" s="1973"/>
      <c r="M21" s="1973"/>
      <c r="N21" s="1973"/>
      <c r="O21" s="1973"/>
      <c r="P21" s="1973"/>
      <c r="Q21" s="1973"/>
      <c r="R21" s="1973"/>
      <c r="S21" s="1973"/>
      <c r="T21" s="1973"/>
      <c r="U21" s="1973"/>
      <c r="V21" s="1973"/>
      <c r="W21" s="1973"/>
      <c r="X21" s="1973"/>
      <c r="Y21" s="1973"/>
      <c r="Z21" s="1973"/>
      <c r="AA21" s="1973"/>
      <c r="AB21" s="1973"/>
      <c r="AC21" s="1973"/>
      <c r="AD21" s="1973"/>
    </row>
    <row r="22" spans="1:30" ht="15.75" customHeight="1" x14ac:dyDescent="0.3">
      <c r="A22" s="1973"/>
      <c r="B22" s="2533" t="s">
        <v>365</v>
      </c>
      <c r="C22" s="2534" t="s">
        <v>1433</v>
      </c>
      <c r="D22" s="1973"/>
      <c r="E22" s="1973"/>
      <c r="F22" s="1973"/>
      <c r="G22" s="1973"/>
      <c r="H22" s="1973"/>
      <c r="I22" s="1973"/>
      <c r="J22" s="1973"/>
      <c r="K22" s="1973"/>
      <c r="L22" s="1973"/>
      <c r="M22" s="1973"/>
      <c r="N22" s="1973"/>
      <c r="O22" s="1973"/>
      <c r="P22" s="1973"/>
      <c r="Q22" s="1973"/>
      <c r="R22" s="1973"/>
      <c r="S22" s="1973"/>
      <c r="T22" s="1973"/>
      <c r="U22" s="1973"/>
      <c r="V22" s="1973"/>
      <c r="W22" s="1973"/>
      <c r="X22" s="1973"/>
      <c r="Y22" s="1973"/>
      <c r="Z22" s="1973"/>
      <c r="AA22" s="1973"/>
      <c r="AB22" s="1973"/>
      <c r="AC22" s="1973"/>
      <c r="AD22" s="1973"/>
    </row>
    <row r="23" spans="1:30" ht="15.75" customHeight="1" x14ac:dyDescent="0.3">
      <c r="A23" s="4433"/>
      <c r="B23" s="4433"/>
      <c r="C23" s="2128"/>
      <c r="D23" s="2128"/>
      <c r="E23" s="2128"/>
      <c r="F23" s="2128"/>
      <c r="G23" s="2128"/>
      <c r="H23" s="2128"/>
      <c r="I23" s="2128"/>
      <c r="J23" s="2128"/>
      <c r="K23" s="2128"/>
      <c r="L23" s="2128"/>
      <c r="M23" s="2128"/>
      <c r="N23" s="2128"/>
      <c r="O23" s="2128"/>
      <c r="P23" s="2128"/>
      <c r="Q23" s="2128"/>
      <c r="R23" s="2128"/>
      <c r="S23" s="2128"/>
      <c r="T23" s="2128"/>
      <c r="U23" s="2128"/>
      <c r="V23" s="2128"/>
      <c r="W23" s="2128"/>
      <c r="X23" s="2128"/>
      <c r="Y23" s="2128"/>
      <c r="Z23" s="2128"/>
      <c r="AA23" s="2128"/>
      <c r="AB23" s="2128"/>
      <c r="AC23" s="2128"/>
      <c r="AD23" s="2128"/>
    </row>
    <row r="24" spans="1:30" ht="15.75" customHeight="1" x14ac:dyDescent="0.3">
      <c r="A24" s="4433"/>
      <c r="B24" s="4433"/>
      <c r="C24" s="2128"/>
      <c r="D24" s="2128"/>
      <c r="E24" s="2128"/>
      <c r="F24" s="2128"/>
      <c r="G24" s="2128"/>
      <c r="H24" s="2128"/>
      <c r="I24" s="2128"/>
      <c r="J24" s="2128"/>
      <c r="K24" s="2128"/>
      <c r="L24" s="2128"/>
      <c r="M24" s="2128"/>
      <c r="N24" s="2128"/>
      <c r="O24" s="2128"/>
      <c r="P24" s="2128"/>
      <c r="Q24" s="2128"/>
      <c r="R24" s="2128"/>
      <c r="S24" s="2128"/>
      <c r="T24" s="2128"/>
      <c r="U24" s="2128"/>
      <c r="V24" s="2128"/>
      <c r="W24" s="2128"/>
      <c r="X24" s="2128"/>
      <c r="Y24" s="2128"/>
      <c r="Z24" s="2128"/>
      <c r="AA24" s="2128"/>
      <c r="AB24" s="2128"/>
      <c r="AC24" s="2128"/>
      <c r="AD24" s="2128"/>
    </row>
    <row r="25" spans="1:30" ht="15.75" customHeight="1" thickBot="1" x14ac:dyDescent="0.35">
      <c r="A25" s="4433"/>
      <c r="B25" s="4433"/>
      <c r="C25" s="2128"/>
      <c r="D25" s="2128"/>
      <c r="E25" s="2128"/>
      <c r="F25" s="2128"/>
      <c r="G25" s="2128"/>
      <c r="H25" s="2128"/>
      <c r="I25" s="2128"/>
      <c r="J25" s="2128"/>
      <c r="K25" s="2128"/>
      <c r="L25" s="2128"/>
      <c r="M25" s="2128"/>
      <c r="N25" s="2128"/>
      <c r="O25" s="2128"/>
      <c r="P25" s="2128"/>
      <c r="Q25" s="2128"/>
      <c r="R25" s="2128"/>
      <c r="S25" s="2128"/>
      <c r="T25" s="2128"/>
      <c r="U25" s="2128"/>
      <c r="V25" s="2128"/>
      <c r="W25" s="2128"/>
      <c r="X25" s="2128"/>
      <c r="Y25" s="2128"/>
      <c r="Z25" s="2128"/>
      <c r="AA25" s="2128"/>
      <c r="AB25" s="2128"/>
      <c r="AC25" s="2128"/>
      <c r="AD25" s="2128"/>
    </row>
    <row r="26" spans="1:30" ht="54" customHeight="1" thickTop="1" thickBot="1" x14ac:dyDescent="0.35">
      <c r="A26" s="4433"/>
      <c r="B26" s="4433"/>
      <c r="C26" s="2535" t="s">
        <v>1434</v>
      </c>
      <c r="D26" s="2536" t="s">
        <v>1435</v>
      </c>
      <c r="E26" s="2536" t="s">
        <v>1436</v>
      </c>
      <c r="F26" s="2537" t="s">
        <v>1437</v>
      </c>
      <c r="G26" s="2128"/>
      <c r="H26" s="2128"/>
      <c r="I26" s="2128"/>
      <c r="J26" s="2128"/>
      <c r="K26" s="2128"/>
      <c r="L26" s="2128"/>
      <c r="M26" s="2128"/>
      <c r="N26" s="2128"/>
      <c r="O26" s="2128"/>
      <c r="P26" s="2128"/>
      <c r="Q26" s="2128"/>
      <c r="R26" s="2128"/>
      <c r="S26" s="2128"/>
      <c r="T26" s="2128"/>
      <c r="U26" s="2128"/>
      <c r="V26" s="2128"/>
      <c r="W26" s="2128"/>
      <c r="X26" s="2128"/>
      <c r="Y26" s="2128"/>
      <c r="Z26" s="2128"/>
      <c r="AA26" s="2128"/>
      <c r="AB26" s="2128"/>
      <c r="AC26" s="2128"/>
      <c r="AD26" s="2128"/>
    </row>
    <row r="27" spans="1:30" ht="21" customHeight="1" thickTop="1" x14ac:dyDescent="0.3">
      <c r="A27" s="4433"/>
      <c r="B27" s="4433"/>
      <c r="C27" s="2538" t="s">
        <v>1438</v>
      </c>
      <c r="D27" s="2539">
        <v>0.52</v>
      </c>
      <c r="E27" s="2540">
        <f>C43</f>
        <v>0.41882926922631969</v>
      </c>
      <c r="F27" s="2541">
        <f>C41*D27*C42</f>
        <v>0.21779121999768625</v>
      </c>
      <c r="G27" s="2542" t="s">
        <v>1439</v>
      </c>
      <c r="H27" s="2128"/>
      <c r="I27" s="2128"/>
      <c r="J27" s="2128"/>
      <c r="K27" s="2128"/>
      <c r="L27" s="2128"/>
      <c r="M27" s="2128"/>
      <c r="N27" s="2128"/>
      <c r="O27" s="2128"/>
      <c r="P27" s="2128"/>
      <c r="Q27" s="2128"/>
      <c r="R27" s="2128"/>
      <c r="S27" s="2128"/>
      <c r="T27" s="2128"/>
      <c r="U27" s="2128"/>
      <c r="V27" s="2128"/>
      <c r="W27" s="2128"/>
      <c r="X27" s="2128"/>
      <c r="Y27" s="2128"/>
      <c r="Z27" s="2128"/>
      <c r="AA27" s="2128"/>
      <c r="AB27" s="2128"/>
      <c r="AC27" s="2128"/>
      <c r="AD27" s="2128"/>
    </row>
    <row r="28" spans="1:30" ht="22.95" customHeight="1" x14ac:dyDescent="0.3">
      <c r="A28" s="4433"/>
      <c r="B28" s="4433"/>
      <c r="C28" s="2538" t="s">
        <v>1231</v>
      </c>
      <c r="D28" s="2539">
        <v>0.41</v>
      </c>
      <c r="E28" s="2540">
        <f>C53</f>
        <v>48.26362849535419</v>
      </c>
      <c r="F28" s="2541">
        <f>D28*E28</f>
        <v>19.788087683095217</v>
      </c>
      <c r="G28" s="2542" t="s">
        <v>1440</v>
      </c>
      <c r="H28" s="2128"/>
      <c r="I28" s="2128"/>
      <c r="J28" s="2128"/>
      <c r="K28" s="2128"/>
      <c r="L28" s="2128"/>
      <c r="M28" s="2128"/>
      <c r="N28" s="2128"/>
      <c r="O28" s="2128"/>
      <c r="P28" s="2128"/>
      <c r="Q28" s="2128"/>
      <c r="R28" s="2128"/>
      <c r="S28" s="2128"/>
      <c r="T28" s="2128"/>
      <c r="U28" s="2128"/>
      <c r="V28" s="2128"/>
      <c r="W28" s="2128"/>
      <c r="X28" s="2128"/>
      <c r="Y28" s="2128"/>
      <c r="Z28" s="2128"/>
      <c r="AA28" s="2128"/>
      <c r="AB28" s="2128"/>
      <c r="AC28" s="2128"/>
      <c r="AD28" s="2128"/>
    </row>
    <row r="29" spans="1:30" ht="21" customHeight="1" thickBot="1" x14ac:dyDescent="0.35">
      <c r="A29" s="4433"/>
      <c r="B29" s="4433"/>
      <c r="C29" s="2543" t="s">
        <v>1441</v>
      </c>
      <c r="D29" s="2544">
        <v>7.0000000000000007E-2</v>
      </c>
      <c r="E29" s="2545">
        <f>C63</f>
        <v>56.352904188062801</v>
      </c>
      <c r="F29" s="2546">
        <f>D29*E29</f>
        <v>3.9447032931643964</v>
      </c>
      <c r="G29" s="2542" t="s">
        <v>1442</v>
      </c>
      <c r="H29" s="2128"/>
      <c r="I29" s="2128"/>
      <c r="J29" s="2128"/>
      <c r="K29" s="2128"/>
      <c r="L29" s="2128"/>
      <c r="M29" s="2128"/>
      <c r="N29" s="2128"/>
      <c r="O29" s="2128"/>
      <c r="P29" s="2128"/>
      <c r="Q29" s="2128"/>
      <c r="R29" s="2128"/>
      <c r="S29" s="2128"/>
      <c r="T29" s="2128"/>
      <c r="U29" s="2128"/>
      <c r="V29" s="2128"/>
      <c r="W29" s="2128"/>
      <c r="X29" s="2128"/>
      <c r="Y29" s="2128"/>
      <c r="Z29" s="2128"/>
      <c r="AA29" s="2128"/>
      <c r="AB29" s="2128"/>
      <c r="AC29" s="2128"/>
      <c r="AD29" s="2128"/>
    </row>
    <row r="30" spans="1:30" ht="19.2" customHeight="1" thickTop="1" thickBot="1" x14ac:dyDescent="0.35">
      <c r="A30" s="4433"/>
      <c r="B30" s="4433"/>
      <c r="C30" s="4437" t="s">
        <v>1443</v>
      </c>
      <c r="D30" s="4438"/>
      <c r="E30" s="4438"/>
      <c r="F30" s="2547">
        <f>SUM(F27:F29)</f>
        <v>23.950582196257301</v>
      </c>
      <c r="G30" s="2128"/>
      <c r="H30" s="2128"/>
      <c r="I30" s="2128"/>
      <c r="J30" s="2128"/>
      <c r="K30" s="2128"/>
      <c r="L30" s="2128"/>
      <c r="M30" s="2128"/>
      <c r="N30" s="2128"/>
      <c r="O30" s="2128"/>
      <c r="P30" s="2128"/>
      <c r="Q30" s="2128"/>
      <c r="R30" s="2128"/>
      <c r="S30" s="2128"/>
      <c r="T30" s="2128"/>
      <c r="U30" s="2128"/>
      <c r="V30" s="2128"/>
      <c r="W30" s="2128"/>
      <c r="X30" s="2128"/>
      <c r="Y30" s="2128"/>
      <c r="Z30" s="2128"/>
      <c r="AA30" s="2128"/>
      <c r="AB30" s="2128"/>
      <c r="AC30" s="2128"/>
      <c r="AD30" s="2128"/>
    </row>
    <row r="31" spans="1:30" ht="15.75" customHeight="1" thickTop="1" thickBot="1" x14ac:dyDescent="0.35">
      <c r="A31" s="4433"/>
      <c r="B31" s="4433"/>
      <c r="C31" s="2128"/>
      <c r="D31" s="2128"/>
      <c r="E31" s="2128"/>
      <c r="F31" s="2128"/>
      <c r="G31" s="2128"/>
      <c r="H31" s="2128"/>
      <c r="I31" s="2128"/>
      <c r="J31" s="2128"/>
      <c r="K31" s="2128"/>
      <c r="L31" s="2128"/>
      <c r="M31" s="2128"/>
      <c r="N31" s="2128"/>
      <c r="O31" s="2128"/>
      <c r="P31" s="2128"/>
      <c r="Q31" s="2128"/>
      <c r="R31" s="2128"/>
      <c r="S31" s="2128"/>
      <c r="T31" s="2128"/>
      <c r="U31" s="2128"/>
      <c r="V31" s="2128"/>
      <c r="W31" s="2128"/>
      <c r="X31" s="2128"/>
      <c r="Y31" s="2128"/>
      <c r="Z31" s="2128"/>
      <c r="AA31" s="2128"/>
      <c r="AB31" s="2128"/>
      <c r="AC31" s="2128"/>
      <c r="AD31" s="2128"/>
    </row>
    <row r="32" spans="1:30" ht="24" customHeight="1" thickTop="1" x14ac:dyDescent="0.3">
      <c r="A32" s="4433"/>
      <c r="B32" s="4433"/>
      <c r="C32" s="2548" t="s">
        <v>1444</v>
      </c>
      <c r="D32" s="2128"/>
      <c r="E32" s="2128"/>
      <c r="F32" s="2549"/>
      <c r="G32" s="2128"/>
      <c r="H32" s="2128"/>
      <c r="I32" s="2128"/>
      <c r="J32" s="2128"/>
      <c r="K32" s="2128"/>
      <c r="L32" s="2128"/>
      <c r="M32" s="2128"/>
      <c r="N32" s="2128"/>
      <c r="O32" s="2128"/>
      <c r="P32" s="2128"/>
      <c r="Q32" s="2128"/>
      <c r="R32" s="2128"/>
      <c r="S32" s="2128"/>
      <c r="T32" s="2128"/>
      <c r="U32" s="2128"/>
      <c r="V32" s="2128"/>
      <c r="W32" s="2128"/>
      <c r="X32" s="2128"/>
      <c r="Y32" s="2128"/>
      <c r="Z32" s="2128"/>
      <c r="AA32" s="2128"/>
      <c r="AB32" s="2128"/>
      <c r="AC32" s="2128"/>
      <c r="AD32" s="2128"/>
    </row>
    <row r="33" spans="1:30" ht="24" customHeight="1" x14ac:dyDescent="0.3">
      <c r="A33" s="4433"/>
      <c r="B33" s="4433"/>
      <c r="C33" s="2550" t="s">
        <v>1445</v>
      </c>
      <c r="D33" s="2128"/>
      <c r="E33" s="2128"/>
      <c r="F33" s="2128"/>
      <c r="G33" s="2128"/>
      <c r="H33" s="2128"/>
      <c r="I33" s="2128"/>
      <c r="J33" s="2128"/>
      <c r="K33" s="2128"/>
      <c r="L33" s="2128"/>
      <c r="M33" s="2128"/>
      <c r="N33" s="2128"/>
      <c r="O33" s="2128"/>
      <c r="P33" s="2128"/>
      <c r="Q33" s="2128"/>
      <c r="R33" s="2128"/>
      <c r="S33" s="2128"/>
      <c r="T33" s="2128"/>
      <c r="U33" s="2128"/>
      <c r="V33" s="2128"/>
      <c r="W33" s="2128"/>
      <c r="X33" s="2128"/>
      <c r="Y33" s="2128"/>
      <c r="Z33" s="2128"/>
      <c r="AA33" s="2128"/>
      <c r="AB33" s="2128"/>
      <c r="AC33" s="2128"/>
      <c r="AD33" s="2128"/>
    </row>
    <row r="34" spans="1:30" ht="24" customHeight="1" x14ac:dyDescent="0.3">
      <c r="A34" s="4433"/>
      <c r="B34" s="4433"/>
      <c r="C34" s="2128"/>
      <c r="D34" s="2128"/>
      <c r="E34" s="2128"/>
      <c r="F34" s="2128"/>
      <c r="G34" s="2128"/>
      <c r="H34" s="2128"/>
      <c r="I34" s="2128"/>
      <c r="J34" s="2128"/>
      <c r="K34" s="2128"/>
      <c r="L34" s="2128"/>
      <c r="M34" s="2128"/>
      <c r="N34" s="2128"/>
      <c r="O34" s="2128"/>
      <c r="P34" s="2128"/>
      <c r="Q34" s="2128"/>
      <c r="R34" s="2128"/>
      <c r="S34" s="2128"/>
      <c r="T34" s="2128"/>
      <c r="U34" s="2128"/>
      <c r="V34" s="2128"/>
      <c r="W34" s="2128"/>
      <c r="X34" s="2128"/>
      <c r="Y34" s="2128"/>
      <c r="Z34" s="2128"/>
      <c r="AA34" s="2128"/>
      <c r="AB34" s="2128"/>
      <c r="AC34" s="2128"/>
      <c r="AD34" s="2128"/>
    </row>
    <row r="35" spans="1:30" ht="24" customHeight="1" thickBot="1" x14ac:dyDescent="0.35">
      <c r="A35" s="4433"/>
      <c r="B35" s="4433"/>
      <c r="C35" s="2551" t="s">
        <v>1438</v>
      </c>
      <c r="D35" s="2552"/>
      <c r="E35" s="2552"/>
      <c r="F35" s="2552"/>
      <c r="G35" s="2128"/>
      <c r="H35" s="2128"/>
      <c r="I35" s="2128"/>
      <c r="J35" s="2128"/>
      <c r="K35" s="2128"/>
      <c r="L35" s="2128"/>
      <c r="M35" s="2128"/>
      <c r="N35" s="2128"/>
      <c r="O35" s="2128"/>
      <c r="P35" s="2128"/>
      <c r="Q35" s="2128"/>
      <c r="R35" s="2128"/>
      <c r="S35" s="2128"/>
      <c r="T35" s="2128"/>
      <c r="U35" s="2128"/>
      <c r="V35" s="2128"/>
      <c r="W35" s="2128"/>
      <c r="X35" s="2128"/>
      <c r="Y35" s="2128"/>
      <c r="Z35" s="2128"/>
      <c r="AA35" s="2128"/>
      <c r="AB35" s="2128"/>
      <c r="AC35" s="2128"/>
      <c r="AD35" s="2128"/>
    </row>
    <row r="36" spans="1:30" ht="18.600000000000001" customHeight="1" thickTop="1" x14ac:dyDescent="0.3">
      <c r="A36" s="4433"/>
      <c r="B36" s="4433"/>
      <c r="C36" s="2553">
        <v>2006</v>
      </c>
      <c r="D36" s="2554" t="s">
        <v>1446</v>
      </c>
      <c r="E36" s="2555"/>
      <c r="F36" s="2556"/>
      <c r="G36" s="2557"/>
      <c r="H36" s="2557"/>
      <c r="I36" s="2557"/>
      <c r="J36" s="2557"/>
      <c r="K36" s="2557"/>
      <c r="L36" s="2557"/>
      <c r="M36" s="2557"/>
      <c r="N36" s="2128"/>
      <c r="O36" s="2128"/>
      <c r="P36" s="2128"/>
      <c r="Q36" s="2128"/>
      <c r="R36" s="2128"/>
      <c r="S36" s="2128"/>
      <c r="T36" s="2128"/>
      <c r="U36" s="2128"/>
      <c r="V36" s="2128"/>
      <c r="W36" s="2128"/>
      <c r="X36" s="2128"/>
      <c r="Y36" s="2128"/>
      <c r="Z36" s="2128"/>
      <c r="AA36" s="2128"/>
      <c r="AB36" s="2128"/>
      <c r="AC36" s="2128"/>
      <c r="AD36" s="2128"/>
    </row>
    <row r="37" spans="1:30" ht="18" customHeight="1" x14ac:dyDescent="0.3">
      <c r="A37" s="4433"/>
      <c r="B37" s="4433"/>
      <c r="C37" s="2558">
        <v>793774</v>
      </c>
      <c r="D37" s="2554" t="s">
        <v>1447</v>
      </c>
      <c r="E37" s="2555"/>
      <c r="F37" s="2556"/>
      <c r="G37" s="2557"/>
      <c r="H37" s="2557"/>
      <c r="I37" s="2557"/>
      <c r="J37" s="2557"/>
      <c r="K37" s="2557"/>
      <c r="L37" s="2557"/>
      <c r="M37" s="2557"/>
      <c r="N37" s="2128"/>
      <c r="O37" s="2128"/>
      <c r="P37" s="2128"/>
      <c r="Q37" s="2128"/>
      <c r="R37" s="2128"/>
      <c r="S37" s="2128"/>
      <c r="T37" s="2128"/>
      <c r="U37" s="2128"/>
      <c r="V37" s="2128"/>
      <c r="W37" s="2128"/>
      <c r="X37" s="2128"/>
      <c r="Y37" s="2128"/>
      <c r="Z37" s="2128"/>
      <c r="AA37" s="2128"/>
      <c r="AB37" s="2128"/>
      <c r="AC37" s="2128"/>
      <c r="AD37" s="2128"/>
    </row>
    <row r="38" spans="1:30" ht="18" customHeight="1" x14ac:dyDescent="0.3">
      <c r="A38" s="4433"/>
      <c r="B38" s="4433"/>
      <c r="C38" s="2559">
        <f>C37/E44</f>
        <v>752.3496294049628</v>
      </c>
      <c r="D38" s="2554" t="s">
        <v>1448</v>
      </c>
      <c r="E38" s="2555"/>
      <c r="F38" s="2556"/>
      <c r="G38" s="2557"/>
      <c r="H38" s="2557"/>
      <c r="I38" s="2557"/>
      <c r="J38" s="2557"/>
      <c r="K38" s="2557"/>
      <c r="L38" s="2557"/>
      <c r="M38" s="2557"/>
      <c r="N38" s="2128"/>
      <c r="O38" s="2128"/>
      <c r="P38" s="2128"/>
      <c r="Q38" s="2128"/>
      <c r="R38" s="2128"/>
      <c r="S38" s="2128"/>
      <c r="T38" s="2128"/>
      <c r="U38" s="2128"/>
      <c r="V38" s="2128"/>
      <c r="W38" s="2128"/>
      <c r="X38" s="2128"/>
      <c r="Y38" s="2128"/>
      <c r="Z38" s="2128"/>
      <c r="AA38" s="2128"/>
      <c r="AB38" s="2128"/>
      <c r="AC38" s="2128"/>
      <c r="AD38" s="2128"/>
    </row>
    <row r="39" spans="1:30" ht="19.95" customHeight="1" x14ac:dyDescent="0.3">
      <c r="A39" s="4433"/>
      <c r="B39" s="4433"/>
      <c r="C39" s="2558">
        <f>C38*1000000</f>
        <v>752349629.40496278</v>
      </c>
      <c r="D39" s="2554" t="s">
        <v>1449</v>
      </c>
      <c r="E39" s="2555"/>
      <c r="F39" s="2556"/>
      <c r="G39" s="2557"/>
      <c r="H39" s="2557"/>
      <c r="I39" s="2557"/>
      <c r="J39" s="2557"/>
      <c r="K39" s="2557"/>
      <c r="L39" s="2557"/>
      <c r="M39" s="2557"/>
      <c r="N39" s="2128"/>
      <c r="O39" s="2128"/>
      <c r="P39" s="2128"/>
      <c r="Q39" s="2128"/>
      <c r="R39" s="2128"/>
      <c r="S39" s="2128"/>
      <c r="T39" s="2128"/>
      <c r="U39" s="2128"/>
      <c r="V39" s="2128"/>
      <c r="W39" s="2128"/>
      <c r="X39" s="2128"/>
      <c r="Y39" s="2128"/>
      <c r="Z39" s="2128"/>
      <c r="AA39" s="2128"/>
      <c r="AB39" s="2128"/>
      <c r="AC39" s="2128"/>
      <c r="AD39" s="2128"/>
    </row>
    <row r="40" spans="1:30" ht="15.75" customHeight="1" x14ac:dyDescent="0.3">
      <c r="A40" s="4433"/>
      <c r="B40" s="4433"/>
      <c r="C40" s="2558">
        <v>3413</v>
      </c>
      <c r="D40" s="2554" t="s">
        <v>1450</v>
      </c>
      <c r="E40" s="2555"/>
      <c r="F40" s="2556"/>
      <c r="G40" s="2557"/>
      <c r="H40" s="2557"/>
      <c r="I40" s="2557"/>
      <c r="J40" s="2557"/>
      <c r="K40" s="2557"/>
      <c r="L40" s="2557"/>
      <c r="M40" s="2557"/>
      <c r="N40" s="2128"/>
      <c r="O40" s="2128"/>
      <c r="P40" s="2128"/>
      <c r="Q40" s="2128"/>
      <c r="R40" s="2128"/>
      <c r="S40" s="2128"/>
      <c r="T40" s="2128"/>
      <c r="U40" s="2128"/>
      <c r="V40" s="2128"/>
      <c r="W40" s="2128"/>
      <c r="X40" s="2128"/>
      <c r="Y40" s="2128"/>
      <c r="Z40" s="2128"/>
      <c r="AA40" s="2128"/>
      <c r="AB40" s="2128"/>
      <c r="AC40" s="2128"/>
      <c r="AD40" s="2128"/>
    </row>
    <row r="41" spans="1:30" ht="15.75" customHeight="1" x14ac:dyDescent="0.3">
      <c r="A41" s="4433"/>
      <c r="B41" s="4433"/>
      <c r="C41" s="2558">
        <f>C39/C40</f>
        <v>220436.45748753671</v>
      </c>
      <c r="D41" s="2554" t="s">
        <v>1451</v>
      </c>
      <c r="E41" s="2555"/>
      <c r="F41" s="2556"/>
      <c r="G41" s="2557"/>
      <c r="H41" s="2557"/>
      <c r="I41" s="2557"/>
      <c r="J41" s="2557"/>
      <c r="K41" s="2557"/>
      <c r="L41" s="2557"/>
      <c r="M41" s="2557"/>
      <c r="N41" s="2128"/>
      <c r="O41" s="2128"/>
      <c r="P41" s="2128"/>
      <c r="Q41" s="2128"/>
      <c r="R41" s="2128"/>
      <c r="S41" s="2128"/>
      <c r="T41" s="2128"/>
      <c r="U41" s="2128"/>
      <c r="V41" s="2128"/>
      <c r="W41" s="2128"/>
      <c r="X41" s="2128"/>
      <c r="Y41" s="2128"/>
      <c r="Z41" s="2128"/>
      <c r="AA41" s="2128"/>
      <c r="AB41" s="2128"/>
      <c r="AC41" s="2128"/>
      <c r="AD41" s="2128"/>
    </row>
    <row r="42" spans="1:30" ht="15.75" customHeight="1" x14ac:dyDescent="0.3">
      <c r="A42" s="4433"/>
      <c r="B42" s="4433"/>
      <c r="C42" s="2560">
        <v>1.8999999999999998E-6</v>
      </c>
      <c r="D42" s="2554" t="s">
        <v>1452</v>
      </c>
      <c r="E42" s="2555"/>
      <c r="F42" s="2556"/>
      <c r="G42" s="2557"/>
      <c r="H42" s="2557"/>
      <c r="I42" s="2557"/>
      <c r="J42" s="2557"/>
      <c r="K42" s="2557"/>
      <c r="L42" s="2557"/>
      <c r="M42" s="2557"/>
      <c r="N42" s="2128"/>
      <c r="O42" s="2128"/>
      <c r="P42" s="2128"/>
      <c r="Q42" s="2128"/>
      <c r="R42" s="2128"/>
      <c r="S42" s="2128"/>
      <c r="T42" s="2128"/>
      <c r="U42" s="2128"/>
      <c r="V42" s="2128"/>
      <c r="W42" s="2128"/>
      <c r="X42" s="2128"/>
      <c r="Y42" s="2128"/>
      <c r="Z42" s="2128"/>
      <c r="AA42" s="2128"/>
      <c r="AB42" s="2128"/>
      <c r="AC42" s="2128"/>
      <c r="AD42" s="2128"/>
    </row>
    <row r="43" spans="1:30" ht="15.75" customHeight="1" thickBot="1" x14ac:dyDescent="0.35">
      <c r="A43" s="4433"/>
      <c r="B43" s="4433"/>
      <c r="C43" s="2561">
        <f>C41*C42</f>
        <v>0.41882926922631969</v>
      </c>
      <c r="D43" s="2562" t="s">
        <v>1453</v>
      </c>
      <c r="E43" s="2563"/>
      <c r="F43" s="2564"/>
      <c r="G43" s="2557"/>
      <c r="H43" s="2557"/>
      <c r="I43" s="2557"/>
      <c r="J43" s="2557"/>
      <c r="K43" s="2557"/>
      <c r="L43" s="2557"/>
      <c r="M43" s="2557"/>
      <c r="N43" s="2128"/>
      <c r="O43" s="2128"/>
      <c r="P43" s="2128"/>
      <c r="Q43" s="2128"/>
      <c r="R43" s="2128"/>
      <c r="S43" s="2128"/>
      <c r="T43" s="2128"/>
      <c r="U43" s="2128"/>
      <c r="V43" s="2128"/>
      <c r="W43" s="2128"/>
      <c r="X43" s="2128"/>
      <c r="Y43" s="2128"/>
      <c r="Z43" s="2128"/>
      <c r="AA43" s="2128"/>
      <c r="AB43" s="2128"/>
      <c r="AC43" s="2128"/>
      <c r="AD43" s="2128"/>
    </row>
    <row r="44" spans="1:30" ht="15.75" customHeight="1" thickTop="1" x14ac:dyDescent="0.3">
      <c r="A44" s="4433"/>
      <c r="B44" s="4433"/>
      <c r="C44" s="2565"/>
      <c r="D44" s="2566" t="s">
        <v>1454</v>
      </c>
      <c r="E44" s="2567">
        <v>1055.06</v>
      </c>
      <c r="F44" s="2568" t="s">
        <v>1455</v>
      </c>
      <c r="G44" s="2568"/>
      <c r="H44" s="2568"/>
      <c r="I44" s="2569"/>
      <c r="J44" s="2569"/>
      <c r="K44" s="2569"/>
      <c r="L44" s="2569"/>
      <c r="M44" s="2569"/>
      <c r="N44" s="2128"/>
      <c r="O44" s="2128"/>
      <c r="P44" s="2128"/>
      <c r="Q44" s="2128"/>
      <c r="R44" s="2128"/>
      <c r="S44" s="2128"/>
      <c r="T44" s="2128"/>
      <c r="U44" s="2128"/>
      <c r="V44" s="2128"/>
      <c r="W44" s="2128"/>
      <c r="X44" s="2128"/>
      <c r="Y44" s="2128"/>
      <c r="Z44" s="2128"/>
      <c r="AA44" s="2128"/>
      <c r="AB44" s="2128"/>
      <c r="AC44" s="2128"/>
      <c r="AD44" s="2128"/>
    </row>
    <row r="45" spans="1:30" ht="15.75" customHeight="1" x14ac:dyDescent="0.3">
      <c r="A45" s="4433"/>
      <c r="B45" s="4433"/>
      <c r="C45" s="2570" t="s">
        <v>1456</v>
      </c>
      <c r="D45" s="4439" t="s">
        <v>1457</v>
      </c>
      <c r="E45" s="4439"/>
      <c r="F45" s="4439"/>
      <c r="G45" s="4439"/>
      <c r="H45" s="4439"/>
      <c r="I45" s="4439"/>
      <c r="J45" s="4439"/>
      <c r="K45" s="4439"/>
      <c r="L45" s="4439"/>
      <c r="M45" s="4439"/>
      <c r="N45" s="2128"/>
      <c r="O45" s="2128"/>
      <c r="P45" s="2128"/>
      <c r="Q45" s="2128"/>
      <c r="R45" s="2128"/>
      <c r="S45" s="2128"/>
      <c r="T45" s="2128"/>
      <c r="U45" s="2128"/>
      <c r="V45" s="2128"/>
      <c r="W45" s="2128"/>
      <c r="X45" s="2128"/>
      <c r="Y45" s="2128"/>
      <c r="Z45" s="2128"/>
      <c r="AA45" s="2128"/>
      <c r="AB45" s="2128"/>
      <c r="AC45" s="2128"/>
      <c r="AD45" s="2128"/>
    </row>
    <row r="46" spans="1:30" ht="15.75" customHeight="1" thickBot="1" x14ac:dyDescent="0.35">
      <c r="A46" s="4433"/>
      <c r="B46" s="4433"/>
      <c r="C46" s="2571" t="s">
        <v>1458</v>
      </c>
      <c r="D46" s="4084" t="s">
        <v>2163</v>
      </c>
      <c r="E46" s="2572"/>
      <c r="F46" s="2572"/>
      <c r="G46" s="2572"/>
      <c r="H46" s="2572"/>
      <c r="I46" s="2569"/>
      <c r="J46" s="2569"/>
      <c r="K46" s="2569"/>
      <c r="L46" s="2569"/>
      <c r="M46" s="2569"/>
      <c r="N46" s="2128"/>
      <c r="O46" s="2128"/>
      <c r="P46" s="2128"/>
      <c r="Q46" s="2128"/>
      <c r="R46" s="2128"/>
      <c r="S46" s="2128"/>
      <c r="T46" s="2128"/>
      <c r="U46" s="2128"/>
      <c r="V46" s="2128"/>
      <c r="W46" s="2128"/>
      <c r="X46" s="2128"/>
      <c r="Y46" s="2128"/>
      <c r="Z46" s="2128"/>
      <c r="AA46" s="2128"/>
      <c r="AB46" s="2128"/>
      <c r="AC46" s="2128"/>
      <c r="AD46" s="2128"/>
    </row>
    <row r="47" spans="1:30" ht="26.4" customHeight="1" thickTop="1" x14ac:dyDescent="0.3">
      <c r="A47" s="4433"/>
      <c r="B47" s="4433"/>
      <c r="C47" s="2573">
        <v>2006</v>
      </c>
      <c r="D47" s="2574" t="s">
        <v>1459</v>
      </c>
      <c r="E47" s="2575"/>
      <c r="F47" s="2575"/>
      <c r="G47" s="2575"/>
      <c r="H47" s="2576"/>
      <c r="I47" s="2557"/>
      <c r="J47" s="2557"/>
      <c r="K47" s="2557"/>
      <c r="L47" s="2557"/>
      <c r="M47" s="2557"/>
      <c r="N47" s="2128"/>
      <c r="O47" s="2128"/>
      <c r="P47" s="2128"/>
      <c r="Q47" s="2128"/>
      <c r="R47" s="2128"/>
      <c r="S47" s="2128"/>
      <c r="T47" s="2128"/>
      <c r="U47" s="2128"/>
      <c r="V47" s="2128"/>
      <c r="W47" s="2128"/>
      <c r="X47" s="2128"/>
      <c r="Y47" s="2128"/>
      <c r="Z47" s="2128"/>
      <c r="AA47" s="2128"/>
      <c r="AB47" s="2128"/>
      <c r="AC47" s="2128"/>
      <c r="AD47" s="2128"/>
    </row>
    <row r="48" spans="1:30" ht="15.75" customHeight="1" x14ac:dyDescent="0.3">
      <c r="A48" s="4433"/>
      <c r="B48" s="4433"/>
      <c r="C48" s="2577">
        <f>C37/E44</f>
        <v>752.3496294049628</v>
      </c>
      <c r="D48" s="4440" t="s">
        <v>1460</v>
      </c>
      <c r="E48" s="4440"/>
      <c r="F48" s="4440"/>
      <c r="G48" s="4440"/>
      <c r="H48" s="4440"/>
      <c r="I48" s="2557"/>
      <c r="J48" s="2557"/>
      <c r="K48" s="2557"/>
      <c r="L48" s="2557"/>
      <c r="M48" s="2557"/>
      <c r="N48" s="2128"/>
      <c r="O48" s="2128"/>
      <c r="P48" s="2128"/>
      <c r="Q48" s="2128"/>
      <c r="R48" s="2128"/>
      <c r="S48" s="2128"/>
      <c r="T48" s="2128"/>
      <c r="U48" s="2128"/>
      <c r="V48" s="2128"/>
      <c r="W48" s="2128"/>
      <c r="X48" s="2128"/>
      <c r="Y48" s="2128"/>
      <c r="Z48" s="2128"/>
      <c r="AA48" s="2128"/>
      <c r="AB48" s="2128"/>
      <c r="AC48" s="2128"/>
      <c r="AD48" s="2128"/>
    </row>
    <row r="49" spans="1:30" ht="15.75" customHeight="1" x14ac:dyDescent="0.3">
      <c r="A49" s="4433"/>
      <c r="B49" s="4433"/>
      <c r="C49" s="2579">
        <f>C48*1000000</f>
        <v>752349629.40496278</v>
      </c>
      <c r="D49" s="2578" t="s">
        <v>1449</v>
      </c>
      <c r="E49" s="2580"/>
      <c r="F49" s="2580"/>
      <c r="G49" s="2580"/>
      <c r="H49" s="2581"/>
      <c r="I49" s="2557"/>
      <c r="J49" s="2557"/>
      <c r="K49" s="2557"/>
      <c r="L49" s="2557"/>
      <c r="M49" s="2557"/>
      <c r="N49" s="2128"/>
      <c r="O49" s="2128"/>
      <c r="P49" s="2128"/>
      <c r="Q49" s="2128"/>
      <c r="R49" s="2128"/>
      <c r="S49" s="2128"/>
      <c r="T49" s="2128"/>
      <c r="U49" s="2128"/>
      <c r="V49" s="2128"/>
      <c r="W49" s="2128"/>
      <c r="X49" s="2128"/>
      <c r="Y49" s="2128"/>
      <c r="Z49" s="2128"/>
      <c r="AA49" s="2128"/>
      <c r="AB49" s="2128"/>
      <c r="AC49" s="2128"/>
      <c r="AD49" s="2128"/>
    </row>
    <row r="50" spans="1:30" ht="15.75" customHeight="1" x14ac:dyDescent="0.3">
      <c r="A50" s="4433"/>
      <c r="B50" s="4433"/>
      <c r="C50" s="2579">
        <v>23995</v>
      </c>
      <c r="D50" s="2578" t="s">
        <v>1461</v>
      </c>
      <c r="E50" s="2580"/>
      <c r="F50" s="2580"/>
      <c r="G50" s="2580"/>
      <c r="H50" s="2581"/>
      <c r="I50" s="2557"/>
      <c r="J50" s="2557"/>
      <c r="K50" s="2557"/>
      <c r="L50" s="2557"/>
      <c r="M50" s="2557"/>
      <c r="N50" s="2128"/>
      <c r="O50" s="2128"/>
      <c r="P50" s="2128"/>
      <c r="Q50" s="2128"/>
      <c r="R50" s="2128"/>
      <c r="S50" s="2128"/>
      <c r="T50" s="2128"/>
      <c r="U50" s="2128"/>
      <c r="V50" s="2128"/>
      <c r="W50" s="2128"/>
      <c r="X50" s="2128"/>
      <c r="Y50" s="2128"/>
      <c r="Z50" s="2128"/>
      <c r="AA50" s="2128"/>
      <c r="AB50" s="2128"/>
      <c r="AC50" s="2128"/>
      <c r="AD50" s="2128"/>
    </row>
    <row r="51" spans="1:30" ht="15.75" customHeight="1" x14ac:dyDescent="0.3">
      <c r="A51" s="4433"/>
      <c r="B51" s="4433"/>
      <c r="C51" s="2579">
        <f>C49/C50</f>
        <v>31354.433398831537</v>
      </c>
      <c r="D51" s="2578" t="s">
        <v>1462</v>
      </c>
      <c r="E51" s="2580"/>
      <c r="F51" s="2580"/>
      <c r="G51" s="2580"/>
      <c r="H51" s="2581"/>
      <c r="I51" s="2557"/>
      <c r="J51" s="2557"/>
      <c r="K51" s="2557"/>
      <c r="L51" s="2557"/>
      <c r="M51" s="2557"/>
      <c r="N51" s="2128"/>
      <c r="O51" s="2128"/>
      <c r="P51" s="2128"/>
      <c r="Q51" s="2128"/>
      <c r="R51" s="2128"/>
      <c r="S51" s="2128"/>
      <c r="T51" s="2128"/>
      <c r="U51" s="2128"/>
      <c r="V51" s="2128"/>
      <c r="W51" s="2128"/>
      <c r="X51" s="2128"/>
      <c r="Y51" s="2128"/>
      <c r="Z51" s="2128"/>
      <c r="AA51" s="2128"/>
      <c r="AB51" s="2128"/>
      <c r="AC51" s="2128"/>
      <c r="AD51" s="2128"/>
    </row>
    <row r="52" spans="1:30" ht="15.75" customHeight="1" x14ac:dyDescent="0.3">
      <c r="A52" s="4433"/>
      <c r="B52" s="4433"/>
      <c r="C52" s="2582">
        <v>1.5392919999999998E-3</v>
      </c>
      <c r="D52" s="2578" t="s">
        <v>1463</v>
      </c>
      <c r="E52" s="2580"/>
      <c r="F52" s="2580"/>
      <c r="G52" s="2580"/>
      <c r="H52" s="2581"/>
      <c r="I52" s="2557"/>
      <c r="J52" s="2557"/>
      <c r="K52" s="2557"/>
      <c r="L52" s="2557"/>
      <c r="M52" s="2557"/>
      <c r="N52" s="2128"/>
      <c r="O52" s="2128"/>
      <c r="P52" s="2128"/>
      <c r="Q52" s="2128"/>
      <c r="R52" s="2128"/>
      <c r="S52" s="2128"/>
      <c r="T52" s="2128"/>
      <c r="U52" s="2128"/>
      <c r="V52" s="2128"/>
      <c r="W52" s="2128"/>
      <c r="X52" s="2128"/>
      <c r="Y52" s="2128"/>
      <c r="Z52" s="2128"/>
      <c r="AA52" s="2128"/>
      <c r="AB52" s="2128"/>
      <c r="AC52" s="2128"/>
      <c r="AD52" s="2128"/>
    </row>
    <row r="53" spans="1:30" ht="15.75" customHeight="1" thickBot="1" x14ac:dyDescent="0.35">
      <c r="A53" s="4433"/>
      <c r="B53" s="4433"/>
      <c r="C53" s="2583">
        <f>C51*C52</f>
        <v>48.26362849535419</v>
      </c>
      <c r="D53" s="2584" t="s">
        <v>1464</v>
      </c>
      <c r="E53" s="2585"/>
      <c r="F53" s="2585"/>
      <c r="G53" s="2585"/>
      <c r="H53" s="2586"/>
      <c r="I53" s="2557"/>
      <c r="J53" s="2557"/>
      <c r="K53" s="2557"/>
      <c r="L53" s="2557"/>
      <c r="M53" s="2557"/>
      <c r="N53" s="2128"/>
      <c r="O53" s="2128"/>
      <c r="P53" s="2128"/>
      <c r="Q53" s="2128"/>
      <c r="R53" s="2128"/>
      <c r="S53" s="2128"/>
      <c r="T53" s="2128"/>
      <c r="U53" s="2128"/>
      <c r="V53" s="2128"/>
      <c r="W53" s="2128"/>
      <c r="X53" s="2128"/>
      <c r="Y53" s="2128"/>
      <c r="Z53" s="2128"/>
      <c r="AA53" s="2128"/>
      <c r="AB53" s="2128"/>
      <c r="AC53" s="2128"/>
      <c r="AD53" s="2128"/>
    </row>
    <row r="54" spans="1:30" ht="15.75" customHeight="1" x14ac:dyDescent="0.3">
      <c r="A54" s="4433"/>
      <c r="B54" s="4433"/>
      <c r="C54" s="2587"/>
      <c r="D54" s="2557"/>
      <c r="E54" s="2557"/>
      <c r="F54" s="2557"/>
      <c r="G54" s="2557"/>
      <c r="H54" s="2557"/>
      <c r="I54" s="2557"/>
      <c r="J54" s="2557"/>
      <c r="K54" s="2557"/>
      <c r="L54" s="2557"/>
      <c r="M54" s="2557"/>
      <c r="N54" s="2128"/>
      <c r="O54" s="2128"/>
      <c r="P54" s="2128"/>
      <c r="Q54" s="2128"/>
      <c r="R54" s="2128"/>
      <c r="S54" s="2128"/>
      <c r="T54" s="2128"/>
      <c r="U54" s="2128"/>
      <c r="V54" s="2128"/>
      <c r="W54" s="2128"/>
      <c r="X54" s="2128"/>
      <c r="Y54" s="2128"/>
      <c r="Z54" s="2128"/>
      <c r="AA54" s="2128"/>
      <c r="AB54" s="2128"/>
      <c r="AC54" s="2128"/>
      <c r="AD54" s="2128"/>
    </row>
    <row r="55" spans="1:30" ht="15.75" customHeight="1" x14ac:dyDescent="0.3">
      <c r="A55" s="4433"/>
      <c r="B55" s="4433"/>
      <c r="C55" s="2587"/>
      <c r="D55" s="2557"/>
      <c r="E55" s="2557"/>
      <c r="F55" s="2557"/>
      <c r="G55" s="2557"/>
      <c r="H55" s="2557"/>
      <c r="I55" s="2557"/>
      <c r="J55" s="2557"/>
      <c r="K55" s="2557"/>
      <c r="L55" s="2557"/>
      <c r="M55" s="2557"/>
      <c r="N55" s="2128"/>
      <c r="O55" s="2128"/>
      <c r="P55" s="2128"/>
      <c r="Q55" s="2128"/>
      <c r="R55" s="2128"/>
      <c r="S55" s="2128"/>
      <c r="T55" s="2128"/>
      <c r="U55" s="2128"/>
      <c r="V55" s="2128"/>
      <c r="W55" s="2128"/>
      <c r="X55" s="2128"/>
      <c r="Y55" s="2128"/>
      <c r="Z55" s="2128"/>
      <c r="AA55" s="2128"/>
      <c r="AB55" s="2128"/>
      <c r="AC55" s="2128"/>
      <c r="AD55" s="2128"/>
    </row>
    <row r="56" spans="1:30" ht="15.75" customHeight="1" thickBot="1" x14ac:dyDescent="0.35">
      <c r="A56" s="4433"/>
      <c r="B56" s="4433"/>
      <c r="C56" s="2571" t="s">
        <v>1465</v>
      </c>
      <c r="D56" s="2572"/>
      <c r="E56" s="2572"/>
      <c r="F56" s="2572"/>
      <c r="G56" s="2572"/>
      <c r="H56" s="2572"/>
      <c r="I56" s="2557"/>
      <c r="J56" s="2557"/>
      <c r="K56" s="2557"/>
      <c r="L56" s="2557"/>
      <c r="M56" s="2557"/>
      <c r="N56" s="2128"/>
      <c r="O56" s="2128"/>
      <c r="P56" s="2128"/>
      <c r="Q56" s="2128"/>
      <c r="R56" s="2128"/>
      <c r="S56" s="2128"/>
      <c r="T56" s="2128"/>
      <c r="U56" s="2128"/>
      <c r="V56" s="2128"/>
      <c r="W56" s="2128"/>
      <c r="X56" s="2128"/>
      <c r="Y56" s="2128"/>
      <c r="Z56" s="2128"/>
      <c r="AA56" s="2128"/>
      <c r="AB56" s="2128"/>
      <c r="AC56" s="2128"/>
      <c r="AD56" s="2128"/>
    </row>
    <row r="57" spans="1:30" ht="15.75" customHeight="1" thickTop="1" x14ac:dyDescent="0.3">
      <c r="A57" s="4433"/>
      <c r="B57" s="4433"/>
      <c r="C57" s="2588">
        <v>2006</v>
      </c>
      <c r="D57" s="2589" t="s">
        <v>1466</v>
      </c>
      <c r="E57" s="2589"/>
      <c r="F57" s="2589"/>
      <c r="G57" s="2589"/>
      <c r="H57" s="2590"/>
      <c r="I57" s="2557"/>
      <c r="J57" s="2557"/>
      <c r="K57" s="2557"/>
      <c r="L57" s="2557"/>
      <c r="M57" s="2557"/>
      <c r="N57" s="2128"/>
      <c r="O57" s="2128"/>
      <c r="P57" s="2128"/>
      <c r="Q57" s="2128"/>
      <c r="R57" s="2128"/>
      <c r="S57" s="2128"/>
      <c r="T57" s="2128"/>
      <c r="U57" s="2128"/>
      <c r="V57" s="2128"/>
      <c r="W57" s="2128"/>
      <c r="X57" s="2128"/>
      <c r="Y57" s="2128"/>
      <c r="Z57" s="2128"/>
      <c r="AA57" s="2128"/>
      <c r="AB57" s="2128"/>
      <c r="AC57" s="2128"/>
      <c r="AD57" s="2128"/>
    </row>
    <row r="58" spans="1:30" ht="15.75" customHeight="1" x14ac:dyDescent="0.3">
      <c r="A58" s="4433"/>
      <c r="B58" s="4433"/>
      <c r="C58" s="2591">
        <f>C37/E44</f>
        <v>752.3496294049628</v>
      </c>
      <c r="D58" s="4441" t="s">
        <v>1467</v>
      </c>
      <c r="E58" s="4441"/>
      <c r="F58" s="4441"/>
      <c r="G58" s="4441"/>
      <c r="H58" s="4441"/>
      <c r="I58" s="2557"/>
      <c r="J58" s="2557"/>
      <c r="K58" s="2557"/>
      <c r="L58" s="2557"/>
      <c r="M58" s="2557"/>
      <c r="N58" s="2128"/>
      <c r="O58" s="2128"/>
      <c r="P58" s="2128"/>
      <c r="Q58" s="2128"/>
      <c r="R58" s="2128"/>
      <c r="S58" s="2128"/>
      <c r="T58" s="2128"/>
      <c r="U58" s="2128"/>
      <c r="V58" s="2128"/>
      <c r="W58" s="2128"/>
      <c r="X58" s="2128"/>
      <c r="Y58" s="2128"/>
      <c r="Z58" s="2128"/>
      <c r="AA58" s="2128"/>
      <c r="AB58" s="2128"/>
      <c r="AC58" s="2128"/>
      <c r="AD58" s="2128"/>
    </row>
    <row r="59" spans="1:30" ht="15.75" customHeight="1" x14ac:dyDescent="0.3">
      <c r="A59" s="4433"/>
      <c r="B59" s="4433"/>
      <c r="C59" s="2592">
        <f>C58*1000000</f>
        <v>752349629.40496278</v>
      </c>
      <c r="D59" s="2593" t="s">
        <v>1449</v>
      </c>
      <c r="E59" s="2594"/>
      <c r="F59" s="2594"/>
      <c r="G59" s="2594"/>
      <c r="H59" s="2590"/>
      <c r="I59" s="2557"/>
      <c r="J59" s="2557"/>
      <c r="K59" s="2557"/>
      <c r="L59" s="2557"/>
      <c r="M59" s="2557"/>
      <c r="N59" s="2128"/>
      <c r="O59" s="2128"/>
      <c r="P59" s="2128"/>
      <c r="Q59" s="2128"/>
      <c r="R59" s="2128"/>
      <c r="S59" s="2128"/>
      <c r="T59" s="2128"/>
      <c r="U59" s="2128"/>
      <c r="V59" s="2128"/>
      <c r="W59" s="2128"/>
      <c r="X59" s="2128"/>
      <c r="Y59" s="2128"/>
      <c r="Z59" s="2128"/>
      <c r="AA59" s="2128"/>
      <c r="AB59" s="2128"/>
      <c r="AC59" s="2128"/>
      <c r="AD59" s="2128"/>
    </row>
    <row r="60" spans="1:30" ht="15.75" customHeight="1" x14ac:dyDescent="0.3">
      <c r="A60" s="4433"/>
      <c r="B60" s="4433"/>
      <c r="C60" s="2592">
        <v>36500</v>
      </c>
      <c r="D60" s="2593" t="s">
        <v>1468</v>
      </c>
      <c r="E60" s="2594"/>
      <c r="F60" s="2594"/>
      <c r="G60" s="2594"/>
      <c r="H60" s="2590"/>
      <c r="I60" s="2557"/>
      <c r="J60" s="2557"/>
      <c r="K60" s="2557"/>
      <c r="L60" s="2557"/>
      <c r="M60" s="2557"/>
      <c r="N60" s="2128"/>
      <c r="O60" s="2128"/>
      <c r="P60" s="2128"/>
      <c r="Q60" s="2128"/>
      <c r="R60" s="2128"/>
      <c r="S60" s="2128"/>
      <c r="T60" s="2128"/>
      <c r="U60" s="2128"/>
      <c r="V60" s="2128"/>
      <c r="W60" s="2128"/>
      <c r="X60" s="2128"/>
      <c r="Y60" s="2128"/>
      <c r="Z60" s="2128"/>
      <c r="AA60" s="2128"/>
      <c r="AB60" s="2128"/>
      <c r="AC60" s="2128"/>
      <c r="AD60" s="2128"/>
    </row>
    <row r="61" spans="1:30" ht="15.75" customHeight="1" x14ac:dyDescent="0.3">
      <c r="A61" s="4433"/>
      <c r="B61" s="4433"/>
      <c r="C61" s="2592">
        <f>C59/C60</f>
        <v>20612.318613834595</v>
      </c>
      <c r="D61" s="2593" t="s">
        <v>1469</v>
      </c>
      <c r="E61" s="2594"/>
      <c r="F61" s="2594"/>
      <c r="G61" s="2594"/>
      <c r="H61" s="2590"/>
      <c r="I61" s="2557"/>
      <c r="J61" s="2557"/>
      <c r="K61" s="2557"/>
      <c r="L61" s="2557"/>
      <c r="M61" s="2557"/>
      <c r="N61" s="2128"/>
      <c r="O61" s="2128"/>
      <c r="P61" s="2128"/>
      <c r="Q61" s="2128"/>
      <c r="R61" s="2128"/>
      <c r="S61" s="2128"/>
      <c r="T61" s="2128"/>
      <c r="U61" s="2128"/>
      <c r="V61" s="2128"/>
      <c r="W61" s="2128"/>
      <c r="X61" s="2128"/>
      <c r="Y61" s="2128"/>
      <c r="Z61" s="2128"/>
      <c r="AA61" s="2128"/>
      <c r="AB61" s="2128"/>
      <c r="AC61" s="2128"/>
      <c r="AD61" s="2128"/>
    </row>
    <row r="62" spans="1:30" ht="15.75" customHeight="1" x14ac:dyDescent="0.3">
      <c r="A62" s="4433"/>
      <c r="B62" s="4433"/>
      <c r="C62" s="2595">
        <v>2.7339430000000004E-3</v>
      </c>
      <c r="D62" s="2593" t="s">
        <v>1470</v>
      </c>
      <c r="E62" s="2594"/>
      <c r="F62" s="2594"/>
      <c r="G62" s="2594"/>
      <c r="H62" s="2590"/>
      <c r="I62" s="2557"/>
      <c r="J62" s="2557"/>
      <c r="K62" s="2557"/>
      <c r="L62" s="2557"/>
      <c r="M62" s="2557"/>
      <c r="N62" s="2128"/>
      <c r="O62" s="2128"/>
      <c r="P62" s="2128"/>
      <c r="Q62" s="2128"/>
      <c r="R62" s="2128"/>
      <c r="S62" s="2128"/>
      <c r="T62" s="2128"/>
      <c r="U62" s="2128"/>
      <c r="V62" s="2128"/>
      <c r="W62" s="2128"/>
      <c r="X62" s="2128"/>
      <c r="Y62" s="2128"/>
      <c r="Z62" s="2128"/>
      <c r="AA62" s="2128"/>
      <c r="AB62" s="2128"/>
      <c r="AC62" s="2128"/>
      <c r="AD62" s="2128"/>
    </row>
    <row r="63" spans="1:30" ht="15.75" customHeight="1" thickBot="1" x14ac:dyDescent="0.35">
      <c r="A63" s="4433"/>
      <c r="B63" s="4433"/>
      <c r="C63" s="2596">
        <f>C61*C62</f>
        <v>56.352904188062801</v>
      </c>
      <c r="D63" s="2597" t="s">
        <v>1471</v>
      </c>
      <c r="E63" s="2598"/>
      <c r="F63" s="2598"/>
      <c r="G63" s="2598"/>
      <c r="H63" s="2599"/>
      <c r="I63" s="2557"/>
      <c r="J63" s="2557"/>
      <c r="K63" s="2557"/>
      <c r="L63" s="2557"/>
      <c r="M63" s="2557"/>
      <c r="N63" s="2128"/>
      <c r="O63" s="2128"/>
      <c r="P63" s="2128"/>
      <c r="Q63" s="2128"/>
      <c r="R63" s="2128"/>
      <c r="S63" s="2128"/>
      <c r="T63" s="2128"/>
      <c r="U63" s="2128"/>
      <c r="V63" s="2128"/>
      <c r="W63" s="2128"/>
      <c r="X63" s="2128"/>
      <c r="Y63" s="2128"/>
      <c r="Z63" s="2128"/>
      <c r="AA63" s="2128"/>
      <c r="AB63" s="2128"/>
      <c r="AC63" s="2128"/>
      <c r="AD63" s="2128"/>
    </row>
    <row r="64" spans="1:30" ht="15.75" customHeight="1" x14ac:dyDescent="0.3">
      <c r="A64" s="4433"/>
      <c r="B64" s="4433"/>
      <c r="C64" s="2587"/>
      <c r="D64" s="2128"/>
      <c r="E64" s="2128"/>
      <c r="F64" s="2128"/>
      <c r="G64" s="2128"/>
      <c r="H64" s="2128"/>
      <c r="I64" s="2128"/>
      <c r="J64" s="2128"/>
      <c r="K64" s="2128"/>
      <c r="L64" s="2128"/>
      <c r="M64" s="2128"/>
      <c r="N64" s="2128"/>
      <c r="O64" s="2128"/>
      <c r="P64" s="2128"/>
      <c r="Q64" s="2128"/>
      <c r="R64" s="2128"/>
      <c r="S64" s="2128"/>
      <c r="T64" s="2128"/>
      <c r="U64" s="2128"/>
      <c r="V64" s="2128"/>
      <c r="W64" s="2128"/>
      <c r="X64" s="2128"/>
      <c r="Y64" s="2128"/>
      <c r="Z64" s="2128"/>
      <c r="AA64" s="2128"/>
      <c r="AB64" s="2128"/>
      <c r="AC64" s="2128"/>
      <c r="AD64" s="2128"/>
    </row>
    <row r="65" spans="1:30" ht="15.75" customHeight="1" x14ac:dyDescent="0.3">
      <c r="A65" s="4433"/>
      <c r="B65" s="4433"/>
      <c r="C65" s="2587"/>
      <c r="D65" s="2128"/>
      <c r="E65" s="2128"/>
      <c r="F65" s="2128"/>
      <c r="G65" s="2128"/>
      <c r="H65" s="2128"/>
      <c r="I65" s="2128"/>
      <c r="J65" s="2128"/>
      <c r="K65" s="2128"/>
      <c r="L65" s="2128"/>
      <c r="M65" s="2128"/>
      <c r="N65" s="2128"/>
      <c r="O65" s="2128"/>
      <c r="P65" s="2128"/>
      <c r="Q65" s="2128"/>
      <c r="R65" s="2128"/>
      <c r="S65" s="2128"/>
      <c r="T65" s="2128"/>
      <c r="U65" s="2128"/>
      <c r="V65" s="2128"/>
      <c r="W65" s="2128"/>
      <c r="X65" s="2128"/>
      <c r="Y65" s="2128"/>
      <c r="Z65" s="2128"/>
      <c r="AA65" s="2128"/>
      <c r="AB65" s="2128"/>
      <c r="AC65" s="2128"/>
      <c r="AD65" s="2128"/>
    </row>
    <row r="66" spans="1:30" ht="15.75" customHeight="1" x14ac:dyDescent="0.3">
      <c r="A66" s="4433"/>
      <c r="B66" s="4433"/>
      <c r="C66" s="2587"/>
      <c r="D66" s="2128"/>
      <c r="E66" s="2128"/>
      <c r="F66" s="2128"/>
      <c r="G66" s="2128"/>
      <c r="H66" s="2128"/>
      <c r="I66" s="2128"/>
      <c r="J66" s="2128"/>
      <c r="K66" s="2128"/>
      <c r="L66" s="2128"/>
      <c r="M66" s="2128"/>
      <c r="N66" s="2128"/>
      <c r="O66" s="2128"/>
      <c r="P66" s="2128"/>
      <c r="Q66" s="2128"/>
      <c r="R66" s="2128"/>
      <c r="S66" s="2128"/>
      <c r="T66" s="2128"/>
      <c r="U66" s="2128"/>
      <c r="V66" s="2128"/>
      <c r="W66" s="2128"/>
      <c r="X66" s="2128"/>
      <c r="Y66" s="2128"/>
      <c r="Z66" s="2128"/>
      <c r="AA66" s="2128"/>
      <c r="AB66" s="2128"/>
      <c r="AC66" s="2128"/>
      <c r="AD66" s="2128"/>
    </row>
    <row r="67" spans="1:30" ht="15.75" customHeight="1" x14ac:dyDescent="0.3">
      <c r="A67" s="4433"/>
      <c r="B67" s="4433"/>
      <c r="C67" s="2128"/>
      <c r="D67" s="2128"/>
      <c r="E67" s="2128"/>
      <c r="F67" s="2128"/>
      <c r="G67" s="2128"/>
      <c r="H67" s="2128"/>
      <c r="I67" s="2128"/>
      <c r="J67" s="2128"/>
      <c r="K67" s="2128"/>
      <c r="L67" s="2128"/>
      <c r="M67" s="2128"/>
      <c r="N67" s="2128"/>
      <c r="O67" s="2128"/>
      <c r="P67" s="2128"/>
      <c r="Q67" s="2128"/>
      <c r="R67" s="2128"/>
      <c r="S67" s="2128"/>
      <c r="T67" s="2128"/>
      <c r="U67" s="2128"/>
      <c r="V67" s="2128"/>
      <c r="W67" s="2128"/>
      <c r="X67" s="2128"/>
      <c r="Y67" s="2128"/>
      <c r="Z67" s="2128"/>
      <c r="AA67" s="2128"/>
      <c r="AB67" s="2128"/>
      <c r="AC67" s="2128"/>
      <c r="AD67" s="2128"/>
    </row>
    <row r="68" spans="1:30" ht="15.75" customHeight="1" x14ac:dyDescent="0.3">
      <c r="A68" s="4433"/>
      <c r="B68" s="4433"/>
      <c r="C68" s="2128"/>
      <c r="D68" s="2128"/>
      <c r="E68" s="2128"/>
      <c r="F68" s="2128"/>
      <c r="G68" s="2128"/>
      <c r="H68" s="2128"/>
      <c r="I68" s="2128"/>
      <c r="J68" s="2128"/>
      <c r="K68" s="2128"/>
      <c r="L68" s="2128"/>
      <c r="M68" s="2128"/>
      <c r="N68" s="2128"/>
      <c r="O68" s="2128"/>
      <c r="P68" s="2128"/>
      <c r="Q68" s="2128"/>
      <c r="R68" s="2128"/>
      <c r="S68" s="2128"/>
      <c r="T68" s="2128"/>
      <c r="U68" s="2128"/>
      <c r="V68" s="2128"/>
      <c r="W68" s="2128"/>
      <c r="X68" s="2128"/>
      <c r="Y68" s="2128"/>
      <c r="Z68" s="2128"/>
      <c r="AA68" s="2128"/>
      <c r="AB68" s="2128"/>
      <c r="AC68" s="2128"/>
      <c r="AD68" s="2128"/>
    </row>
    <row r="69" spans="1:30" ht="15.75" customHeight="1" x14ac:dyDescent="0.3">
      <c r="A69" s="4433"/>
      <c r="B69" s="4433"/>
      <c r="C69" s="2128"/>
      <c r="D69" s="2128"/>
      <c r="E69" s="2128"/>
      <c r="F69" s="2128"/>
      <c r="G69" s="2128"/>
      <c r="H69" s="2128"/>
      <c r="I69" s="2128"/>
      <c r="J69" s="2128"/>
      <c r="K69" s="2128"/>
      <c r="L69" s="2128"/>
      <c r="M69" s="2128"/>
      <c r="N69" s="2128"/>
      <c r="O69" s="2128"/>
      <c r="P69" s="2128"/>
      <c r="Q69" s="2128"/>
      <c r="R69" s="2128"/>
      <c r="S69" s="2128"/>
      <c r="T69" s="2128"/>
      <c r="U69" s="2128"/>
      <c r="V69" s="2128"/>
      <c r="W69" s="2128"/>
      <c r="X69" s="2128"/>
      <c r="Y69" s="2128"/>
      <c r="Z69" s="2128"/>
      <c r="AA69" s="2128"/>
      <c r="AB69" s="2128"/>
      <c r="AC69" s="2128"/>
      <c r="AD69" s="2128"/>
    </row>
    <row r="70" spans="1:30" ht="15.75" customHeight="1" x14ac:dyDescent="0.3">
      <c r="A70" s="4433"/>
      <c r="B70" s="4433"/>
      <c r="C70" s="2128"/>
      <c r="D70" s="2128"/>
      <c r="E70" s="2128"/>
      <c r="F70" s="2128"/>
      <c r="G70" s="2128"/>
      <c r="H70" s="2128"/>
      <c r="I70" s="2128"/>
      <c r="J70" s="2128"/>
      <c r="K70" s="2128"/>
      <c r="L70" s="2128"/>
      <c r="M70" s="2128"/>
      <c r="N70" s="2128"/>
      <c r="O70" s="2128"/>
      <c r="P70" s="2128"/>
      <c r="Q70" s="2128"/>
      <c r="R70" s="2128"/>
      <c r="S70" s="2128"/>
      <c r="T70" s="2128"/>
      <c r="U70" s="2128"/>
      <c r="V70" s="2128"/>
      <c r="W70" s="2128"/>
      <c r="X70" s="2128"/>
      <c r="Y70" s="2128"/>
      <c r="Z70" s="2128"/>
      <c r="AA70" s="2128"/>
      <c r="AB70" s="2128"/>
      <c r="AC70" s="2128"/>
      <c r="AD70" s="2128"/>
    </row>
    <row r="71" spans="1:30" ht="15.75" customHeight="1" x14ac:dyDescent="0.3">
      <c r="A71" s="4433"/>
      <c r="B71" s="4433"/>
      <c r="C71" s="2128"/>
      <c r="D71" s="2128"/>
      <c r="E71" s="2128"/>
      <c r="F71" s="2128"/>
      <c r="G71" s="2128"/>
      <c r="H71" s="2128"/>
      <c r="I71" s="2128"/>
      <c r="J71" s="2128"/>
      <c r="K71" s="2128"/>
      <c r="L71" s="2128"/>
      <c r="M71" s="2128"/>
      <c r="N71" s="2128"/>
      <c r="O71" s="2128"/>
      <c r="P71" s="2128"/>
      <c r="Q71" s="2128"/>
      <c r="R71" s="2128"/>
      <c r="S71" s="2128"/>
      <c r="T71" s="2128"/>
      <c r="U71" s="2128"/>
      <c r="V71" s="2128"/>
      <c r="W71" s="2128"/>
      <c r="X71" s="2128"/>
      <c r="Y71" s="2128"/>
      <c r="Z71" s="2128"/>
      <c r="AA71" s="2128"/>
      <c r="AB71" s="2128"/>
      <c r="AC71" s="2128"/>
      <c r="AD71" s="2128"/>
    </row>
    <row r="72" spans="1:30" ht="15.75" customHeight="1" x14ac:dyDescent="0.3">
      <c r="A72" s="4433"/>
      <c r="B72" s="4433"/>
      <c r="C72" s="2128"/>
      <c r="D72" s="2128"/>
      <c r="E72" s="2128"/>
      <c r="F72" s="2128"/>
      <c r="G72" s="2128"/>
      <c r="H72" s="2128"/>
      <c r="I72" s="2128"/>
      <c r="J72" s="2128"/>
      <c r="K72" s="2128"/>
      <c r="L72" s="2128"/>
      <c r="M72" s="2128"/>
      <c r="N72" s="2128"/>
      <c r="O72" s="2128"/>
      <c r="P72" s="2128"/>
      <c r="Q72" s="2128"/>
      <c r="R72" s="2128"/>
      <c r="S72" s="2128"/>
      <c r="T72" s="2128"/>
      <c r="U72" s="2128"/>
      <c r="V72" s="2128"/>
      <c r="W72" s="2128"/>
      <c r="X72" s="2128"/>
      <c r="Y72" s="2128"/>
      <c r="Z72" s="2128"/>
      <c r="AA72" s="2128"/>
      <c r="AB72" s="2128"/>
      <c r="AC72" s="2128"/>
      <c r="AD72" s="2128"/>
    </row>
    <row r="73" spans="1:30" ht="15.75" customHeight="1" x14ac:dyDescent="0.3">
      <c r="A73" s="4433"/>
      <c r="B73" s="4433"/>
      <c r="C73" s="2128"/>
      <c r="D73" s="2128"/>
      <c r="E73" s="2128"/>
      <c r="F73" s="2128"/>
      <c r="G73" s="2128"/>
      <c r="H73" s="2128"/>
      <c r="I73" s="2128"/>
      <c r="J73" s="2128"/>
      <c r="K73" s="2128"/>
      <c r="L73" s="2128"/>
      <c r="M73" s="2128"/>
      <c r="N73" s="2128"/>
      <c r="O73" s="2128"/>
      <c r="P73" s="2128"/>
      <c r="Q73" s="2128"/>
      <c r="R73" s="2128"/>
      <c r="S73" s="2128"/>
      <c r="T73" s="2128"/>
      <c r="U73" s="2128"/>
      <c r="V73" s="2128"/>
      <c r="W73" s="2128"/>
      <c r="X73" s="2128"/>
      <c r="Y73" s="2128"/>
      <c r="Z73" s="2128"/>
      <c r="AA73" s="2128"/>
      <c r="AB73" s="2128"/>
      <c r="AC73" s="2128"/>
      <c r="AD73" s="2128"/>
    </row>
    <row r="74" spans="1:30" ht="15.75" customHeight="1" x14ac:dyDescent="0.3">
      <c r="A74" s="4433"/>
      <c r="B74" s="4433"/>
      <c r="C74" s="2128"/>
      <c r="D74" s="2128"/>
      <c r="E74" s="2128"/>
      <c r="F74" s="2128"/>
      <c r="G74" s="2128"/>
      <c r="H74" s="2128"/>
      <c r="I74" s="2128"/>
      <c r="J74" s="2128"/>
      <c r="K74" s="2128"/>
      <c r="L74" s="2128"/>
      <c r="M74" s="2128"/>
      <c r="N74" s="2128"/>
      <c r="O74" s="2128"/>
      <c r="P74" s="2128"/>
      <c r="Q74" s="2128"/>
      <c r="R74" s="2128"/>
      <c r="S74" s="2128"/>
      <c r="T74" s="2128"/>
      <c r="U74" s="2128"/>
      <c r="V74" s="2128"/>
      <c r="W74" s="2128"/>
      <c r="X74" s="2128"/>
      <c r="Y74" s="2128"/>
      <c r="Z74" s="2128"/>
      <c r="AA74" s="2128"/>
      <c r="AB74" s="2128"/>
      <c r="AC74" s="2128"/>
      <c r="AD74" s="2128"/>
    </row>
    <row r="75" spans="1:30" ht="15.75" customHeight="1" x14ac:dyDescent="0.3">
      <c r="A75" s="4433"/>
      <c r="B75" s="4433"/>
      <c r="C75" s="2128"/>
      <c r="D75" s="2128"/>
      <c r="E75" s="2128"/>
      <c r="F75" s="2128"/>
      <c r="G75" s="2128"/>
      <c r="H75" s="2128"/>
      <c r="I75" s="2128"/>
      <c r="J75" s="2128"/>
      <c r="K75" s="2128"/>
      <c r="L75" s="2128"/>
      <c r="M75" s="2128"/>
      <c r="N75" s="2128"/>
      <c r="O75" s="2128"/>
      <c r="P75" s="2128"/>
      <c r="Q75" s="2128"/>
      <c r="R75" s="2128"/>
      <c r="S75" s="2128"/>
      <c r="T75" s="2128"/>
      <c r="U75" s="2128"/>
      <c r="V75" s="2128"/>
      <c r="W75" s="2128"/>
      <c r="X75" s="2128"/>
      <c r="Y75" s="2128"/>
      <c r="Z75" s="2128"/>
      <c r="AA75" s="2128"/>
      <c r="AB75" s="2128"/>
      <c r="AC75" s="2128"/>
      <c r="AD75" s="2128"/>
    </row>
    <row r="76" spans="1:30" ht="15.75" customHeight="1" x14ac:dyDescent="0.3">
      <c r="A76" s="4433"/>
      <c r="B76" s="4433"/>
      <c r="C76" s="2128"/>
      <c r="D76" s="2128"/>
      <c r="E76" s="2128"/>
      <c r="F76" s="2128"/>
      <c r="G76" s="2128"/>
      <c r="H76" s="2128"/>
      <c r="I76" s="2128"/>
      <c r="J76" s="2128"/>
      <c r="K76" s="2128"/>
      <c r="L76" s="2128"/>
      <c r="M76" s="2128"/>
      <c r="N76" s="2128"/>
      <c r="O76" s="2128"/>
      <c r="P76" s="2128"/>
      <c r="Q76" s="2128"/>
      <c r="R76" s="2128"/>
      <c r="S76" s="2128"/>
      <c r="T76" s="2128"/>
      <c r="U76" s="2128"/>
      <c r="V76" s="2128"/>
      <c r="W76" s="2128"/>
      <c r="X76" s="2128"/>
      <c r="Y76" s="2128"/>
      <c r="Z76" s="2128"/>
      <c r="AA76" s="2128"/>
      <c r="AB76" s="2128"/>
      <c r="AC76" s="2128"/>
      <c r="AD76" s="2128"/>
    </row>
    <row r="77" spans="1:30" ht="15.75" customHeight="1" x14ac:dyDescent="0.3">
      <c r="A77" s="4433"/>
      <c r="B77" s="4433"/>
      <c r="C77" s="2128"/>
      <c r="D77" s="2128"/>
      <c r="E77" s="2128"/>
      <c r="F77" s="2128"/>
      <c r="G77" s="2128"/>
      <c r="H77" s="2128"/>
      <c r="I77" s="2128"/>
      <c r="J77" s="2128"/>
      <c r="K77" s="2128"/>
      <c r="L77" s="2128"/>
      <c r="M77" s="2128"/>
      <c r="N77" s="2128"/>
      <c r="O77" s="2128"/>
      <c r="P77" s="2128"/>
      <c r="Q77" s="2128"/>
      <c r="R77" s="2128"/>
      <c r="S77" s="2128"/>
      <c r="T77" s="2128"/>
      <c r="U77" s="2128"/>
      <c r="V77" s="2128"/>
      <c r="W77" s="2128"/>
      <c r="X77" s="2128"/>
      <c r="Y77" s="2128"/>
      <c r="Z77" s="2128"/>
      <c r="AA77" s="2128"/>
      <c r="AB77" s="2128"/>
      <c r="AC77" s="2128"/>
      <c r="AD77" s="2128"/>
    </row>
    <row r="78" spans="1:30" ht="15.75" customHeight="1" x14ac:dyDescent="0.3">
      <c r="A78" s="4433"/>
      <c r="B78" s="4433"/>
      <c r="C78" s="2128"/>
      <c r="D78" s="2128"/>
      <c r="E78" s="2128"/>
      <c r="F78" s="2128"/>
      <c r="G78" s="2128"/>
      <c r="H78" s="2128"/>
      <c r="I78" s="2128"/>
      <c r="J78" s="2128"/>
      <c r="K78" s="2128"/>
      <c r="L78" s="2128"/>
      <c r="M78" s="2128"/>
      <c r="N78" s="2128"/>
      <c r="O78" s="2128"/>
      <c r="P78" s="2128"/>
      <c r="Q78" s="2128"/>
      <c r="R78" s="2128"/>
      <c r="S78" s="2128"/>
      <c r="T78" s="2128"/>
      <c r="U78" s="2128"/>
      <c r="V78" s="2128"/>
      <c r="W78" s="2128"/>
      <c r="X78" s="2128"/>
      <c r="Y78" s="2128"/>
      <c r="Z78" s="2128"/>
      <c r="AA78" s="2128"/>
      <c r="AB78" s="2128"/>
      <c r="AC78" s="2128"/>
      <c r="AD78" s="2128"/>
    </row>
    <row r="79" spans="1:30" ht="15.75" customHeight="1" x14ac:dyDescent="0.3">
      <c r="A79" s="4433"/>
      <c r="B79" s="4433"/>
      <c r="C79" s="2128"/>
      <c r="D79" s="2128"/>
      <c r="E79" s="2128"/>
      <c r="F79" s="2128"/>
      <c r="G79" s="2128"/>
      <c r="H79" s="2128"/>
      <c r="I79" s="2128"/>
      <c r="J79" s="2128"/>
      <c r="K79" s="2128"/>
      <c r="L79" s="2128"/>
      <c r="M79" s="2128"/>
      <c r="N79" s="2128"/>
      <c r="O79" s="2128"/>
      <c r="P79" s="2128"/>
      <c r="Q79" s="2128"/>
      <c r="R79" s="2128"/>
      <c r="S79" s="2128"/>
      <c r="T79" s="2128"/>
      <c r="U79" s="2128"/>
      <c r="V79" s="2128"/>
      <c r="W79" s="2128"/>
      <c r="X79" s="2128"/>
      <c r="Y79" s="2128"/>
      <c r="Z79" s="2128"/>
      <c r="AA79" s="2128"/>
      <c r="AB79" s="2128"/>
      <c r="AC79" s="2128"/>
      <c r="AD79" s="2128"/>
    </row>
    <row r="80" spans="1:30" ht="15.75" customHeight="1" x14ac:dyDescent="0.3">
      <c r="A80" s="4433"/>
      <c r="B80" s="4433"/>
      <c r="C80" s="2128"/>
      <c r="D80" s="2128"/>
      <c r="E80" s="2128"/>
      <c r="F80" s="2128"/>
      <c r="G80" s="2128"/>
      <c r="H80" s="2128"/>
      <c r="I80" s="2128"/>
      <c r="J80" s="2128"/>
      <c r="K80" s="2128"/>
      <c r="L80" s="2128"/>
      <c r="M80" s="2128"/>
      <c r="N80" s="2128"/>
      <c r="O80" s="2128"/>
      <c r="P80" s="2128"/>
      <c r="Q80" s="2128"/>
      <c r="R80" s="2128"/>
      <c r="S80" s="2128"/>
      <c r="T80" s="2128"/>
      <c r="U80" s="2128"/>
      <c r="V80" s="2128"/>
      <c r="W80" s="2128"/>
      <c r="X80" s="2128"/>
      <c r="Y80" s="2128"/>
      <c r="Z80" s="2128"/>
      <c r="AA80" s="2128"/>
      <c r="AB80" s="2128"/>
      <c r="AC80" s="2128"/>
      <c r="AD80" s="2128"/>
    </row>
    <row r="81" spans="1:30" ht="15.75" customHeight="1" x14ac:dyDescent="0.3">
      <c r="A81" s="4433"/>
      <c r="B81" s="4433"/>
      <c r="C81" s="2128"/>
      <c r="D81" s="2128"/>
      <c r="E81" s="2128"/>
      <c r="F81" s="2128"/>
      <c r="G81" s="2128"/>
      <c r="H81" s="2128"/>
      <c r="I81" s="2128"/>
      <c r="J81" s="2128"/>
      <c r="K81" s="2128"/>
      <c r="L81" s="2128"/>
      <c r="M81" s="2128"/>
      <c r="N81" s="2128"/>
      <c r="O81" s="2128"/>
      <c r="P81" s="2128"/>
      <c r="Q81" s="2128"/>
      <c r="R81" s="2128"/>
      <c r="S81" s="2128"/>
      <c r="T81" s="2128"/>
      <c r="U81" s="2128"/>
      <c r="V81" s="2128"/>
      <c r="W81" s="2128"/>
      <c r="X81" s="2128"/>
      <c r="Y81" s="2128"/>
      <c r="Z81" s="2128"/>
      <c r="AA81" s="2128"/>
      <c r="AB81" s="2128"/>
      <c r="AC81" s="2128"/>
      <c r="AD81" s="2128"/>
    </row>
    <row r="82" spans="1:30" ht="15.75" customHeight="1" x14ac:dyDescent="0.3">
      <c r="A82" s="4433"/>
      <c r="B82" s="4433"/>
      <c r="C82" s="2128"/>
      <c r="D82" s="2128"/>
      <c r="E82" s="2128"/>
      <c r="F82" s="2128"/>
      <c r="G82" s="2128"/>
      <c r="H82" s="2128"/>
      <c r="I82" s="2128"/>
      <c r="J82" s="2128"/>
      <c r="K82" s="2128"/>
      <c r="L82" s="2128"/>
      <c r="M82" s="2128"/>
      <c r="N82" s="2128"/>
      <c r="O82" s="2128"/>
      <c r="P82" s="2128"/>
      <c r="Q82" s="2128"/>
      <c r="R82" s="2128"/>
      <c r="S82" s="2128"/>
      <c r="T82" s="2128"/>
      <c r="U82" s="2128"/>
      <c r="V82" s="2128"/>
      <c r="W82" s="2128"/>
      <c r="X82" s="2128"/>
      <c r="Y82" s="2128"/>
      <c r="Z82" s="2128"/>
      <c r="AA82" s="2128"/>
      <c r="AB82" s="2128"/>
      <c r="AC82" s="2128"/>
      <c r="AD82" s="2128"/>
    </row>
    <row r="83" spans="1:30" ht="15.75" customHeight="1" x14ac:dyDescent="0.3">
      <c r="A83" s="4433"/>
      <c r="B83" s="4433"/>
      <c r="C83" s="2128"/>
      <c r="D83" s="2128"/>
      <c r="E83" s="2128"/>
      <c r="F83" s="2128"/>
      <c r="G83" s="2128"/>
      <c r="H83" s="2128"/>
      <c r="I83" s="2128"/>
      <c r="J83" s="2128"/>
      <c r="K83" s="2128"/>
      <c r="L83" s="2128"/>
      <c r="M83" s="2128"/>
      <c r="N83" s="2128"/>
      <c r="O83" s="2128"/>
      <c r="P83" s="2128"/>
      <c r="Q83" s="2128"/>
      <c r="R83" s="2128"/>
      <c r="S83" s="2128"/>
      <c r="T83" s="2128"/>
      <c r="U83" s="2128"/>
      <c r="V83" s="2128"/>
      <c r="W83" s="2128"/>
      <c r="X83" s="2128"/>
      <c r="Y83" s="2128"/>
      <c r="Z83" s="2128"/>
      <c r="AA83" s="2128"/>
      <c r="AB83" s="2128"/>
      <c r="AC83" s="2128"/>
      <c r="AD83" s="2128"/>
    </row>
    <row r="84" spans="1:30" ht="15.75" customHeight="1" x14ac:dyDescent="0.3">
      <c r="A84" s="4433"/>
      <c r="B84" s="4433"/>
      <c r="C84" s="2128"/>
      <c r="D84" s="2128"/>
      <c r="E84" s="2128"/>
      <c r="F84" s="2128"/>
      <c r="G84" s="2128"/>
      <c r="H84" s="2128"/>
      <c r="I84" s="2128"/>
      <c r="J84" s="2128"/>
      <c r="K84" s="2128"/>
      <c r="L84" s="2128"/>
      <c r="M84" s="2128"/>
      <c r="N84" s="2128"/>
      <c r="O84" s="2128"/>
      <c r="P84" s="2128"/>
      <c r="Q84" s="2128"/>
      <c r="R84" s="2128"/>
      <c r="S84" s="2128"/>
      <c r="T84" s="2128"/>
      <c r="U84" s="2128"/>
      <c r="V84" s="2128"/>
      <c r="W84" s="2128"/>
      <c r="X84" s="2128"/>
      <c r="Y84" s="2128"/>
      <c r="Z84" s="2128"/>
      <c r="AA84" s="2128"/>
      <c r="AB84" s="2128"/>
      <c r="AC84" s="2128"/>
      <c r="AD84" s="2128"/>
    </row>
    <row r="85" spans="1:30" ht="15.75" customHeight="1" x14ac:dyDescent="0.3">
      <c r="A85" s="4433"/>
      <c r="B85" s="4433"/>
      <c r="C85" s="2128"/>
      <c r="D85" s="2128"/>
      <c r="E85" s="2128"/>
      <c r="F85" s="2128"/>
      <c r="G85" s="2128"/>
      <c r="H85" s="2128"/>
      <c r="I85" s="2128"/>
      <c r="J85" s="2128"/>
      <c r="K85" s="2128"/>
      <c r="L85" s="2128"/>
      <c r="M85" s="2128"/>
      <c r="N85" s="2128"/>
      <c r="O85" s="2128"/>
      <c r="P85" s="2128"/>
      <c r="Q85" s="2128"/>
      <c r="R85" s="2128"/>
      <c r="S85" s="2128"/>
      <c r="T85" s="2128"/>
      <c r="U85" s="2128"/>
      <c r="V85" s="2128"/>
      <c r="W85" s="2128"/>
      <c r="X85" s="2128"/>
      <c r="Y85" s="2128"/>
      <c r="Z85" s="2128"/>
      <c r="AA85" s="2128"/>
      <c r="AB85" s="2128"/>
      <c r="AC85" s="2128"/>
      <c r="AD85" s="2128"/>
    </row>
    <row r="86" spans="1:30" ht="15.75" customHeight="1" x14ac:dyDescent="0.3">
      <c r="A86" s="4433"/>
      <c r="B86" s="4433"/>
      <c r="C86" s="2128"/>
      <c r="D86" s="2128"/>
      <c r="E86" s="2128"/>
      <c r="F86" s="2128"/>
      <c r="G86" s="2128"/>
      <c r="H86" s="2128"/>
      <c r="I86" s="2128"/>
      <c r="J86" s="2128"/>
      <c r="K86" s="2128"/>
      <c r="L86" s="2128"/>
      <c r="M86" s="2128"/>
      <c r="N86" s="2128"/>
      <c r="O86" s="2128"/>
      <c r="P86" s="2128"/>
      <c r="Q86" s="2128"/>
      <c r="R86" s="2128"/>
      <c r="S86" s="2128"/>
      <c r="T86" s="2128"/>
      <c r="U86" s="2128"/>
      <c r="V86" s="2128"/>
      <c r="W86" s="2128"/>
      <c r="X86" s="2128"/>
      <c r="Y86" s="2128"/>
      <c r="Z86" s="2128"/>
      <c r="AA86" s="2128"/>
      <c r="AB86" s="2128"/>
      <c r="AC86" s="2128"/>
      <c r="AD86" s="2128"/>
    </row>
    <row r="87" spans="1:30" ht="15.75" customHeight="1" x14ac:dyDescent="0.3">
      <c r="A87" s="4433"/>
      <c r="B87" s="4433"/>
      <c r="C87" s="2128"/>
      <c r="D87" s="2128"/>
      <c r="E87" s="2128"/>
      <c r="F87" s="2128"/>
      <c r="G87" s="2128"/>
      <c r="H87" s="2128"/>
      <c r="I87" s="2128"/>
      <c r="J87" s="2128"/>
      <c r="K87" s="2128"/>
      <c r="L87" s="2128"/>
      <c r="M87" s="2128"/>
      <c r="N87" s="2128"/>
      <c r="O87" s="2128"/>
      <c r="P87" s="2128"/>
      <c r="Q87" s="2128"/>
      <c r="R87" s="2128"/>
      <c r="S87" s="2128"/>
      <c r="T87" s="2128"/>
      <c r="U87" s="2128"/>
      <c r="V87" s="2128"/>
      <c r="W87" s="2128"/>
      <c r="X87" s="2128"/>
      <c r="Y87" s="2128"/>
      <c r="Z87" s="2128"/>
      <c r="AA87" s="2128"/>
      <c r="AB87" s="2128"/>
      <c r="AC87" s="2128"/>
      <c r="AD87" s="2128"/>
    </row>
    <row r="88" spans="1:30" ht="15.75" customHeight="1" x14ac:dyDescent="0.3">
      <c r="A88" s="4433"/>
      <c r="B88" s="4433"/>
      <c r="C88" s="2128"/>
      <c r="D88" s="2128"/>
      <c r="E88" s="2128"/>
      <c r="F88" s="2128"/>
      <c r="G88" s="2128"/>
      <c r="H88" s="2128"/>
      <c r="I88" s="2128"/>
      <c r="J88" s="2128"/>
      <c r="K88" s="2128"/>
      <c r="L88" s="2128"/>
      <c r="M88" s="2128"/>
      <c r="N88" s="2128"/>
      <c r="O88" s="2128"/>
      <c r="P88" s="2128"/>
      <c r="Q88" s="2128"/>
      <c r="R88" s="2128"/>
      <c r="S88" s="2128"/>
      <c r="T88" s="2128"/>
      <c r="U88" s="2128"/>
      <c r="V88" s="2128"/>
      <c r="W88" s="2128"/>
      <c r="X88" s="2128"/>
      <c r="Y88" s="2128"/>
      <c r="Z88" s="2128"/>
      <c r="AA88" s="2128"/>
      <c r="AB88" s="2128"/>
      <c r="AC88" s="2128"/>
      <c r="AD88" s="2128"/>
    </row>
    <row r="89" spans="1:30" ht="15.75" customHeight="1" x14ac:dyDescent="0.3">
      <c r="A89" s="4433"/>
      <c r="B89" s="4433"/>
      <c r="C89" s="2128"/>
      <c r="D89" s="2128"/>
      <c r="E89" s="2128"/>
      <c r="F89" s="2128"/>
      <c r="G89" s="2128"/>
      <c r="H89" s="2128"/>
      <c r="I89" s="2128"/>
      <c r="J89" s="2128"/>
      <c r="K89" s="2128"/>
      <c r="L89" s="2128"/>
      <c r="M89" s="2128"/>
      <c r="N89" s="2128"/>
      <c r="O89" s="2128"/>
      <c r="P89" s="2128"/>
      <c r="Q89" s="2128"/>
      <c r="R89" s="2128"/>
      <c r="S89" s="2128"/>
      <c r="T89" s="2128"/>
      <c r="U89" s="2128"/>
      <c r="V89" s="2128"/>
      <c r="W89" s="2128"/>
      <c r="X89" s="2128"/>
      <c r="Y89" s="2128"/>
      <c r="Z89" s="2128"/>
      <c r="AA89" s="2128"/>
      <c r="AB89" s="2128"/>
      <c r="AC89" s="2128"/>
      <c r="AD89" s="2128"/>
    </row>
    <row r="90" spans="1:30" ht="15.75" customHeight="1" x14ac:dyDescent="0.3">
      <c r="A90" s="4433"/>
      <c r="B90" s="4433"/>
      <c r="C90" s="2128"/>
      <c r="D90" s="2128"/>
      <c r="E90" s="2128"/>
      <c r="F90" s="2128"/>
      <c r="G90" s="2128"/>
      <c r="H90" s="2128"/>
      <c r="I90" s="2128"/>
      <c r="J90" s="2128"/>
      <c r="K90" s="2128"/>
      <c r="L90" s="2128"/>
      <c r="M90" s="2128"/>
      <c r="N90" s="2128"/>
      <c r="O90" s="2128"/>
      <c r="P90" s="2128"/>
      <c r="Q90" s="2128"/>
      <c r="R90" s="2128"/>
      <c r="S90" s="2128"/>
      <c r="T90" s="2128"/>
      <c r="U90" s="2128"/>
      <c r="V90" s="2128"/>
      <c r="W90" s="2128"/>
      <c r="X90" s="2128"/>
      <c r="Y90" s="2128"/>
      <c r="Z90" s="2128"/>
      <c r="AA90" s="2128"/>
      <c r="AB90" s="2128"/>
      <c r="AC90" s="2128"/>
      <c r="AD90" s="2128"/>
    </row>
    <row r="91" spans="1:30" ht="15.75" customHeight="1" x14ac:dyDescent="0.3">
      <c r="A91" s="4433"/>
      <c r="B91" s="4433"/>
      <c r="C91" s="2128"/>
      <c r="D91" s="2128"/>
      <c r="E91" s="2128"/>
      <c r="F91" s="2128"/>
      <c r="G91" s="2128"/>
      <c r="H91" s="2128"/>
      <c r="I91" s="2128"/>
      <c r="J91" s="2128"/>
      <c r="K91" s="2128"/>
      <c r="L91" s="2128"/>
      <c r="M91" s="2128"/>
      <c r="N91" s="2128"/>
      <c r="O91" s="2128"/>
      <c r="P91" s="2128"/>
      <c r="Q91" s="2128"/>
      <c r="R91" s="2128"/>
      <c r="S91" s="2128"/>
      <c r="T91" s="2128"/>
      <c r="U91" s="2128"/>
      <c r="V91" s="2128"/>
      <c r="W91" s="2128"/>
      <c r="X91" s="2128"/>
      <c r="Y91" s="2128"/>
      <c r="Z91" s="2128"/>
      <c r="AA91" s="2128"/>
      <c r="AB91" s="2128"/>
      <c r="AC91" s="2128"/>
      <c r="AD91" s="2128"/>
    </row>
    <row r="92" spans="1:30" ht="15.75" customHeight="1" x14ac:dyDescent="0.3">
      <c r="A92" s="4433"/>
      <c r="B92" s="4433"/>
      <c r="C92" s="2128"/>
      <c r="D92" s="2128"/>
      <c r="E92" s="2128"/>
      <c r="F92" s="2128"/>
      <c r="G92" s="2128"/>
      <c r="H92" s="2128"/>
      <c r="I92" s="2128"/>
      <c r="J92" s="2128"/>
      <c r="K92" s="2128"/>
      <c r="L92" s="2128"/>
      <c r="M92" s="2128"/>
      <c r="N92" s="2128"/>
      <c r="O92" s="2128"/>
      <c r="P92" s="2128"/>
      <c r="Q92" s="2128"/>
      <c r="R92" s="2128"/>
      <c r="S92" s="2128"/>
      <c r="T92" s="2128"/>
      <c r="U92" s="2128"/>
      <c r="V92" s="2128"/>
      <c r="W92" s="2128"/>
      <c r="X92" s="2128"/>
      <c r="Y92" s="2128"/>
      <c r="Z92" s="2128"/>
      <c r="AA92" s="2128"/>
      <c r="AB92" s="2128"/>
      <c r="AC92" s="2128"/>
      <c r="AD92" s="2128"/>
    </row>
    <row r="93" spans="1:30" ht="15.75" customHeight="1" x14ac:dyDescent="0.3">
      <c r="A93" s="4433"/>
      <c r="B93" s="4433"/>
      <c r="C93" s="2128"/>
      <c r="D93" s="2128"/>
      <c r="E93" s="2128"/>
      <c r="F93" s="2128"/>
      <c r="G93" s="2128"/>
      <c r="H93" s="2128"/>
      <c r="I93" s="2128"/>
      <c r="J93" s="2128"/>
      <c r="K93" s="2128"/>
      <c r="L93" s="2128"/>
      <c r="M93" s="2128"/>
      <c r="N93" s="2128"/>
      <c r="O93" s="2128"/>
      <c r="P93" s="2128"/>
      <c r="Q93" s="2128"/>
      <c r="R93" s="2128"/>
      <c r="S93" s="2128"/>
      <c r="T93" s="2128"/>
      <c r="U93" s="2128"/>
      <c r="V93" s="2128"/>
      <c r="W93" s="2128"/>
      <c r="X93" s="2128"/>
      <c r="Y93" s="2128"/>
      <c r="Z93" s="2128"/>
      <c r="AA93" s="2128"/>
      <c r="AB93" s="2128"/>
      <c r="AC93" s="2128"/>
      <c r="AD93" s="2128"/>
    </row>
    <row r="94" spans="1:30" ht="15.75" customHeight="1" x14ac:dyDescent="0.3">
      <c r="A94" s="4433"/>
      <c r="B94" s="4433"/>
      <c r="C94" s="2128"/>
      <c r="D94" s="2128"/>
      <c r="E94" s="2128"/>
      <c r="F94" s="2128"/>
      <c r="G94" s="2128"/>
      <c r="H94" s="2128"/>
      <c r="I94" s="2128"/>
      <c r="J94" s="2128"/>
      <c r="K94" s="2128"/>
      <c r="L94" s="2128"/>
      <c r="M94" s="2128"/>
      <c r="N94" s="2128"/>
      <c r="O94" s="2128"/>
      <c r="P94" s="2128"/>
      <c r="Q94" s="2128"/>
      <c r="R94" s="2128"/>
      <c r="S94" s="2128"/>
      <c r="T94" s="2128"/>
      <c r="U94" s="2128"/>
      <c r="V94" s="2128"/>
      <c r="W94" s="2128"/>
      <c r="X94" s="2128"/>
      <c r="Y94" s="2128"/>
      <c r="Z94" s="2128"/>
      <c r="AA94" s="2128"/>
      <c r="AB94" s="2128"/>
      <c r="AC94" s="2128"/>
      <c r="AD94" s="2128"/>
    </row>
    <row r="95" spans="1:30" ht="15.75" customHeight="1" x14ac:dyDescent="0.3">
      <c r="A95" s="4433"/>
      <c r="B95" s="4433"/>
      <c r="C95" s="2128"/>
      <c r="D95" s="2128"/>
      <c r="E95" s="2128"/>
      <c r="F95" s="2128"/>
      <c r="G95" s="2128"/>
      <c r="H95" s="2128"/>
      <c r="I95" s="2128"/>
      <c r="J95" s="2128"/>
      <c r="K95" s="2128"/>
      <c r="L95" s="2128"/>
      <c r="M95" s="2128"/>
      <c r="N95" s="2128"/>
      <c r="O95" s="2128"/>
      <c r="P95" s="2128"/>
      <c r="Q95" s="2128"/>
      <c r="R95" s="2128"/>
      <c r="S95" s="2128"/>
      <c r="T95" s="2128"/>
      <c r="U95" s="2128"/>
      <c r="V95" s="2128"/>
      <c r="W95" s="2128"/>
      <c r="X95" s="2128"/>
      <c r="Y95" s="2128"/>
      <c r="Z95" s="2128"/>
      <c r="AA95" s="2128"/>
      <c r="AB95" s="2128"/>
      <c r="AC95" s="2128"/>
      <c r="AD95" s="2128"/>
    </row>
    <row r="96" spans="1:30" ht="15.75" customHeight="1" x14ac:dyDescent="0.3">
      <c r="A96" s="4433"/>
      <c r="B96" s="4433"/>
      <c r="C96" s="2128"/>
      <c r="D96" s="2128"/>
      <c r="E96" s="2128"/>
      <c r="F96" s="2128"/>
      <c r="G96" s="2128"/>
      <c r="H96" s="2128"/>
      <c r="I96" s="2128"/>
      <c r="J96" s="2128"/>
      <c r="K96" s="2128"/>
      <c r="L96" s="2128"/>
      <c r="M96" s="2128"/>
      <c r="N96" s="2128"/>
      <c r="O96" s="2128"/>
      <c r="P96" s="2128"/>
      <c r="Q96" s="2128"/>
      <c r="R96" s="2128"/>
      <c r="S96" s="2128"/>
      <c r="T96" s="2128"/>
      <c r="U96" s="2128"/>
      <c r="V96" s="2128"/>
      <c r="W96" s="2128"/>
      <c r="X96" s="2128"/>
      <c r="Y96" s="2128"/>
      <c r="Z96" s="2128"/>
      <c r="AA96" s="2128"/>
      <c r="AB96" s="2128"/>
      <c r="AC96" s="2128"/>
      <c r="AD96" s="2128"/>
    </row>
    <row r="97" spans="1:30" ht="15.75" customHeight="1" x14ac:dyDescent="0.3">
      <c r="A97" s="4433"/>
      <c r="B97" s="4433"/>
      <c r="C97" s="2128"/>
      <c r="D97" s="2128"/>
      <c r="E97" s="2128"/>
      <c r="F97" s="2128"/>
      <c r="G97" s="2128"/>
      <c r="H97" s="2128"/>
      <c r="I97" s="2128"/>
      <c r="J97" s="2128"/>
      <c r="K97" s="2128"/>
      <c r="L97" s="2128"/>
      <c r="M97" s="2128"/>
      <c r="N97" s="2128"/>
      <c r="O97" s="2128"/>
      <c r="P97" s="2128"/>
      <c r="Q97" s="2128"/>
      <c r="R97" s="2128"/>
      <c r="S97" s="2128"/>
      <c r="T97" s="2128"/>
      <c r="U97" s="2128"/>
      <c r="V97" s="2128"/>
      <c r="W97" s="2128"/>
      <c r="X97" s="2128"/>
      <c r="Y97" s="2128"/>
      <c r="Z97" s="2128"/>
      <c r="AA97" s="2128"/>
      <c r="AB97" s="2128"/>
      <c r="AC97" s="2128"/>
      <c r="AD97" s="2128"/>
    </row>
    <row r="98" spans="1:30" ht="15.75" customHeight="1" x14ac:dyDescent="0.3">
      <c r="A98" s="4433"/>
      <c r="B98" s="4433"/>
      <c r="C98" s="2128"/>
      <c r="D98" s="2128"/>
      <c r="E98" s="2128"/>
      <c r="F98" s="2128"/>
      <c r="G98" s="2128"/>
      <c r="H98" s="2128"/>
      <c r="I98" s="2128"/>
      <c r="J98" s="2128"/>
      <c r="K98" s="2128"/>
      <c r="L98" s="2128"/>
      <c r="M98" s="2128"/>
      <c r="N98" s="2128"/>
      <c r="O98" s="2128"/>
      <c r="P98" s="2128"/>
      <c r="Q98" s="2128"/>
      <c r="R98" s="2128"/>
      <c r="S98" s="2128"/>
      <c r="T98" s="2128"/>
      <c r="U98" s="2128"/>
      <c r="V98" s="2128"/>
      <c r="W98" s="2128"/>
      <c r="X98" s="2128"/>
      <c r="Y98" s="2128"/>
      <c r="Z98" s="2128"/>
      <c r="AA98" s="2128"/>
      <c r="AB98" s="2128"/>
      <c r="AC98" s="2128"/>
      <c r="AD98" s="2128"/>
    </row>
    <row r="99" spans="1:30" ht="15.75" customHeight="1" x14ac:dyDescent="0.3">
      <c r="A99" s="4433"/>
      <c r="B99" s="4433"/>
      <c r="C99" s="2128"/>
      <c r="D99" s="2128"/>
      <c r="E99" s="2128"/>
      <c r="F99" s="2128"/>
      <c r="G99" s="2128"/>
      <c r="H99" s="2128"/>
      <c r="I99" s="2128"/>
      <c r="J99" s="2128"/>
      <c r="K99" s="2128"/>
      <c r="L99" s="2128"/>
      <c r="M99" s="2128"/>
      <c r="N99" s="2128"/>
      <c r="O99" s="2128"/>
      <c r="P99" s="2128"/>
      <c r="Q99" s="2128"/>
      <c r="R99" s="2128"/>
      <c r="S99" s="2128"/>
      <c r="T99" s="2128"/>
      <c r="U99" s="2128"/>
      <c r="V99" s="2128"/>
      <c r="W99" s="2128"/>
      <c r="X99" s="2128"/>
      <c r="Y99" s="2128"/>
      <c r="Z99" s="2128"/>
      <c r="AA99" s="2128"/>
      <c r="AB99" s="2128"/>
      <c r="AC99" s="2128"/>
      <c r="AD99" s="2128"/>
    </row>
    <row r="100" spans="1:30" ht="15.75" customHeight="1" x14ac:dyDescent="0.3">
      <c r="A100" s="4433"/>
      <c r="B100" s="4433"/>
      <c r="C100" s="2128"/>
      <c r="D100" s="2128"/>
      <c r="E100" s="2128"/>
      <c r="F100" s="2128"/>
      <c r="G100" s="2128"/>
      <c r="H100" s="2128"/>
      <c r="I100" s="2128"/>
      <c r="J100" s="2128"/>
      <c r="K100" s="2128"/>
      <c r="L100" s="2128"/>
      <c r="M100" s="2128"/>
      <c r="N100" s="2128"/>
      <c r="O100" s="2128"/>
      <c r="P100" s="2128"/>
      <c r="Q100" s="2128"/>
      <c r="R100" s="2128"/>
      <c r="S100" s="2128"/>
      <c r="T100" s="2128"/>
      <c r="U100" s="2128"/>
      <c r="V100" s="2128"/>
      <c r="W100" s="2128"/>
      <c r="X100" s="2128"/>
      <c r="Y100" s="2128"/>
      <c r="Z100" s="2128"/>
      <c r="AA100" s="2128"/>
      <c r="AB100" s="2128"/>
      <c r="AC100" s="2128"/>
      <c r="AD100" s="2128"/>
    </row>
    <row r="101" spans="1:30" ht="15.75" customHeight="1" x14ac:dyDescent="0.3">
      <c r="A101" s="4433"/>
      <c r="B101" s="4433"/>
      <c r="C101" s="2128"/>
      <c r="D101" s="2128"/>
      <c r="E101" s="2128"/>
      <c r="F101" s="2128"/>
      <c r="G101" s="2128"/>
      <c r="H101" s="2128"/>
      <c r="I101" s="2128"/>
      <c r="J101" s="2128"/>
      <c r="K101" s="2128"/>
      <c r="L101" s="2128"/>
      <c r="M101" s="2128"/>
      <c r="N101" s="2128"/>
      <c r="O101" s="2128"/>
      <c r="P101" s="2128"/>
      <c r="Q101" s="2128"/>
      <c r="R101" s="2128"/>
      <c r="S101" s="2128"/>
      <c r="T101" s="2128"/>
      <c r="U101" s="2128"/>
      <c r="V101" s="2128"/>
      <c r="W101" s="2128"/>
      <c r="X101" s="2128"/>
      <c r="Y101" s="2128"/>
      <c r="Z101" s="2128"/>
      <c r="AA101" s="2128"/>
      <c r="AB101" s="2128"/>
      <c r="AC101" s="2128"/>
      <c r="AD101" s="2128"/>
    </row>
    <row r="102" spans="1:30" ht="15.75" customHeight="1" x14ac:dyDescent="0.3">
      <c r="A102" s="4433"/>
      <c r="B102" s="4433"/>
      <c r="C102" s="2128"/>
      <c r="D102" s="2128"/>
      <c r="E102" s="2128"/>
      <c r="F102" s="2128"/>
      <c r="G102" s="2128"/>
      <c r="H102" s="2128"/>
      <c r="I102" s="2128"/>
      <c r="J102" s="2128"/>
      <c r="K102" s="2128"/>
      <c r="L102" s="2128"/>
      <c r="M102" s="2128"/>
      <c r="N102" s="2128"/>
      <c r="O102" s="2128"/>
      <c r="P102" s="2128"/>
      <c r="Q102" s="2128"/>
      <c r="R102" s="2128"/>
      <c r="S102" s="2128"/>
      <c r="T102" s="2128"/>
      <c r="U102" s="2128"/>
      <c r="V102" s="2128"/>
      <c r="W102" s="2128"/>
      <c r="X102" s="2128"/>
      <c r="Y102" s="2128"/>
      <c r="Z102" s="2128"/>
      <c r="AA102" s="2128"/>
      <c r="AB102" s="2128"/>
      <c r="AC102" s="2128"/>
      <c r="AD102" s="2128"/>
    </row>
    <row r="103" spans="1:30" ht="15.75" customHeight="1" x14ac:dyDescent="0.3">
      <c r="A103" s="4433"/>
      <c r="B103" s="4433"/>
      <c r="C103" s="2128"/>
      <c r="D103" s="2128"/>
      <c r="E103" s="2128"/>
      <c r="F103" s="2128"/>
      <c r="G103" s="2128"/>
      <c r="H103" s="2128"/>
      <c r="I103" s="2128"/>
      <c r="J103" s="2128"/>
      <c r="K103" s="2128"/>
      <c r="L103" s="2128"/>
      <c r="M103" s="2128"/>
      <c r="N103" s="2128"/>
      <c r="O103" s="2128"/>
      <c r="P103" s="2128"/>
      <c r="Q103" s="2128"/>
      <c r="R103" s="2128"/>
      <c r="S103" s="2128"/>
      <c r="T103" s="2128"/>
      <c r="U103" s="2128"/>
      <c r="V103" s="2128"/>
      <c r="W103" s="2128"/>
      <c r="X103" s="2128"/>
      <c r="Y103" s="2128"/>
      <c r="Z103" s="2128"/>
      <c r="AA103" s="2128"/>
      <c r="AB103" s="2128"/>
      <c r="AC103" s="2128"/>
      <c r="AD103" s="2128"/>
    </row>
    <row r="104" spans="1:30" ht="15.75" customHeight="1" x14ac:dyDescent="0.3">
      <c r="A104" s="4433"/>
      <c r="B104" s="4433"/>
      <c r="C104" s="2128"/>
      <c r="D104" s="2128"/>
      <c r="E104" s="2128"/>
      <c r="F104" s="2128"/>
      <c r="G104" s="2128"/>
      <c r="H104" s="2128"/>
      <c r="I104" s="2128"/>
      <c r="J104" s="2128"/>
      <c r="K104" s="2128"/>
      <c r="L104" s="2128"/>
      <c r="M104" s="2128"/>
      <c r="N104" s="2128"/>
      <c r="O104" s="2128"/>
      <c r="P104" s="2128"/>
      <c r="Q104" s="2128"/>
      <c r="R104" s="2128"/>
      <c r="S104" s="2128"/>
      <c r="T104" s="2128"/>
      <c r="U104" s="2128"/>
      <c r="V104" s="2128"/>
      <c r="W104" s="2128"/>
      <c r="X104" s="2128"/>
      <c r="Y104" s="2128"/>
      <c r="Z104" s="2128"/>
      <c r="AA104" s="2128"/>
      <c r="AB104" s="2128"/>
      <c r="AC104" s="2128"/>
      <c r="AD104" s="2128"/>
    </row>
    <row r="105" spans="1:30" ht="15.75" customHeight="1" x14ac:dyDescent="0.3">
      <c r="A105" s="4433"/>
      <c r="B105" s="4433"/>
      <c r="C105" s="2128"/>
      <c r="D105" s="2128"/>
      <c r="E105" s="2128"/>
      <c r="F105" s="2128"/>
      <c r="G105" s="2128"/>
      <c r="H105" s="2128"/>
      <c r="I105" s="2128"/>
      <c r="J105" s="2128"/>
      <c r="K105" s="2128"/>
      <c r="L105" s="2128"/>
      <c r="M105" s="2128"/>
      <c r="N105" s="2128"/>
      <c r="O105" s="2128"/>
      <c r="P105" s="2128"/>
      <c r="Q105" s="2128"/>
      <c r="R105" s="2128"/>
      <c r="S105" s="2128"/>
      <c r="T105" s="2128"/>
      <c r="U105" s="2128"/>
      <c r="V105" s="2128"/>
      <c r="W105" s="2128"/>
      <c r="X105" s="2128"/>
      <c r="Y105" s="2128"/>
      <c r="Z105" s="2128"/>
      <c r="AA105" s="2128"/>
      <c r="AB105" s="2128"/>
      <c r="AC105" s="2128"/>
      <c r="AD105" s="2128"/>
    </row>
    <row r="106" spans="1:30" ht="15.75" customHeight="1" x14ac:dyDescent="0.3">
      <c r="A106" s="4433"/>
      <c r="B106" s="4433"/>
      <c r="C106" s="2128"/>
      <c r="D106" s="2128"/>
      <c r="E106" s="2128"/>
      <c r="F106" s="2128"/>
      <c r="G106" s="2128"/>
      <c r="H106" s="2128"/>
      <c r="I106" s="2128"/>
      <c r="J106" s="2128"/>
      <c r="K106" s="2128"/>
      <c r="L106" s="2128"/>
      <c r="M106" s="2128"/>
      <c r="N106" s="2128"/>
      <c r="O106" s="2128"/>
      <c r="P106" s="2128"/>
      <c r="Q106" s="2128"/>
      <c r="R106" s="2128"/>
      <c r="S106" s="2128"/>
      <c r="T106" s="2128"/>
      <c r="U106" s="2128"/>
      <c r="V106" s="2128"/>
      <c r="W106" s="2128"/>
      <c r="X106" s="2128"/>
      <c r="Y106" s="2128"/>
      <c r="Z106" s="2128"/>
      <c r="AA106" s="2128"/>
      <c r="AB106" s="2128"/>
      <c r="AC106" s="2128"/>
      <c r="AD106" s="2128"/>
    </row>
    <row r="107" spans="1:30" ht="15.75" customHeight="1" x14ac:dyDescent="0.3">
      <c r="A107" s="4433"/>
      <c r="B107" s="4433"/>
      <c r="C107" s="2128"/>
      <c r="D107" s="2128"/>
      <c r="E107" s="2128"/>
      <c r="F107" s="2128"/>
      <c r="G107" s="2128"/>
      <c r="H107" s="2128"/>
      <c r="I107" s="2128"/>
      <c r="J107" s="2128"/>
      <c r="K107" s="2128"/>
      <c r="L107" s="2128"/>
      <c r="M107" s="2128"/>
      <c r="N107" s="2128"/>
      <c r="O107" s="2128"/>
      <c r="P107" s="2128"/>
      <c r="Q107" s="2128"/>
      <c r="R107" s="2128"/>
      <c r="S107" s="2128"/>
      <c r="T107" s="2128"/>
      <c r="U107" s="2128"/>
      <c r="V107" s="2128"/>
      <c r="W107" s="2128"/>
      <c r="X107" s="2128"/>
      <c r="Y107" s="2128"/>
      <c r="Z107" s="2128"/>
      <c r="AA107" s="2128"/>
      <c r="AB107" s="2128"/>
      <c r="AC107" s="2128"/>
      <c r="AD107" s="2128"/>
    </row>
    <row r="108" spans="1:30" ht="15.75" customHeight="1" x14ac:dyDescent="0.3">
      <c r="A108" s="4433"/>
      <c r="B108" s="4433"/>
      <c r="C108" s="2128"/>
      <c r="D108" s="2128"/>
      <c r="E108" s="2128"/>
      <c r="F108" s="2128"/>
      <c r="G108" s="2128"/>
      <c r="H108" s="2128"/>
      <c r="I108" s="2128"/>
      <c r="J108" s="2128"/>
      <c r="K108" s="2128"/>
      <c r="L108" s="2128"/>
      <c r="M108" s="2128"/>
      <c r="N108" s="2128"/>
      <c r="O108" s="2128"/>
      <c r="P108" s="2128"/>
      <c r="Q108" s="2128"/>
      <c r="R108" s="2128"/>
      <c r="S108" s="2128"/>
      <c r="T108" s="2128"/>
      <c r="U108" s="2128"/>
      <c r="V108" s="2128"/>
      <c r="W108" s="2128"/>
      <c r="X108" s="2128"/>
      <c r="Y108" s="2128"/>
      <c r="Z108" s="2128"/>
      <c r="AA108" s="2128"/>
      <c r="AB108" s="2128"/>
      <c r="AC108" s="2128"/>
      <c r="AD108" s="2128"/>
    </row>
    <row r="109" spans="1:30" ht="15.75" customHeight="1" x14ac:dyDescent="0.3">
      <c r="A109" s="4433"/>
      <c r="B109" s="4433"/>
      <c r="C109" s="2128"/>
      <c r="D109" s="2128"/>
      <c r="E109" s="2128"/>
      <c r="F109" s="2128"/>
      <c r="G109" s="2128"/>
      <c r="H109" s="2128"/>
      <c r="I109" s="2128"/>
      <c r="J109" s="2128"/>
      <c r="K109" s="2128"/>
      <c r="L109" s="2128"/>
      <c r="M109" s="2128"/>
      <c r="N109" s="2128"/>
      <c r="O109" s="2128"/>
      <c r="P109" s="2128"/>
      <c r="Q109" s="2128"/>
      <c r="R109" s="2128"/>
      <c r="S109" s="2128"/>
      <c r="T109" s="2128"/>
      <c r="U109" s="2128"/>
      <c r="V109" s="2128"/>
      <c r="W109" s="2128"/>
      <c r="X109" s="2128"/>
      <c r="Y109" s="2128"/>
      <c r="Z109" s="2128"/>
      <c r="AA109" s="2128"/>
      <c r="AB109" s="2128"/>
      <c r="AC109" s="2128"/>
      <c r="AD109" s="2128"/>
    </row>
    <row r="110" spans="1:30" ht="15.75" customHeight="1" x14ac:dyDescent="0.3">
      <c r="A110" s="4433"/>
      <c r="B110" s="4433"/>
      <c r="C110" s="2128"/>
      <c r="D110" s="2128"/>
      <c r="E110" s="2128"/>
      <c r="F110" s="2128"/>
      <c r="G110" s="2128"/>
      <c r="H110" s="2128"/>
      <c r="I110" s="2128"/>
      <c r="J110" s="2128"/>
      <c r="K110" s="2128"/>
      <c r="L110" s="2128"/>
      <c r="M110" s="2128"/>
      <c r="N110" s="2128"/>
      <c r="O110" s="2128"/>
      <c r="P110" s="2128"/>
      <c r="Q110" s="2128"/>
      <c r="R110" s="2128"/>
      <c r="S110" s="2128"/>
      <c r="T110" s="2128"/>
      <c r="U110" s="2128"/>
      <c r="V110" s="2128"/>
      <c r="W110" s="2128"/>
      <c r="X110" s="2128"/>
      <c r="Y110" s="2128"/>
      <c r="Z110" s="2128"/>
      <c r="AA110" s="2128"/>
      <c r="AB110" s="2128"/>
      <c r="AC110" s="2128"/>
      <c r="AD110" s="2128"/>
    </row>
    <row r="111" spans="1:30" ht="15.75" customHeight="1" x14ac:dyDescent="0.3">
      <c r="A111" s="4433"/>
      <c r="B111" s="4433"/>
      <c r="C111" s="2128"/>
      <c r="D111" s="2128"/>
      <c r="E111" s="2128"/>
      <c r="F111" s="2128"/>
      <c r="G111" s="2128"/>
      <c r="H111" s="2128"/>
      <c r="I111" s="2128"/>
      <c r="J111" s="2128"/>
      <c r="K111" s="2128"/>
      <c r="L111" s="2128"/>
      <c r="M111" s="2128"/>
      <c r="N111" s="2128"/>
      <c r="O111" s="2128"/>
      <c r="P111" s="2128"/>
      <c r="Q111" s="2128"/>
      <c r="R111" s="2128"/>
      <c r="S111" s="2128"/>
      <c r="T111" s="2128"/>
      <c r="U111" s="2128"/>
      <c r="V111" s="2128"/>
      <c r="W111" s="2128"/>
      <c r="X111" s="2128"/>
      <c r="Y111" s="2128"/>
      <c r="Z111" s="2128"/>
      <c r="AA111" s="2128"/>
      <c r="AB111" s="2128"/>
      <c r="AC111" s="2128"/>
      <c r="AD111" s="2128"/>
    </row>
    <row r="112" spans="1:30" ht="15.75" customHeight="1" x14ac:dyDescent="0.3">
      <c r="A112" s="4433"/>
      <c r="B112" s="4433"/>
      <c r="C112" s="2128"/>
      <c r="D112" s="2128"/>
      <c r="E112" s="2128"/>
      <c r="F112" s="2128"/>
      <c r="G112" s="2128"/>
      <c r="H112" s="2128"/>
      <c r="I112" s="2128"/>
      <c r="J112" s="2128"/>
      <c r="K112" s="2128"/>
      <c r="L112" s="2128"/>
      <c r="M112" s="2128"/>
      <c r="N112" s="2128"/>
      <c r="O112" s="2128"/>
      <c r="P112" s="2128"/>
      <c r="Q112" s="2128"/>
      <c r="R112" s="2128"/>
      <c r="S112" s="2128"/>
      <c r="T112" s="2128"/>
      <c r="U112" s="2128"/>
      <c r="V112" s="2128"/>
      <c r="W112" s="2128"/>
      <c r="X112" s="2128"/>
      <c r="Y112" s="2128"/>
      <c r="Z112" s="2128"/>
      <c r="AA112" s="2128"/>
      <c r="AB112" s="2128"/>
      <c r="AC112" s="2128"/>
      <c r="AD112" s="2128"/>
    </row>
    <row r="113" spans="1:30" ht="15.75" customHeight="1" x14ac:dyDescent="0.3">
      <c r="A113" s="4433"/>
      <c r="B113" s="4433"/>
      <c r="C113" s="2128"/>
      <c r="D113" s="2128"/>
      <c r="E113" s="2128"/>
      <c r="F113" s="2128"/>
      <c r="G113" s="2128"/>
      <c r="H113" s="2128"/>
      <c r="I113" s="2128"/>
      <c r="J113" s="2128"/>
      <c r="K113" s="2128"/>
      <c r="L113" s="2128"/>
      <c r="M113" s="2128"/>
      <c r="N113" s="2128"/>
      <c r="O113" s="2128"/>
      <c r="P113" s="2128"/>
      <c r="Q113" s="2128"/>
      <c r="R113" s="2128"/>
      <c r="S113" s="2128"/>
      <c r="T113" s="2128"/>
      <c r="U113" s="2128"/>
      <c r="V113" s="2128"/>
      <c r="W113" s="2128"/>
      <c r="X113" s="2128"/>
      <c r="Y113" s="2128"/>
      <c r="Z113" s="2128"/>
      <c r="AA113" s="2128"/>
      <c r="AB113" s="2128"/>
      <c r="AC113" s="2128"/>
      <c r="AD113" s="2128"/>
    </row>
    <row r="114" spans="1:30" ht="15.75" customHeight="1" x14ac:dyDescent="0.3">
      <c r="A114" s="4433"/>
      <c r="B114" s="4433"/>
      <c r="C114" s="2128"/>
      <c r="D114" s="2128"/>
      <c r="E114" s="2128"/>
      <c r="F114" s="2128"/>
      <c r="G114" s="2128"/>
      <c r="H114" s="2128"/>
      <c r="I114" s="2128"/>
      <c r="J114" s="2128"/>
      <c r="K114" s="2128"/>
      <c r="L114" s="2128"/>
      <c r="M114" s="2128"/>
      <c r="N114" s="2128"/>
      <c r="O114" s="2128"/>
      <c r="P114" s="2128"/>
      <c r="Q114" s="2128"/>
      <c r="R114" s="2128"/>
      <c r="S114" s="2128"/>
      <c r="T114" s="2128"/>
      <c r="U114" s="2128"/>
      <c r="V114" s="2128"/>
      <c r="W114" s="2128"/>
      <c r="X114" s="2128"/>
      <c r="Y114" s="2128"/>
      <c r="Z114" s="2128"/>
      <c r="AA114" s="2128"/>
      <c r="AB114" s="2128"/>
      <c r="AC114" s="2128"/>
      <c r="AD114" s="2128"/>
    </row>
    <row r="115" spans="1:30" ht="15.75" customHeight="1" x14ac:dyDescent="0.3">
      <c r="A115" s="4433"/>
      <c r="B115" s="4433"/>
      <c r="C115" s="2128"/>
      <c r="D115" s="2128"/>
      <c r="E115" s="2128"/>
      <c r="F115" s="2128"/>
      <c r="G115" s="2128"/>
      <c r="H115" s="2128"/>
      <c r="I115" s="2128"/>
      <c r="J115" s="2128"/>
      <c r="K115" s="2128"/>
      <c r="L115" s="2128"/>
      <c r="M115" s="2128"/>
      <c r="N115" s="2128"/>
      <c r="O115" s="2128"/>
      <c r="P115" s="2128"/>
      <c r="Q115" s="2128"/>
      <c r="R115" s="2128"/>
      <c r="S115" s="2128"/>
      <c r="T115" s="2128"/>
      <c r="U115" s="2128"/>
      <c r="V115" s="2128"/>
      <c r="W115" s="2128"/>
      <c r="X115" s="2128"/>
      <c r="Y115" s="2128"/>
      <c r="Z115" s="2128"/>
      <c r="AA115" s="2128"/>
      <c r="AB115" s="2128"/>
      <c r="AC115" s="2128"/>
      <c r="AD115" s="2128"/>
    </row>
    <row r="116" spans="1:30" ht="15.75" customHeight="1" x14ac:dyDescent="0.3">
      <c r="A116" s="4433"/>
      <c r="B116" s="4433"/>
      <c r="C116" s="2128"/>
      <c r="D116" s="2128"/>
      <c r="E116" s="2128"/>
      <c r="F116" s="2128"/>
      <c r="G116" s="2128"/>
      <c r="H116" s="2128"/>
      <c r="I116" s="2128"/>
      <c r="J116" s="2128"/>
      <c r="K116" s="2128"/>
      <c r="L116" s="2128"/>
      <c r="M116" s="2128"/>
      <c r="N116" s="2128"/>
      <c r="O116" s="2128"/>
      <c r="P116" s="2128"/>
      <c r="Q116" s="2128"/>
      <c r="R116" s="2128"/>
      <c r="S116" s="2128"/>
      <c r="T116" s="2128"/>
      <c r="U116" s="2128"/>
      <c r="V116" s="2128"/>
      <c r="W116" s="2128"/>
      <c r="X116" s="2128"/>
      <c r="Y116" s="2128"/>
      <c r="Z116" s="2128"/>
      <c r="AA116" s="2128"/>
      <c r="AB116" s="2128"/>
      <c r="AC116" s="2128"/>
      <c r="AD116" s="2128"/>
    </row>
    <row r="117" spans="1:30" ht="15.75" customHeight="1" x14ac:dyDescent="0.3">
      <c r="A117" s="4433"/>
      <c r="B117" s="4433"/>
      <c r="C117" s="2128"/>
      <c r="D117" s="2128"/>
      <c r="E117" s="2128"/>
      <c r="F117" s="2128"/>
      <c r="G117" s="2128"/>
      <c r="H117" s="2128"/>
      <c r="I117" s="2128"/>
      <c r="J117" s="2128"/>
      <c r="K117" s="2128"/>
      <c r="L117" s="2128"/>
      <c r="M117" s="2128"/>
      <c r="N117" s="2128"/>
      <c r="O117" s="2128"/>
      <c r="P117" s="2128"/>
      <c r="Q117" s="2128"/>
      <c r="R117" s="2128"/>
      <c r="S117" s="2128"/>
      <c r="T117" s="2128"/>
      <c r="U117" s="2128"/>
      <c r="V117" s="2128"/>
      <c r="W117" s="2128"/>
      <c r="X117" s="2128"/>
      <c r="Y117" s="2128"/>
      <c r="Z117" s="2128"/>
      <c r="AA117" s="2128"/>
      <c r="AB117" s="2128"/>
      <c r="AC117" s="2128"/>
      <c r="AD117" s="2128"/>
    </row>
    <row r="118" spans="1:30" ht="15.75" customHeight="1" x14ac:dyDescent="0.3">
      <c r="A118" s="4433"/>
      <c r="B118" s="4433"/>
      <c r="C118" s="2128"/>
      <c r="D118" s="2128"/>
      <c r="E118" s="2128"/>
      <c r="F118" s="2128"/>
      <c r="G118" s="2128"/>
      <c r="H118" s="2128"/>
      <c r="I118" s="2128"/>
      <c r="J118" s="2128"/>
      <c r="K118" s="2128"/>
      <c r="L118" s="2128"/>
      <c r="M118" s="2128"/>
      <c r="N118" s="2128"/>
      <c r="O118" s="2128"/>
      <c r="P118" s="2128"/>
      <c r="Q118" s="2128"/>
      <c r="R118" s="2128"/>
      <c r="S118" s="2128"/>
      <c r="T118" s="2128"/>
      <c r="U118" s="2128"/>
      <c r="V118" s="2128"/>
      <c r="W118" s="2128"/>
      <c r="X118" s="2128"/>
      <c r="Y118" s="2128"/>
      <c r="Z118" s="2128"/>
      <c r="AA118" s="2128"/>
      <c r="AB118" s="2128"/>
      <c r="AC118" s="2128"/>
      <c r="AD118" s="2128"/>
    </row>
    <row r="119" spans="1:30" ht="15.75" customHeight="1" x14ac:dyDescent="0.3">
      <c r="A119" s="4433"/>
      <c r="B119" s="4433"/>
      <c r="C119" s="2128"/>
      <c r="D119" s="2128"/>
      <c r="E119" s="2128"/>
      <c r="F119" s="2128"/>
      <c r="G119" s="2128"/>
      <c r="H119" s="2128"/>
      <c r="I119" s="2128"/>
      <c r="J119" s="2128"/>
      <c r="K119" s="2128"/>
      <c r="L119" s="2128"/>
      <c r="M119" s="2128"/>
      <c r="N119" s="2128"/>
      <c r="O119" s="2128"/>
      <c r="P119" s="2128"/>
      <c r="Q119" s="2128"/>
      <c r="R119" s="2128"/>
      <c r="S119" s="2128"/>
      <c r="T119" s="2128"/>
      <c r="U119" s="2128"/>
      <c r="V119" s="2128"/>
      <c r="W119" s="2128"/>
      <c r="X119" s="2128"/>
      <c r="Y119" s="2128"/>
      <c r="Z119" s="2128"/>
      <c r="AA119" s="2128"/>
      <c r="AB119" s="2128"/>
      <c r="AC119" s="2128"/>
      <c r="AD119" s="2128"/>
    </row>
    <row r="120" spans="1:30" ht="15.75" customHeight="1" x14ac:dyDescent="0.3">
      <c r="A120" s="4433"/>
      <c r="B120" s="4433"/>
      <c r="C120" s="2128"/>
      <c r="D120" s="2128"/>
      <c r="E120" s="2128"/>
      <c r="F120" s="2128"/>
      <c r="G120" s="2128"/>
      <c r="H120" s="2128"/>
      <c r="I120" s="2128"/>
      <c r="J120" s="2128"/>
      <c r="K120" s="2128"/>
      <c r="L120" s="2128"/>
      <c r="M120" s="2128"/>
      <c r="N120" s="2128"/>
      <c r="O120" s="2128"/>
      <c r="P120" s="2128"/>
      <c r="Q120" s="2128"/>
      <c r="R120" s="2128"/>
      <c r="S120" s="2128"/>
      <c r="T120" s="2128"/>
      <c r="U120" s="2128"/>
      <c r="V120" s="2128"/>
      <c r="W120" s="2128"/>
      <c r="X120" s="2128"/>
      <c r="Y120" s="2128"/>
      <c r="Z120" s="2128"/>
      <c r="AA120" s="2128"/>
      <c r="AB120" s="2128"/>
      <c r="AC120" s="2128"/>
      <c r="AD120" s="2128"/>
    </row>
    <row r="121" spans="1:30" ht="15.75" customHeight="1" x14ac:dyDescent="0.3">
      <c r="A121" s="4433"/>
      <c r="B121" s="4433"/>
      <c r="C121" s="2128"/>
      <c r="D121" s="2128"/>
      <c r="E121" s="2128"/>
      <c r="F121" s="2128"/>
      <c r="G121" s="2128"/>
      <c r="H121" s="2128"/>
      <c r="I121" s="2128"/>
      <c r="J121" s="2128"/>
      <c r="K121" s="2128"/>
      <c r="L121" s="2128"/>
      <c r="M121" s="2128"/>
      <c r="N121" s="2128"/>
      <c r="O121" s="2128"/>
      <c r="P121" s="2128"/>
      <c r="Q121" s="2128"/>
      <c r="R121" s="2128"/>
      <c r="S121" s="2128"/>
      <c r="T121" s="2128"/>
      <c r="U121" s="2128"/>
      <c r="V121" s="2128"/>
      <c r="W121" s="2128"/>
      <c r="X121" s="2128"/>
      <c r="Y121" s="2128"/>
      <c r="Z121" s="2128"/>
      <c r="AA121" s="2128"/>
      <c r="AB121" s="2128"/>
      <c r="AC121" s="2128"/>
      <c r="AD121" s="2128"/>
    </row>
    <row r="122" spans="1:30" ht="15.75" customHeight="1" x14ac:dyDescent="0.3">
      <c r="A122" s="4433"/>
      <c r="B122" s="4433"/>
      <c r="C122" s="2128"/>
      <c r="D122" s="2128"/>
      <c r="E122" s="2128"/>
      <c r="F122" s="2128"/>
      <c r="G122" s="2128"/>
      <c r="H122" s="2128"/>
      <c r="I122" s="2128"/>
      <c r="J122" s="2128"/>
      <c r="K122" s="2128"/>
      <c r="L122" s="2128"/>
      <c r="M122" s="2128"/>
      <c r="N122" s="2128"/>
      <c r="O122" s="2128"/>
      <c r="P122" s="2128"/>
      <c r="Q122" s="2128"/>
      <c r="R122" s="2128"/>
      <c r="S122" s="2128"/>
      <c r="T122" s="2128"/>
      <c r="U122" s="2128"/>
      <c r="V122" s="2128"/>
      <c r="W122" s="2128"/>
      <c r="X122" s="2128"/>
      <c r="Y122" s="2128"/>
      <c r="Z122" s="2128"/>
      <c r="AA122" s="2128"/>
      <c r="AB122" s="2128"/>
      <c r="AC122" s="2128"/>
      <c r="AD122" s="2128"/>
    </row>
    <row r="123" spans="1:30" ht="15.75" customHeight="1" x14ac:dyDescent="0.3">
      <c r="A123" s="4433"/>
      <c r="B123" s="4433"/>
      <c r="C123" s="2128"/>
      <c r="D123" s="2128"/>
      <c r="E123" s="2128"/>
      <c r="F123" s="2128"/>
      <c r="G123" s="2128"/>
      <c r="H123" s="2128"/>
      <c r="I123" s="2128"/>
      <c r="J123" s="2128"/>
      <c r="K123" s="2128"/>
      <c r="L123" s="2128"/>
      <c r="M123" s="2128"/>
      <c r="N123" s="2128"/>
      <c r="O123" s="2128"/>
      <c r="P123" s="2128"/>
      <c r="Q123" s="2128"/>
      <c r="R123" s="2128"/>
      <c r="S123" s="2128"/>
      <c r="T123" s="2128"/>
      <c r="U123" s="2128"/>
      <c r="V123" s="2128"/>
      <c r="W123" s="2128"/>
      <c r="X123" s="2128"/>
      <c r="Y123" s="2128"/>
      <c r="Z123" s="2128"/>
      <c r="AA123" s="2128"/>
      <c r="AB123" s="2128"/>
      <c r="AC123" s="2128"/>
      <c r="AD123" s="2128"/>
    </row>
    <row r="124" spans="1:30" ht="15.75" customHeight="1" x14ac:dyDescent="0.3">
      <c r="A124" s="4433"/>
      <c r="B124" s="4433"/>
      <c r="C124" s="2128"/>
      <c r="D124" s="2128"/>
      <c r="E124" s="2128"/>
      <c r="F124" s="2128"/>
      <c r="G124" s="2128"/>
      <c r="H124" s="2128"/>
      <c r="I124" s="2128"/>
      <c r="J124" s="2128"/>
      <c r="K124" s="2128"/>
      <c r="L124" s="2128"/>
      <c r="M124" s="2128"/>
      <c r="N124" s="2128"/>
      <c r="O124" s="2128"/>
      <c r="P124" s="2128"/>
      <c r="Q124" s="2128"/>
      <c r="R124" s="2128"/>
      <c r="S124" s="2128"/>
      <c r="T124" s="2128"/>
      <c r="U124" s="2128"/>
      <c r="V124" s="2128"/>
      <c r="W124" s="2128"/>
      <c r="X124" s="2128"/>
      <c r="Y124" s="2128"/>
      <c r="Z124" s="2128"/>
      <c r="AA124" s="2128"/>
      <c r="AB124" s="2128"/>
      <c r="AC124" s="2128"/>
      <c r="AD124" s="2128"/>
    </row>
    <row r="125" spans="1:30" ht="15.75" customHeight="1" x14ac:dyDescent="0.3">
      <c r="A125" s="4433"/>
      <c r="B125" s="4433"/>
      <c r="C125" s="2128"/>
      <c r="D125" s="2128"/>
      <c r="E125" s="2128"/>
      <c r="F125" s="2128"/>
      <c r="G125" s="2128"/>
      <c r="H125" s="2128"/>
      <c r="I125" s="2128"/>
      <c r="J125" s="2128"/>
      <c r="K125" s="2128"/>
      <c r="L125" s="2128"/>
      <c r="M125" s="2128"/>
      <c r="N125" s="2128"/>
      <c r="O125" s="2128"/>
      <c r="P125" s="2128"/>
      <c r="Q125" s="2128"/>
      <c r="R125" s="2128"/>
      <c r="S125" s="2128"/>
      <c r="T125" s="2128"/>
      <c r="U125" s="2128"/>
      <c r="V125" s="2128"/>
      <c r="W125" s="2128"/>
      <c r="X125" s="2128"/>
      <c r="Y125" s="2128"/>
      <c r="Z125" s="2128"/>
      <c r="AA125" s="2128"/>
      <c r="AB125" s="2128"/>
      <c r="AC125" s="2128"/>
      <c r="AD125" s="2128"/>
    </row>
    <row r="126" spans="1:30" ht="15.75" customHeight="1" x14ac:dyDescent="0.3">
      <c r="A126" s="4433"/>
      <c r="B126" s="4433"/>
      <c r="C126" s="2128"/>
      <c r="D126" s="2128"/>
      <c r="E126" s="2128"/>
      <c r="F126" s="2128"/>
      <c r="G126" s="2128"/>
      <c r="H126" s="2128"/>
      <c r="I126" s="2128"/>
      <c r="J126" s="2128"/>
      <c r="K126" s="2128"/>
      <c r="L126" s="2128"/>
      <c r="M126" s="2128"/>
      <c r="N126" s="2128"/>
      <c r="O126" s="2128"/>
      <c r="P126" s="2128"/>
      <c r="Q126" s="2128"/>
      <c r="R126" s="2128"/>
      <c r="S126" s="2128"/>
      <c r="T126" s="2128"/>
      <c r="U126" s="2128"/>
      <c r="V126" s="2128"/>
      <c r="W126" s="2128"/>
      <c r="X126" s="2128"/>
      <c r="Y126" s="2128"/>
      <c r="Z126" s="2128"/>
      <c r="AA126" s="2128"/>
      <c r="AB126" s="2128"/>
      <c r="AC126" s="2128"/>
      <c r="AD126" s="2128"/>
    </row>
    <row r="127" spans="1:30" ht="15.75" customHeight="1" x14ac:dyDescent="0.3">
      <c r="A127" s="4433"/>
      <c r="B127" s="4433"/>
      <c r="C127" s="2128"/>
      <c r="D127" s="2128"/>
      <c r="E127" s="2128"/>
      <c r="F127" s="2128"/>
      <c r="G127" s="2128"/>
      <c r="H127" s="2128"/>
      <c r="I127" s="2128"/>
      <c r="J127" s="2128"/>
      <c r="K127" s="2128"/>
      <c r="L127" s="2128"/>
      <c r="M127" s="2128"/>
      <c r="N127" s="2128"/>
      <c r="O127" s="2128"/>
      <c r="P127" s="2128"/>
      <c r="Q127" s="2128"/>
      <c r="R127" s="2128"/>
      <c r="S127" s="2128"/>
      <c r="T127" s="2128"/>
      <c r="U127" s="2128"/>
      <c r="V127" s="2128"/>
      <c r="W127" s="2128"/>
      <c r="X127" s="2128"/>
      <c r="Y127" s="2128"/>
      <c r="Z127" s="2128"/>
      <c r="AA127" s="2128"/>
      <c r="AB127" s="2128"/>
      <c r="AC127" s="2128"/>
      <c r="AD127" s="2128"/>
    </row>
    <row r="128" spans="1:30" ht="15.75" customHeight="1" x14ac:dyDescent="0.3">
      <c r="A128" s="4433"/>
      <c r="B128" s="4433"/>
      <c r="C128" s="2128"/>
      <c r="D128" s="2128"/>
      <c r="E128" s="2128"/>
      <c r="F128" s="2128"/>
      <c r="G128" s="2128"/>
      <c r="H128" s="2128"/>
      <c r="I128" s="2128"/>
      <c r="J128" s="2128"/>
      <c r="K128" s="2128"/>
      <c r="L128" s="2128"/>
      <c r="M128" s="2128"/>
      <c r="N128" s="2128"/>
      <c r="O128" s="2128"/>
      <c r="P128" s="2128"/>
      <c r="Q128" s="2128"/>
      <c r="R128" s="2128"/>
      <c r="S128" s="2128"/>
      <c r="T128" s="2128"/>
      <c r="U128" s="2128"/>
      <c r="V128" s="2128"/>
      <c r="W128" s="2128"/>
      <c r="X128" s="2128"/>
      <c r="Y128" s="2128"/>
      <c r="Z128" s="2128"/>
      <c r="AA128" s="2128"/>
      <c r="AB128" s="2128"/>
      <c r="AC128" s="2128"/>
      <c r="AD128" s="2128"/>
    </row>
    <row r="129" spans="1:30" ht="15.75" customHeight="1" x14ac:dyDescent="0.3">
      <c r="A129" s="4433"/>
      <c r="B129" s="4433"/>
      <c r="C129" s="2128"/>
      <c r="D129" s="2128"/>
      <c r="E129" s="2128"/>
      <c r="F129" s="2128"/>
      <c r="G129" s="2128"/>
      <c r="H129" s="2128"/>
      <c r="I129" s="2128"/>
      <c r="J129" s="2128"/>
      <c r="K129" s="2128"/>
      <c r="L129" s="2128"/>
      <c r="M129" s="2128"/>
      <c r="N129" s="2128"/>
      <c r="O129" s="2128"/>
      <c r="P129" s="2128"/>
      <c r="Q129" s="2128"/>
      <c r="R129" s="2128"/>
      <c r="S129" s="2128"/>
      <c r="T129" s="2128"/>
      <c r="U129" s="2128"/>
      <c r="V129" s="2128"/>
      <c r="W129" s="2128"/>
      <c r="X129" s="2128"/>
      <c r="Y129" s="2128"/>
      <c r="Z129" s="2128"/>
      <c r="AA129" s="2128"/>
      <c r="AB129" s="2128"/>
      <c r="AC129" s="2128"/>
      <c r="AD129" s="2128"/>
    </row>
    <row r="130" spans="1:30" ht="15.75" customHeight="1" x14ac:dyDescent="0.3">
      <c r="A130" s="4433"/>
      <c r="B130" s="4433"/>
      <c r="C130" s="2128"/>
      <c r="D130" s="2128"/>
      <c r="E130" s="2128"/>
      <c r="F130" s="2128"/>
      <c r="G130" s="2128"/>
      <c r="H130" s="2128"/>
      <c r="I130" s="2128"/>
      <c r="J130" s="2128"/>
      <c r="K130" s="2128"/>
      <c r="L130" s="2128"/>
      <c r="M130" s="2128"/>
      <c r="N130" s="2128"/>
      <c r="O130" s="2128"/>
      <c r="P130" s="2128"/>
      <c r="Q130" s="2128"/>
      <c r="R130" s="2128"/>
      <c r="S130" s="2128"/>
      <c r="T130" s="2128"/>
      <c r="U130" s="2128"/>
      <c r="V130" s="2128"/>
      <c r="W130" s="2128"/>
      <c r="X130" s="2128"/>
      <c r="Y130" s="2128"/>
      <c r="Z130" s="2128"/>
      <c r="AA130" s="2128"/>
      <c r="AB130" s="2128"/>
      <c r="AC130" s="2128"/>
      <c r="AD130" s="2128"/>
    </row>
    <row r="131" spans="1:30" ht="15.75" customHeight="1" x14ac:dyDescent="0.3">
      <c r="A131" s="4433"/>
      <c r="B131" s="4433"/>
      <c r="C131" s="2128"/>
      <c r="D131" s="2128"/>
      <c r="E131" s="2128"/>
      <c r="F131" s="2128"/>
      <c r="G131" s="2128"/>
      <c r="H131" s="2128"/>
      <c r="I131" s="2128"/>
      <c r="J131" s="2128"/>
      <c r="K131" s="2128"/>
      <c r="L131" s="2128"/>
      <c r="M131" s="2128"/>
      <c r="N131" s="2128"/>
      <c r="O131" s="2128"/>
      <c r="P131" s="2128"/>
      <c r="Q131" s="2128"/>
      <c r="R131" s="2128"/>
      <c r="S131" s="2128"/>
      <c r="T131" s="2128"/>
      <c r="U131" s="2128"/>
      <c r="V131" s="2128"/>
      <c r="W131" s="2128"/>
      <c r="X131" s="2128"/>
      <c r="Y131" s="2128"/>
      <c r="Z131" s="2128"/>
      <c r="AA131" s="2128"/>
      <c r="AB131" s="2128"/>
      <c r="AC131" s="2128"/>
      <c r="AD131" s="2128"/>
    </row>
    <row r="132" spans="1:30" ht="15.75" customHeight="1" x14ac:dyDescent="0.3">
      <c r="A132" s="4433"/>
      <c r="B132" s="4433"/>
      <c r="C132" s="2128"/>
      <c r="D132" s="2128"/>
      <c r="E132" s="2128"/>
      <c r="F132" s="2128"/>
      <c r="G132" s="2128"/>
      <c r="H132" s="2128"/>
      <c r="I132" s="2128"/>
      <c r="J132" s="2128"/>
      <c r="K132" s="2128"/>
      <c r="L132" s="2128"/>
      <c r="M132" s="2128"/>
      <c r="N132" s="2128"/>
      <c r="O132" s="2128"/>
      <c r="P132" s="2128"/>
      <c r="Q132" s="2128"/>
      <c r="R132" s="2128"/>
      <c r="S132" s="2128"/>
      <c r="T132" s="2128"/>
      <c r="U132" s="2128"/>
      <c r="V132" s="2128"/>
      <c r="W132" s="2128"/>
      <c r="X132" s="2128"/>
      <c r="Y132" s="2128"/>
      <c r="Z132" s="2128"/>
      <c r="AA132" s="2128"/>
      <c r="AB132" s="2128"/>
      <c r="AC132" s="2128"/>
      <c r="AD132" s="2128"/>
    </row>
    <row r="133" spans="1:30" ht="15.75" customHeight="1" x14ac:dyDescent="0.3">
      <c r="A133" s="4433"/>
      <c r="B133" s="4433"/>
      <c r="C133" s="2128"/>
      <c r="D133" s="2128"/>
      <c r="E133" s="2128"/>
      <c r="F133" s="2128"/>
      <c r="G133" s="2128"/>
      <c r="H133" s="2128"/>
      <c r="I133" s="2128"/>
      <c r="J133" s="2128"/>
      <c r="K133" s="2128"/>
      <c r="L133" s="2128"/>
      <c r="M133" s="2128"/>
      <c r="N133" s="2128"/>
      <c r="O133" s="2128"/>
      <c r="P133" s="2128"/>
      <c r="Q133" s="2128"/>
      <c r="R133" s="2128"/>
      <c r="S133" s="2128"/>
      <c r="T133" s="2128"/>
      <c r="U133" s="2128"/>
      <c r="V133" s="2128"/>
      <c r="W133" s="2128"/>
      <c r="X133" s="2128"/>
      <c r="Y133" s="2128"/>
      <c r="Z133" s="2128"/>
      <c r="AA133" s="2128"/>
      <c r="AB133" s="2128"/>
      <c r="AC133" s="2128"/>
      <c r="AD133" s="2128"/>
    </row>
    <row r="134" spans="1:30" ht="15.75" customHeight="1" x14ac:dyDescent="0.3">
      <c r="A134" s="4433"/>
      <c r="B134" s="4433"/>
      <c r="C134" s="2128"/>
      <c r="D134" s="2128"/>
      <c r="E134" s="2128"/>
      <c r="F134" s="2128"/>
      <c r="G134" s="2128"/>
      <c r="H134" s="2128"/>
      <c r="I134" s="2128"/>
      <c r="J134" s="2128"/>
      <c r="K134" s="2128"/>
      <c r="L134" s="2128"/>
      <c r="M134" s="2128"/>
      <c r="N134" s="2128"/>
      <c r="O134" s="2128"/>
      <c r="P134" s="2128"/>
      <c r="Q134" s="2128"/>
      <c r="R134" s="2128"/>
      <c r="S134" s="2128"/>
      <c r="T134" s="2128"/>
      <c r="U134" s="2128"/>
      <c r="V134" s="2128"/>
      <c r="W134" s="2128"/>
      <c r="X134" s="2128"/>
      <c r="Y134" s="2128"/>
      <c r="Z134" s="2128"/>
      <c r="AA134" s="2128"/>
      <c r="AB134" s="2128"/>
      <c r="AC134" s="2128"/>
      <c r="AD134" s="2128"/>
    </row>
    <row r="135" spans="1:30" ht="15.75" customHeight="1" x14ac:dyDescent="0.3">
      <c r="A135" s="4433"/>
      <c r="B135" s="4433"/>
      <c r="C135" s="2128"/>
      <c r="D135" s="2128"/>
      <c r="E135" s="2128"/>
      <c r="F135" s="2128"/>
      <c r="G135" s="2128"/>
      <c r="H135" s="2128"/>
      <c r="I135" s="2128"/>
      <c r="J135" s="2128"/>
      <c r="K135" s="2128"/>
      <c r="L135" s="2128"/>
      <c r="M135" s="2128"/>
      <c r="N135" s="2128"/>
      <c r="O135" s="2128"/>
      <c r="P135" s="2128"/>
      <c r="Q135" s="2128"/>
      <c r="R135" s="2128"/>
      <c r="S135" s="2128"/>
      <c r="T135" s="2128"/>
      <c r="U135" s="2128"/>
      <c r="V135" s="2128"/>
      <c r="W135" s="2128"/>
      <c r="X135" s="2128"/>
      <c r="Y135" s="2128"/>
      <c r="Z135" s="2128"/>
      <c r="AA135" s="2128"/>
      <c r="AB135" s="2128"/>
      <c r="AC135" s="2128"/>
      <c r="AD135" s="2128"/>
    </row>
    <row r="136" spans="1:30" ht="15.75" customHeight="1" x14ac:dyDescent="0.3">
      <c r="A136" s="4433"/>
      <c r="B136" s="4433"/>
      <c r="C136" s="2128"/>
      <c r="D136" s="2128"/>
      <c r="E136" s="2128"/>
      <c r="F136" s="2128"/>
      <c r="G136" s="2128"/>
      <c r="H136" s="2128"/>
      <c r="I136" s="2128"/>
      <c r="J136" s="2128"/>
      <c r="K136" s="2128"/>
      <c r="L136" s="2128"/>
      <c r="M136" s="2128"/>
      <c r="N136" s="2128"/>
      <c r="O136" s="2128"/>
      <c r="P136" s="2128"/>
      <c r="Q136" s="2128"/>
      <c r="R136" s="2128"/>
      <c r="S136" s="2128"/>
      <c r="T136" s="2128"/>
      <c r="U136" s="2128"/>
      <c r="V136" s="2128"/>
      <c r="W136" s="2128"/>
      <c r="X136" s="2128"/>
      <c r="Y136" s="2128"/>
      <c r="Z136" s="2128"/>
      <c r="AA136" s="2128"/>
      <c r="AB136" s="2128"/>
      <c r="AC136" s="2128"/>
      <c r="AD136" s="2128"/>
    </row>
    <row r="137" spans="1:30" ht="15.75" customHeight="1" x14ac:dyDescent="0.3">
      <c r="A137" s="4433"/>
      <c r="B137" s="4433"/>
      <c r="C137" s="2128"/>
      <c r="D137" s="2128"/>
      <c r="E137" s="2128"/>
      <c r="F137" s="2128"/>
      <c r="G137" s="2128"/>
      <c r="H137" s="2128"/>
      <c r="I137" s="2128"/>
      <c r="J137" s="2128"/>
      <c r="K137" s="2128"/>
      <c r="L137" s="2128"/>
      <c r="M137" s="2128"/>
      <c r="N137" s="2128"/>
      <c r="O137" s="2128"/>
      <c r="P137" s="2128"/>
      <c r="Q137" s="2128"/>
      <c r="R137" s="2128"/>
      <c r="S137" s="2128"/>
      <c r="T137" s="2128"/>
      <c r="U137" s="2128"/>
      <c r="V137" s="2128"/>
      <c r="W137" s="2128"/>
      <c r="X137" s="2128"/>
      <c r="Y137" s="2128"/>
      <c r="Z137" s="2128"/>
      <c r="AA137" s="2128"/>
      <c r="AB137" s="2128"/>
      <c r="AC137" s="2128"/>
      <c r="AD137" s="2128"/>
    </row>
    <row r="138" spans="1:30" ht="15.75" customHeight="1" x14ac:dyDescent="0.3">
      <c r="A138" s="4433"/>
      <c r="B138" s="4433"/>
      <c r="C138" s="2128"/>
      <c r="D138" s="2128"/>
      <c r="E138" s="2128"/>
      <c r="F138" s="2128"/>
      <c r="G138" s="2128"/>
      <c r="H138" s="2128"/>
      <c r="I138" s="2128"/>
      <c r="J138" s="2128"/>
      <c r="K138" s="2128"/>
      <c r="L138" s="2128"/>
      <c r="M138" s="2128"/>
      <c r="N138" s="2128"/>
      <c r="O138" s="2128"/>
      <c r="P138" s="2128"/>
      <c r="Q138" s="2128"/>
      <c r="R138" s="2128"/>
      <c r="S138" s="2128"/>
      <c r="T138" s="2128"/>
      <c r="U138" s="2128"/>
      <c r="V138" s="2128"/>
      <c r="W138" s="2128"/>
      <c r="X138" s="2128"/>
      <c r="Y138" s="2128"/>
      <c r="Z138" s="2128"/>
      <c r="AA138" s="2128"/>
      <c r="AB138" s="2128"/>
      <c r="AC138" s="2128"/>
      <c r="AD138" s="2128"/>
    </row>
    <row r="139" spans="1:30" ht="15.75" customHeight="1" x14ac:dyDescent="0.3">
      <c r="A139" s="4433"/>
      <c r="B139" s="4433"/>
      <c r="C139" s="2128"/>
      <c r="D139" s="2128"/>
      <c r="E139" s="2128"/>
      <c r="F139" s="2128"/>
      <c r="G139" s="2128"/>
      <c r="H139" s="2128"/>
      <c r="I139" s="2128"/>
      <c r="J139" s="2128"/>
      <c r="K139" s="2128"/>
      <c r="L139" s="2128"/>
      <c r="M139" s="2128"/>
      <c r="N139" s="2128"/>
      <c r="O139" s="2128"/>
      <c r="P139" s="2128"/>
      <c r="Q139" s="2128"/>
      <c r="R139" s="2128"/>
      <c r="S139" s="2128"/>
      <c r="T139" s="2128"/>
      <c r="U139" s="2128"/>
      <c r="V139" s="2128"/>
      <c r="W139" s="2128"/>
      <c r="X139" s="2128"/>
      <c r="Y139" s="2128"/>
      <c r="Z139" s="2128"/>
      <c r="AA139" s="2128"/>
      <c r="AB139" s="2128"/>
      <c r="AC139" s="2128"/>
      <c r="AD139" s="2128"/>
    </row>
    <row r="140" spans="1:30" ht="15.75" customHeight="1" x14ac:dyDescent="0.3">
      <c r="A140" s="4433"/>
      <c r="B140" s="4433"/>
      <c r="C140" s="2128"/>
      <c r="D140" s="2128"/>
      <c r="E140" s="2128"/>
      <c r="F140" s="2128"/>
      <c r="G140" s="2128"/>
      <c r="H140" s="2128"/>
      <c r="I140" s="2128"/>
      <c r="J140" s="2128"/>
      <c r="K140" s="2128"/>
      <c r="L140" s="2128"/>
      <c r="M140" s="2128"/>
      <c r="N140" s="2128"/>
      <c r="O140" s="2128"/>
      <c r="P140" s="2128"/>
      <c r="Q140" s="2128"/>
      <c r="R140" s="2128"/>
      <c r="S140" s="2128"/>
      <c r="T140" s="2128"/>
      <c r="U140" s="2128"/>
      <c r="V140" s="2128"/>
      <c r="W140" s="2128"/>
      <c r="X140" s="2128"/>
      <c r="Y140" s="2128"/>
      <c r="Z140" s="2128"/>
      <c r="AA140" s="2128"/>
      <c r="AB140" s="2128"/>
      <c r="AC140" s="2128"/>
      <c r="AD140" s="2128"/>
    </row>
    <row r="141" spans="1:30" ht="15.75" customHeight="1" x14ac:dyDescent="0.3">
      <c r="A141" s="4433"/>
      <c r="B141" s="4433"/>
      <c r="C141" s="2128"/>
      <c r="D141" s="2128"/>
      <c r="E141" s="2128"/>
      <c r="F141" s="2128"/>
      <c r="G141" s="2128"/>
      <c r="H141" s="2128"/>
      <c r="I141" s="2128"/>
      <c r="J141" s="2128"/>
      <c r="K141" s="2128"/>
      <c r="L141" s="2128"/>
      <c r="M141" s="2128"/>
      <c r="N141" s="2128"/>
      <c r="O141" s="2128"/>
      <c r="P141" s="2128"/>
      <c r="Q141" s="2128"/>
      <c r="R141" s="2128"/>
      <c r="S141" s="2128"/>
      <c r="T141" s="2128"/>
      <c r="U141" s="2128"/>
      <c r="V141" s="2128"/>
      <c r="W141" s="2128"/>
      <c r="X141" s="2128"/>
      <c r="Y141" s="2128"/>
      <c r="Z141" s="2128"/>
      <c r="AA141" s="2128"/>
      <c r="AB141" s="2128"/>
      <c r="AC141" s="2128"/>
      <c r="AD141" s="2128"/>
    </row>
    <row r="142" spans="1:30" ht="15.75" customHeight="1" x14ac:dyDescent="0.3">
      <c r="A142" s="4433"/>
      <c r="B142" s="4433"/>
      <c r="C142" s="2128"/>
      <c r="D142" s="2128"/>
      <c r="E142" s="2128"/>
      <c r="F142" s="2128"/>
      <c r="G142" s="2128"/>
      <c r="H142" s="2128"/>
      <c r="I142" s="2128"/>
      <c r="J142" s="2128"/>
      <c r="K142" s="2128"/>
      <c r="L142" s="2128"/>
      <c r="M142" s="2128"/>
      <c r="N142" s="2128"/>
      <c r="O142" s="2128"/>
      <c r="P142" s="2128"/>
      <c r="Q142" s="2128"/>
      <c r="R142" s="2128"/>
      <c r="S142" s="2128"/>
      <c r="T142" s="2128"/>
      <c r="U142" s="2128"/>
      <c r="V142" s="2128"/>
      <c r="W142" s="2128"/>
      <c r="X142" s="2128"/>
      <c r="Y142" s="2128"/>
      <c r="Z142" s="2128"/>
      <c r="AA142" s="2128"/>
      <c r="AB142" s="2128"/>
      <c r="AC142" s="2128"/>
      <c r="AD142" s="2128"/>
    </row>
    <row r="143" spans="1:30" ht="15.75" customHeight="1" x14ac:dyDescent="0.3">
      <c r="A143" s="4433"/>
      <c r="B143" s="4433"/>
      <c r="C143" s="2128"/>
      <c r="D143" s="2128"/>
      <c r="E143" s="2128"/>
      <c r="F143" s="2128"/>
      <c r="G143" s="2128"/>
      <c r="H143" s="2128"/>
      <c r="I143" s="2128"/>
      <c r="J143" s="2128"/>
      <c r="K143" s="2128"/>
      <c r="L143" s="2128"/>
      <c r="M143" s="2128"/>
      <c r="N143" s="2128"/>
      <c r="O143" s="2128"/>
      <c r="P143" s="2128"/>
      <c r="Q143" s="2128"/>
      <c r="R143" s="2128"/>
      <c r="S143" s="2128"/>
      <c r="T143" s="2128"/>
      <c r="U143" s="2128"/>
      <c r="V143" s="2128"/>
      <c r="W143" s="2128"/>
      <c r="X143" s="2128"/>
      <c r="Y143" s="2128"/>
      <c r="Z143" s="2128"/>
      <c r="AA143" s="2128"/>
      <c r="AB143" s="2128"/>
      <c r="AC143" s="2128"/>
      <c r="AD143" s="2128"/>
    </row>
    <row r="144" spans="1:30" ht="15.75" customHeight="1" x14ac:dyDescent="0.3">
      <c r="A144" s="4433"/>
      <c r="B144" s="4433"/>
      <c r="C144" s="2128"/>
      <c r="D144" s="2128"/>
      <c r="E144" s="2128"/>
      <c r="F144" s="2128"/>
      <c r="G144" s="2128"/>
      <c r="H144" s="2128"/>
      <c r="I144" s="2128"/>
      <c r="J144" s="2128"/>
      <c r="K144" s="2128"/>
      <c r="L144" s="2128"/>
      <c r="M144" s="2128"/>
      <c r="N144" s="2128"/>
      <c r="O144" s="2128"/>
      <c r="P144" s="2128"/>
      <c r="Q144" s="2128"/>
      <c r="R144" s="2128"/>
      <c r="S144" s="2128"/>
      <c r="T144" s="2128"/>
      <c r="U144" s="2128"/>
      <c r="V144" s="2128"/>
      <c r="W144" s="2128"/>
      <c r="X144" s="2128"/>
      <c r="Y144" s="2128"/>
      <c r="Z144" s="2128"/>
      <c r="AA144" s="2128"/>
      <c r="AB144" s="2128"/>
      <c r="AC144" s="2128"/>
      <c r="AD144" s="2128"/>
    </row>
    <row r="145" spans="1:30" ht="15.75" customHeight="1" x14ac:dyDescent="0.3">
      <c r="A145" s="4433"/>
      <c r="B145" s="4433"/>
      <c r="C145" s="2128"/>
      <c r="D145" s="2128"/>
      <c r="E145" s="2128"/>
      <c r="F145" s="2128"/>
      <c r="G145" s="2128"/>
      <c r="H145" s="2128"/>
      <c r="I145" s="2128"/>
      <c r="J145" s="2128"/>
      <c r="K145" s="2128"/>
      <c r="L145" s="2128"/>
      <c r="M145" s="2128"/>
      <c r="N145" s="2128"/>
      <c r="O145" s="2128"/>
      <c r="P145" s="2128"/>
      <c r="Q145" s="2128"/>
      <c r="R145" s="2128"/>
      <c r="S145" s="2128"/>
      <c r="T145" s="2128"/>
      <c r="U145" s="2128"/>
      <c r="V145" s="2128"/>
      <c r="W145" s="2128"/>
      <c r="X145" s="2128"/>
      <c r="Y145" s="2128"/>
      <c r="Z145" s="2128"/>
      <c r="AA145" s="2128"/>
      <c r="AB145" s="2128"/>
      <c r="AC145" s="2128"/>
      <c r="AD145" s="2128"/>
    </row>
    <row r="146" spans="1:30" ht="15.75" customHeight="1" x14ac:dyDescent="0.3">
      <c r="A146" s="4433"/>
      <c r="B146" s="4433"/>
      <c r="C146" s="2128"/>
      <c r="D146" s="2128"/>
      <c r="E146" s="2128"/>
      <c r="F146" s="2128"/>
      <c r="G146" s="2128"/>
      <c r="H146" s="2128"/>
      <c r="I146" s="2128"/>
      <c r="J146" s="2128"/>
      <c r="K146" s="2128"/>
      <c r="L146" s="2128"/>
      <c r="M146" s="2128"/>
      <c r="N146" s="2128"/>
      <c r="O146" s="2128"/>
      <c r="P146" s="2128"/>
      <c r="Q146" s="2128"/>
      <c r="R146" s="2128"/>
      <c r="S146" s="2128"/>
      <c r="T146" s="2128"/>
      <c r="U146" s="2128"/>
      <c r="V146" s="2128"/>
      <c r="W146" s="2128"/>
      <c r="X146" s="2128"/>
      <c r="Y146" s="2128"/>
      <c r="Z146" s="2128"/>
      <c r="AA146" s="2128"/>
      <c r="AB146" s="2128"/>
      <c r="AC146" s="2128"/>
      <c r="AD146" s="2128"/>
    </row>
    <row r="147" spans="1:30" ht="15.75" customHeight="1" x14ac:dyDescent="0.3">
      <c r="A147" s="4433"/>
      <c r="B147" s="4433"/>
      <c r="C147" s="2128"/>
      <c r="D147" s="2128"/>
      <c r="E147" s="2128"/>
      <c r="F147" s="2128"/>
      <c r="G147" s="2128"/>
      <c r="H147" s="2128"/>
      <c r="I147" s="2128"/>
      <c r="J147" s="2128"/>
      <c r="K147" s="2128"/>
      <c r="L147" s="2128"/>
      <c r="M147" s="2128"/>
      <c r="N147" s="2128"/>
      <c r="O147" s="2128"/>
      <c r="P147" s="2128"/>
      <c r="Q147" s="2128"/>
      <c r="R147" s="2128"/>
      <c r="S147" s="2128"/>
      <c r="T147" s="2128"/>
      <c r="U147" s="2128"/>
      <c r="V147" s="2128"/>
      <c r="W147" s="2128"/>
      <c r="X147" s="2128"/>
      <c r="Y147" s="2128"/>
      <c r="Z147" s="2128"/>
      <c r="AA147" s="2128"/>
      <c r="AB147" s="2128"/>
      <c r="AC147" s="2128"/>
      <c r="AD147" s="2128"/>
    </row>
    <row r="148" spans="1:30" ht="15.75" customHeight="1" x14ac:dyDescent="0.3">
      <c r="A148" s="4433"/>
      <c r="B148" s="4433"/>
      <c r="C148" s="2128"/>
      <c r="D148" s="2128"/>
      <c r="E148" s="2128"/>
      <c r="F148" s="2128"/>
      <c r="G148" s="2128"/>
      <c r="H148" s="2128"/>
      <c r="I148" s="2128"/>
      <c r="J148" s="2128"/>
      <c r="K148" s="2128"/>
      <c r="L148" s="2128"/>
      <c r="M148" s="2128"/>
      <c r="N148" s="2128"/>
      <c r="O148" s="2128"/>
      <c r="P148" s="2128"/>
      <c r="Q148" s="2128"/>
      <c r="R148" s="2128"/>
      <c r="S148" s="2128"/>
      <c r="T148" s="2128"/>
      <c r="U148" s="2128"/>
      <c r="V148" s="2128"/>
      <c r="W148" s="2128"/>
      <c r="X148" s="2128"/>
      <c r="Y148" s="2128"/>
      <c r="Z148" s="2128"/>
      <c r="AA148" s="2128"/>
      <c r="AB148" s="2128"/>
      <c r="AC148" s="2128"/>
      <c r="AD148" s="2128"/>
    </row>
    <row r="149" spans="1:30" ht="15.75" customHeight="1" x14ac:dyDescent="0.3">
      <c r="A149" s="4433"/>
      <c r="B149" s="4433"/>
      <c r="C149" s="2128"/>
      <c r="D149" s="2128"/>
      <c r="E149" s="2128"/>
      <c r="F149" s="2128"/>
      <c r="G149" s="2128"/>
      <c r="H149" s="2128"/>
      <c r="I149" s="2128"/>
      <c r="J149" s="2128"/>
      <c r="K149" s="2128"/>
      <c r="L149" s="2128"/>
      <c r="M149" s="2128"/>
      <c r="N149" s="2128"/>
      <c r="O149" s="2128"/>
      <c r="P149" s="2128"/>
      <c r="Q149" s="2128"/>
      <c r="R149" s="2128"/>
      <c r="S149" s="2128"/>
      <c r="T149" s="2128"/>
      <c r="U149" s="2128"/>
      <c r="V149" s="2128"/>
      <c r="W149" s="2128"/>
      <c r="X149" s="2128"/>
      <c r="Y149" s="2128"/>
      <c r="Z149" s="2128"/>
      <c r="AA149" s="2128"/>
      <c r="AB149" s="2128"/>
      <c r="AC149" s="2128"/>
      <c r="AD149" s="2128"/>
    </row>
    <row r="150" spans="1:30" ht="15.75" customHeight="1" x14ac:dyDescent="0.3">
      <c r="A150" s="4433"/>
      <c r="B150" s="4433"/>
      <c r="C150" s="2128"/>
      <c r="D150" s="2128"/>
      <c r="E150" s="2128"/>
      <c r="F150" s="2128"/>
      <c r="G150" s="2128"/>
      <c r="H150" s="2128"/>
      <c r="I150" s="2128"/>
      <c r="J150" s="2128"/>
      <c r="K150" s="2128"/>
      <c r="L150" s="2128"/>
      <c r="M150" s="2128"/>
      <c r="N150" s="2128"/>
      <c r="O150" s="2128"/>
      <c r="P150" s="2128"/>
      <c r="Q150" s="2128"/>
      <c r="R150" s="2128"/>
      <c r="S150" s="2128"/>
      <c r="T150" s="2128"/>
      <c r="U150" s="2128"/>
      <c r="V150" s="2128"/>
      <c r="W150" s="2128"/>
      <c r="X150" s="2128"/>
      <c r="Y150" s="2128"/>
      <c r="Z150" s="2128"/>
      <c r="AA150" s="2128"/>
      <c r="AB150" s="2128"/>
      <c r="AC150" s="2128"/>
      <c r="AD150" s="2128"/>
    </row>
    <row r="151" spans="1:30" ht="15.75" customHeight="1" x14ac:dyDescent="0.3">
      <c r="A151" s="4433"/>
      <c r="B151" s="4433"/>
      <c r="C151" s="2128"/>
      <c r="D151" s="2128"/>
      <c r="E151" s="2128"/>
      <c r="F151" s="2128"/>
      <c r="G151" s="2128"/>
      <c r="H151" s="2128"/>
      <c r="I151" s="2128"/>
      <c r="J151" s="2128"/>
      <c r="K151" s="2128"/>
      <c r="L151" s="2128"/>
      <c r="M151" s="2128"/>
      <c r="N151" s="2128"/>
      <c r="O151" s="2128"/>
      <c r="P151" s="2128"/>
      <c r="Q151" s="2128"/>
      <c r="R151" s="2128"/>
      <c r="S151" s="2128"/>
      <c r="T151" s="2128"/>
      <c r="U151" s="2128"/>
      <c r="V151" s="2128"/>
      <c r="W151" s="2128"/>
      <c r="X151" s="2128"/>
      <c r="Y151" s="2128"/>
      <c r="Z151" s="2128"/>
      <c r="AA151" s="2128"/>
      <c r="AB151" s="2128"/>
      <c r="AC151" s="2128"/>
      <c r="AD151" s="2128"/>
    </row>
    <row r="152" spans="1:30" ht="15.75" customHeight="1" x14ac:dyDescent="0.3">
      <c r="A152" s="4433"/>
      <c r="B152" s="4433"/>
      <c r="C152" s="2128"/>
      <c r="D152" s="2128"/>
      <c r="E152" s="2128"/>
      <c r="F152" s="2128"/>
      <c r="G152" s="2128"/>
      <c r="H152" s="2128"/>
      <c r="I152" s="2128"/>
      <c r="J152" s="2128"/>
      <c r="K152" s="2128"/>
      <c r="L152" s="2128"/>
      <c r="M152" s="2128"/>
      <c r="N152" s="2128"/>
      <c r="O152" s="2128"/>
      <c r="P152" s="2128"/>
      <c r="Q152" s="2128"/>
      <c r="R152" s="2128"/>
      <c r="S152" s="2128"/>
      <c r="T152" s="2128"/>
      <c r="U152" s="2128"/>
      <c r="V152" s="2128"/>
      <c r="W152" s="2128"/>
      <c r="X152" s="2128"/>
      <c r="Y152" s="2128"/>
      <c r="Z152" s="2128"/>
      <c r="AA152" s="2128"/>
      <c r="AB152" s="2128"/>
      <c r="AC152" s="2128"/>
      <c r="AD152" s="2128"/>
    </row>
    <row r="153" spans="1:30" ht="15.75" customHeight="1" x14ac:dyDescent="0.3">
      <c r="A153" s="4433"/>
      <c r="B153" s="4433"/>
      <c r="C153" s="2128"/>
      <c r="D153" s="2128"/>
      <c r="E153" s="2128"/>
      <c r="F153" s="2128"/>
      <c r="G153" s="2128"/>
      <c r="H153" s="2128"/>
      <c r="I153" s="2128"/>
      <c r="J153" s="2128"/>
      <c r="K153" s="2128"/>
      <c r="L153" s="2128"/>
      <c r="M153" s="2128"/>
      <c r="N153" s="2128"/>
      <c r="O153" s="2128"/>
      <c r="P153" s="2128"/>
      <c r="Q153" s="2128"/>
      <c r="R153" s="2128"/>
      <c r="S153" s="2128"/>
      <c r="T153" s="2128"/>
      <c r="U153" s="2128"/>
      <c r="V153" s="2128"/>
      <c r="W153" s="2128"/>
      <c r="X153" s="2128"/>
      <c r="Y153" s="2128"/>
      <c r="Z153" s="2128"/>
      <c r="AA153" s="2128"/>
      <c r="AB153" s="2128"/>
      <c r="AC153" s="2128"/>
      <c r="AD153" s="2128"/>
    </row>
    <row r="154" spans="1:30" ht="15.75" customHeight="1" x14ac:dyDescent="0.3">
      <c r="A154" s="4433"/>
      <c r="B154" s="4433"/>
      <c r="C154" s="2128"/>
      <c r="D154" s="2128"/>
      <c r="E154" s="2128"/>
      <c r="F154" s="2128"/>
      <c r="G154" s="2128"/>
      <c r="H154" s="2128"/>
      <c r="I154" s="2128"/>
      <c r="J154" s="2128"/>
      <c r="K154" s="2128"/>
      <c r="L154" s="2128"/>
      <c r="M154" s="2128"/>
      <c r="N154" s="2128"/>
      <c r="O154" s="2128"/>
      <c r="P154" s="2128"/>
      <c r="Q154" s="2128"/>
      <c r="R154" s="2128"/>
      <c r="S154" s="2128"/>
      <c r="T154" s="2128"/>
      <c r="U154" s="2128"/>
      <c r="V154" s="2128"/>
      <c r="W154" s="2128"/>
      <c r="X154" s="2128"/>
      <c r="Y154" s="2128"/>
      <c r="Z154" s="2128"/>
      <c r="AA154" s="2128"/>
      <c r="AB154" s="2128"/>
      <c r="AC154" s="2128"/>
      <c r="AD154" s="2128"/>
    </row>
    <row r="155" spans="1:30" ht="15.75" customHeight="1" x14ac:dyDescent="0.3">
      <c r="A155" s="4433"/>
      <c r="B155" s="4433"/>
      <c r="C155" s="2128"/>
      <c r="D155" s="2128"/>
      <c r="E155" s="2128"/>
      <c r="F155" s="2128"/>
      <c r="G155" s="2128"/>
      <c r="H155" s="2128"/>
      <c r="I155" s="2128"/>
      <c r="J155" s="2128"/>
      <c r="K155" s="2128"/>
      <c r="L155" s="2128"/>
      <c r="M155" s="2128"/>
      <c r="N155" s="2128"/>
      <c r="O155" s="2128"/>
      <c r="P155" s="2128"/>
      <c r="Q155" s="2128"/>
      <c r="R155" s="2128"/>
      <c r="S155" s="2128"/>
      <c r="T155" s="2128"/>
      <c r="U155" s="2128"/>
      <c r="V155" s="2128"/>
      <c r="W155" s="2128"/>
      <c r="X155" s="2128"/>
      <c r="Y155" s="2128"/>
      <c r="Z155" s="2128"/>
      <c r="AA155" s="2128"/>
      <c r="AB155" s="2128"/>
      <c r="AC155" s="2128"/>
      <c r="AD155" s="2128"/>
    </row>
    <row r="156" spans="1:30" ht="15.75" customHeight="1" x14ac:dyDescent="0.3">
      <c r="A156" s="4433"/>
      <c r="B156" s="4433"/>
      <c r="C156" s="2128"/>
      <c r="D156" s="2128"/>
      <c r="E156" s="2128"/>
      <c r="F156" s="2128"/>
      <c r="G156" s="2128"/>
      <c r="H156" s="2128"/>
      <c r="I156" s="2128"/>
      <c r="J156" s="2128"/>
      <c r="K156" s="2128"/>
      <c r="L156" s="2128"/>
      <c r="M156" s="2128"/>
      <c r="N156" s="2128"/>
      <c r="O156" s="2128"/>
      <c r="P156" s="2128"/>
      <c r="Q156" s="2128"/>
      <c r="R156" s="2128"/>
      <c r="S156" s="2128"/>
      <c r="T156" s="2128"/>
      <c r="U156" s="2128"/>
      <c r="V156" s="2128"/>
      <c r="W156" s="2128"/>
      <c r="X156" s="2128"/>
      <c r="Y156" s="2128"/>
      <c r="Z156" s="2128"/>
      <c r="AA156" s="2128"/>
      <c r="AB156" s="2128"/>
      <c r="AC156" s="2128"/>
      <c r="AD156" s="2128"/>
    </row>
    <row r="157" spans="1:30" ht="15.75" customHeight="1" x14ac:dyDescent="0.3">
      <c r="A157" s="4433"/>
      <c r="B157" s="4433"/>
      <c r="C157" s="2128"/>
      <c r="D157" s="2128"/>
      <c r="E157" s="2128"/>
      <c r="F157" s="2128"/>
      <c r="G157" s="2128"/>
      <c r="H157" s="2128"/>
      <c r="I157" s="2128"/>
      <c r="J157" s="2128"/>
      <c r="K157" s="2128"/>
      <c r="L157" s="2128"/>
      <c r="M157" s="2128"/>
      <c r="N157" s="2128"/>
      <c r="O157" s="2128"/>
      <c r="P157" s="2128"/>
      <c r="Q157" s="2128"/>
      <c r="R157" s="2128"/>
      <c r="S157" s="2128"/>
      <c r="T157" s="2128"/>
      <c r="U157" s="2128"/>
      <c r="V157" s="2128"/>
      <c r="W157" s="2128"/>
      <c r="X157" s="2128"/>
      <c r="Y157" s="2128"/>
      <c r="Z157" s="2128"/>
      <c r="AA157" s="2128"/>
      <c r="AB157" s="2128"/>
      <c r="AC157" s="2128"/>
      <c r="AD157" s="2128"/>
    </row>
    <row r="158" spans="1:30" ht="15.75" customHeight="1" x14ac:dyDescent="0.3">
      <c r="A158" s="4433"/>
      <c r="B158" s="4433"/>
      <c r="C158" s="2128"/>
      <c r="D158" s="2128"/>
      <c r="E158" s="2128"/>
      <c r="F158" s="2128"/>
      <c r="G158" s="2128"/>
      <c r="H158" s="2128"/>
      <c r="I158" s="2128"/>
      <c r="J158" s="2128"/>
      <c r="K158" s="2128"/>
      <c r="L158" s="2128"/>
      <c r="M158" s="2128"/>
      <c r="N158" s="2128"/>
      <c r="O158" s="2128"/>
      <c r="P158" s="2128"/>
      <c r="Q158" s="2128"/>
      <c r="R158" s="2128"/>
      <c r="S158" s="2128"/>
      <c r="T158" s="2128"/>
      <c r="U158" s="2128"/>
      <c r="V158" s="2128"/>
      <c r="W158" s="2128"/>
      <c r="X158" s="2128"/>
      <c r="Y158" s="2128"/>
      <c r="Z158" s="2128"/>
      <c r="AA158" s="2128"/>
      <c r="AB158" s="2128"/>
      <c r="AC158" s="2128"/>
      <c r="AD158" s="2128"/>
    </row>
    <row r="159" spans="1:30" ht="15.75" customHeight="1" x14ac:dyDescent="0.3">
      <c r="A159" s="4433"/>
      <c r="B159" s="4433"/>
      <c r="C159" s="2128"/>
      <c r="D159" s="2128"/>
      <c r="E159" s="2128"/>
      <c r="F159" s="2128"/>
      <c r="G159" s="2128"/>
      <c r="H159" s="2128"/>
      <c r="I159" s="2128"/>
      <c r="J159" s="2128"/>
      <c r="K159" s="2128"/>
      <c r="L159" s="2128"/>
      <c r="M159" s="2128"/>
      <c r="N159" s="2128"/>
      <c r="O159" s="2128"/>
      <c r="P159" s="2128"/>
      <c r="Q159" s="2128"/>
      <c r="R159" s="2128"/>
      <c r="S159" s="2128"/>
      <c r="T159" s="2128"/>
      <c r="U159" s="2128"/>
      <c r="V159" s="2128"/>
      <c r="W159" s="2128"/>
      <c r="X159" s="2128"/>
      <c r="Y159" s="2128"/>
      <c r="Z159" s="2128"/>
      <c r="AA159" s="2128"/>
      <c r="AB159" s="2128"/>
      <c r="AC159" s="2128"/>
      <c r="AD159" s="2128"/>
    </row>
    <row r="160" spans="1:30" ht="15.75" customHeight="1" x14ac:dyDescent="0.3">
      <c r="A160" s="4433"/>
      <c r="B160" s="4433"/>
      <c r="C160" s="2128"/>
      <c r="D160" s="2128"/>
      <c r="E160" s="2128"/>
      <c r="F160" s="2128"/>
      <c r="G160" s="2128"/>
      <c r="H160" s="2128"/>
      <c r="I160" s="2128"/>
      <c r="J160" s="2128"/>
      <c r="K160" s="2128"/>
      <c r="L160" s="2128"/>
      <c r="M160" s="2128"/>
      <c r="N160" s="2128"/>
      <c r="O160" s="2128"/>
      <c r="P160" s="2128"/>
      <c r="Q160" s="2128"/>
      <c r="R160" s="2128"/>
      <c r="S160" s="2128"/>
      <c r="T160" s="2128"/>
      <c r="U160" s="2128"/>
      <c r="V160" s="2128"/>
      <c r="W160" s="2128"/>
      <c r="X160" s="2128"/>
      <c r="Y160" s="2128"/>
      <c r="Z160" s="2128"/>
      <c r="AA160" s="2128"/>
      <c r="AB160" s="2128"/>
      <c r="AC160" s="2128"/>
      <c r="AD160" s="2128"/>
    </row>
    <row r="161" spans="1:30" ht="15.75" customHeight="1" x14ac:dyDescent="0.3">
      <c r="A161" s="4433"/>
      <c r="B161" s="4433"/>
      <c r="C161" s="2128"/>
      <c r="D161" s="2128"/>
      <c r="E161" s="2128"/>
      <c r="F161" s="2128"/>
      <c r="G161" s="2128"/>
      <c r="H161" s="2128"/>
      <c r="I161" s="2128"/>
      <c r="J161" s="2128"/>
      <c r="K161" s="2128"/>
      <c r="L161" s="2128"/>
      <c r="M161" s="2128"/>
      <c r="N161" s="2128"/>
      <c r="O161" s="2128"/>
      <c r="P161" s="2128"/>
      <c r="Q161" s="2128"/>
      <c r="R161" s="2128"/>
      <c r="S161" s="2128"/>
      <c r="T161" s="2128"/>
      <c r="U161" s="2128"/>
      <c r="V161" s="2128"/>
      <c r="W161" s="2128"/>
      <c r="X161" s="2128"/>
      <c r="Y161" s="2128"/>
      <c r="Z161" s="2128"/>
      <c r="AA161" s="2128"/>
      <c r="AB161" s="2128"/>
      <c r="AC161" s="2128"/>
      <c r="AD161" s="2128"/>
    </row>
    <row r="162" spans="1:30" ht="15.75" customHeight="1" x14ac:dyDescent="0.3">
      <c r="A162" s="4433"/>
      <c r="B162" s="4433"/>
      <c r="C162" s="2128"/>
      <c r="D162" s="2128"/>
      <c r="E162" s="2128"/>
      <c r="F162" s="2128"/>
      <c r="G162" s="2128"/>
      <c r="H162" s="2128"/>
      <c r="I162" s="2128"/>
      <c r="J162" s="2128"/>
      <c r="K162" s="2128"/>
      <c r="L162" s="2128"/>
      <c r="M162" s="2128"/>
      <c r="N162" s="2128"/>
      <c r="O162" s="2128"/>
      <c r="P162" s="2128"/>
      <c r="Q162" s="2128"/>
      <c r="R162" s="2128"/>
      <c r="S162" s="2128"/>
      <c r="T162" s="2128"/>
      <c r="U162" s="2128"/>
      <c r="V162" s="2128"/>
      <c r="W162" s="2128"/>
      <c r="X162" s="2128"/>
      <c r="Y162" s="2128"/>
      <c r="Z162" s="2128"/>
      <c r="AA162" s="2128"/>
      <c r="AB162" s="2128"/>
      <c r="AC162" s="2128"/>
      <c r="AD162" s="2128"/>
    </row>
    <row r="163" spans="1:30" ht="15.75" customHeight="1" x14ac:dyDescent="0.3">
      <c r="A163" s="4433"/>
      <c r="B163" s="4433"/>
      <c r="C163" s="2128"/>
      <c r="D163" s="2128"/>
      <c r="E163" s="2128"/>
      <c r="F163" s="2128"/>
      <c r="G163" s="2128"/>
      <c r="H163" s="2128"/>
      <c r="I163" s="2128"/>
      <c r="J163" s="2128"/>
      <c r="K163" s="2128"/>
      <c r="L163" s="2128"/>
      <c r="M163" s="2128"/>
      <c r="N163" s="2128"/>
      <c r="O163" s="2128"/>
      <c r="P163" s="2128"/>
      <c r="Q163" s="2128"/>
      <c r="R163" s="2128"/>
      <c r="S163" s="2128"/>
      <c r="T163" s="2128"/>
      <c r="U163" s="2128"/>
      <c r="V163" s="2128"/>
      <c r="W163" s="2128"/>
      <c r="X163" s="2128"/>
      <c r="Y163" s="2128"/>
      <c r="Z163" s="2128"/>
      <c r="AA163" s="2128"/>
      <c r="AB163" s="2128"/>
      <c r="AC163" s="2128"/>
      <c r="AD163" s="2128"/>
    </row>
    <row r="164" spans="1:30" ht="15.75" customHeight="1" x14ac:dyDescent="0.3">
      <c r="A164" s="4433"/>
      <c r="B164" s="4433"/>
      <c r="C164" s="2128"/>
      <c r="D164" s="2128"/>
      <c r="E164" s="2128"/>
      <c r="F164" s="2128"/>
      <c r="G164" s="2128"/>
      <c r="H164" s="2128"/>
      <c r="I164" s="2128"/>
      <c r="J164" s="2128"/>
      <c r="K164" s="2128"/>
      <c r="L164" s="2128"/>
      <c r="M164" s="2128"/>
      <c r="N164" s="2128"/>
      <c r="O164" s="2128"/>
      <c r="P164" s="2128"/>
      <c r="Q164" s="2128"/>
      <c r="R164" s="2128"/>
      <c r="S164" s="2128"/>
      <c r="T164" s="2128"/>
      <c r="U164" s="2128"/>
      <c r="V164" s="2128"/>
      <c r="W164" s="2128"/>
      <c r="X164" s="2128"/>
      <c r="Y164" s="2128"/>
      <c r="Z164" s="2128"/>
      <c r="AA164" s="2128"/>
      <c r="AB164" s="2128"/>
      <c r="AC164" s="2128"/>
      <c r="AD164" s="2128"/>
    </row>
    <row r="165" spans="1:30" ht="15.75" customHeight="1" x14ac:dyDescent="0.3">
      <c r="A165" s="4433"/>
      <c r="B165" s="4433"/>
      <c r="C165" s="2128"/>
      <c r="D165" s="2128"/>
      <c r="E165" s="2128"/>
      <c r="F165" s="2128"/>
      <c r="G165" s="2128"/>
      <c r="H165" s="2128"/>
      <c r="I165" s="2128"/>
      <c r="J165" s="2128"/>
      <c r="K165" s="2128"/>
      <c r="L165" s="2128"/>
      <c r="M165" s="2128"/>
      <c r="N165" s="2128"/>
      <c r="O165" s="2128"/>
      <c r="P165" s="2128"/>
      <c r="Q165" s="2128"/>
      <c r="R165" s="2128"/>
      <c r="S165" s="2128"/>
      <c r="T165" s="2128"/>
      <c r="U165" s="2128"/>
      <c r="V165" s="2128"/>
      <c r="W165" s="2128"/>
      <c r="X165" s="2128"/>
      <c r="Y165" s="2128"/>
      <c r="Z165" s="2128"/>
      <c r="AA165" s="2128"/>
      <c r="AB165" s="2128"/>
      <c r="AC165" s="2128"/>
      <c r="AD165" s="2128"/>
    </row>
    <row r="166" spans="1:30" ht="15.75" customHeight="1" x14ac:dyDescent="0.3">
      <c r="A166" s="4433"/>
      <c r="B166" s="4433"/>
      <c r="C166" s="2128"/>
      <c r="D166" s="2128"/>
      <c r="E166" s="2128"/>
      <c r="F166" s="2128"/>
      <c r="G166" s="2128"/>
      <c r="H166" s="2128"/>
      <c r="I166" s="2128"/>
      <c r="J166" s="2128"/>
      <c r="K166" s="2128"/>
      <c r="L166" s="2128"/>
      <c r="M166" s="2128"/>
      <c r="N166" s="2128"/>
      <c r="O166" s="2128"/>
      <c r="P166" s="2128"/>
      <c r="Q166" s="2128"/>
      <c r="R166" s="2128"/>
      <c r="S166" s="2128"/>
      <c r="T166" s="2128"/>
      <c r="U166" s="2128"/>
      <c r="V166" s="2128"/>
      <c r="W166" s="2128"/>
      <c r="X166" s="2128"/>
      <c r="Y166" s="2128"/>
      <c r="Z166" s="2128"/>
      <c r="AA166" s="2128"/>
      <c r="AB166" s="2128"/>
      <c r="AC166" s="2128"/>
      <c r="AD166" s="2128"/>
    </row>
    <row r="167" spans="1:30" ht="15.75" customHeight="1" x14ac:dyDescent="0.3">
      <c r="A167" s="4433"/>
      <c r="B167" s="4433"/>
      <c r="C167" s="2128"/>
      <c r="D167" s="2128"/>
      <c r="E167" s="2128"/>
      <c r="F167" s="2128"/>
      <c r="G167" s="2128"/>
      <c r="H167" s="2128"/>
      <c r="I167" s="2128"/>
      <c r="J167" s="2128"/>
      <c r="K167" s="2128"/>
      <c r="L167" s="2128"/>
      <c r="M167" s="2128"/>
      <c r="N167" s="2128"/>
      <c r="O167" s="2128"/>
      <c r="P167" s="2128"/>
      <c r="Q167" s="2128"/>
      <c r="R167" s="2128"/>
      <c r="S167" s="2128"/>
      <c r="T167" s="2128"/>
      <c r="U167" s="2128"/>
      <c r="V167" s="2128"/>
      <c r="W167" s="2128"/>
      <c r="X167" s="2128"/>
      <c r="Y167" s="2128"/>
      <c r="Z167" s="2128"/>
      <c r="AA167" s="2128"/>
      <c r="AB167" s="2128"/>
      <c r="AC167" s="2128"/>
      <c r="AD167" s="2128"/>
    </row>
    <row r="168" spans="1:30" ht="15.75" customHeight="1" x14ac:dyDescent="0.3">
      <c r="A168" s="4433"/>
      <c r="B168" s="4433"/>
      <c r="C168" s="2128"/>
      <c r="D168" s="2128"/>
      <c r="E168" s="2128"/>
      <c r="F168" s="2128"/>
      <c r="G168" s="2128"/>
      <c r="H168" s="2128"/>
      <c r="I168" s="2128"/>
      <c r="J168" s="2128"/>
      <c r="K168" s="2128"/>
      <c r="L168" s="2128"/>
      <c r="M168" s="2128"/>
      <c r="N168" s="2128"/>
      <c r="O168" s="2128"/>
      <c r="P168" s="2128"/>
      <c r="Q168" s="2128"/>
      <c r="R168" s="2128"/>
      <c r="S168" s="2128"/>
      <c r="T168" s="2128"/>
      <c r="U168" s="2128"/>
      <c r="V168" s="2128"/>
      <c r="W168" s="2128"/>
      <c r="X168" s="2128"/>
      <c r="Y168" s="2128"/>
      <c r="Z168" s="2128"/>
      <c r="AA168" s="2128"/>
      <c r="AB168" s="2128"/>
      <c r="AC168" s="2128"/>
      <c r="AD168" s="2128"/>
    </row>
    <row r="169" spans="1:30" ht="15.75" customHeight="1" x14ac:dyDescent="0.3">
      <c r="A169" s="4433"/>
      <c r="B169" s="4433"/>
      <c r="C169" s="2128"/>
      <c r="D169" s="2128"/>
      <c r="E169" s="2128"/>
      <c r="F169" s="2128"/>
      <c r="G169" s="2128"/>
      <c r="H169" s="2128"/>
      <c r="I169" s="2128"/>
      <c r="J169" s="2128"/>
      <c r="K169" s="2128"/>
      <c r="L169" s="2128"/>
      <c r="M169" s="2128"/>
      <c r="N169" s="2128"/>
      <c r="O169" s="2128"/>
      <c r="P169" s="2128"/>
      <c r="Q169" s="2128"/>
      <c r="R169" s="2128"/>
      <c r="S169" s="2128"/>
      <c r="T169" s="2128"/>
      <c r="U169" s="2128"/>
      <c r="V169" s="2128"/>
      <c r="W169" s="2128"/>
      <c r="X169" s="2128"/>
      <c r="Y169" s="2128"/>
      <c r="Z169" s="2128"/>
      <c r="AA169" s="2128"/>
      <c r="AB169" s="2128"/>
      <c r="AC169" s="2128"/>
      <c r="AD169" s="2128"/>
    </row>
    <row r="170" spans="1:30" ht="15.75" customHeight="1" x14ac:dyDescent="0.3">
      <c r="A170" s="4433"/>
      <c r="B170" s="4433"/>
      <c r="C170" s="2128"/>
      <c r="D170" s="2128"/>
      <c r="E170" s="2128"/>
      <c r="F170" s="2128"/>
      <c r="G170" s="2128"/>
      <c r="H170" s="2128"/>
      <c r="I170" s="2128"/>
      <c r="J170" s="2128"/>
      <c r="K170" s="2128"/>
      <c r="L170" s="2128"/>
      <c r="M170" s="2128"/>
      <c r="N170" s="2128"/>
      <c r="O170" s="2128"/>
      <c r="P170" s="2128"/>
      <c r="Q170" s="2128"/>
      <c r="R170" s="2128"/>
      <c r="S170" s="2128"/>
      <c r="T170" s="2128"/>
      <c r="U170" s="2128"/>
      <c r="V170" s="2128"/>
      <c r="W170" s="2128"/>
      <c r="X170" s="2128"/>
      <c r="Y170" s="2128"/>
      <c r="Z170" s="2128"/>
      <c r="AA170" s="2128"/>
      <c r="AB170" s="2128"/>
      <c r="AC170" s="2128"/>
      <c r="AD170" s="2128"/>
    </row>
    <row r="171" spans="1:30" ht="15.75" customHeight="1" x14ac:dyDescent="0.3">
      <c r="A171" s="4433"/>
      <c r="B171" s="4433"/>
      <c r="C171" s="2128"/>
      <c r="D171" s="2128"/>
      <c r="E171" s="2128"/>
      <c r="F171" s="2128"/>
      <c r="G171" s="2128"/>
      <c r="H171" s="2128"/>
      <c r="I171" s="2128"/>
      <c r="J171" s="2128"/>
      <c r="K171" s="2128"/>
      <c r="L171" s="2128"/>
      <c r="M171" s="2128"/>
      <c r="N171" s="2128"/>
      <c r="O171" s="2128"/>
      <c r="P171" s="2128"/>
      <c r="Q171" s="2128"/>
      <c r="R171" s="2128"/>
      <c r="S171" s="2128"/>
      <c r="T171" s="2128"/>
      <c r="U171" s="2128"/>
      <c r="V171" s="2128"/>
      <c r="W171" s="2128"/>
      <c r="X171" s="2128"/>
      <c r="Y171" s="2128"/>
      <c r="Z171" s="2128"/>
      <c r="AA171" s="2128"/>
      <c r="AB171" s="2128"/>
      <c r="AC171" s="2128"/>
      <c r="AD171" s="2128"/>
    </row>
    <row r="172" spans="1:30" ht="15.75" customHeight="1" x14ac:dyDescent="0.3">
      <c r="A172" s="4433"/>
      <c r="B172" s="4433"/>
      <c r="C172" s="2128"/>
      <c r="D172" s="2128"/>
      <c r="E172" s="2128"/>
      <c r="F172" s="2128"/>
      <c r="G172" s="2128"/>
      <c r="H172" s="2128"/>
      <c r="I172" s="2128"/>
      <c r="J172" s="2128"/>
      <c r="K172" s="2128"/>
      <c r="L172" s="2128"/>
      <c r="M172" s="2128"/>
      <c r="N172" s="2128"/>
      <c r="O172" s="2128"/>
      <c r="P172" s="2128"/>
      <c r="Q172" s="2128"/>
      <c r="R172" s="2128"/>
      <c r="S172" s="2128"/>
      <c r="T172" s="2128"/>
      <c r="U172" s="2128"/>
      <c r="V172" s="2128"/>
      <c r="W172" s="2128"/>
      <c r="X172" s="2128"/>
      <c r="Y172" s="2128"/>
      <c r="Z172" s="2128"/>
      <c r="AA172" s="2128"/>
      <c r="AB172" s="2128"/>
      <c r="AC172" s="2128"/>
      <c r="AD172" s="2128"/>
    </row>
    <row r="173" spans="1:30" ht="15.75" customHeight="1" x14ac:dyDescent="0.3">
      <c r="A173" s="4433"/>
      <c r="B173" s="4433"/>
      <c r="C173" s="2128"/>
      <c r="D173" s="2128"/>
      <c r="E173" s="2128"/>
      <c r="F173" s="2128"/>
      <c r="G173" s="2128"/>
      <c r="H173" s="2128"/>
      <c r="I173" s="2128"/>
      <c r="J173" s="2128"/>
      <c r="K173" s="2128"/>
      <c r="L173" s="2128"/>
      <c r="M173" s="2128"/>
      <c r="N173" s="2128"/>
      <c r="O173" s="2128"/>
      <c r="P173" s="2128"/>
      <c r="Q173" s="2128"/>
      <c r="R173" s="2128"/>
      <c r="S173" s="2128"/>
      <c r="T173" s="2128"/>
      <c r="U173" s="2128"/>
      <c r="V173" s="2128"/>
      <c r="W173" s="2128"/>
      <c r="X173" s="2128"/>
      <c r="Y173" s="2128"/>
      <c r="Z173" s="2128"/>
      <c r="AA173" s="2128"/>
      <c r="AB173" s="2128"/>
      <c r="AC173" s="2128"/>
      <c r="AD173" s="2128"/>
    </row>
    <row r="174" spans="1:30" ht="15.75" customHeight="1" x14ac:dyDescent="0.3">
      <c r="A174" s="4433"/>
      <c r="B174" s="4433"/>
      <c r="C174" s="2128"/>
      <c r="D174" s="2128"/>
      <c r="E174" s="2128"/>
      <c r="F174" s="2128"/>
      <c r="G174" s="2128"/>
      <c r="H174" s="2128"/>
      <c r="I174" s="2128"/>
      <c r="J174" s="2128"/>
      <c r="K174" s="2128"/>
      <c r="L174" s="2128"/>
      <c r="M174" s="2128"/>
      <c r="N174" s="2128"/>
      <c r="O174" s="2128"/>
      <c r="P174" s="2128"/>
      <c r="Q174" s="2128"/>
      <c r="R174" s="2128"/>
      <c r="S174" s="2128"/>
      <c r="T174" s="2128"/>
      <c r="U174" s="2128"/>
      <c r="V174" s="2128"/>
      <c r="W174" s="2128"/>
      <c r="X174" s="2128"/>
      <c r="Y174" s="2128"/>
      <c r="Z174" s="2128"/>
      <c r="AA174" s="2128"/>
      <c r="AB174" s="2128"/>
      <c r="AC174" s="2128"/>
      <c r="AD174" s="2128"/>
    </row>
    <row r="175" spans="1:30" ht="15.75" customHeight="1" x14ac:dyDescent="0.3">
      <c r="A175" s="4433"/>
      <c r="B175" s="4433"/>
      <c r="C175" s="2128"/>
      <c r="D175" s="2128"/>
      <c r="E175" s="2128"/>
      <c r="F175" s="2128"/>
      <c r="G175" s="2128"/>
      <c r="H175" s="2128"/>
      <c r="I175" s="2128"/>
      <c r="J175" s="2128"/>
      <c r="K175" s="2128"/>
      <c r="L175" s="2128"/>
      <c r="M175" s="2128"/>
      <c r="N175" s="2128"/>
      <c r="O175" s="2128"/>
      <c r="P175" s="2128"/>
      <c r="Q175" s="2128"/>
      <c r="R175" s="2128"/>
      <c r="S175" s="2128"/>
      <c r="T175" s="2128"/>
      <c r="U175" s="2128"/>
      <c r="V175" s="2128"/>
      <c r="W175" s="2128"/>
      <c r="X175" s="2128"/>
      <c r="Y175" s="2128"/>
      <c r="Z175" s="2128"/>
      <c r="AA175" s="2128"/>
      <c r="AB175" s="2128"/>
      <c r="AC175" s="2128"/>
      <c r="AD175" s="2128"/>
    </row>
    <row r="176" spans="1:30" ht="15.75" customHeight="1" x14ac:dyDescent="0.3">
      <c r="A176" s="4433"/>
      <c r="B176" s="4433"/>
      <c r="C176" s="2128"/>
      <c r="D176" s="2128"/>
      <c r="E176" s="2128"/>
      <c r="F176" s="2128"/>
      <c r="G176" s="2128"/>
      <c r="H176" s="2128"/>
      <c r="I176" s="2128"/>
      <c r="J176" s="2128"/>
      <c r="K176" s="2128"/>
      <c r="L176" s="2128"/>
      <c r="M176" s="2128"/>
      <c r="N176" s="2128"/>
      <c r="O176" s="2128"/>
      <c r="P176" s="2128"/>
      <c r="Q176" s="2128"/>
      <c r="R176" s="2128"/>
      <c r="S176" s="2128"/>
      <c r="T176" s="2128"/>
      <c r="U176" s="2128"/>
      <c r="V176" s="2128"/>
      <c r="W176" s="2128"/>
      <c r="X176" s="2128"/>
      <c r="Y176" s="2128"/>
      <c r="Z176" s="2128"/>
      <c r="AA176" s="2128"/>
      <c r="AB176" s="2128"/>
      <c r="AC176" s="2128"/>
      <c r="AD176" s="2128"/>
    </row>
    <row r="177" spans="1:30" ht="15.75" customHeight="1" x14ac:dyDescent="0.3">
      <c r="A177" s="4433"/>
      <c r="B177" s="4433"/>
      <c r="C177" s="2128"/>
      <c r="D177" s="2128"/>
      <c r="E177" s="2128"/>
      <c r="F177" s="2128"/>
      <c r="G177" s="2128"/>
      <c r="H177" s="2128"/>
      <c r="I177" s="2128"/>
      <c r="J177" s="2128"/>
      <c r="K177" s="2128"/>
      <c r="L177" s="2128"/>
      <c r="M177" s="2128"/>
      <c r="N177" s="2128"/>
      <c r="O177" s="2128"/>
      <c r="P177" s="2128"/>
      <c r="Q177" s="2128"/>
      <c r="R177" s="2128"/>
      <c r="S177" s="2128"/>
      <c r="T177" s="2128"/>
      <c r="U177" s="2128"/>
      <c r="V177" s="2128"/>
      <c r="W177" s="2128"/>
      <c r="X177" s="2128"/>
      <c r="Y177" s="2128"/>
      <c r="Z177" s="2128"/>
      <c r="AA177" s="2128"/>
      <c r="AB177" s="2128"/>
      <c r="AC177" s="2128"/>
      <c r="AD177" s="2128"/>
    </row>
    <row r="178" spans="1:30" ht="15.75" customHeight="1" x14ac:dyDescent="0.3">
      <c r="A178" s="4433"/>
      <c r="B178" s="4433"/>
      <c r="C178" s="2128"/>
      <c r="D178" s="2128"/>
      <c r="E178" s="2128"/>
      <c r="F178" s="2128"/>
      <c r="G178" s="2128"/>
      <c r="H178" s="2128"/>
      <c r="I178" s="2128"/>
      <c r="J178" s="2128"/>
      <c r="K178" s="2128"/>
      <c r="L178" s="2128"/>
      <c r="M178" s="2128"/>
      <c r="N178" s="2128"/>
      <c r="O178" s="2128"/>
      <c r="P178" s="2128"/>
      <c r="Q178" s="2128"/>
      <c r="R178" s="2128"/>
      <c r="S178" s="2128"/>
      <c r="T178" s="2128"/>
      <c r="U178" s="2128"/>
      <c r="V178" s="2128"/>
      <c r="W178" s="2128"/>
      <c r="X178" s="2128"/>
      <c r="Y178" s="2128"/>
      <c r="Z178" s="2128"/>
      <c r="AA178" s="2128"/>
      <c r="AB178" s="2128"/>
      <c r="AC178" s="2128"/>
      <c r="AD178" s="2128"/>
    </row>
    <row r="179" spans="1:30" ht="15.75" customHeight="1" x14ac:dyDescent="0.3">
      <c r="A179" s="4433"/>
      <c r="B179" s="4433"/>
      <c r="C179" s="2128"/>
      <c r="D179" s="2128"/>
      <c r="E179" s="2128"/>
      <c r="F179" s="2128"/>
      <c r="G179" s="2128"/>
      <c r="H179" s="2128"/>
      <c r="I179" s="2128"/>
      <c r="J179" s="2128"/>
      <c r="K179" s="2128"/>
      <c r="L179" s="2128"/>
      <c r="M179" s="2128"/>
      <c r="N179" s="2128"/>
      <c r="O179" s="2128"/>
      <c r="P179" s="2128"/>
      <c r="Q179" s="2128"/>
      <c r="R179" s="2128"/>
      <c r="S179" s="2128"/>
      <c r="T179" s="2128"/>
      <c r="U179" s="2128"/>
      <c r="V179" s="2128"/>
      <c r="W179" s="2128"/>
      <c r="X179" s="2128"/>
      <c r="Y179" s="2128"/>
      <c r="Z179" s="2128"/>
      <c r="AA179" s="2128"/>
      <c r="AB179" s="2128"/>
      <c r="AC179" s="2128"/>
      <c r="AD179" s="2128"/>
    </row>
    <row r="180" spans="1:30" ht="15.75" customHeight="1" x14ac:dyDescent="0.3">
      <c r="A180" s="4433"/>
      <c r="B180" s="4433"/>
      <c r="C180" s="2128"/>
      <c r="D180" s="2128"/>
      <c r="E180" s="2128"/>
      <c r="F180" s="2128"/>
      <c r="G180" s="2128"/>
      <c r="H180" s="2128"/>
      <c r="I180" s="2128"/>
      <c r="J180" s="2128"/>
      <c r="K180" s="2128"/>
      <c r="L180" s="2128"/>
      <c r="M180" s="2128"/>
      <c r="N180" s="2128"/>
      <c r="O180" s="2128"/>
      <c r="P180" s="2128"/>
      <c r="Q180" s="2128"/>
      <c r="R180" s="2128"/>
      <c r="S180" s="2128"/>
      <c r="T180" s="2128"/>
      <c r="U180" s="2128"/>
      <c r="V180" s="2128"/>
      <c r="W180" s="2128"/>
      <c r="X180" s="2128"/>
      <c r="Y180" s="2128"/>
      <c r="Z180" s="2128"/>
      <c r="AA180" s="2128"/>
      <c r="AB180" s="2128"/>
      <c r="AC180" s="2128"/>
      <c r="AD180" s="2128"/>
    </row>
    <row r="181" spans="1:30" ht="15.75" customHeight="1" x14ac:dyDescent="0.3">
      <c r="A181" s="4433"/>
      <c r="B181" s="4433"/>
      <c r="C181" s="2128"/>
      <c r="D181" s="2128"/>
      <c r="E181" s="2128"/>
      <c r="F181" s="2128"/>
      <c r="G181" s="2128"/>
      <c r="H181" s="2128"/>
      <c r="I181" s="2128"/>
      <c r="J181" s="2128"/>
      <c r="K181" s="2128"/>
      <c r="L181" s="2128"/>
      <c r="M181" s="2128"/>
      <c r="N181" s="2128"/>
      <c r="O181" s="2128"/>
      <c r="P181" s="2128"/>
      <c r="Q181" s="2128"/>
      <c r="R181" s="2128"/>
      <c r="S181" s="2128"/>
      <c r="T181" s="2128"/>
      <c r="U181" s="2128"/>
      <c r="V181" s="2128"/>
      <c r="W181" s="2128"/>
      <c r="X181" s="2128"/>
      <c r="Y181" s="2128"/>
      <c r="Z181" s="2128"/>
      <c r="AA181" s="2128"/>
      <c r="AB181" s="2128"/>
      <c r="AC181" s="2128"/>
      <c r="AD181" s="2128"/>
    </row>
    <row r="182" spans="1:30" ht="15.75" customHeight="1" x14ac:dyDescent="0.3">
      <c r="A182" s="4433"/>
      <c r="B182" s="4433"/>
      <c r="C182" s="2128"/>
      <c r="D182" s="2128"/>
      <c r="E182" s="2128"/>
      <c r="F182" s="2128"/>
      <c r="G182" s="2128"/>
      <c r="H182" s="2128"/>
      <c r="I182" s="2128"/>
      <c r="J182" s="2128"/>
      <c r="K182" s="2128"/>
      <c r="L182" s="2128"/>
      <c r="M182" s="2128"/>
      <c r="N182" s="2128"/>
      <c r="O182" s="2128"/>
      <c r="P182" s="2128"/>
      <c r="Q182" s="2128"/>
      <c r="R182" s="2128"/>
      <c r="S182" s="2128"/>
      <c r="T182" s="2128"/>
      <c r="U182" s="2128"/>
      <c r="V182" s="2128"/>
      <c r="W182" s="2128"/>
      <c r="X182" s="2128"/>
      <c r="Y182" s="2128"/>
      <c r="Z182" s="2128"/>
      <c r="AA182" s="2128"/>
      <c r="AB182" s="2128"/>
      <c r="AC182" s="2128"/>
      <c r="AD182" s="2128"/>
    </row>
    <row r="183" spans="1:30" ht="15.75" customHeight="1" x14ac:dyDescent="0.3">
      <c r="A183" s="4433"/>
      <c r="B183" s="4433"/>
      <c r="C183" s="2128"/>
      <c r="D183" s="2128"/>
      <c r="E183" s="2128"/>
      <c r="F183" s="2128"/>
      <c r="G183" s="2128"/>
      <c r="H183" s="2128"/>
      <c r="I183" s="2128"/>
      <c r="J183" s="2128"/>
      <c r="K183" s="2128"/>
      <c r="L183" s="2128"/>
      <c r="M183" s="2128"/>
      <c r="N183" s="2128"/>
      <c r="O183" s="2128"/>
      <c r="P183" s="2128"/>
      <c r="Q183" s="2128"/>
      <c r="R183" s="2128"/>
      <c r="S183" s="2128"/>
      <c r="T183" s="2128"/>
      <c r="U183" s="2128"/>
      <c r="V183" s="2128"/>
      <c r="W183" s="2128"/>
      <c r="X183" s="2128"/>
      <c r="Y183" s="2128"/>
      <c r="Z183" s="2128"/>
      <c r="AA183" s="2128"/>
      <c r="AB183" s="2128"/>
      <c r="AC183" s="2128"/>
      <c r="AD183" s="2128"/>
    </row>
    <row r="184" spans="1:30" ht="15.75" customHeight="1" x14ac:dyDescent="0.3">
      <c r="A184" s="4433"/>
      <c r="B184" s="4433"/>
      <c r="C184" s="2128"/>
      <c r="D184" s="2128"/>
      <c r="E184" s="2128"/>
      <c r="F184" s="2128"/>
      <c r="G184" s="2128"/>
      <c r="H184" s="2128"/>
      <c r="I184" s="2128"/>
      <c r="J184" s="2128"/>
      <c r="K184" s="2128"/>
      <c r="L184" s="2128"/>
      <c r="M184" s="2128"/>
      <c r="N184" s="2128"/>
      <c r="O184" s="2128"/>
      <c r="P184" s="2128"/>
      <c r="Q184" s="2128"/>
      <c r="R184" s="2128"/>
      <c r="S184" s="2128"/>
      <c r="T184" s="2128"/>
      <c r="U184" s="2128"/>
      <c r="V184" s="2128"/>
      <c r="W184" s="2128"/>
      <c r="X184" s="2128"/>
      <c r="Y184" s="2128"/>
      <c r="Z184" s="2128"/>
      <c r="AA184" s="2128"/>
      <c r="AB184" s="2128"/>
      <c r="AC184" s="2128"/>
      <c r="AD184" s="2128"/>
    </row>
    <row r="185" spans="1:30" ht="15.75" customHeight="1" x14ac:dyDescent="0.3">
      <c r="A185" s="4433"/>
      <c r="B185" s="4433"/>
      <c r="C185" s="2128"/>
      <c r="D185" s="2128"/>
      <c r="E185" s="2128"/>
      <c r="F185" s="2128"/>
      <c r="G185" s="2128"/>
      <c r="H185" s="2128"/>
      <c r="I185" s="2128"/>
      <c r="J185" s="2128"/>
      <c r="K185" s="2128"/>
      <c r="L185" s="2128"/>
      <c r="M185" s="2128"/>
      <c r="N185" s="2128"/>
      <c r="O185" s="2128"/>
      <c r="P185" s="2128"/>
      <c r="Q185" s="2128"/>
      <c r="R185" s="2128"/>
      <c r="S185" s="2128"/>
      <c r="T185" s="2128"/>
      <c r="U185" s="2128"/>
      <c r="V185" s="2128"/>
      <c r="W185" s="2128"/>
      <c r="X185" s="2128"/>
      <c r="Y185" s="2128"/>
      <c r="Z185" s="2128"/>
      <c r="AA185" s="2128"/>
      <c r="AB185" s="2128"/>
      <c r="AC185" s="2128"/>
      <c r="AD185" s="2128"/>
    </row>
    <row r="186" spans="1:30" ht="15.75" customHeight="1" x14ac:dyDescent="0.3">
      <c r="A186" s="4433"/>
      <c r="B186" s="4433"/>
      <c r="C186" s="2128"/>
      <c r="D186" s="2128"/>
      <c r="E186" s="2128"/>
      <c r="F186" s="2128"/>
      <c r="G186" s="2128"/>
      <c r="H186" s="2128"/>
      <c r="I186" s="2128"/>
      <c r="J186" s="2128"/>
      <c r="K186" s="2128"/>
      <c r="L186" s="2128"/>
      <c r="M186" s="2128"/>
      <c r="N186" s="2128"/>
      <c r="O186" s="2128"/>
      <c r="P186" s="2128"/>
      <c r="Q186" s="2128"/>
      <c r="R186" s="2128"/>
      <c r="S186" s="2128"/>
      <c r="T186" s="2128"/>
      <c r="U186" s="2128"/>
      <c r="V186" s="2128"/>
      <c r="W186" s="2128"/>
      <c r="X186" s="2128"/>
      <c r="Y186" s="2128"/>
      <c r="Z186" s="2128"/>
      <c r="AA186" s="2128"/>
      <c r="AB186" s="2128"/>
      <c r="AC186" s="2128"/>
      <c r="AD186" s="2128"/>
    </row>
    <row r="187" spans="1:30" ht="15.75" customHeight="1" x14ac:dyDescent="0.3">
      <c r="A187" s="4433"/>
      <c r="B187" s="4433"/>
      <c r="C187" s="2128"/>
      <c r="D187" s="2128"/>
      <c r="E187" s="2128"/>
      <c r="F187" s="2128"/>
      <c r="G187" s="2128"/>
      <c r="H187" s="2128"/>
      <c r="I187" s="2128"/>
      <c r="J187" s="2128"/>
      <c r="K187" s="2128"/>
      <c r="L187" s="2128"/>
      <c r="M187" s="2128"/>
      <c r="N187" s="2128"/>
      <c r="O187" s="2128"/>
      <c r="P187" s="2128"/>
      <c r="Q187" s="2128"/>
      <c r="R187" s="2128"/>
      <c r="S187" s="2128"/>
      <c r="T187" s="2128"/>
      <c r="U187" s="2128"/>
      <c r="V187" s="2128"/>
      <c r="W187" s="2128"/>
      <c r="X187" s="2128"/>
      <c r="Y187" s="2128"/>
      <c r="Z187" s="2128"/>
      <c r="AA187" s="2128"/>
      <c r="AB187" s="2128"/>
      <c r="AC187" s="2128"/>
      <c r="AD187" s="2128"/>
    </row>
    <row r="188" spans="1:30" ht="15.75" customHeight="1" x14ac:dyDescent="0.3">
      <c r="A188" s="4433"/>
      <c r="B188" s="4433"/>
      <c r="C188" s="2128"/>
      <c r="D188" s="2128"/>
      <c r="E188" s="2128"/>
      <c r="F188" s="2128"/>
      <c r="G188" s="2128"/>
      <c r="H188" s="2128"/>
      <c r="I188" s="2128"/>
      <c r="J188" s="2128"/>
      <c r="K188" s="2128"/>
      <c r="L188" s="2128"/>
      <c r="M188" s="2128"/>
      <c r="N188" s="2128"/>
      <c r="O188" s="2128"/>
      <c r="P188" s="2128"/>
      <c r="Q188" s="2128"/>
      <c r="R188" s="2128"/>
      <c r="S188" s="2128"/>
      <c r="T188" s="2128"/>
      <c r="U188" s="2128"/>
      <c r="V188" s="2128"/>
      <c r="W188" s="2128"/>
      <c r="X188" s="2128"/>
      <c r="Y188" s="2128"/>
      <c r="Z188" s="2128"/>
      <c r="AA188" s="2128"/>
      <c r="AB188" s="2128"/>
      <c r="AC188" s="2128"/>
      <c r="AD188" s="2128"/>
    </row>
    <row r="189" spans="1:30" ht="15.75" customHeight="1" x14ac:dyDescent="0.3">
      <c r="A189" s="4433"/>
      <c r="B189" s="4433"/>
      <c r="C189" s="2128"/>
      <c r="D189" s="2128"/>
      <c r="E189" s="2128"/>
      <c r="F189" s="2128"/>
      <c r="G189" s="2128"/>
      <c r="H189" s="2128"/>
      <c r="I189" s="2128"/>
      <c r="J189" s="2128"/>
      <c r="K189" s="2128"/>
      <c r="L189" s="2128"/>
      <c r="M189" s="2128"/>
      <c r="N189" s="2128"/>
      <c r="O189" s="2128"/>
      <c r="P189" s="2128"/>
      <c r="Q189" s="2128"/>
      <c r="R189" s="2128"/>
      <c r="S189" s="2128"/>
      <c r="T189" s="2128"/>
      <c r="U189" s="2128"/>
      <c r="V189" s="2128"/>
      <c r="W189" s="2128"/>
      <c r="X189" s="2128"/>
      <c r="Y189" s="2128"/>
      <c r="Z189" s="2128"/>
      <c r="AA189" s="2128"/>
      <c r="AB189" s="2128"/>
      <c r="AC189" s="2128"/>
      <c r="AD189" s="2128"/>
    </row>
    <row r="190" spans="1:30" ht="15.75" customHeight="1" x14ac:dyDescent="0.3">
      <c r="A190" s="4433"/>
      <c r="B190" s="4433"/>
      <c r="C190" s="2128"/>
      <c r="D190" s="2128"/>
      <c r="E190" s="2128"/>
      <c r="F190" s="2128"/>
      <c r="G190" s="2128"/>
      <c r="H190" s="2128"/>
      <c r="I190" s="2128"/>
      <c r="J190" s="2128"/>
      <c r="K190" s="2128"/>
      <c r="L190" s="2128"/>
      <c r="M190" s="2128"/>
      <c r="N190" s="2128"/>
      <c r="O190" s="2128"/>
      <c r="P190" s="2128"/>
      <c r="Q190" s="2128"/>
      <c r="R190" s="2128"/>
      <c r="S190" s="2128"/>
      <c r="T190" s="2128"/>
      <c r="U190" s="2128"/>
      <c r="V190" s="2128"/>
      <c r="W190" s="2128"/>
      <c r="X190" s="2128"/>
      <c r="Y190" s="2128"/>
      <c r="Z190" s="2128"/>
      <c r="AA190" s="2128"/>
      <c r="AB190" s="2128"/>
      <c r="AC190" s="2128"/>
      <c r="AD190" s="2128"/>
    </row>
    <row r="191" spans="1:30" ht="15.75" customHeight="1" x14ac:dyDescent="0.3">
      <c r="A191" s="4433"/>
      <c r="B191" s="4433"/>
      <c r="C191" s="2128"/>
      <c r="D191" s="2128"/>
      <c r="E191" s="2128"/>
      <c r="F191" s="2128"/>
      <c r="G191" s="2128"/>
      <c r="H191" s="2128"/>
      <c r="I191" s="2128"/>
      <c r="J191" s="2128"/>
      <c r="K191" s="2128"/>
      <c r="L191" s="2128"/>
      <c r="M191" s="2128"/>
      <c r="N191" s="2128"/>
      <c r="O191" s="2128"/>
      <c r="P191" s="2128"/>
      <c r="Q191" s="2128"/>
      <c r="R191" s="2128"/>
      <c r="S191" s="2128"/>
      <c r="T191" s="2128"/>
      <c r="U191" s="2128"/>
      <c r="V191" s="2128"/>
      <c r="W191" s="2128"/>
      <c r="X191" s="2128"/>
      <c r="Y191" s="2128"/>
      <c r="Z191" s="2128"/>
      <c r="AA191" s="2128"/>
      <c r="AB191" s="2128"/>
      <c r="AC191" s="2128"/>
      <c r="AD191" s="2128"/>
    </row>
    <row r="192" spans="1:30" ht="15.75" customHeight="1" x14ac:dyDescent="0.3">
      <c r="A192" s="4433"/>
      <c r="B192" s="4433"/>
      <c r="C192" s="2128"/>
      <c r="D192" s="2128"/>
      <c r="E192" s="2128"/>
      <c r="F192" s="2128"/>
      <c r="G192" s="2128"/>
      <c r="H192" s="2128"/>
      <c r="I192" s="2128"/>
      <c r="J192" s="2128"/>
      <c r="K192" s="2128"/>
      <c r="L192" s="2128"/>
      <c r="M192" s="2128"/>
      <c r="N192" s="2128"/>
      <c r="O192" s="2128"/>
      <c r="P192" s="2128"/>
      <c r="Q192" s="2128"/>
      <c r="R192" s="2128"/>
      <c r="S192" s="2128"/>
      <c r="T192" s="2128"/>
      <c r="U192" s="2128"/>
      <c r="V192" s="2128"/>
      <c r="W192" s="2128"/>
      <c r="X192" s="2128"/>
      <c r="Y192" s="2128"/>
      <c r="Z192" s="2128"/>
      <c r="AA192" s="2128"/>
      <c r="AB192" s="2128"/>
      <c r="AC192" s="2128"/>
      <c r="AD192" s="2128"/>
    </row>
    <row r="193" spans="1:30" ht="15.75" customHeight="1" x14ac:dyDescent="0.3">
      <c r="A193" s="4433"/>
      <c r="B193" s="4433"/>
      <c r="C193" s="2128"/>
      <c r="D193" s="2128"/>
      <c r="E193" s="2128"/>
      <c r="F193" s="2128"/>
      <c r="G193" s="2128"/>
      <c r="H193" s="2128"/>
      <c r="I193" s="2128"/>
      <c r="J193" s="2128"/>
      <c r="K193" s="2128"/>
      <c r="L193" s="2128"/>
      <c r="M193" s="2128"/>
      <c r="N193" s="2128"/>
      <c r="O193" s="2128"/>
      <c r="P193" s="2128"/>
      <c r="Q193" s="2128"/>
      <c r="R193" s="2128"/>
      <c r="S193" s="2128"/>
      <c r="T193" s="2128"/>
      <c r="U193" s="2128"/>
      <c r="V193" s="2128"/>
      <c r="W193" s="2128"/>
      <c r="X193" s="2128"/>
      <c r="Y193" s="2128"/>
      <c r="Z193" s="2128"/>
      <c r="AA193" s="2128"/>
      <c r="AB193" s="2128"/>
      <c r="AC193" s="2128"/>
      <c r="AD193" s="2128"/>
    </row>
    <row r="194" spans="1:30" ht="15.75" customHeight="1" x14ac:dyDescent="0.3">
      <c r="A194" s="4433"/>
      <c r="B194" s="4433"/>
      <c r="C194" s="2128"/>
      <c r="D194" s="2128"/>
      <c r="E194" s="2128"/>
      <c r="F194" s="2128"/>
      <c r="G194" s="2128"/>
      <c r="H194" s="2128"/>
      <c r="I194" s="2128"/>
      <c r="J194" s="2128"/>
      <c r="K194" s="2128"/>
      <c r="L194" s="2128"/>
      <c r="M194" s="2128"/>
      <c r="N194" s="2128"/>
      <c r="O194" s="2128"/>
      <c r="P194" s="2128"/>
      <c r="Q194" s="2128"/>
      <c r="R194" s="2128"/>
      <c r="S194" s="2128"/>
      <c r="T194" s="2128"/>
      <c r="U194" s="2128"/>
      <c r="V194" s="2128"/>
      <c r="W194" s="2128"/>
      <c r="X194" s="2128"/>
      <c r="Y194" s="2128"/>
      <c r="Z194" s="2128"/>
      <c r="AA194" s="2128"/>
      <c r="AB194" s="2128"/>
      <c r="AC194" s="2128"/>
      <c r="AD194" s="2128"/>
    </row>
    <row r="195" spans="1:30" ht="15.75" customHeight="1" x14ac:dyDescent="0.3">
      <c r="A195" s="4433"/>
      <c r="B195" s="4433"/>
      <c r="C195" s="2128"/>
      <c r="D195" s="2128"/>
      <c r="E195" s="2128"/>
      <c r="F195" s="2128"/>
      <c r="G195" s="2128"/>
      <c r="H195" s="2128"/>
      <c r="I195" s="2128"/>
      <c r="J195" s="2128"/>
      <c r="K195" s="2128"/>
      <c r="L195" s="2128"/>
      <c r="M195" s="2128"/>
      <c r="N195" s="2128"/>
      <c r="O195" s="2128"/>
      <c r="P195" s="2128"/>
      <c r="Q195" s="2128"/>
      <c r="R195" s="2128"/>
      <c r="S195" s="2128"/>
      <c r="T195" s="2128"/>
      <c r="U195" s="2128"/>
      <c r="V195" s="2128"/>
      <c r="W195" s="2128"/>
      <c r="X195" s="2128"/>
      <c r="Y195" s="2128"/>
      <c r="Z195" s="2128"/>
      <c r="AA195" s="2128"/>
      <c r="AB195" s="2128"/>
      <c r="AC195" s="2128"/>
      <c r="AD195" s="2128"/>
    </row>
    <row r="196" spans="1:30" ht="15.75" customHeight="1" x14ac:dyDescent="0.3">
      <c r="A196" s="4433"/>
      <c r="B196" s="4433"/>
      <c r="C196" s="2128"/>
      <c r="D196" s="2128"/>
      <c r="E196" s="2128"/>
      <c r="F196" s="2128"/>
      <c r="G196" s="2128"/>
      <c r="H196" s="2128"/>
      <c r="I196" s="2128"/>
      <c r="J196" s="2128"/>
      <c r="K196" s="2128"/>
      <c r="L196" s="2128"/>
      <c r="M196" s="2128"/>
      <c r="N196" s="2128"/>
      <c r="O196" s="2128"/>
      <c r="P196" s="2128"/>
      <c r="Q196" s="2128"/>
      <c r="R196" s="2128"/>
      <c r="S196" s="2128"/>
      <c r="T196" s="2128"/>
      <c r="U196" s="2128"/>
      <c r="V196" s="2128"/>
      <c r="W196" s="2128"/>
      <c r="X196" s="2128"/>
      <c r="Y196" s="2128"/>
      <c r="Z196" s="2128"/>
      <c r="AA196" s="2128"/>
      <c r="AB196" s="2128"/>
      <c r="AC196" s="2128"/>
      <c r="AD196" s="2128"/>
    </row>
    <row r="197" spans="1:30" ht="15.75" customHeight="1" x14ac:dyDescent="0.3">
      <c r="A197" s="4433"/>
      <c r="B197" s="4433"/>
      <c r="C197" s="2128"/>
      <c r="D197" s="2128"/>
      <c r="E197" s="2128"/>
      <c r="F197" s="2128"/>
      <c r="G197" s="2128"/>
      <c r="H197" s="2128"/>
      <c r="I197" s="2128"/>
      <c r="J197" s="2128"/>
      <c r="K197" s="2128"/>
      <c r="L197" s="2128"/>
      <c r="M197" s="2128"/>
      <c r="N197" s="2128"/>
      <c r="O197" s="2128"/>
      <c r="P197" s="2128"/>
      <c r="Q197" s="2128"/>
      <c r="R197" s="2128"/>
      <c r="S197" s="2128"/>
      <c r="T197" s="2128"/>
      <c r="U197" s="2128"/>
      <c r="V197" s="2128"/>
      <c r="W197" s="2128"/>
      <c r="X197" s="2128"/>
      <c r="Y197" s="2128"/>
      <c r="Z197" s="2128"/>
      <c r="AA197" s="2128"/>
      <c r="AB197" s="2128"/>
      <c r="AC197" s="2128"/>
      <c r="AD197" s="2128"/>
    </row>
    <row r="198" spans="1:30" ht="15.75" customHeight="1" x14ac:dyDescent="0.3">
      <c r="A198" s="4433"/>
      <c r="B198" s="4433"/>
      <c r="C198" s="2128"/>
      <c r="D198" s="2128"/>
      <c r="E198" s="2128"/>
      <c r="F198" s="2128"/>
      <c r="G198" s="2128"/>
      <c r="H198" s="2128"/>
      <c r="I198" s="2128"/>
      <c r="J198" s="2128"/>
      <c r="K198" s="2128"/>
      <c r="L198" s="2128"/>
      <c r="M198" s="2128"/>
      <c r="N198" s="2128"/>
      <c r="O198" s="2128"/>
      <c r="P198" s="2128"/>
      <c r="Q198" s="2128"/>
      <c r="R198" s="2128"/>
      <c r="S198" s="2128"/>
      <c r="T198" s="2128"/>
      <c r="U198" s="2128"/>
      <c r="V198" s="2128"/>
      <c r="W198" s="2128"/>
      <c r="X198" s="2128"/>
      <c r="Y198" s="2128"/>
      <c r="Z198" s="2128"/>
      <c r="AA198" s="2128"/>
      <c r="AB198" s="2128"/>
      <c r="AC198" s="2128"/>
      <c r="AD198" s="2128"/>
    </row>
    <row r="199" spans="1:30" ht="15.75" customHeight="1" x14ac:dyDescent="0.3">
      <c r="A199" s="4433"/>
      <c r="B199" s="4433"/>
      <c r="C199" s="2128"/>
      <c r="D199" s="2128"/>
      <c r="E199" s="2128"/>
      <c r="F199" s="2128"/>
      <c r="G199" s="2128"/>
      <c r="H199" s="2128"/>
      <c r="I199" s="2128"/>
      <c r="J199" s="2128"/>
      <c r="K199" s="2128"/>
      <c r="L199" s="2128"/>
      <c r="M199" s="2128"/>
      <c r="N199" s="2128"/>
      <c r="O199" s="2128"/>
      <c r="P199" s="2128"/>
      <c r="Q199" s="2128"/>
      <c r="R199" s="2128"/>
      <c r="S199" s="2128"/>
      <c r="T199" s="2128"/>
      <c r="U199" s="2128"/>
      <c r="V199" s="2128"/>
      <c r="W199" s="2128"/>
      <c r="X199" s="2128"/>
      <c r="Y199" s="2128"/>
      <c r="Z199" s="2128"/>
      <c r="AA199" s="2128"/>
      <c r="AB199" s="2128"/>
      <c r="AC199" s="2128"/>
      <c r="AD199" s="2128"/>
    </row>
    <row r="200" spans="1:30" ht="15.75" customHeight="1" x14ac:dyDescent="0.3">
      <c r="A200" s="4433"/>
      <c r="B200" s="4433"/>
      <c r="C200" s="2128"/>
      <c r="D200" s="2128"/>
      <c r="E200" s="2128"/>
      <c r="F200" s="2128"/>
      <c r="G200" s="2128"/>
      <c r="H200" s="2128"/>
      <c r="I200" s="2128"/>
      <c r="J200" s="2128"/>
      <c r="K200" s="2128"/>
      <c r="L200" s="2128"/>
      <c r="M200" s="2128"/>
      <c r="N200" s="2128"/>
      <c r="O200" s="2128"/>
      <c r="P200" s="2128"/>
      <c r="Q200" s="2128"/>
      <c r="R200" s="2128"/>
      <c r="S200" s="2128"/>
      <c r="T200" s="2128"/>
      <c r="U200" s="2128"/>
      <c r="V200" s="2128"/>
      <c r="W200" s="2128"/>
      <c r="X200" s="2128"/>
      <c r="Y200" s="2128"/>
      <c r="Z200" s="2128"/>
      <c r="AA200" s="2128"/>
      <c r="AB200" s="2128"/>
      <c r="AC200" s="2128"/>
      <c r="AD200" s="2128"/>
    </row>
    <row r="201" spans="1:30" ht="15.75" customHeight="1" x14ac:dyDescent="0.3">
      <c r="A201" s="4433"/>
      <c r="B201" s="4433"/>
      <c r="C201" s="2128"/>
      <c r="D201" s="2128"/>
      <c r="E201" s="2128"/>
      <c r="F201" s="2128"/>
      <c r="G201" s="2128"/>
      <c r="H201" s="2128"/>
      <c r="I201" s="2128"/>
      <c r="J201" s="2128"/>
      <c r="K201" s="2128"/>
      <c r="L201" s="2128"/>
      <c r="M201" s="2128"/>
      <c r="N201" s="2128"/>
      <c r="O201" s="2128"/>
      <c r="P201" s="2128"/>
      <c r="Q201" s="2128"/>
      <c r="R201" s="2128"/>
      <c r="S201" s="2128"/>
      <c r="T201" s="2128"/>
      <c r="U201" s="2128"/>
      <c r="V201" s="2128"/>
      <c r="W201" s="2128"/>
      <c r="X201" s="2128"/>
      <c r="Y201" s="2128"/>
      <c r="Z201" s="2128"/>
      <c r="AA201" s="2128"/>
      <c r="AB201" s="2128"/>
      <c r="AC201" s="2128"/>
      <c r="AD201" s="2128"/>
    </row>
    <row r="202" spans="1:30" ht="15.75" customHeight="1" x14ac:dyDescent="0.3">
      <c r="A202" s="4433"/>
      <c r="B202" s="4433"/>
      <c r="C202" s="2128"/>
      <c r="D202" s="2128"/>
      <c r="E202" s="2128"/>
      <c r="F202" s="2128"/>
      <c r="G202" s="2128"/>
      <c r="H202" s="2128"/>
      <c r="I202" s="2128"/>
      <c r="J202" s="2128"/>
      <c r="K202" s="2128"/>
      <c r="L202" s="2128"/>
      <c r="M202" s="2128"/>
      <c r="N202" s="2128"/>
      <c r="O202" s="2128"/>
      <c r="P202" s="2128"/>
      <c r="Q202" s="2128"/>
      <c r="R202" s="2128"/>
      <c r="S202" s="2128"/>
      <c r="T202" s="2128"/>
      <c r="U202" s="2128"/>
      <c r="V202" s="2128"/>
      <c r="W202" s="2128"/>
      <c r="X202" s="2128"/>
      <c r="Y202" s="2128"/>
      <c r="Z202" s="2128"/>
      <c r="AA202" s="2128"/>
      <c r="AB202" s="2128"/>
      <c r="AC202" s="2128"/>
      <c r="AD202" s="2128"/>
    </row>
    <row r="203" spans="1:30" ht="15.75" customHeight="1" x14ac:dyDescent="0.3">
      <c r="A203" s="4433"/>
      <c r="B203" s="4433"/>
      <c r="C203" s="2128"/>
      <c r="D203" s="2128"/>
      <c r="E203" s="2128"/>
      <c r="F203" s="2128"/>
      <c r="G203" s="2128"/>
      <c r="H203" s="2128"/>
      <c r="I203" s="2128"/>
      <c r="J203" s="2128"/>
      <c r="K203" s="2128"/>
      <c r="L203" s="2128"/>
      <c r="M203" s="2128"/>
      <c r="N203" s="2128"/>
      <c r="O203" s="2128"/>
      <c r="P203" s="2128"/>
      <c r="Q203" s="2128"/>
      <c r="R203" s="2128"/>
      <c r="S203" s="2128"/>
      <c r="T203" s="2128"/>
      <c r="U203" s="2128"/>
      <c r="V203" s="2128"/>
      <c r="W203" s="2128"/>
      <c r="X203" s="2128"/>
      <c r="Y203" s="2128"/>
      <c r="Z203" s="2128"/>
      <c r="AA203" s="2128"/>
      <c r="AB203" s="2128"/>
      <c r="AC203" s="2128"/>
      <c r="AD203" s="2128"/>
    </row>
    <row r="204" spans="1:30" ht="15.75" customHeight="1" x14ac:dyDescent="0.3">
      <c r="A204" s="4433"/>
      <c r="B204" s="4433"/>
      <c r="C204" s="2128"/>
      <c r="D204" s="2128"/>
      <c r="E204" s="2128"/>
      <c r="F204" s="2128"/>
      <c r="G204" s="2128"/>
      <c r="H204" s="2128"/>
      <c r="I204" s="2128"/>
      <c r="J204" s="2128"/>
      <c r="K204" s="2128"/>
      <c r="L204" s="2128"/>
      <c r="M204" s="2128"/>
      <c r="N204" s="2128"/>
      <c r="O204" s="2128"/>
      <c r="P204" s="2128"/>
      <c r="Q204" s="2128"/>
      <c r="R204" s="2128"/>
      <c r="S204" s="2128"/>
      <c r="T204" s="2128"/>
      <c r="U204" s="2128"/>
      <c r="V204" s="2128"/>
      <c r="W204" s="2128"/>
      <c r="X204" s="2128"/>
      <c r="Y204" s="2128"/>
      <c r="Z204" s="2128"/>
      <c r="AA204" s="2128"/>
      <c r="AB204" s="2128"/>
      <c r="AC204" s="2128"/>
      <c r="AD204" s="2128"/>
    </row>
    <row r="205" spans="1:30" ht="15.75" customHeight="1" x14ac:dyDescent="0.3">
      <c r="A205" s="4433"/>
      <c r="B205" s="4433"/>
      <c r="C205" s="2128"/>
      <c r="D205" s="2128"/>
      <c r="E205" s="2128"/>
      <c r="F205" s="2128"/>
      <c r="G205" s="2128"/>
      <c r="H205" s="2128"/>
      <c r="I205" s="2128"/>
      <c r="J205" s="2128"/>
      <c r="K205" s="2128"/>
      <c r="L205" s="2128"/>
      <c r="M205" s="2128"/>
      <c r="N205" s="2128"/>
      <c r="O205" s="2128"/>
      <c r="P205" s="2128"/>
      <c r="Q205" s="2128"/>
      <c r="R205" s="2128"/>
      <c r="S205" s="2128"/>
      <c r="T205" s="2128"/>
      <c r="U205" s="2128"/>
      <c r="V205" s="2128"/>
      <c r="W205" s="2128"/>
      <c r="X205" s="2128"/>
      <c r="Y205" s="2128"/>
      <c r="Z205" s="2128"/>
      <c r="AA205" s="2128"/>
      <c r="AB205" s="2128"/>
      <c r="AC205" s="2128"/>
      <c r="AD205" s="2128"/>
    </row>
    <row r="206" spans="1:30" ht="15.75" customHeight="1" x14ac:dyDescent="0.3">
      <c r="A206" s="4433"/>
      <c r="B206" s="4433"/>
      <c r="C206" s="2128"/>
      <c r="D206" s="2128"/>
      <c r="E206" s="2128"/>
      <c r="F206" s="2128"/>
      <c r="G206" s="2128"/>
      <c r="H206" s="2128"/>
      <c r="I206" s="2128"/>
      <c r="J206" s="2128"/>
      <c r="K206" s="2128"/>
      <c r="L206" s="2128"/>
      <c r="M206" s="2128"/>
      <c r="N206" s="2128"/>
      <c r="O206" s="2128"/>
      <c r="P206" s="2128"/>
      <c r="Q206" s="2128"/>
      <c r="R206" s="2128"/>
      <c r="S206" s="2128"/>
      <c r="T206" s="2128"/>
      <c r="U206" s="2128"/>
      <c r="V206" s="2128"/>
      <c r="W206" s="2128"/>
      <c r="X206" s="2128"/>
      <c r="Y206" s="2128"/>
      <c r="Z206" s="2128"/>
      <c r="AA206" s="2128"/>
      <c r="AB206" s="2128"/>
      <c r="AC206" s="2128"/>
      <c r="AD206" s="2128"/>
    </row>
    <row r="207" spans="1:30" ht="15.75" customHeight="1" x14ac:dyDescent="0.3">
      <c r="A207" s="4433"/>
      <c r="B207" s="4433"/>
      <c r="C207" s="2128"/>
      <c r="D207" s="2128"/>
      <c r="E207" s="2128"/>
      <c r="F207" s="2128"/>
      <c r="G207" s="2128"/>
      <c r="H207" s="2128"/>
      <c r="I207" s="2128"/>
      <c r="J207" s="2128"/>
      <c r="K207" s="2128"/>
      <c r="L207" s="2128"/>
      <c r="M207" s="2128"/>
      <c r="N207" s="2128"/>
      <c r="O207" s="2128"/>
      <c r="P207" s="2128"/>
      <c r="Q207" s="2128"/>
      <c r="R207" s="2128"/>
      <c r="S207" s="2128"/>
      <c r="T207" s="2128"/>
      <c r="U207" s="2128"/>
      <c r="V207" s="2128"/>
      <c r="W207" s="2128"/>
      <c r="X207" s="2128"/>
      <c r="Y207" s="2128"/>
      <c r="Z207" s="2128"/>
      <c r="AA207" s="2128"/>
      <c r="AB207" s="2128"/>
      <c r="AC207" s="2128"/>
      <c r="AD207" s="2128"/>
    </row>
    <row r="208" spans="1:30" ht="15.75" customHeight="1" x14ac:dyDescent="0.3">
      <c r="A208" s="4433"/>
      <c r="B208" s="4433"/>
      <c r="C208" s="2128"/>
      <c r="D208" s="2128"/>
      <c r="E208" s="2128"/>
      <c r="F208" s="2128"/>
      <c r="G208" s="2128"/>
      <c r="H208" s="2128"/>
      <c r="I208" s="2128"/>
      <c r="J208" s="2128"/>
      <c r="K208" s="2128"/>
      <c r="L208" s="2128"/>
      <c r="M208" s="2128"/>
      <c r="N208" s="2128"/>
      <c r="O208" s="2128"/>
      <c r="P208" s="2128"/>
      <c r="Q208" s="2128"/>
      <c r="R208" s="2128"/>
      <c r="S208" s="2128"/>
      <c r="T208" s="2128"/>
      <c r="U208" s="2128"/>
      <c r="V208" s="2128"/>
      <c r="W208" s="2128"/>
      <c r="X208" s="2128"/>
      <c r="Y208" s="2128"/>
      <c r="Z208" s="2128"/>
      <c r="AA208" s="2128"/>
      <c r="AB208" s="2128"/>
      <c r="AC208" s="2128"/>
      <c r="AD208" s="2128"/>
    </row>
    <row r="209" spans="1:30" ht="15.75" customHeight="1" x14ac:dyDescent="0.3">
      <c r="A209" s="4433"/>
      <c r="B209" s="4433"/>
      <c r="C209" s="2128"/>
      <c r="D209" s="2128"/>
      <c r="E209" s="2128"/>
      <c r="F209" s="2128"/>
      <c r="G209" s="2128"/>
      <c r="H209" s="2128"/>
      <c r="I209" s="2128"/>
      <c r="J209" s="2128"/>
      <c r="K209" s="2128"/>
      <c r="L209" s="2128"/>
      <c r="M209" s="2128"/>
      <c r="N209" s="2128"/>
      <c r="O209" s="2128"/>
      <c r="P209" s="2128"/>
      <c r="Q209" s="2128"/>
      <c r="R209" s="2128"/>
      <c r="S209" s="2128"/>
      <c r="T209" s="2128"/>
      <c r="U209" s="2128"/>
      <c r="V209" s="2128"/>
      <c r="W209" s="2128"/>
      <c r="X209" s="2128"/>
      <c r="Y209" s="2128"/>
      <c r="Z209" s="2128"/>
      <c r="AA209" s="2128"/>
      <c r="AB209" s="2128"/>
      <c r="AC209" s="2128"/>
      <c r="AD209" s="2128"/>
    </row>
    <row r="210" spans="1:30" ht="15.75" customHeight="1" x14ac:dyDescent="0.3">
      <c r="A210" s="4433"/>
      <c r="B210" s="4433"/>
      <c r="C210" s="2128"/>
      <c r="D210" s="2128"/>
      <c r="E210" s="2128"/>
      <c r="F210" s="2128"/>
      <c r="G210" s="2128"/>
      <c r="H210" s="2128"/>
      <c r="I210" s="2128"/>
      <c r="J210" s="2128"/>
      <c r="K210" s="2128"/>
      <c r="L210" s="2128"/>
      <c r="M210" s="2128"/>
      <c r="N210" s="2128"/>
      <c r="O210" s="2128"/>
      <c r="P210" s="2128"/>
      <c r="Q210" s="2128"/>
      <c r="R210" s="2128"/>
      <c r="S210" s="2128"/>
      <c r="T210" s="2128"/>
      <c r="U210" s="2128"/>
      <c r="V210" s="2128"/>
      <c r="W210" s="2128"/>
      <c r="X210" s="2128"/>
      <c r="Y210" s="2128"/>
      <c r="Z210" s="2128"/>
      <c r="AA210" s="2128"/>
      <c r="AB210" s="2128"/>
      <c r="AC210" s="2128"/>
      <c r="AD210" s="2128"/>
    </row>
    <row r="211" spans="1:30" ht="15.75" customHeight="1" x14ac:dyDescent="0.3">
      <c r="A211" s="4433"/>
      <c r="B211" s="4433"/>
      <c r="C211" s="2128"/>
      <c r="D211" s="2128"/>
      <c r="E211" s="2128"/>
      <c r="F211" s="2128"/>
      <c r="G211" s="2128"/>
      <c r="H211" s="2128"/>
      <c r="I211" s="2128"/>
      <c r="J211" s="2128"/>
      <c r="K211" s="2128"/>
      <c r="L211" s="2128"/>
      <c r="M211" s="2128"/>
      <c r="N211" s="2128"/>
      <c r="O211" s="2128"/>
      <c r="P211" s="2128"/>
      <c r="Q211" s="2128"/>
      <c r="R211" s="2128"/>
      <c r="S211" s="2128"/>
      <c r="T211" s="2128"/>
      <c r="U211" s="2128"/>
      <c r="V211" s="2128"/>
      <c r="W211" s="2128"/>
      <c r="X211" s="2128"/>
      <c r="Y211" s="2128"/>
      <c r="Z211" s="2128"/>
      <c r="AA211" s="2128"/>
      <c r="AB211" s="2128"/>
      <c r="AC211" s="2128"/>
      <c r="AD211" s="2128"/>
    </row>
    <row r="212" spans="1:30" ht="15.75" customHeight="1" x14ac:dyDescent="0.3">
      <c r="A212" s="4433"/>
      <c r="B212" s="4433"/>
      <c r="C212" s="2128"/>
      <c r="D212" s="2128"/>
      <c r="E212" s="2128"/>
      <c r="F212" s="2128"/>
      <c r="G212" s="2128"/>
      <c r="H212" s="2128"/>
      <c r="I212" s="2128"/>
      <c r="J212" s="2128"/>
      <c r="K212" s="2128"/>
      <c r="L212" s="2128"/>
      <c r="M212" s="2128"/>
      <c r="N212" s="2128"/>
      <c r="O212" s="2128"/>
      <c r="P212" s="2128"/>
      <c r="Q212" s="2128"/>
      <c r="R212" s="2128"/>
      <c r="S212" s="2128"/>
      <c r="T212" s="2128"/>
      <c r="U212" s="2128"/>
      <c r="V212" s="2128"/>
      <c r="W212" s="2128"/>
      <c r="X212" s="2128"/>
      <c r="Y212" s="2128"/>
      <c r="Z212" s="2128"/>
      <c r="AA212" s="2128"/>
      <c r="AB212" s="2128"/>
      <c r="AC212" s="2128"/>
      <c r="AD212" s="2128"/>
    </row>
    <row r="213" spans="1:30" ht="15.75" customHeight="1" x14ac:dyDescent="0.3">
      <c r="A213" s="4433"/>
      <c r="B213" s="4433"/>
      <c r="C213" s="2128"/>
      <c r="D213" s="2128"/>
      <c r="E213" s="2128"/>
      <c r="F213" s="2128"/>
      <c r="G213" s="2128"/>
      <c r="H213" s="2128"/>
      <c r="I213" s="2128"/>
      <c r="J213" s="2128"/>
      <c r="K213" s="2128"/>
      <c r="L213" s="2128"/>
      <c r="M213" s="2128"/>
      <c r="N213" s="2128"/>
      <c r="O213" s="2128"/>
      <c r="P213" s="2128"/>
      <c r="Q213" s="2128"/>
      <c r="R213" s="2128"/>
      <c r="S213" s="2128"/>
      <c r="T213" s="2128"/>
      <c r="U213" s="2128"/>
      <c r="V213" s="2128"/>
      <c r="W213" s="2128"/>
      <c r="X213" s="2128"/>
      <c r="Y213" s="2128"/>
      <c r="Z213" s="2128"/>
      <c r="AA213" s="2128"/>
      <c r="AB213" s="2128"/>
      <c r="AC213" s="2128"/>
      <c r="AD213" s="2128"/>
    </row>
    <row r="214" spans="1:30" ht="15.75" customHeight="1" x14ac:dyDescent="0.3">
      <c r="A214" s="4433"/>
      <c r="B214" s="4433"/>
      <c r="C214" s="2128"/>
      <c r="D214" s="2128"/>
      <c r="E214" s="2128"/>
      <c r="F214" s="2128"/>
      <c r="G214" s="2128"/>
      <c r="H214" s="2128"/>
      <c r="I214" s="2128"/>
      <c r="J214" s="2128"/>
      <c r="K214" s="2128"/>
      <c r="L214" s="2128"/>
      <c r="M214" s="2128"/>
      <c r="N214" s="2128"/>
      <c r="O214" s="2128"/>
      <c r="P214" s="2128"/>
      <c r="Q214" s="2128"/>
      <c r="R214" s="2128"/>
      <c r="S214" s="2128"/>
      <c r="T214" s="2128"/>
      <c r="U214" s="2128"/>
      <c r="V214" s="2128"/>
      <c r="W214" s="2128"/>
      <c r="X214" s="2128"/>
      <c r="Y214" s="2128"/>
      <c r="Z214" s="2128"/>
      <c r="AA214" s="2128"/>
      <c r="AB214" s="2128"/>
      <c r="AC214" s="2128"/>
      <c r="AD214" s="2128"/>
    </row>
    <row r="215" spans="1:30" ht="15.75" customHeight="1" x14ac:dyDescent="0.3">
      <c r="A215" s="4433"/>
      <c r="B215" s="4433"/>
      <c r="C215" s="2128"/>
      <c r="D215" s="2128"/>
      <c r="E215" s="2128"/>
      <c r="F215" s="2128"/>
      <c r="G215" s="2128"/>
      <c r="H215" s="2128"/>
      <c r="I215" s="2128"/>
      <c r="J215" s="2128"/>
      <c r="K215" s="2128"/>
      <c r="L215" s="2128"/>
      <c r="M215" s="2128"/>
      <c r="N215" s="2128"/>
      <c r="O215" s="2128"/>
      <c r="P215" s="2128"/>
      <c r="Q215" s="2128"/>
      <c r="R215" s="2128"/>
      <c r="S215" s="2128"/>
      <c r="T215" s="2128"/>
      <c r="U215" s="2128"/>
      <c r="V215" s="2128"/>
      <c r="W215" s="2128"/>
      <c r="X215" s="2128"/>
      <c r="Y215" s="2128"/>
      <c r="Z215" s="2128"/>
      <c r="AA215" s="2128"/>
      <c r="AB215" s="2128"/>
      <c r="AC215" s="2128"/>
      <c r="AD215" s="2128"/>
    </row>
    <row r="216" spans="1:30" ht="15.75" customHeight="1" x14ac:dyDescent="0.3">
      <c r="A216" s="4433"/>
      <c r="B216" s="4433"/>
      <c r="C216" s="2128"/>
      <c r="D216" s="2128"/>
      <c r="E216" s="2128"/>
      <c r="F216" s="2128"/>
      <c r="G216" s="2128"/>
      <c r="H216" s="2128"/>
      <c r="I216" s="2128"/>
      <c r="J216" s="2128"/>
      <c r="K216" s="2128"/>
      <c r="L216" s="2128"/>
      <c r="M216" s="2128"/>
      <c r="N216" s="2128"/>
      <c r="O216" s="2128"/>
      <c r="P216" s="2128"/>
      <c r="Q216" s="2128"/>
      <c r="R216" s="2128"/>
      <c r="S216" s="2128"/>
      <c r="T216" s="2128"/>
      <c r="U216" s="2128"/>
      <c r="V216" s="2128"/>
      <c r="W216" s="2128"/>
      <c r="X216" s="2128"/>
      <c r="Y216" s="2128"/>
      <c r="Z216" s="2128"/>
      <c r="AA216" s="2128"/>
      <c r="AB216" s="2128"/>
      <c r="AC216" s="2128"/>
      <c r="AD216" s="2128"/>
    </row>
    <row r="217" spans="1:30" ht="15.75" customHeight="1" x14ac:dyDescent="0.3">
      <c r="A217" s="4433"/>
      <c r="B217" s="4433"/>
      <c r="C217" s="2128"/>
      <c r="D217" s="2128"/>
      <c r="E217" s="2128"/>
      <c r="F217" s="2128"/>
      <c r="G217" s="2128"/>
      <c r="H217" s="2128"/>
      <c r="I217" s="2128"/>
      <c r="J217" s="2128"/>
      <c r="K217" s="2128"/>
      <c r="L217" s="2128"/>
      <c r="M217" s="2128"/>
      <c r="N217" s="2128"/>
      <c r="O217" s="2128"/>
      <c r="P217" s="2128"/>
      <c r="Q217" s="2128"/>
      <c r="R217" s="2128"/>
      <c r="S217" s="2128"/>
      <c r="T217" s="2128"/>
      <c r="U217" s="2128"/>
      <c r="V217" s="2128"/>
      <c r="W217" s="2128"/>
      <c r="X217" s="2128"/>
      <c r="Y217" s="2128"/>
      <c r="Z217" s="2128"/>
      <c r="AA217" s="2128"/>
      <c r="AB217" s="2128"/>
      <c r="AC217" s="2128"/>
      <c r="AD217" s="2128"/>
    </row>
    <row r="218" spans="1:30" ht="15.75" customHeight="1" x14ac:dyDescent="0.3">
      <c r="A218" s="4433"/>
      <c r="B218" s="4433"/>
      <c r="C218" s="2128"/>
      <c r="D218" s="2128"/>
      <c r="E218" s="2128"/>
      <c r="F218" s="2128"/>
      <c r="G218" s="2128"/>
      <c r="H218" s="2128"/>
      <c r="I218" s="2128"/>
      <c r="J218" s="2128"/>
      <c r="K218" s="2128"/>
      <c r="L218" s="2128"/>
      <c r="M218" s="2128"/>
      <c r="N218" s="2128"/>
      <c r="O218" s="2128"/>
      <c r="P218" s="2128"/>
      <c r="Q218" s="2128"/>
      <c r="R218" s="2128"/>
      <c r="S218" s="2128"/>
      <c r="T218" s="2128"/>
      <c r="U218" s="2128"/>
      <c r="V218" s="2128"/>
      <c r="W218" s="2128"/>
      <c r="X218" s="2128"/>
      <c r="Y218" s="2128"/>
      <c r="Z218" s="2128"/>
      <c r="AA218" s="2128"/>
      <c r="AB218" s="2128"/>
      <c r="AC218" s="2128"/>
      <c r="AD218" s="2128"/>
    </row>
    <row r="219" spans="1:30" ht="15.75" customHeight="1" x14ac:dyDescent="0.3">
      <c r="A219" s="4433"/>
      <c r="B219" s="4433"/>
      <c r="C219" s="2128"/>
      <c r="D219" s="2128"/>
      <c r="E219" s="2128"/>
      <c r="F219" s="2128"/>
      <c r="G219" s="2128"/>
      <c r="H219" s="2128"/>
      <c r="I219" s="2128"/>
      <c r="J219" s="2128"/>
      <c r="K219" s="2128"/>
      <c r="L219" s="2128"/>
      <c r="M219" s="2128"/>
      <c r="N219" s="2128"/>
      <c r="O219" s="2128"/>
      <c r="P219" s="2128"/>
      <c r="Q219" s="2128"/>
      <c r="R219" s="2128"/>
      <c r="S219" s="2128"/>
      <c r="T219" s="2128"/>
      <c r="U219" s="2128"/>
      <c r="V219" s="2128"/>
      <c r="W219" s="2128"/>
      <c r="X219" s="2128"/>
      <c r="Y219" s="2128"/>
      <c r="Z219" s="2128"/>
      <c r="AA219" s="2128"/>
      <c r="AB219" s="2128"/>
      <c r="AC219" s="2128"/>
      <c r="AD219" s="2128"/>
    </row>
    <row r="220" spans="1:30" ht="15.75" customHeight="1" x14ac:dyDescent="0.3">
      <c r="A220" s="4433"/>
      <c r="B220" s="4433"/>
      <c r="C220" s="2128"/>
      <c r="D220" s="2128"/>
      <c r="E220" s="2128"/>
      <c r="F220" s="2128"/>
      <c r="G220" s="2128"/>
      <c r="H220" s="2128"/>
      <c r="I220" s="2128"/>
      <c r="J220" s="2128"/>
      <c r="K220" s="2128"/>
      <c r="L220" s="2128"/>
      <c r="M220" s="2128"/>
      <c r="N220" s="2128"/>
      <c r="O220" s="2128"/>
      <c r="P220" s="2128"/>
      <c r="Q220" s="2128"/>
      <c r="R220" s="2128"/>
      <c r="S220" s="2128"/>
      <c r="T220" s="2128"/>
      <c r="U220" s="2128"/>
      <c r="V220" s="2128"/>
      <c r="W220" s="2128"/>
      <c r="X220" s="2128"/>
      <c r="Y220" s="2128"/>
      <c r="Z220" s="2128"/>
      <c r="AA220" s="2128"/>
      <c r="AB220" s="2128"/>
      <c r="AC220" s="2128"/>
      <c r="AD220" s="2128"/>
    </row>
    <row r="221" spans="1:30" ht="15.75" customHeight="1" x14ac:dyDescent="0.3">
      <c r="A221" s="4433"/>
      <c r="B221" s="4433"/>
      <c r="C221" s="2128"/>
      <c r="D221" s="2128"/>
      <c r="E221" s="2128"/>
      <c r="F221" s="2128"/>
      <c r="G221" s="2128"/>
      <c r="H221" s="2128"/>
      <c r="I221" s="2128"/>
      <c r="J221" s="2128"/>
      <c r="K221" s="2128"/>
      <c r="L221" s="2128"/>
      <c r="M221" s="2128"/>
      <c r="N221" s="2128"/>
      <c r="O221" s="2128"/>
      <c r="P221" s="2128"/>
      <c r="Q221" s="2128"/>
      <c r="R221" s="2128"/>
      <c r="S221" s="2128"/>
      <c r="T221" s="2128"/>
      <c r="U221" s="2128"/>
      <c r="V221" s="2128"/>
      <c r="W221" s="2128"/>
      <c r="X221" s="2128"/>
      <c r="Y221" s="2128"/>
      <c r="Z221" s="2128"/>
      <c r="AA221" s="2128"/>
      <c r="AB221" s="2128"/>
      <c r="AC221" s="2128"/>
      <c r="AD221" s="2128"/>
    </row>
    <row r="222" spans="1:30" ht="15.75" customHeight="1" x14ac:dyDescent="0.3">
      <c r="A222" s="4433"/>
      <c r="B222" s="4433"/>
      <c r="C222" s="2128"/>
      <c r="D222" s="2128"/>
      <c r="E222" s="2128"/>
      <c r="F222" s="2128"/>
      <c r="G222" s="2128"/>
      <c r="H222" s="2128"/>
      <c r="I222" s="2128"/>
      <c r="J222" s="2128"/>
      <c r="K222" s="2128"/>
      <c r="L222" s="2128"/>
      <c r="M222" s="2128"/>
      <c r="N222" s="2128"/>
      <c r="O222" s="2128"/>
      <c r="P222" s="2128"/>
      <c r="Q222" s="2128"/>
      <c r="R222" s="2128"/>
      <c r="S222" s="2128"/>
      <c r="T222" s="2128"/>
      <c r="U222" s="2128"/>
      <c r="V222" s="2128"/>
      <c r="W222" s="2128"/>
      <c r="X222" s="2128"/>
      <c r="Y222" s="2128"/>
      <c r="Z222" s="2128"/>
      <c r="AA222" s="2128"/>
      <c r="AB222" s="2128"/>
      <c r="AC222" s="2128"/>
      <c r="AD222" s="2128"/>
    </row>
    <row r="223" spans="1:30" ht="15.75" customHeight="1" x14ac:dyDescent="0.3">
      <c r="A223" s="4433"/>
      <c r="B223" s="4433"/>
      <c r="C223" s="2128"/>
      <c r="D223" s="2128"/>
      <c r="E223" s="2128"/>
      <c r="F223" s="2128"/>
      <c r="G223" s="2128"/>
      <c r="H223" s="2128"/>
      <c r="I223" s="2128"/>
      <c r="J223" s="2128"/>
      <c r="K223" s="2128"/>
      <c r="L223" s="2128"/>
      <c r="M223" s="2128"/>
      <c r="N223" s="2128"/>
      <c r="O223" s="2128"/>
      <c r="P223" s="2128"/>
      <c r="Q223" s="2128"/>
      <c r="R223" s="2128"/>
      <c r="S223" s="2128"/>
      <c r="T223" s="2128"/>
      <c r="U223" s="2128"/>
      <c r="V223" s="2128"/>
      <c r="W223" s="2128"/>
      <c r="X223" s="2128"/>
      <c r="Y223" s="2128"/>
      <c r="Z223" s="2128"/>
      <c r="AA223" s="2128"/>
      <c r="AB223" s="2128"/>
      <c r="AC223" s="2128"/>
      <c r="AD223" s="2128"/>
    </row>
    <row r="224" spans="1:30" ht="15.75" customHeight="1" x14ac:dyDescent="0.3">
      <c r="A224" s="4433"/>
      <c r="B224" s="4433"/>
      <c r="C224" s="2128"/>
      <c r="D224" s="2128"/>
      <c r="E224" s="2128"/>
      <c r="F224" s="2128"/>
      <c r="G224" s="2128"/>
      <c r="H224" s="2128"/>
      <c r="I224" s="2128"/>
      <c r="J224" s="2128"/>
      <c r="K224" s="2128"/>
      <c r="L224" s="2128"/>
      <c r="M224" s="2128"/>
      <c r="N224" s="2128"/>
      <c r="O224" s="2128"/>
      <c r="P224" s="2128"/>
      <c r="Q224" s="2128"/>
      <c r="R224" s="2128"/>
      <c r="S224" s="2128"/>
      <c r="T224" s="2128"/>
      <c r="U224" s="2128"/>
      <c r="V224" s="2128"/>
      <c r="W224" s="2128"/>
      <c r="X224" s="2128"/>
      <c r="Y224" s="2128"/>
      <c r="Z224" s="2128"/>
      <c r="AA224" s="2128"/>
      <c r="AB224" s="2128"/>
      <c r="AC224" s="2128"/>
      <c r="AD224" s="2128"/>
    </row>
    <row r="225" spans="1:30" ht="15.75" customHeight="1" x14ac:dyDescent="0.3">
      <c r="A225" s="4433"/>
      <c r="B225" s="4433"/>
      <c r="C225" s="2128"/>
      <c r="D225" s="2128"/>
      <c r="E225" s="2128"/>
      <c r="F225" s="2128"/>
      <c r="G225" s="2128"/>
      <c r="H225" s="2128"/>
      <c r="I225" s="2128"/>
      <c r="J225" s="2128"/>
      <c r="K225" s="2128"/>
      <c r="L225" s="2128"/>
      <c r="M225" s="2128"/>
      <c r="N225" s="2128"/>
      <c r="O225" s="2128"/>
      <c r="P225" s="2128"/>
      <c r="Q225" s="2128"/>
      <c r="R225" s="2128"/>
      <c r="S225" s="2128"/>
      <c r="T225" s="2128"/>
      <c r="U225" s="2128"/>
      <c r="V225" s="2128"/>
      <c r="W225" s="2128"/>
      <c r="X225" s="2128"/>
      <c r="Y225" s="2128"/>
      <c r="Z225" s="2128"/>
      <c r="AA225" s="2128"/>
      <c r="AB225" s="2128"/>
      <c r="AC225" s="2128"/>
      <c r="AD225" s="2128"/>
    </row>
    <row r="226" spans="1:30" ht="15.75" customHeight="1" x14ac:dyDescent="0.3">
      <c r="A226" s="4433"/>
      <c r="B226" s="4433"/>
      <c r="C226" s="2128"/>
      <c r="D226" s="2128"/>
      <c r="E226" s="2128"/>
      <c r="F226" s="2128"/>
      <c r="G226" s="2128"/>
      <c r="H226" s="2128"/>
      <c r="I226" s="2128"/>
      <c r="J226" s="2128"/>
      <c r="K226" s="2128"/>
      <c r="L226" s="2128"/>
      <c r="M226" s="2128"/>
      <c r="N226" s="2128"/>
      <c r="O226" s="2128"/>
      <c r="P226" s="2128"/>
      <c r="Q226" s="2128"/>
      <c r="R226" s="2128"/>
      <c r="S226" s="2128"/>
      <c r="T226" s="2128"/>
      <c r="U226" s="2128"/>
      <c r="V226" s="2128"/>
      <c r="W226" s="2128"/>
      <c r="X226" s="2128"/>
      <c r="Y226" s="2128"/>
      <c r="Z226" s="2128"/>
      <c r="AA226" s="2128"/>
      <c r="AB226" s="2128"/>
      <c r="AC226" s="2128"/>
      <c r="AD226" s="2128"/>
    </row>
    <row r="227" spans="1:30" ht="15.75" customHeight="1" x14ac:dyDescent="0.3">
      <c r="A227" s="4433"/>
      <c r="B227" s="4433"/>
      <c r="C227" s="2128"/>
      <c r="D227" s="2128"/>
      <c r="E227" s="2128"/>
      <c r="F227" s="2128"/>
      <c r="G227" s="2128"/>
      <c r="H227" s="2128"/>
      <c r="I227" s="2128"/>
      <c r="J227" s="2128"/>
      <c r="K227" s="2128"/>
      <c r="L227" s="2128"/>
      <c r="M227" s="2128"/>
      <c r="N227" s="2128"/>
      <c r="O227" s="2128"/>
      <c r="P227" s="2128"/>
      <c r="Q227" s="2128"/>
      <c r="R227" s="2128"/>
      <c r="S227" s="2128"/>
      <c r="T227" s="2128"/>
      <c r="U227" s="2128"/>
      <c r="V227" s="2128"/>
      <c r="W227" s="2128"/>
      <c r="X227" s="2128"/>
      <c r="Y227" s="2128"/>
      <c r="Z227" s="2128"/>
      <c r="AA227" s="2128"/>
      <c r="AB227" s="2128"/>
      <c r="AC227" s="2128"/>
      <c r="AD227" s="2128"/>
    </row>
    <row r="228" spans="1:30" ht="15.75" customHeight="1" x14ac:dyDescent="0.3">
      <c r="A228" s="4433"/>
      <c r="B228" s="4433"/>
      <c r="C228" s="2128"/>
      <c r="D228" s="2128"/>
      <c r="E228" s="2128"/>
      <c r="F228" s="2128"/>
      <c r="G228" s="2128"/>
      <c r="H228" s="2128"/>
      <c r="I228" s="2128"/>
      <c r="J228" s="2128"/>
      <c r="K228" s="2128"/>
      <c r="L228" s="2128"/>
      <c r="M228" s="2128"/>
      <c r="N228" s="2128"/>
      <c r="O228" s="2128"/>
      <c r="P228" s="2128"/>
      <c r="Q228" s="2128"/>
      <c r="R228" s="2128"/>
      <c r="S228" s="2128"/>
      <c r="T228" s="2128"/>
      <c r="U228" s="2128"/>
      <c r="V228" s="2128"/>
      <c r="W228" s="2128"/>
      <c r="X228" s="2128"/>
      <c r="Y228" s="2128"/>
      <c r="Z228" s="2128"/>
      <c r="AA228" s="2128"/>
      <c r="AB228" s="2128"/>
      <c r="AC228" s="2128"/>
      <c r="AD228" s="2128"/>
    </row>
    <row r="229" spans="1:30" ht="15.75" customHeight="1" x14ac:dyDescent="0.3">
      <c r="A229" s="4433"/>
      <c r="B229" s="4433"/>
      <c r="C229" s="2128"/>
      <c r="D229" s="2128"/>
      <c r="E229" s="2128"/>
      <c r="F229" s="2128"/>
      <c r="G229" s="2128"/>
      <c r="H229" s="2128"/>
      <c r="I229" s="2128"/>
      <c r="J229" s="2128"/>
      <c r="K229" s="2128"/>
      <c r="L229" s="2128"/>
      <c r="M229" s="2128"/>
      <c r="N229" s="2128"/>
      <c r="O229" s="2128"/>
      <c r="P229" s="2128"/>
      <c r="Q229" s="2128"/>
      <c r="R229" s="2128"/>
      <c r="S229" s="2128"/>
      <c r="T229" s="2128"/>
      <c r="U229" s="2128"/>
      <c r="V229" s="2128"/>
      <c r="W229" s="2128"/>
      <c r="X229" s="2128"/>
      <c r="Y229" s="2128"/>
      <c r="Z229" s="2128"/>
      <c r="AA229" s="2128"/>
      <c r="AB229" s="2128"/>
      <c r="AC229" s="2128"/>
      <c r="AD229" s="2128"/>
    </row>
    <row r="230" spans="1:30" ht="15.75" customHeight="1" x14ac:dyDescent="0.3">
      <c r="A230" s="4433"/>
      <c r="B230" s="4433"/>
      <c r="C230" s="2128"/>
      <c r="D230" s="2128"/>
      <c r="E230" s="2128"/>
      <c r="F230" s="2128"/>
      <c r="G230" s="2128"/>
      <c r="H230" s="2128"/>
      <c r="I230" s="2128"/>
      <c r="J230" s="2128"/>
      <c r="K230" s="2128"/>
      <c r="L230" s="2128"/>
      <c r="M230" s="2128"/>
      <c r="N230" s="2128"/>
      <c r="O230" s="2128"/>
      <c r="P230" s="2128"/>
      <c r="Q230" s="2128"/>
      <c r="R230" s="2128"/>
      <c r="S230" s="2128"/>
      <c r="T230" s="2128"/>
      <c r="U230" s="2128"/>
      <c r="V230" s="2128"/>
      <c r="W230" s="2128"/>
      <c r="X230" s="2128"/>
      <c r="Y230" s="2128"/>
      <c r="Z230" s="2128"/>
      <c r="AA230" s="2128"/>
      <c r="AB230" s="2128"/>
      <c r="AC230" s="2128"/>
      <c r="AD230" s="2128"/>
    </row>
    <row r="231" spans="1:30" ht="15.75" customHeight="1" x14ac:dyDescent="0.3">
      <c r="A231" s="4433"/>
      <c r="B231" s="4433"/>
      <c r="C231" s="2128"/>
      <c r="D231" s="2128"/>
      <c r="E231" s="2128"/>
      <c r="F231" s="2128"/>
      <c r="G231" s="2128"/>
      <c r="H231" s="2128"/>
      <c r="I231" s="2128"/>
      <c r="J231" s="2128"/>
      <c r="K231" s="2128"/>
      <c r="L231" s="2128"/>
      <c r="M231" s="2128"/>
      <c r="N231" s="2128"/>
      <c r="O231" s="2128"/>
      <c r="P231" s="2128"/>
      <c r="Q231" s="2128"/>
      <c r="R231" s="2128"/>
      <c r="S231" s="2128"/>
      <c r="T231" s="2128"/>
      <c r="U231" s="2128"/>
      <c r="V231" s="2128"/>
      <c r="W231" s="2128"/>
      <c r="X231" s="2128"/>
      <c r="Y231" s="2128"/>
      <c r="Z231" s="2128"/>
      <c r="AA231" s="2128"/>
      <c r="AB231" s="2128"/>
      <c r="AC231" s="2128"/>
      <c r="AD231" s="2128"/>
    </row>
    <row r="232" spans="1:30" ht="15.75" customHeight="1" x14ac:dyDescent="0.3">
      <c r="A232" s="4433"/>
      <c r="B232" s="4433"/>
      <c r="C232" s="2128"/>
      <c r="D232" s="2128"/>
      <c r="E232" s="2128"/>
      <c r="F232" s="2128"/>
      <c r="G232" s="2128"/>
      <c r="H232" s="2128"/>
      <c r="I232" s="2128"/>
      <c r="J232" s="2128"/>
      <c r="K232" s="2128"/>
      <c r="L232" s="2128"/>
      <c r="M232" s="2128"/>
      <c r="N232" s="2128"/>
      <c r="O232" s="2128"/>
      <c r="P232" s="2128"/>
      <c r="Q232" s="2128"/>
      <c r="R232" s="2128"/>
      <c r="S232" s="2128"/>
      <c r="T232" s="2128"/>
      <c r="U232" s="2128"/>
      <c r="V232" s="2128"/>
      <c r="W232" s="2128"/>
      <c r="X232" s="2128"/>
      <c r="Y232" s="2128"/>
      <c r="Z232" s="2128"/>
      <c r="AA232" s="2128"/>
      <c r="AB232" s="2128"/>
      <c r="AC232" s="2128"/>
      <c r="AD232" s="2128"/>
    </row>
    <row r="233" spans="1:30" ht="15.75" customHeight="1" x14ac:dyDescent="0.3">
      <c r="A233" s="4433"/>
      <c r="B233" s="4433"/>
      <c r="C233" s="2128"/>
      <c r="D233" s="2128"/>
      <c r="E233" s="2128"/>
      <c r="F233" s="2128"/>
      <c r="G233" s="2128"/>
      <c r="H233" s="2128"/>
      <c r="I233" s="2128"/>
      <c r="J233" s="2128"/>
      <c r="K233" s="2128"/>
      <c r="L233" s="2128"/>
      <c r="M233" s="2128"/>
      <c r="N233" s="2128"/>
      <c r="O233" s="2128"/>
      <c r="P233" s="2128"/>
      <c r="Q233" s="2128"/>
      <c r="R233" s="2128"/>
      <c r="S233" s="2128"/>
      <c r="T233" s="2128"/>
      <c r="U233" s="2128"/>
      <c r="V233" s="2128"/>
      <c r="W233" s="2128"/>
      <c r="X233" s="2128"/>
      <c r="Y233" s="2128"/>
      <c r="Z233" s="2128"/>
      <c r="AA233" s="2128"/>
      <c r="AB233" s="2128"/>
      <c r="AC233" s="2128"/>
      <c r="AD233" s="2128"/>
    </row>
    <row r="234" spans="1:30" ht="15.75" customHeight="1" x14ac:dyDescent="0.3">
      <c r="A234" s="4433"/>
      <c r="B234" s="4433"/>
      <c r="C234" s="2128"/>
      <c r="D234" s="2128"/>
      <c r="E234" s="2128"/>
      <c r="F234" s="2128"/>
      <c r="G234" s="2128"/>
      <c r="H234" s="2128"/>
      <c r="I234" s="2128"/>
      <c r="J234" s="2128"/>
      <c r="K234" s="2128"/>
      <c r="L234" s="2128"/>
      <c r="M234" s="2128"/>
      <c r="N234" s="2128"/>
      <c r="O234" s="2128"/>
      <c r="P234" s="2128"/>
      <c r="Q234" s="2128"/>
      <c r="R234" s="2128"/>
      <c r="S234" s="2128"/>
      <c r="T234" s="2128"/>
      <c r="U234" s="2128"/>
      <c r="V234" s="2128"/>
      <c r="W234" s="2128"/>
      <c r="X234" s="2128"/>
      <c r="Y234" s="2128"/>
      <c r="Z234" s="2128"/>
      <c r="AA234" s="2128"/>
      <c r="AB234" s="2128"/>
      <c r="AC234" s="2128"/>
      <c r="AD234" s="2128"/>
    </row>
    <row r="235" spans="1:30" ht="15.75" customHeight="1" x14ac:dyDescent="0.3">
      <c r="A235" s="4433"/>
      <c r="B235" s="4433"/>
      <c r="C235" s="2128"/>
      <c r="D235" s="2128"/>
      <c r="E235" s="2128"/>
      <c r="F235" s="2128"/>
      <c r="G235" s="2128"/>
      <c r="H235" s="2128"/>
      <c r="I235" s="2128"/>
      <c r="J235" s="2128"/>
      <c r="K235" s="2128"/>
      <c r="L235" s="2128"/>
      <c r="M235" s="2128"/>
      <c r="N235" s="2128"/>
      <c r="O235" s="2128"/>
      <c r="P235" s="2128"/>
      <c r="Q235" s="2128"/>
      <c r="R235" s="2128"/>
      <c r="S235" s="2128"/>
      <c r="T235" s="2128"/>
      <c r="U235" s="2128"/>
      <c r="V235" s="2128"/>
      <c r="W235" s="2128"/>
      <c r="X235" s="2128"/>
      <c r="Y235" s="2128"/>
      <c r="Z235" s="2128"/>
      <c r="AA235" s="2128"/>
      <c r="AB235" s="2128"/>
      <c r="AC235" s="2128"/>
      <c r="AD235" s="2128"/>
    </row>
    <row r="236" spans="1:30" ht="15.75" customHeight="1" x14ac:dyDescent="0.3">
      <c r="A236" s="4433"/>
      <c r="B236" s="4433"/>
      <c r="C236" s="2128"/>
      <c r="D236" s="2128"/>
      <c r="E236" s="2128"/>
      <c r="F236" s="2128"/>
      <c r="G236" s="2128"/>
      <c r="H236" s="2128"/>
      <c r="I236" s="2128"/>
      <c r="J236" s="2128"/>
      <c r="K236" s="2128"/>
      <c r="L236" s="2128"/>
      <c r="M236" s="2128"/>
      <c r="N236" s="2128"/>
      <c r="O236" s="2128"/>
      <c r="P236" s="2128"/>
      <c r="Q236" s="2128"/>
      <c r="R236" s="2128"/>
      <c r="S236" s="2128"/>
      <c r="T236" s="2128"/>
      <c r="U236" s="2128"/>
      <c r="V236" s="2128"/>
      <c r="W236" s="2128"/>
      <c r="X236" s="2128"/>
      <c r="Y236" s="2128"/>
      <c r="Z236" s="2128"/>
      <c r="AA236" s="2128"/>
      <c r="AB236" s="2128"/>
      <c r="AC236" s="2128"/>
      <c r="AD236" s="2128"/>
    </row>
    <row r="237" spans="1:30" ht="15.75" customHeight="1" x14ac:dyDescent="0.3">
      <c r="A237" s="4433"/>
      <c r="B237" s="4433"/>
      <c r="C237" s="2128"/>
      <c r="D237" s="2128"/>
      <c r="E237" s="2128"/>
      <c r="F237" s="2128"/>
      <c r="G237" s="2128"/>
      <c r="H237" s="2128"/>
      <c r="I237" s="2128"/>
      <c r="J237" s="2128"/>
      <c r="K237" s="2128"/>
      <c r="L237" s="2128"/>
      <c r="M237" s="2128"/>
      <c r="N237" s="2128"/>
      <c r="O237" s="2128"/>
      <c r="P237" s="2128"/>
      <c r="Q237" s="2128"/>
      <c r="R237" s="2128"/>
      <c r="S237" s="2128"/>
      <c r="T237" s="2128"/>
      <c r="U237" s="2128"/>
      <c r="V237" s="2128"/>
      <c r="W237" s="2128"/>
      <c r="X237" s="2128"/>
      <c r="Y237" s="2128"/>
      <c r="Z237" s="2128"/>
      <c r="AA237" s="2128"/>
      <c r="AB237" s="2128"/>
      <c r="AC237" s="2128"/>
      <c r="AD237" s="2128"/>
    </row>
    <row r="238" spans="1:30" ht="15.75" customHeight="1" x14ac:dyDescent="0.3">
      <c r="A238" s="4433"/>
      <c r="B238" s="4433"/>
      <c r="C238" s="2128"/>
      <c r="D238" s="2128"/>
      <c r="E238" s="2128"/>
      <c r="F238" s="2128"/>
      <c r="G238" s="2128"/>
      <c r="H238" s="2128"/>
      <c r="I238" s="2128"/>
      <c r="J238" s="2128"/>
      <c r="K238" s="2128"/>
      <c r="L238" s="2128"/>
      <c r="M238" s="2128"/>
      <c r="N238" s="2128"/>
      <c r="O238" s="2128"/>
      <c r="P238" s="2128"/>
      <c r="Q238" s="2128"/>
      <c r="R238" s="2128"/>
      <c r="S238" s="2128"/>
      <c r="T238" s="2128"/>
      <c r="U238" s="2128"/>
      <c r="V238" s="2128"/>
      <c r="W238" s="2128"/>
      <c r="X238" s="2128"/>
      <c r="Y238" s="2128"/>
      <c r="Z238" s="2128"/>
      <c r="AA238" s="2128"/>
      <c r="AB238" s="2128"/>
      <c r="AC238" s="2128"/>
      <c r="AD238" s="2128"/>
    </row>
    <row r="239" spans="1:30" ht="15.75" customHeight="1" x14ac:dyDescent="0.3">
      <c r="A239" s="4433"/>
      <c r="B239" s="4433"/>
      <c r="C239" s="2128"/>
      <c r="D239" s="2128"/>
      <c r="E239" s="2128"/>
      <c r="F239" s="2128"/>
      <c r="G239" s="2128"/>
      <c r="H239" s="2128"/>
      <c r="I239" s="2128"/>
      <c r="J239" s="2128"/>
      <c r="K239" s="2128"/>
      <c r="L239" s="2128"/>
      <c r="M239" s="2128"/>
      <c r="N239" s="2128"/>
      <c r="O239" s="2128"/>
      <c r="P239" s="2128"/>
      <c r="Q239" s="2128"/>
      <c r="R239" s="2128"/>
      <c r="S239" s="2128"/>
      <c r="T239" s="2128"/>
      <c r="U239" s="2128"/>
      <c r="V239" s="2128"/>
      <c r="W239" s="2128"/>
      <c r="X239" s="2128"/>
      <c r="Y239" s="2128"/>
      <c r="Z239" s="2128"/>
      <c r="AA239" s="2128"/>
      <c r="AB239" s="2128"/>
      <c r="AC239" s="2128"/>
      <c r="AD239" s="2128"/>
    </row>
    <row r="240" spans="1:30" ht="15.75" customHeight="1" x14ac:dyDescent="0.3">
      <c r="A240" s="4433"/>
      <c r="B240" s="4433"/>
      <c r="C240" s="2128"/>
      <c r="D240" s="2128"/>
      <c r="E240" s="2128"/>
      <c r="F240" s="2128"/>
      <c r="G240" s="2128"/>
      <c r="H240" s="2128"/>
      <c r="I240" s="2128"/>
      <c r="J240" s="2128"/>
      <c r="K240" s="2128"/>
      <c r="L240" s="2128"/>
      <c r="M240" s="2128"/>
      <c r="N240" s="2128"/>
      <c r="O240" s="2128"/>
      <c r="P240" s="2128"/>
      <c r="Q240" s="2128"/>
      <c r="R240" s="2128"/>
      <c r="S240" s="2128"/>
      <c r="T240" s="2128"/>
      <c r="U240" s="2128"/>
      <c r="V240" s="2128"/>
      <c r="W240" s="2128"/>
      <c r="X240" s="2128"/>
      <c r="Y240" s="2128"/>
      <c r="Z240" s="2128"/>
      <c r="AA240" s="2128"/>
      <c r="AB240" s="2128"/>
      <c r="AC240" s="2128"/>
      <c r="AD240" s="2128"/>
    </row>
    <row r="241" spans="1:30" ht="15.75" customHeight="1" x14ac:dyDescent="0.3">
      <c r="A241" s="4433"/>
      <c r="B241" s="4433"/>
      <c r="C241" s="2128"/>
      <c r="D241" s="2128"/>
      <c r="E241" s="2128"/>
      <c r="F241" s="2128"/>
      <c r="G241" s="2128"/>
      <c r="H241" s="2128"/>
      <c r="I241" s="2128"/>
      <c r="J241" s="2128"/>
      <c r="K241" s="2128"/>
      <c r="L241" s="2128"/>
      <c r="M241" s="2128"/>
      <c r="N241" s="2128"/>
      <c r="O241" s="2128"/>
      <c r="P241" s="2128"/>
      <c r="Q241" s="2128"/>
      <c r="R241" s="2128"/>
      <c r="S241" s="2128"/>
      <c r="T241" s="2128"/>
      <c r="U241" s="2128"/>
      <c r="V241" s="2128"/>
      <c r="W241" s="2128"/>
      <c r="X241" s="2128"/>
      <c r="Y241" s="2128"/>
      <c r="Z241" s="2128"/>
      <c r="AA241" s="2128"/>
      <c r="AB241" s="2128"/>
      <c r="AC241" s="2128"/>
      <c r="AD241" s="2128"/>
    </row>
    <row r="242" spans="1:30" ht="15.75" customHeight="1" x14ac:dyDescent="0.3">
      <c r="A242" s="4433"/>
      <c r="B242" s="4433"/>
      <c r="C242" s="2128"/>
      <c r="D242" s="2128"/>
      <c r="E242" s="2128"/>
      <c r="F242" s="2128"/>
      <c r="G242" s="2128"/>
      <c r="H242" s="2128"/>
      <c r="I242" s="2128"/>
      <c r="J242" s="2128"/>
      <c r="K242" s="2128"/>
      <c r="L242" s="2128"/>
      <c r="M242" s="2128"/>
      <c r="N242" s="2128"/>
      <c r="O242" s="2128"/>
      <c r="P242" s="2128"/>
      <c r="Q242" s="2128"/>
      <c r="R242" s="2128"/>
      <c r="S242" s="2128"/>
      <c r="T242" s="2128"/>
      <c r="U242" s="2128"/>
      <c r="V242" s="2128"/>
      <c r="W242" s="2128"/>
      <c r="X242" s="2128"/>
      <c r="Y242" s="2128"/>
      <c r="Z242" s="2128"/>
      <c r="AA242" s="2128"/>
      <c r="AB242" s="2128"/>
      <c r="AC242" s="2128"/>
      <c r="AD242" s="2128"/>
    </row>
    <row r="243" spans="1:30" ht="15.75" customHeight="1" x14ac:dyDescent="0.3">
      <c r="A243" s="4433"/>
      <c r="B243" s="4433"/>
      <c r="C243" s="2128"/>
      <c r="D243" s="2128"/>
      <c r="E243" s="2128"/>
      <c r="F243" s="2128"/>
      <c r="G243" s="2128"/>
      <c r="H243" s="2128"/>
      <c r="I243" s="2128"/>
      <c r="J243" s="2128"/>
      <c r="K243" s="2128"/>
      <c r="L243" s="2128"/>
      <c r="M243" s="2128"/>
      <c r="N243" s="2128"/>
      <c r="O243" s="2128"/>
      <c r="P243" s="2128"/>
      <c r="Q243" s="2128"/>
      <c r="R243" s="2128"/>
      <c r="S243" s="2128"/>
      <c r="T243" s="2128"/>
      <c r="U243" s="2128"/>
      <c r="V243" s="2128"/>
      <c r="W243" s="2128"/>
      <c r="X243" s="2128"/>
      <c r="Y243" s="2128"/>
      <c r="Z243" s="2128"/>
      <c r="AA243" s="2128"/>
      <c r="AB243" s="2128"/>
      <c r="AC243" s="2128"/>
      <c r="AD243" s="2128"/>
    </row>
    <row r="244" spans="1:30" ht="15.75" customHeight="1" x14ac:dyDescent="0.3">
      <c r="A244" s="4433"/>
      <c r="B244" s="4433"/>
      <c r="C244" s="2128"/>
      <c r="D244" s="2128"/>
      <c r="E244" s="2128"/>
      <c r="F244" s="2128"/>
      <c r="G244" s="2128"/>
      <c r="H244" s="2128"/>
      <c r="I244" s="2128"/>
      <c r="J244" s="2128"/>
      <c r="K244" s="2128"/>
      <c r="L244" s="2128"/>
      <c r="M244" s="2128"/>
      <c r="N244" s="2128"/>
      <c r="O244" s="2128"/>
      <c r="P244" s="2128"/>
      <c r="Q244" s="2128"/>
      <c r="R244" s="2128"/>
      <c r="S244" s="2128"/>
      <c r="T244" s="2128"/>
      <c r="U244" s="2128"/>
      <c r="V244" s="2128"/>
      <c r="W244" s="2128"/>
      <c r="X244" s="2128"/>
      <c r="Y244" s="2128"/>
      <c r="Z244" s="2128"/>
      <c r="AA244" s="2128"/>
      <c r="AB244" s="2128"/>
      <c r="AC244" s="2128"/>
      <c r="AD244" s="2128"/>
    </row>
    <row r="245" spans="1:30" ht="15.75" customHeight="1" x14ac:dyDescent="0.3">
      <c r="A245" s="4433"/>
      <c r="B245" s="4433"/>
      <c r="C245" s="2128"/>
      <c r="D245" s="2128"/>
      <c r="E245" s="2128"/>
      <c r="F245" s="2128"/>
      <c r="G245" s="2128"/>
      <c r="H245" s="2128"/>
      <c r="I245" s="2128"/>
      <c r="J245" s="2128"/>
      <c r="K245" s="2128"/>
      <c r="L245" s="2128"/>
      <c r="M245" s="2128"/>
      <c r="N245" s="2128"/>
      <c r="O245" s="2128"/>
      <c r="P245" s="2128"/>
      <c r="Q245" s="2128"/>
      <c r="R245" s="2128"/>
      <c r="S245" s="2128"/>
      <c r="T245" s="2128"/>
      <c r="U245" s="2128"/>
      <c r="V245" s="2128"/>
      <c r="W245" s="2128"/>
      <c r="X245" s="2128"/>
      <c r="Y245" s="2128"/>
      <c r="Z245" s="2128"/>
      <c r="AA245" s="2128"/>
      <c r="AB245" s="2128"/>
      <c r="AC245" s="2128"/>
      <c r="AD245" s="2128"/>
    </row>
    <row r="246" spans="1:30" ht="15.75" customHeight="1" x14ac:dyDescent="0.3">
      <c r="A246" s="4433"/>
      <c r="B246" s="4433"/>
      <c r="C246" s="2128"/>
      <c r="D246" s="2128"/>
      <c r="E246" s="2128"/>
      <c r="F246" s="2128"/>
      <c r="G246" s="2128"/>
      <c r="H246" s="2128"/>
      <c r="I246" s="2128"/>
      <c r="J246" s="2128"/>
      <c r="K246" s="2128"/>
      <c r="L246" s="2128"/>
      <c r="M246" s="2128"/>
      <c r="N246" s="2128"/>
      <c r="O246" s="2128"/>
      <c r="P246" s="2128"/>
      <c r="Q246" s="2128"/>
      <c r="R246" s="2128"/>
      <c r="S246" s="2128"/>
      <c r="T246" s="2128"/>
      <c r="U246" s="2128"/>
      <c r="V246" s="2128"/>
      <c r="W246" s="2128"/>
      <c r="X246" s="2128"/>
      <c r="Y246" s="2128"/>
      <c r="Z246" s="2128"/>
      <c r="AA246" s="2128"/>
      <c r="AB246" s="2128"/>
      <c r="AC246" s="2128"/>
      <c r="AD246" s="2128"/>
    </row>
    <row r="247" spans="1:30" ht="15.75" customHeight="1" x14ac:dyDescent="0.3">
      <c r="A247" s="4433"/>
      <c r="B247" s="4433"/>
      <c r="C247" s="2128"/>
      <c r="D247" s="2128"/>
      <c r="E247" s="2128"/>
      <c r="F247" s="2128"/>
      <c r="G247" s="2128"/>
      <c r="H247" s="2128"/>
      <c r="I247" s="2128"/>
      <c r="J247" s="2128"/>
      <c r="K247" s="2128"/>
      <c r="L247" s="2128"/>
      <c r="M247" s="2128"/>
      <c r="N247" s="2128"/>
      <c r="O247" s="2128"/>
      <c r="P247" s="2128"/>
      <c r="Q247" s="2128"/>
      <c r="R247" s="2128"/>
      <c r="S247" s="2128"/>
      <c r="T247" s="2128"/>
      <c r="U247" s="2128"/>
      <c r="V247" s="2128"/>
      <c r="W247" s="2128"/>
      <c r="X247" s="2128"/>
      <c r="Y247" s="2128"/>
      <c r="Z247" s="2128"/>
      <c r="AA247" s="2128"/>
      <c r="AB247" s="2128"/>
      <c r="AC247" s="2128"/>
      <c r="AD247" s="2128"/>
    </row>
    <row r="248" spans="1:30" ht="15.75" customHeight="1" x14ac:dyDescent="0.3">
      <c r="A248" s="4433"/>
      <c r="B248" s="4433"/>
      <c r="C248" s="2128"/>
      <c r="D248" s="2128"/>
      <c r="E248" s="2128"/>
      <c r="F248" s="2128"/>
      <c r="G248" s="2128"/>
      <c r="H248" s="2128"/>
      <c r="I248" s="2128"/>
      <c r="J248" s="2128"/>
      <c r="K248" s="2128"/>
      <c r="L248" s="2128"/>
      <c r="M248" s="2128"/>
      <c r="N248" s="2128"/>
      <c r="O248" s="2128"/>
      <c r="P248" s="2128"/>
      <c r="Q248" s="2128"/>
      <c r="R248" s="2128"/>
      <c r="S248" s="2128"/>
      <c r="T248" s="2128"/>
      <c r="U248" s="2128"/>
      <c r="V248" s="2128"/>
      <c r="W248" s="2128"/>
      <c r="X248" s="2128"/>
      <c r="Y248" s="2128"/>
      <c r="Z248" s="2128"/>
      <c r="AA248" s="2128"/>
      <c r="AB248" s="2128"/>
      <c r="AC248" s="2128"/>
      <c r="AD248" s="2128"/>
    </row>
    <row r="249" spans="1:30" ht="15.75" customHeight="1" x14ac:dyDescent="0.3">
      <c r="A249" s="4433"/>
      <c r="B249" s="4433"/>
      <c r="C249" s="2128"/>
      <c r="D249" s="2128"/>
      <c r="E249" s="2128"/>
      <c r="F249" s="2128"/>
      <c r="G249" s="2128"/>
      <c r="H249" s="2128"/>
      <c r="I249" s="2128"/>
      <c r="J249" s="2128"/>
      <c r="K249" s="2128"/>
      <c r="L249" s="2128"/>
      <c r="M249" s="2128"/>
      <c r="N249" s="2128"/>
      <c r="O249" s="2128"/>
      <c r="P249" s="2128"/>
      <c r="Q249" s="2128"/>
      <c r="R249" s="2128"/>
      <c r="S249" s="2128"/>
      <c r="T249" s="2128"/>
      <c r="U249" s="2128"/>
      <c r="V249" s="2128"/>
      <c r="W249" s="2128"/>
      <c r="X249" s="2128"/>
      <c r="Y249" s="2128"/>
      <c r="Z249" s="2128"/>
      <c r="AA249" s="2128"/>
      <c r="AB249" s="2128"/>
      <c r="AC249" s="2128"/>
      <c r="AD249" s="2128"/>
    </row>
    <row r="250" spans="1:30" ht="15.75" customHeight="1" x14ac:dyDescent="0.3">
      <c r="A250" s="4433"/>
      <c r="B250" s="4433"/>
      <c r="C250" s="2128"/>
      <c r="D250" s="2128"/>
      <c r="E250" s="2128"/>
      <c r="F250" s="2128"/>
      <c r="G250" s="2128"/>
      <c r="H250" s="2128"/>
      <c r="I250" s="2128"/>
      <c r="J250" s="2128"/>
      <c r="K250" s="2128"/>
      <c r="L250" s="2128"/>
      <c r="M250" s="2128"/>
      <c r="N250" s="2128"/>
      <c r="O250" s="2128"/>
      <c r="P250" s="2128"/>
      <c r="Q250" s="2128"/>
      <c r="R250" s="2128"/>
      <c r="S250" s="2128"/>
      <c r="T250" s="2128"/>
      <c r="U250" s="2128"/>
      <c r="V250" s="2128"/>
      <c r="W250" s="2128"/>
      <c r="X250" s="2128"/>
      <c r="Y250" s="2128"/>
      <c r="Z250" s="2128"/>
      <c r="AA250" s="2128"/>
      <c r="AB250" s="2128"/>
      <c r="AC250" s="2128"/>
      <c r="AD250" s="2128"/>
    </row>
    <row r="251" spans="1:30" ht="15.75" customHeight="1" x14ac:dyDescent="0.3">
      <c r="A251" s="4433"/>
      <c r="B251" s="4433"/>
      <c r="C251" s="2128"/>
      <c r="D251" s="2128"/>
      <c r="E251" s="2128"/>
      <c r="F251" s="2128"/>
      <c r="G251" s="2128"/>
      <c r="H251" s="2128"/>
      <c r="I251" s="2128"/>
      <c r="J251" s="2128"/>
      <c r="K251" s="2128"/>
      <c r="L251" s="2128"/>
      <c r="M251" s="2128"/>
      <c r="N251" s="2128"/>
      <c r="O251" s="2128"/>
      <c r="P251" s="2128"/>
      <c r="Q251" s="2128"/>
      <c r="R251" s="2128"/>
      <c r="S251" s="2128"/>
      <c r="T251" s="2128"/>
      <c r="U251" s="2128"/>
      <c r="V251" s="2128"/>
      <c r="W251" s="2128"/>
      <c r="X251" s="2128"/>
      <c r="Y251" s="2128"/>
      <c r="Z251" s="2128"/>
      <c r="AA251" s="2128"/>
      <c r="AB251" s="2128"/>
      <c r="AC251" s="2128"/>
      <c r="AD251" s="2128"/>
    </row>
    <row r="252" spans="1:30" ht="15.75" customHeight="1" x14ac:dyDescent="0.3">
      <c r="A252" s="4433"/>
      <c r="B252" s="4433"/>
      <c r="C252" s="2128"/>
      <c r="D252" s="2128"/>
      <c r="E252" s="2128"/>
      <c r="F252" s="2128"/>
      <c r="G252" s="2128"/>
      <c r="H252" s="2128"/>
      <c r="I252" s="2128"/>
      <c r="J252" s="2128"/>
      <c r="K252" s="2128"/>
      <c r="L252" s="2128"/>
      <c r="M252" s="2128"/>
      <c r="N252" s="2128"/>
      <c r="O252" s="2128"/>
      <c r="P252" s="2128"/>
      <c r="Q252" s="2128"/>
      <c r="R252" s="2128"/>
      <c r="S252" s="2128"/>
      <c r="T252" s="2128"/>
      <c r="U252" s="2128"/>
      <c r="V252" s="2128"/>
      <c r="W252" s="2128"/>
      <c r="X252" s="2128"/>
      <c r="Y252" s="2128"/>
      <c r="Z252" s="2128"/>
      <c r="AA252" s="2128"/>
      <c r="AB252" s="2128"/>
      <c r="AC252" s="2128"/>
      <c r="AD252" s="2128"/>
    </row>
    <row r="253" spans="1:30" ht="15.75" customHeight="1" x14ac:dyDescent="0.3">
      <c r="A253" s="4433"/>
      <c r="B253" s="4433"/>
      <c r="C253" s="2128"/>
      <c r="D253" s="2128"/>
      <c r="E253" s="2128"/>
      <c r="F253" s="2128"/>
      <c r="G253" s="2128"/>
      <c r="H253" s="2128"/>
      <c r="I253" s="2128"/>
      <c r="J253" s="2128"/>
      <c r="K253" s="2128"/>
      <c r="L253" s="2128"/>
      <c r="M253" s="2128"/>
      <c r="N253" s="2128"/>
      <c r="O253" s="2128"/>
      <c r="P253" s="2128"/>
      <c r="Q253" s="2128"/>
      <c r="R253" s="2128"/>
      <c r="S253" s="2128"/>
      <c r="T253" s="2128"/>
      <c r="U253" s="2128"/>
      <c r="V253" s="2128"/>
      <c r="W253" s="2128"/>
      <c r="X253" s="2128"/>
      <c r="Y253" s="2128"/>
      <c r="Z253" s="2128"/>
      <c r="AA253" s="2128"/>
      <c r="AB253" s="2128"/>
      <c r="AC253" s="2128"/>
      <c r="AD253" s="2128"/>
    </row>
    <row r="254" spans="1:30" ht="15.75" customHeight="1" x14ac:dyDescent="0.3">
      <c r="A254" s="4433"/>
      <c r="B254" s="4433"/>
      <c r="C254" s="2128"/>
      <c r="D254" s="2128"/>
      <c r="E254" s="2128"/>
      <c r="F254" s="2128"/>
      <c r="G254" s="2128"/>
      <c r="H254" s="2128"/>
      <c r="I254" s="2128"/>
      <c r="J254" s="2128"/>
      <c r="K254" s="2128"/>
      <c r="L254" s="2128"/>
      <c r="M254" s="2128"/>
      <c r="N254" s="2128"/>
      <c r="O254" s="2128"/>
      <c r="P254" s="2128"/>
      <c r="Q254" s="2128"/>
      <c r="R254" s="2128"/>
      <c r="S254" s="2128"/>
      <c r="T254" s="2128"/>
      <c r="U254" s="2128"/>
      <c r="V254" s="2128"/>
      <c r="W254" s="2128"/>
      <c r="X254" s="2128"/>
      <c r="Y254" s="2128"/>
      <c r="Z254" s="2128"/>
      <c r="AA254" s="2128"/>
      <c r="AB254" s="2128"/>
      <c r="AC254" s="2128"/>
      <c r="AD254" s="2128"/>
    </row>
    <row r="255" spans="1:30" ht="15.75" customHeight="1" x14ac:dyDescent="0.3">
      <c r="A255" s="4433"/>
      <c r="B255" s="4433"/>
      <c r="C255" s="2128"/>
      <c r="D255" s="2128"/>
      <c r="E255" s="2128"/>
      <c r="F255" s="2128"/>
      <c r="G255" s="2128"/>
      <c r="H255" s="2128"/>
      <c r="I255" s="2128"/>
      <c r="J255" s="2128"/>
      <c r="K255" s="2128"/>
      <c r="L255" s="2128"/>
      <c r="M255" s="2128"/>
      <c r="N255" s="2128"/>
      <c r="O255" s="2128"/>
      <c r="P255" s="2128"/>
      <c r="Q255" s="2128"/>
      <c r="R255" s="2128"/>
      <c r="S255" s="2128"/>
      <c r="T255" s="2128"/>
      <c r="U255" s="2128"/>
      <c r="V255" s="2128"/>
      <c r="W255" s="2128"/>
      <c r="X255" s="2128"/>
      <c r="Y255" s="2128"/>
      <c r="Z255" s="2128"/>
      <c r="AA255" s="2128"/>
      <c r="AB255" s="2128"/>
      <c r="AC255" s="2128"/>
      <c r="AD255" s="2128"/>
    </row>
    <row r="256" spans="1:30" ht="15.75" customHeight="1" x14ac:dyDescent="0.3">
      <c r="A256" s="4433"/>
      <c r="B256" s="4433"/>
      <c r="C256" s="2128"/>
      <c r="D256" s="2128"/>
      <c r="E256" s="2128"/>
      <c r="F256" s="2128"/>
      <c r="G256" s="2128"/>
      <c r="H256" s="2128"/>
      <c r="I256" s="2128"/>
      <c r="J256" s="2128"/>
      <c r="K256" s="2128"/>
      <c r="L256" s="2128"/>
      <c r="M256" s="2128"/>
      <c r="N256" s="2128"/>
      <c r="O256" s="2128"/>
      <c r="P256" s="2128"/>
      <c r="Q256" s="2128"/>
      <c r="R256" s="2128"/>
      <c r="S256" s="2128"/>
      <c r="T256" s="2128"/>
      <c r="U256" s="2128"/>
      <c r="V256" s="2128"/>
      <c r="W256" s="2128"/>
      <c r="X256" s="2128"/>
      <c r="Y256" s="2128"/>
      <c r="Z256" s="2128"/>
      <c r="AA256" s="2128"/>
      <c r="AB256" s="2128"/>
      <c r="AC256" s="2128"/>
      <c r="AD256" s="2128"/>
    </row>
    <row r="257" spans="1:30" ht="15.75" customHeight="1" x14ac:dyDescent="0.3">
      <c r="A257" s="4433"/>
      <c r="B257" s="4433"/>
      <c r="C257" s="2128"/>
      <c r="D257" s="2128"/>
      <c r="E257" s="2128"/>
      <c r="F257" s="2128"/>
      <c r="G257" s="2128"/>
      <c r="H257" s="2128"/>
      <c r="I257" s="2128"/>
      <c r="J257" s="2128"/>
      <c r="K257" s="2128"/>
      <c r="L257" s="2128"/>
      <c r="M257" s="2128"/>
      <c r="N257" s="2128"/>
      <c r="O257" s="2128"/>
      <c r="P257" s="2128"/>
      <c r="Q257" s="2128"/>
      <c r="R257" s="2128"/>
      <c r="S257" s="2128"/>
      <c r="T257" s="2128"/>
      <c r="U257" s="2128"/>
      <c r="V257" s="2128"/>
      <c r="W257" s="2128"/>
      <c r="X257" s="2128"/>
      <c r="Y257" s="2128"/>
      <c r="Z257" s="2128"/>
      <c r="AA257" s="2128"/>
      <c r="AB257" s="2128"/>
      <c r="AC257" s="2128"/>
      <c r="AD257" s="2128"/>
    </row>
    <row r="258" spans="1:30" ht="15.75" customHeight="1" x14ac:dyDescent="0.3">
      <c r="A258" s="4433"/>
      <c r="B258" s="4433"/>
      <c r="C258" s="2128"/>
      <c r="D258" s="2128"/>
      <c r="E258" s="2128"/>
      <c r="F258" s="2128"/>
      <c r="G258" s="2128"/>
      <c r="H258" s="2128"/>
      <c r="I258" s="2128"/>
      <c r="J258" s="2128"/>
      <c r="K258" s="2128"/>
      <c r="L258" s="2128"/>
      <c r="M258" s="2128"/>
      <c r="N258" s="2128"/>
      <c r="O258" s="2128"/>
      <c r="P258" s="2128"/>
      <c r="Q258" s="2128"/>
      <c r="R258" s="2128"/>
      <c r="S258" s="2128"/>
      <c r="T258" s="2128"/>
      <c r="U258" s="2128"/>
      <c r="V258" s="2128"/>
      <c r="W258" s="2128"/>
      <c r="X258" s="2128"/>
      <c r="Y258" s="2128"/>
      <c r="Z258" s="2128"/>
      <c r="AA258" s="2128"/>
      <c r="AB258" s="2128"/>
      <c r="AC258" s="2128"/>
      <c r="AD258" s="2128"/>
    </row>
    <row r="259" spans="1:30" ht="15.75" customHeight="1" x14ac:dyDescent="0.3">
      <c r="A259" s="4433"/>
      <c r="B259" s="4433"/>
      <c r="C259" s="2128"/>
      <c r="D259" s="2128"/>
      <c r="E259" s="2128"/>
      <c r="F259" s="2128"/>
      <c r="G259" s="2128"/>
      <c r="H259" s="2128"/>
      <c r="I259" s="2128"/>
      <c r="J259" s="2128"/>
      <c r="K259" s="2128"/>
      <c r="L259" s="2128"/>
      <c r="M259" s="2128"/>
      <c r="N259" s="2128"/>
      <c r="O259" s="2128"/>
      <c r="P259" s="2128"/>
      <c r="Q259" s="2128"/>
      <c r="R259" s="2128"/>
      <c r="S259" s="2128"/>
      <c r="T259" s="2128"/>
      <c r="U259" s="2128"/>
      <c r="V259" s="2128"/>
      <c r="W259" s="2128"/>
      <c r="X259" s="2128"/>
      <c r="Y259" s="2128"/>
      <c r="Z259" s="2128"/>
      <c r="AA259" s="2128"/>
      <c r="AB259" s="2128"/>
      <c r="AC259" s="2128"/>
      <c r="AD259" s="2128"/>
    </row>
    <row r="260" spans="1:30" ht="15.75" customHeight="1" x14ac:dyDescent="0.3">
      <c r="A260" s="4433"/>
      <c r="B260" s="4433"/>
      <c r="C260" s="2128"/>
      <c r="D260" s="2128"/>
      <c r="E260" s="2128"/>
      <c r="F260" s="2128"/>
      <c r="G260" s="2128"/>
      <c r="H260" s="2128"/>
      <c r="I260" s="2128"/>
      <c r="J260" s="2128"/>
      <c r="K260" s="2128"/>
      <c r="L260" s="2128"/>
      <c r="M260" s="2128"/>
      <c r="N260" s="2128"/>
      <c r="O260" s="2128"/>
      <c r="P260" s="2128"/>
      <c r="Q260" s="2128"/>
      <c r="R260" s="2128"/>
      <c r="S260" s="2128"/>
      <c r="T260" s="2128"/>
      <c r="U260" s="2128"/>
      <c r="V260" s="2128"/>
      <c r="W260" s="2128"/>
      <c r="X260" s="2128"/>
      <c r="Y260" s="2128"/>
      <c r="Z260" s="2128"/>
      <c r="AA260" s="2128"/>
      <c r="AB260" s="2128"/>
      <c r="AC260" s="2128"/>
      <c r="AD260" s="2128"/>
    </row>
    <row r="261" spans="1:30" ht="15.75" customHeight="1" x14ac:dyDescent="0.3">
      <c r="A261" s="4433"/>
      <c r="B261" s="4433"/>
      <c r="C261" s="2128"/>
      <c r="D261" s="2128"/>
      <c r="E261" s="2128"/>
      <c r="F261" s="2128"/>
      <c r="G261" s="2128"/>
      <c r="H261" s="2128"/>
      <c r="I261" s="2128"/>
      <c r="J261" s="2128"/>
      <c r="K261" s="2128"/>
      <c r="L261" s="2128"/>
      <c r="M261" s="2128"/>
      <c r="N261" s="2128"/>
      <c r="O261" s="2128"/>
      <c r="P261" s="2128"/>
      <c r="Q261" s="2128"/>
      <c r="R261" s="2128"/>
      <c r="S261" s="2128"/>
      <c r="T261" s="2128"/>
      <c r="U261" s="2128"/>
      <c r="V261" s="2128"/>
      <c r="W261" s="2128"/>
      <c r="X261" s="2128"/>
      <c r="Y261" s="2128"/>
      <c r="Z261" s="2128"/>
      <c r="AA261" s="2128"/>
      <c r="AB261" s="2128"/>
      <c r="AC261" s="2128"/>
      <c r="AD261" s="2128"/>
    </row>
    <row r="262" spans="1:30" ht="15.75" customHeight="1" x14ac:dyDescent="0.3">
      <c r="A262" s="4433"/>
      <c r="B262" s="4433"/>
      <c r="C262" s="2128"/>
      <c r="D262" s="2128"/>
      <c r="E262" s="2128"/>
      <c r="F262" s="2128"/>
      <c r="G262" s="2128"/>
      <c r="H262" s="2128"/>
      <c r="I262" s="2128"/>
      <c r="J262" s="2128"/>
      <c r="K262" s="2128"/>
      <c r="L262" s="2128"/>
      <c r="M262" s="2128"/>
      <c r="N262" s="2128"/>
      <c r="O262" s="2128"/>
      <c r="P262" s="2128"/>
      <c r="Q262" s="2128"/>
      <c r="R262" s="2128"/>
      <c r="S262" s="2128"/>
      <c r="T262" s="2128"/>
      <c r="U262" s="2128"/>
      <c r="V262" s="2128"/>
      <c r="W262" s="2128"/>
      <c r="X262" s="2128"/>
      <c r="Y262" s="2128"/>
      <c r="Z262" s="2128"/>
      <c r="AA262" s="2128"/>
      <c r="AB262" s="2128"/>
      <c r="AC262" s="2128"/>
      <c r="AD262" s="2128"/>
    </row>
    <row r="263" spans="1:30" ht="15.75" customHeight="1" x14ac:dyDescent="0.3">
      <c r="A263" s="4433"/>
      <c r="B263" s="4433"/>
      <c r="C263" s="2128"/>
      <c r="D263" s="2128"/>
      <c r="E263" s="2128"/>
      <c r="F263" s="2128"/>
      <c r="G263" s="2128"/>
      <c r="H263" s="2128"/>
      <c r="I263" s="2128"/>
      <c r="J263" s="2128"/>
      <c r="K263" s="2128"/>
      <c r="L263" s="2128"/>
      <c r="M263" s="2128"/>
      <c r="N263" s="2128"/>
      <c r="O263" s="2128"/>
      <c r="P263" s="2128"/>
      <c r="Q263" s="2128"/>
      <c r="R263" s="2128"/>
      <c r="S263" s="2128"/>
      <c r="T263" s="2128"/>
      <c r="U263" s="2128"/>
      <c r="V263" s="2128"/>
      <c r="W263" s="2128"/>
      <c r="X263" s="2128"/>
      <c r="Y263" s="2128"/>
      <c r="Z263" s="2128"/>
      <c r="AA263" s="2128"/>
      <c r="AB263" s="2128"/>
      <c r="AC263" s="2128"/>
      <c r="AD263" s="2128"/>
    </row>
    <row r="264" spans="1:30" ht="15.75" customHeight="1" x14ac:dyDescent="0.3">
      <c r="A264" s="4433"/>
      <c r="B264" s="4433"/>
      <c r="C264" s="2128"/>
      <c r="D264" s="2128"/>
      <c r="E264" s="2128"/>
      <c r="F264" s="2128"/>
      <c r="G264" s="2128"/>
      <c r="H264" s="2128"/>
      <c r="I264" s="2128"/>
      <c r="J264" s="2128"/>
      <c r="K264" s="2128"/>
      <c r="L264" s="2128"/>
      <c r="M264" s="2128"/>
      <c r="N264" s="2128"/>
      <c r="O264" s="2128"/>
      <c r="P264" s="2128"/>
      <c r="Q264" s="2128"/>
      <c r="R264" s="2128"/>
      <c r="S264" s="2128"/>
      <c r="T264" s="2128"/>
      <c r="U264" s="2128"/>
      <c r="V264" s="2128"/>
      <c r="W264" s="2128"/>
      <c r="X264" s="2128"/>
      <c r="Y264" s="2128"/>
      <c r="Z264" s="2128"/>
      <c r="AA264" s="2128"/>
      <c r="AB264" s="2128"/>
      <c r="AC264" s="2128"/>
      <c r="AD264" s="2128"/>
    </row>
    <row r="265" spans="1:30" ht="15.75" customHeight="1" x14ac:dyDescent="0.3">
      <c r="A265" s="4433"/>
      <c r="B265" s="4433"/>
      <c r="C265" s="2128"/>
      <c r="D265" s="2128"/>
      <c r="E265" s="2128"/>
      <c r="F265" s="2128"/>
      <c r="G265" s="2128"/>
      <c r="H265" s="2128"/>
      <c r="I265" s="2128"/>
      <c r="J265" s="2128"/>
      <c r="K265" s="2128"/>
      <c r="L265" s="2128"/>
      <c r="M265" s="2128"/>
      <c r="N265" s="2128"/>
      <c r="O265" s="2128"/>
      <c r="P265" s="2128"/>
      <c r="Q265" s="2128"/>
      <c r="R265" s="2128"/>
      <c r="S265" s="2128"/>
      <c r="T265" s="2128"/>
      <c r="U265" s="2128"/>
      <c r="V265" s="2128"/>
      <c r="W265" s="2128"/>
      <c r="X265" s="2128"/>
      <c r="Y265" s="2128"/>
      <c r="Z265" s="2128"/>
      <c r="AA265" s="2128"/>
      <c r="AB265" s="2128"/>
      <c r="AC265" s="2128"/>
      <c r="AD265" s="2128"/>
    </row>
    <row r="266" spans="1:30" ht="15.75" customHeight="1" x14ac:dyDescent="0.3">
      <c r="A266" s="4433"/>
      <c r="B266" s="4433"/>
      <c r="C266" s="2128"/>
      <c r="D266" s="2128"/>
      <c r="E266" s="2128"/>
      <c r="F266" s="2128"/>
      <c r="G266" s="2128"/>
      <c r="H266" s="2128"/>
      <c r="I266" s="2128"/>
      <c r="J266" s="2128"/>
      <c r="K266" s="2128"/>
      <c r="L266" s="2128"/>
      <c r="M266" s="2128"/>
      <c r="N266" s="2128"/>
      <c r="O266" s="2128"/>
      <c r="P266" s="2128"/>
      <c r="Q266" s="2128"/>
      <c r="R266" s="2128"/>
      <c r="S266" s="2128"/>
      <c r="T266" s="2128"/>
      <c r="U266" s="2128"/>
      <c r="V266" s="2128"/>
      <c r="W266" s="2128"/>
      <c r="X266" s="2128"/>
      <c r="Y266" s="2128"/>
      <c r="Z266" s="2128"/>
      <c r="AA266" s="2128"/>
      <c r="AB266" s="2128"/>
      <c r="AC266" s="2128"/>
      <c r="AD266" s="2128"/>
    </row>
    <row r="267" spans="1:30" ht="15.75" customHeight="1" x14ac:dyDescent="0.3">
      <c r="A267" s="4433"/>
      <c r="B267" s="4433"/>
      <c r="C267" s="2128"/>
      <c r="D267" s="2128"/>
      <c r="E267" s="2128"/>
      <c r="F267" s="2128"/>
      <c r="G267" s="2128"/>
      <c r="H267" s="2128"/>
      <c r="I267" s="2128"/>
      <c r="J267" s="2128"/>
      <c r="K267" s="2128"/>
      <c r="L267" s="2128"/>
      <c r="M267" s="2128"/>
      <c r="N267" s="2128"/>
      <c r="O267" s="2128"/>
      <c r="P267" s="2128"/>
      <c r="Q267" s="2128"/>
      <c r="R267" s="2128"/>
      <c r="S267" s="2128"/>
      <c r="T267" s="2128"/>
      <c r="U267" s="2128"/>
      <c r="V267" s="2128"/>
      <c r="W267" s="2128"/>
      <c r="X267" s="2128"/>
      <c r="Y267" s="2128"/>
      <c r="Z267" s="2128"/>
      <c r="AA267" s="2128"/>
      <c r="AB267" s="2128"/>
      <c r="AC267" s="2128"/>
      <c r="AD267" s="2128"/>
    </row>
    <row r="268" spans="1:30" ht="15.75" customHeight="1" x14ac:dyDescent="0.3">
      <c r="A268" s="4433"/>
      <c r="B268" s="4433"/>
      <c r="C268" s="2128"/>
      <c r="D268" s="2128"/>
      <c r="E268" s="2128"/>
      <c r="F268" s="2128"/>
      <c r="G268" s="2128"/>
      <c r="H268" s="2128"/>
      <c r="I268" s="2128"/>
      <c r="J268" s="2128"/>
      <c r="K268" s="2128"/>
      <c r="L268" s="2128"/>
      <c r="M268" s="2128"/>
      <c r="N268" s="2128"/>
      <c r="O268" s="2128"/>
      <c r="P268" s="2128"/>
      <c r="Q268" s="2128"/>
      <c r="R268" s="2128"/>
      <c r="S268" s="2128"/>
      <c r="T268" s="2128"/>
      <c r="U268" s="2128"/>
      <c r="V268" s="2128"/>
      <c r="W268" s="2128"/>
      <c r="X268" s="2128"/>
      <c r="Y268" s="2128"/>
      <c r="Z268" s="2128"/>
      <c r="AA268" s="2128"/>
      <c r="AB268" s="2128"/>
      <c r="AC268" s="2128"/>
      <c r="AD268" s="2128"/>
    </row>
    <row r="269" spans="1:30" ht="15.75" customHeight="1" x14ac:dyDescent="0.3">
      <c r="A269" s="4433"/>
      <c r="B269" s="4433"/>
      <c r="C269" s="2128"/>
      <c r="D269" s="2128"/>
      <c r="E269" s="2128"/>
      <c r="F269" s="2128"/>
      <c r="G269" s="2128"/>
      <c r="H269" s="2128"/>
      <c r="I269" s="2128"/>
      <c r="J269" s="2128"/>
      <c r="K269" s="2128"/>
      <c r="L269" s="2128"/>
      <c r="M269" s="2128"/>
      <c r="N269" s="2128"/>
      <c r="O269" s="2128"/>
      <c r="P269" s="2128"/>
      <c r="Q269" s="2128"/>
      <c r="R269" s="2128"/>
      <c r="S269" s="2128"/>
      <c r="T269" s="2128"/>
      <c r="U269" s="2128"/>
      <c r="V269" s="2128"/>
      <c r="W269" s="2128"/>
      <c r="X269" s="2128"/>
      <c r="Y269" s="2128"/>
      <c r="Z269" s="2128"/>
      <c r="AA269" s="2128"/>
      <c r="AB269" s="2128"/>
      <c r="AC269" s="2128"/>
      <c r="AD269" s="2128"/>
    </row>
    <row r="270" spans="1:30" ht="15.75" customHeight="1" x14ac:dyDescent="0.3">
      <c r="A270" s="4433"/>
      <c r="B270" s="4433"/>
      <c r="C270" s="2128"/>
      <c r="D270" s="2128"/>
      <c r="E270" s="2128"/>
      <c r="F270" s="2128"/>
      <c r="G270" s="2128"/>
      <c r="H270" s="2128"/>
      <c r="I270" s="2128"/>
      <c r="J270" s="2128"/>
      <c r="K270" s="2128"/>
      <c r="L270" s="2128"/>
      <c r="M270" s="2128"/>
      <c r="N270" s="2128"/>
      <c r="O270" s="2128"/>
      <c r="P270" s="2128"/>
      <c r="Q270" s="2128"/>
      <c r="R270" s="2128"/>
      <c r="S270" s="2128"/>
      <c r="T270" s="2128"/>
      <c r="U270" s="2128"/>
      <c r="V270" s="2128"/>
      <c r="W270" s="2128"/>
      <c r="X270" s="2128"/>
      <c r="Y270" s="2128"/>
      <c r="Z270" s="2128"/>
      <c r="AA270" s="2128"/>
      <c r="AB270" s="2128"/>
      <c r="AC270" s="2128"/>
      <c r="AD270" s="2128"/>
    </row>
    <row r="271" spans="1:30" ht="15.75" customHeight="1" x14ac:dyDescent="0.3">
      <c r="A271" s="4433"/>
      <c r="B271" s="4433"/>
      <c r="C271" s="2128"/>
      <c r="D271" s="2128"/>
      <c r="E271" s="2128"/>
      <c r="F271" s="2128"/>
      <c r="G271" s="2128"/>
      <c r="H271" s="2128"/>
      <c r="I271" s="2128"/>
      <c r="J271" s="2128"/>
      <c r="K271" s="2128"/>
      <c r="L271" s="2128"/>
      <c r="M271" s="2128"/>
      <c r="N271" s="2128"/>
      <c r="O271" s="2128"/>
      <c r="P271" s="2128"/>
      <c r="Q271" s="2128"/>
      <c r="R271" s="2128"/>
      <c r="S271" s="2128"/>
      <c r="T271" s="2128"/>
      <c r="U271" s="2128"/>
      <c r="V271" s="2128"/>
      <c r="W271" s="2128"/>
      <c r="X271" s="2128"/>
      <c r="Y271" s="2128"/>
      <c r="Z271" s="2128"/>
      <c r="AA271" s="2128"/>
      <c r="AB271" s="2128"/>
      <c r="AC271" s="2128"/>
      <c r="AD271" s="2128"/>
    </row>
    <row r="272" spans="1:30" ht="15.75" customHeight="1" x14ac:dyDescent="0.3">
      <c r="A272" s="4433"/>
      <c r="B272" s="4433"/>
      <c r="C272" s="2128"/>
      <c r="D272" s="2128"/>
      <c r="E272" s="2128"/>
      <c r="F272" s="2128"/>
      <c r="G272" s="2128"/>
      <c r="H272" s="2128"/>
      <c r="I272" s="2128"/>
      <c r="J272" s="2128"/>
      <c r="K272" s="2128"/>
      <c r="L272" s="2128"/>
      <c r="M272" s="2128"/>
      <c r="N272" s="2128"/>
      <c r="O272" s="2128"/>
      <c r="P272" s="2128"/>
      <c r="Q272" s="2128"/>
      <c r="R272" s="2128"/>
      <c r="S272" s="2128"/>
      <c r="T272" s="2128"/>
      <c r="U272" s="2128"/>
      <c r="V272" s="2128"/>
      <c r="W272" s="2128"/>
      <c r="X272" s="2128"/>
      <c r="Y272" s="2128"/>
      <c r="Z272" s="2128"/>
      <c r="AA272" s="2128"/>
      <c r="AB272" s="2128"/>
      <c r="AC272" s="2128"/>
      <c r="AD272" s="2128"/>
    </row>
    <row r="273" spans="1:30" ht="15.75" customHeight="1" x14ac:dyDescent="0.3">
      <c r="A273" s="4433"/>
      <c r="B273" s="4433"/>
      <c r="C273" s="2128"/>
      <c r="D273" s="2128"/>
      <c r="E273" s="2128"/>
      <c r="F273" s="2128"/>
      <c r="G273" s="2128"/>
      <c r="H273" s="2128"/>
      <c r="I273" s="2128"/>
      <c r="J273" s="2128"/>
      <c r="K273" s="2128"/>
      <c r="L273" s="2128"/>
      <c r="M273" s="2128"/>
      <c r="N273" s="2128"/>
      <c r="O273" s="2128"/>
      <c r="P273" s="2128"/>
      <c r="Q273" s="2128"/>
      <c r="R273" s="2128"/>
      <c r="S273" s="2128"/>
      <c r="T273" s="2128"/>
      <c r="U273" s="2128"/>
      <c r="V273" s="2128"/>
      <c r="W273" s="2128"/>
      <c r="X273" s="2128"/>
      <c r="Y273" s="2128"/>
      <c r="Z273" s="2128"/>
      <c r="AA273" s="2128"/>
      <c r="AB273" s="2128"/>
      <c r="AC273" s="2128"/>
      <c r="AD273" s="2128"/>
    </row>
    <row r="274" spans="1:30" ht="15.75" customHeight="1" x14ac:dyDescent="0.3">
      <c r="A274" s="4433"/>
      <c r="B274" s="4433"/>
      <c r="C274" s="2128"/>
      <c r="D274" s="2128"/>
      <c r="E274" s="2128"/>
      <c r="F274" s="2128"/>
      <c r="G274" s="2128"/>
      <c r="H274" s="2128"/>
      <c r="I274" s="2128"/>
      <c r="J274" s="2128"/>
      <c r="K274" s="2128"/>
      <c r="L274" s="2128"/>
      <c r="M274" s="2128"/>
      <c r="N274" s="2128"/>
      <c r="O274" s="2128"/>
      <c r="P274" s="2128"/>
      <c r="Q274" s="2128"/>
      <c r="R274" s="2128"/>
      <c r="S274" s="2128"/>
      <c r="T274" s="2128"/>
      <c r="U274" s="2128"/>
      <c r="V274" s="2128"/>
      <c r="W274" s="2128"/>
      <c r="X274" s="2128"/>
      <c r="Y274" s="2128"/>
      <c r="Z274" s="2128"/>
      <c r="AA274" s="2128"/>
      <c r="AB274" s="2128"/>
      <c r="AC274" s="2128"/>
      <c r="AD274" s="2128"/>
    </row>
    <row r="275" spans="1:30" ht="15.75" customHeight="1" x14ac:dyDescent="0.3">
      <c r="A275" s="4433"/>
      <c r="B275" s="4433"/>
      <c r="C275" s="2128"/>
      <c r="D275" s="2128"/>
      <c r="E275" s="2128"/>
      <c r="F275" s="2128"/>
      <c r="G275" s="2128"/>
      <c r="H275" s="2128"/>
      <c r="I275" s="2128"/>
      <c r="J275" s="2128"/>
      <c r="K275" s="2128"/>
      <c r="L275" s="2128"/>
      <c r="M275" s="2128"/>
      <c r="N275" s="2128"/>
      <c r="O275" s="2128"/>
      <c r="P275" s="2128"/>
      <c r="Q275" s="2128"/>
      <c r="R275" s="2128"/>
      <c r="S275" s="2128"/>
      <c r="T275" s="2128"/>
      <c r="U275" s="2128"/>
      <c r="V275" s="2128"/>
      <c r="W275" s="2128"/>
      <c r="X275" s="2128"/>
      <c r="Y275" s="2128"/>
      <c r="Z275" s="2128"/>
      <c r="AA275" s="2128"/>
      <c r="AB275" s="2128"/>
      <c r="AC275" s="2128"/>
      <c r="AD275" s="2128"/>
    </row>
    <row r="276" spans="1:30" ht="15.75" customHeight="1" x14ac:dyDescent="0.3">
      <c r="A276" s="4433"/>
      <c r="B276" s="4433"/>
      <c r="C276" s="2128"/>
      <c r="D276" s="2128"/>
      <c r="E276" s="2128"/>
      <c r="F276" s="2128"/>
      <c r="G276" s="2128"/>
      <c r="H276" s="2128"/>
      <c r="I276" s="2128"/>
      <c r="J276" s="2128"/>
      <c r="K276" s="2128"/>
      <c r="L276" s="2128"/>
      <c r="M276" s="2128"/>
      <c r="N276" s="2128"/>
      <c r="O276" s="2128"/>
      <c r="P276" s="2128"/>
      <c r="Q276" s="2128"/>
      <c r="R276" s="2128"/>
      <c r="S276" s="2128"/>
      <c r="T276" s="2128"/>
      <c r="U276" s="2128"/>
      <c r="V276" s="2128"/>
      <c r="W276" s="2128"/>
      <c r="X276" s="2128"/>
      <c r="Y276" s="2128"/>
      <c r="Z276" s="2128"/>
      <c r="AA276" s="2128"/>
      <c r="AB276" s="2128"/>
      <c r="AC276" s="2128"/>
      <c r="AD276" s="2128"/>
    </row>
    <row r="277" spans="1:30" ht="15.75" customHeight="1" x14ac:dyDescent="0.3">
      <c r="A277" s="4433"/>
      <c r="B277" s="4433"/>
      <c r="C277" s="2128"/>
      <c r="D277" s="2128"/>
      <c r="E277" s="2128"/>
      <c r="F277" s="2128"/>
      <c r="G277" s="2128"/>
      <c r="H277" s="2128"/>
      <c r="I277" s="2128"/>
      <c r="J277" s="2128"/>
      <c r="K277" s="2128"/>
      <c r="L277" s="2128"/>
      <c r="M277" s="2128"/>
      <c r="N277" s="2128"/>
      <c r="O277" s="2128"/>
      <c r="P277" s="2128"/>
      <c r="Q277" s="2128"/>
      <c r="R277" s="2128"/>
      <c r="S277" s="2128"/>
      <c r="T277" s="2128"/>
      <c r="U277" s="2128"/>
      <c r="V277" s="2128"/>
      <c r="W277" s="2128"/>
      <c r="X277" s="2128"/>
      <c r="Y277" s="2128"/>
      <c r="Z277" s="2128"/>
      <c r="AA277" s="2128"/>
      <c r="AB277" s="2128"/>
      <c r="AC277" s="2128"/>
      <c r="AD277" s="2128"/>
    </row>
    <row r="278" spans="1:30" ht="15.75" customHeight="1" x14ac:dyDescent="0.3">
      <c r="A278" s="4433"/>
      <c r="B278" s="4433"/>
      <c r="C278" s="2128"/>
      <c r="D278" s="2128"/>
      <c r="E278" s="2128"/>
      <c r="F278" s="2128"/>
      <c r="G278" s="2128"/>
      <c r="H278" s="2128"/>
      <c r="I278" s="2128"/>
      <c r="J278" s="2128"/>
      <c r="K278" s="2128"/>
      <c r="L278" s="2128"/>
      <c r="M278" s="2128"/>
      <c r="N278" s="2128"/>
      <c r="O278" s="2128"/>
      <c r="P278" s="2128"/>
      <c r="Q278" s="2128"/>
      <c r="R278" s="2128"/>
      <c r="S278" s="2128"/>
      <c r="T278" s="2128"/>
      <c r="U278" s="2128"/>
      <c r="V278" s="2128"/>
      <c r="W278" s="2128"/>
      <c r="X278" s="2128"/>
      <c r="Y278" s="2128"/>
      <c r="Z278" s="2128"/>
      <c r="AA278" s="2128"/>
      <c r="AB278" s="2128"/>
      <c r="AC278" s="2128"/>
      <c r="AD278" s="2128"/>
    </row>
    <row r="279" spans="1:30" ht="15.75" customHeight="1" x14ac:dyDescent="0.3">
      <c r="A279" s="4433"/>
      <c r="B279" s="4433"/>
      <c r="C279" s="2128"/>
      <c r="D279" s="2128"/>
      <c r="E279" s="2128"/>
      <c r="F279" s="2128"/>
      <c r="G279" s="2128"/>
      <c r="H279" s="2128"/>
      <c r="I279" s="2128"/>
      <c r="J279" s="2128"/>
      <c r="K279" s="2128"/>
      <c r="L279" s="2128"/>
      <c r="M279" s="2128"/>
      <c r="N279" s="2128"/>
      <c r="O279" s="2128"/>
      <c r="P279" s="2128"/>
      <c r="Q279" s="2128"/>
      <c r="R279" s="2128"/>
      <c r="S279" s="2128"/>
      <c r="T279" s="2128"/>
      <c r="U279" s="2128"/>
      <c r="V279" s="2128"/>
      <c r="W279" s="2128"/>
      <c r="X279" s="2128"/>
      <c r="Y279" s="2128"/>
      <c r="Z279" s="2128"/>
      <c r="AA279" s="2128"/>
      <c r="AB279" s="2128"/>
      <c r="AC279" s="2128"/>
      <c r="AD279" s="2128"/>
    </row>
    <row r="280" spans="1:30" ht="15.75" customHeight="1" x14ac:dyDescent="0.3">
      <c r="A280" s="4433"/>
      <c r="B280" s="4433"/>
      <c r="C280" s="2128"/>
      <c r="D280" s="2128"/>
      <c r="E280" s="2128"/>
      <c r="F280" s="2128"/>
      <c r="G280" s="2128"/>
      <c r="H280" s="2128"/>
      <c r="I280" s="2128"/>
      <c r="J280" s="2128"/>
      <c r="K280" s="2128"/>
      <c r="L280" s="2128"/>
      <c r="M280" s="2128"/>
      <c r="N280" s="2128"/>
      <c r="O280" s="2128"/>
      <c r="P280" s="2128"/>
      <c r="Q280" s="2128"/>
      <c r="R280" s="2128"/>
      <c r="S280" s="2128"/>
      <c r="T280" s="2128"/>
      <c r="U280" s="2128"/>
      <c r="V280" s="2128"/>
      <c r="W280" s="2128"/>
      <c r="X280" s="2128"/>
      <c r="Y280" s="2128"/>
      <c r="Z280" s="2128"/>
      <c r="AA280" s="2128"/>
      <c r="AB280" s="2128"/>
      <c r="AC280" s="2128"/>
      <c r="AD280" s="2128"/>
    </row>
    <row r="281" spans="1:30" ht="15.75" customHeight="1" x14ac:dyDescent="0.3">
      <c r="A281" s="4433"/>
      <c r="B281" s="4433"/>
      <c r="C281" s="2128"/>
      <c r="D281" s="2128"/>
      <c r="E281" s="2128"/>
      <c r="F281" s="2128"/>
      <c r="G281" s="2128"/>
      <c r="H281" s="2128"/>
      <c r="I281" s="2128"/>
      <c r="J281" s="2128"/>
      <c r="K281" s="2128"/>
      <c r="L281" s="2128"/>
      <c r="M281" s="2128"/>
      <c r="N281" s="2128"/>
      <c r="O281" s="2128"/>
      <c r="P281" s="2128"/>
      <c r="Q281" s="2128"/>
      <c r="R281" s="2128"/>
      <c r="S281" s="2128"/>
      <c r="T281" s="2128"/>
      <c r="U281" s="2128"/>
      <c r="V281" s="2128"/>
      <c r="W281" s="2128"/>
      <c r="X281" s="2128"/>
      <c r="Y281" s="2128"/>
      <c r="Z281" s="2128"/>
      <c r="AA281" s="2128"/>
      <c r="AB281" s="2128"/>
      <c r="AC281" s="2128"/>
      <c r="AD281" s="2128"/>
    </row>
    <row r="282" spans="1:30" ht="15.75" customHeight="1" x14ac:dyDescent="0.3">
      <c r="A282" s="4433"/>
      <c r="B282" s="4433"/>
      <c r="C282" s="2128"/>
      <c r="D282" s="2128"/>
      <c r="E282" s="2128"/>
      <c r="F282" s="2128"/>
      <c r="G282" s="2128"/>
      <c r="H282" s="2128"/>
      <c r="I282" s="2128"/>
      <c r="J282" s="2128"/>
      <c r="K282" s="2128"/>
      <c r="L282" s="2128"/>
      <c r="M282" s="2128"/>
      <c r="N282" s="2128"/>
      <c r="O282" s="2128"/>
      <c r="P282" s="2128"/>
      <c r="Q282" s="2128"/>
      <c r="R282" s="2128"/>
      <c r="S282" s="2128"/>
      <c r="T282" s="2128"/>
      <c r="U282" s="2128"/>
      <c r="V282" s="2128"/>
      <c r="W282" s="2128"/>
      <c r="X282" s="2128"/>
      <c r="Y282" s="2128"/>
      <c r="Z282" s="2128"/>
      <c r="AA282" s="2128"/>
      <c r="AB282" s="2128"/>
      <c r="AC282" s="2128"/>
      <c r="AD282" s="2128"/>
    </row>
    <row r="283" spans="1:30" ht="15.75" customHeight="1" x14ac:dyDescent="0.3">
      <c r="A283" s="4433"/>
      <c r="B283" s="4433"/>
      <c r="C283" s="2128"/>
      <c r="D283" s="2128"/>
      <c r="E283" s="2128"/>
      <c r="F283" s="2128"/>
      <c r="G283" s="2128"/>
      <c r="H283" s="2128"/>
      <c r="I283" s="2128"/>
      <c r="J283" s="2128"/>
      <c r="K283" s="2128"/>
      <c r="L283" s="2128"/>
      <c r="M283" s="2128"/>
      <c r="N283" s="2128"/>
      <c r="O283" s="2128"/>
      <c r="P283" s="2128"/>
      <c r="Q283" s="2128"/>
      <c r="R283" s="2128"/>
      <c r="S283" s="2128"/>
      <c r="T283" s="2128"/>
      <c r="U283" s="2128"/>
      <c r="V283" s="2128"/>
      <c r="W283" s="2128"/>
      <c r="X283" s="2128"/>
      <c r="Y283" s="2128"/>
      <c r="Z283" s="2128"/>
      <c r="AA283" s="2128"/>
      <c r="AB283" s="2128"/>
      <c r="AC283" s="2128"/>
      <c r="AD283" s="2128"/>
    </row>
    <row r="284" spans="1:30" ht="15.75" customHeight="1" x14ac:dyDescent="0.3">
      <c r="A284" s="4433"/>
      <c r="B284" s="4433"/>
      <c r="C284" s="2128"/>
      <c r="D284" s="2128"/>
      <c r="E284" s="2128"/>
      <c r="F284" s="2128"/>
      <c r="G284" s="2128"/>
      <c r="H284" s="2128"/>
      <c r="I284" s="2128"/>
      <c r="J284" s="2128"/>
      <c r="K284" s="2128"/>
      <c r="L284" s="2128"/>
      <c r="M284" s="2128"/>
      <c r="N284" s="2128"/>
      <c r="O284" s="2128"/>
      <c r="P284" s="2128"/>
      <c r="Q284" s="2128"/>
      <c r="R284" s="2128"/>
      <c r="S284" s="2128"/>
      <c r="T284" s="2128"/>
      <c r="U284" s="2128"/>
      <c r="V284" s="2128"/>
      <c r="W284" s="2128"/>
      <c r="X284" s="2128"/>
      <c r="Y284" s="2128"/>
      <c r="Z284" s="2128"/>
      <c r="AA284" s="2128"/>
      <c r="AB284" s="2128"/>
      <c r="AC284" s="2128"/>
      <c r="AD284" s="2128"/>
    </row>
    <row r="285" spans="1:30" ht="15.75" customHeight="1" x14ac:dyDescent="0.3">
      <c r="A285" s="4433"/>
      <c r="B285" s="4433"/>
      <c r="C285" s="2128"/>
      <c r="D285" s="2128"/>
      <c r="E285" s="2128"/>
      <c r="F285" s="2128"/>
      <c r="G285" s="2128"/>
      <c r="H285" s="2128"/>
      <c r="I285" s="2128"/>
      <c r="J285" s="2128"/>
      <c r="K285" s="2128"/>
      <c r="L285" s="2128"/>
      <c r="M285" s="2128"/>
      <c r="N285" s="2128"/>
      <c r="O285" s="2128"/>
      <c r="P285" s="2128"/>
      <c r="Q285" s="2128"/>
      <c r="R285" s="2128"/>
      <c r="S285" s="2128"/>
      <c r="T285" s="2128"/>
      <c r="U285" s="2128"/>
      <c r="V285" s="2128"/>
      <c r="W285" s="2128"/>
      <c r="X285" s="2128"/>
      <c r="Y285" s="2128"/>
      <c r="Z285" s="2128"/>
      <c r="AA285" s="2128"/>
      <c r="AB285" s="2128"/>
      <c r="AC285" s="2128"/>
      <c r="AD285" s="2128"/>
    </row>
    <row r="286" spans="1:30" ht="15.75" customHeight="1" x14ac:dyDescent="0.3">
      <c r="A286" s="4433"/>
      <c r="B286" s="4433"/>
      <c r="C286" s="2128"/>
      <c r="D286" s="2128"/>
      <c r="E286" s="2128"/>
      <c r="F286" s="2128"/>
      <c r="G286" s="2128"/>
      <c r="H286" s="2128"/>
      <c r="I286" s="2128"/>
      <c r="J286" s="2128"/>
      <c r="K286" s="2128"/>
      <c r="L286" s="2128"/>
      <c r="M286" s="2128"/>
      <c r="N286" s="2128"/>
      <c r="O286" s="2128"/>
      <c r="P286" s="2128"/>
      <c r="Q286" s="2128"/>
      <c r="R286" s="2128"/>
      <c r="S286" s="2128"/>
      <c r="T286" s="2128"/>
      <c r="U286" s="2128"/>
      <c r="V286" s="2128"/>
      <c r="W286" s="2128"/>
      <c r="X286" s="2128"/>
      <c r="Y286" s="2128"/>
      <c r="Z286" s="2128"/>
      <c r="AA286" s="2128"/>
      <c r="AB286" s="2128"/>
      <c r="AC286" s="2128"/>
      <c r="AD286" s="2128"/>
    </row>
    <row r="287" spans="1:30" ht="15.75" customHeight="1" x14ac:dyDescent="0.3">
      <c r="A287" s="4433"/>
      <c r="B287" s="4433"/>
      <c r="C287" s="2128"/>
      <c r="D287" s="2128"/>
      <c r="E287" s="2128"/>
      <c r="F287" s="2128"/>
      <c r="G287" s="2128"/>
      <c r="H287" s="2128"/>
      <c r="I287" s="2128"/>
      <c r="J287" s="2128"/>
      <c r="K287" s="2128"/>
      <c r="L287" s="2128"/>
      <c r="M287" s="2128"/>
      <c r="N287" s="2128"/>
      <c r="O287" s="2128"/>
      <c r="P287" s="2128"/>
      <c r="Q287" s="2128"/>
      <c r="R287" s="2128"/>
      <c r="S287" s="2128"/>
      <c r="T287" s="2128"/>
      <c r="U287" s="2128"/>
      <c r="V287" s="2128"/>
      <c r="W287" s="2128"/>
      <c r="X287" s="2128"/>
      <c r="Y287" s="2128"/>
      <c r="Z287" s="2128"/>
      <c r="AA287" s="2128"/>
      <c r="AB287" s="2128"/>
      <c r="AC287" s="2128"/>
      <c r="AD287" s="2128"/>
    </row>
    <row r="288" spans="1:30" ht="15.75" customHeight="1" x14ac:dyDescent="0.3">
      <c r="A288" s="4433"/>
      <c r="B288" s="4433"/>
      <c r="C288" s="2128"/>
      <c r="D288" s="2128"/>
      <c r="E288" s="2128"/>
      <c r="F288" s="2128"/>
      <c r="G288" s="2128"/>
      <c r="H288" s="2128"/>
      <c r="I288" s="2128"/>
      <c r="J288" s="2128"/>
      <c r="K288" s="2128"/>
      <c r="L288" s="2128"/>
      <c r="M288" s="2128"/>
      <c r="N288" s="2128"/>
      <c r="O288" s="2128"/>
      <c r="P288" s="2128"/>
      <c r="Q288" s="2128"/>
      <c r="R288" s="2128"/>
      <c r="S288" s="2128"/>
      <c r="T288" s="2128"/>
      <c r="U288" s="2128"/>
      <c r="V288" s="2128"/>
      <c r="W288" s="2128"/>
      <c r="X288" s="2128"/>
      <c r="Y288" s="2128"/>
      <c r="Z288" s="2128"/>
      <c r="AA288" s="2128"/>
      <c r="AB288" s="2128"/>
      <c r="AC288" s="2128"/>
      <c r="AD288" s="2128"/>
    </row>
    <row r="289" spans="1:30" ht="15.75" customHeight="1" x14ac:dyDescent="0.3">
      <c r="A289" s="4433"/>
      <c r="B289" s="4433"/>
      <c r="C289" s="2128"/>
      <c r="D289" s="2128"/>
      <c r="E289" s="2128"/>
      <c r="F289" s="2128"/>
      <c r="G289" s="2128"/>
      <c r="H289" s="2128"/>
      <c r="I289" s="2128"/>
      <c r="J289" s="2128"/>
      <c r="K289" s="2128"/>
      <c r="L289" s="2128"/>
      <c r="M289" s="2128"/>
      <c r="N289" s="2128"/>
      <c r="O289" s="2128"/>
      <c r="P289" s="2128"/>
      <c r="Q289" s="2128"/>
      <c r="R289" s="2128"/>
      <c r="S289" s="2128"/>
      <c r="T289" s="2128"/>
      <c r="U289" s="2128"/>
      <c r="V289" s="2128"/>
      <c r="W289" s="2128"/>
      <c r="X289" s="2128"/>
      <c r="Y289" s="2128"/>
      <c r="Z289" s="2128"/>
      <c r="AA289" s="2128"/>
      <c r="AB289" s="2128"/>
      <c r="AC289" s="2128"/>
      <c r="AD289" s="2128"/>
    </row>
    <row r="290" spans="1:30" ht="15.75" customHeight="1" x14ac:dyDescent="0.3">
      <c r="A290" s="4433"/>
      <c r="B290" s="4433"/>
      <c r="C290" s="2128"/>
      <c r="D290" s="2128"/>
      <c r="E290" s="2128"/>
      <c r="F290" s="2128"/>
      <c r="G290" s="2128"/>
      <c r="H290" s="2128"/>
      <c r="I290" s="2128"/>
      <c r="J290" s="2128"/>
      <c r="K290" s="2128"/>
      <c r="L290" s="2128"/>
      <c r="M290" s="2128"/>
      <c r="N290" s="2128"/>
      <c r="O290" s="2128"/>
      <c r="P290" s="2128"/>
      <c r="Q290" s="2128"/>
      <c r="R290" s="2128"/>
      <c r="S290" s="2128"/>
      <c r="T290" s="2128"/>
      <c r="U290" s="2128"/>
      <c r="V290" s="2128"/>
      <c r="W290" s="2128"/>
      <c r="X290" s="2128"/>
      <c r="Y290" s="2128"/>
      <c r="Z290" s="2128"/>
      <c r="AA290" s="2128"/>
      <c r="AB290" s="2128"/>
      <c r="AC290" s="2128"/>
      <c r="AD290" s="2128"/>
    </row>
    <row r="291" spans="1:30" ht="15.75" customHeight="1" x14ac:dyDescent="0.3">
      <c r="A291" s="4433"/>
      <c r="B291" s="4433"/>
      <c r="C291" s="2128"/>
      <c r="D291" s="2128"/>
      <c r="E291" s="2128"/>
      <c r="F291" s="2128"/>
      <c r="G291" s="2128"/>
      <c r="H291" s="2128"/>
      <c r="I291" s="2128"/>
      <c r="J291" s="2128"/>
      <c r="K291" s="2128"/>
      <c r="L291" s="2128"/>
      <c r="M291" s="2128"/>
      <c r="N291" s="2128"/>
      <c r="O291" s="2128"/>
      <c r="P291" s="2128"/>
      <c r="Q291" s="2128"/>
      <c r="R291" s="2128"/>
      <c r="S291" s="2128"/>
      <c r="T291" s="2128"/>
      <c r="U291" s="2128"/>
      <c r="V291" s="2128"/>
      <c r="W291" s="2128"/>
      <c r="X291" s="2128"/>
      <c r="Y291" s="2128"/>
      <c r="Z291" s="2128"/>
      <c r="AA291" s="2128"/>
      <c r="AB291" s="2128"/>
      <c r="AC291" s="2128"/>
      <c r="AD291" s="2128"/>
    </row>
    <row r="292" spans="1:30" ht="15.75" customHeight="1" x14ac:dyDescent="0.3">
      <c r="A292" s="4433"/>
      <c r="B292" s="4433"/>
      <c r="C292" s="2128"/>
      <c r="D292" s="2128"/>
      <c r="E292" s="2128"/>
      <c r="F292" s="2128"/>
      <c r="G292" s="2128"/>
      <c r="H292" s="2128"/>
      <c r="I292" s="2128"/>
      <c r="J292" s="2128"/>
      <c r="K292" s="2128"/>
      <c r="L292" s="2128"/>
      <c r="M292" s="2128"/>
      <c r="N292" s="2128"/>
      <c r="O292" s="2128"/>
      <c r="P292" s="2128"/>
      <c r="Q292" s="2128"/>
      <c r="R292" s="2128"/>
      <c r="S292" s="2128"/>
      <c r="T292" s="2128"/>
      <c r="U292" s="2128"/>
      <c r="V292" s="2128"/>
      <c r="W292" s="2128"/>
      <c r="X292" s="2128"/>
      <c r="Y292" s="2128"/>
      <c r="Z292" s="2128"/>
      <c r="AA292" s="2128"/>
      <c r="AB292" s="2128"/>
      <c r="AC292" s="2128"/>
      <c r="AD292" s="2128"/>
    </row>
    <row r="293" spans="1:30" ht="15.75" customHeight="1" x14ac:dyDescent="0.3">
      <c r="A293" s="4433"/>
      <c r="B293" s="4433"/>
      <c r="C293" s="2128"/>
      <c r="D293" s="2128"/>
      <c r="E293" s="2128"/>
      <c r="F293" s="2128"/>
      <c r="G293" s="2128"/>
      <c r="H293" s="2128"/>
      <c r="I293" s="2128"/>
      <c r="J293" s="2128"/>
      <c r="K293" s="2128"/>
      <c r="L293" s="2128"/>
      <c r="M293" s="2128"/>
      <c r="N293" s="2128"/>
      <c r="O293" s="2128"/>
      <c r="P293" s="2128"/>
      <c r="Q293" s="2128"/>
      <c r="R293" s="2128"/>
      <c r="S293" s="2128"/>
      <c r="T293" s="2128"/>
      <c r="U293" s="2128"/>
      <c r="V293" s="2128"/>
      <c r="W293" s="2128"/>
      <c r="X293" s="2128"/>
      <c r="Y293" s="2128"/>
      <c r="Z293" s="2128"/>
      <c r="AA293" s="2128"/>
      <c r="AB293" s="2128"/>
      <c r="AC293" s="2128"/>
      <c r="AD293" s="2128"/>
    </row>
    <row r="294" spans="1:30" ht="15.75" customHeight="1" x14ac:dyDescent="0.3">
      <c r="A294" s="4433"/>
      <c r="B294" s="4433"/>
      <c r="C294" s="2128"/>
      <c r="D294" s="2128"/>
      <c r="E294" s="2128"/>
      <c r="F294" s="2128"/>
      <c r="G294" s="2128"/>
      <c r="H294" s="2128"/>
      <c r="I294" s="2128"/>
      <c r="J294" s="2128"/>
      <c r="K294" s="2128"/>
      <c r="L294" s="2128"/>
      <c r="M294" s="2128"/>
      <c r="N294" s="2128"/>
      <c r="O294" s="2128"/>
      <c r="P294" s="2128"/>
      <c r="Q294" s="2128"/>
      <c r="R294" s="2128"/>
      <c r="S294" s="2128"/>
      <c r="T294" s="2128"/>
      <c r="U294" s="2128"/>
      <c r="V294" s="2128"/>
      <c r="W294" s="2128"/>
      <c r="X294" s="2128"/>
      <c r="Y294" s="2128"/>
      <c r="Z294" s="2128"/>
      <c r="AA294" s="2128"/>
      <c r="AB294" s="2128"/>
      <c r="AC294" s="2128"/>
      <c r="AD294" s="2128"/>
    </row>
    <row r="295" spans="1:30" ht="15.75" customHeight="1" x14ac:dyDescent="0.3">
      <c r="A295" s="4433"/>
      <c r="B295" s="4433"/>
      <c r="C295" s="2128"/>
      <c r="D295" s="2128"/>
      <c r="E295" s="2128"/>
      <c r="F295" s="2128"/>
      <c r="G295" s="2128"/>
      <c r="H295" s="2128"/>
      <c r="I295" s="2128"/>
      <c r="J295" s="2128"/>
      <c r="K295" s="2128"/>
      <c r="L295" s="2128"/>
      <c r="M295" s="2128"/>
      <c r="N295" s="2128"/>
      <c r="O295" s="2128"/>
      <c r="P295" s="2128"/>
      <c r="Q295" s="2128"/>
      <c r="R295" s="2128"/>
      <c r="S295" s="2128"/>
      <c r="T295" s="2128"/>
      <c r="U295" s="2128"/>
      <c r="V295" s="2128"/>
      <c r="W295" s="2128"/>
      <c r="X295" s="2128"/>
      <c r="Y295" s="2128"/>
      <c r="Z295" s="2128"/>
      <c r="AA295" s="2128"/>
      <c r="AB295" s="2128"/>
      <c r="AC295" s="2128"/>
      <c r="AD295" s="2128"/>
    </row>
    <row r="296" spans="1:30" ht="15.75" customHeight="1" x14ac:dyDescent="0.3">
      <c r="A296" s="4433"/>
      <c r="B296" s="4433"/>
      <c r="C296" s="2128"/>
      <c r="D296" s="2128"/>
      <c r="E296" s="2128"/>
      <c r="F296" s="2128"/>
      <c r="G296" s="2128"/>
      <c r="H296" s="2128"/>
      <c r="I296" s="2128"/>
      <c r="J296" s="2128"/>
      <c r="K296" s="2128"/>
      <c r="L296" s="2128"/>
      <c r="M296" s="2128"/>
      <c r="N296" s="2128"/>
      <c r="O296" s="2128"/>
      <c r="P296" s="2128"/>
      <c r="Q296" s="2128"/>
      <c r="R296" s="2128"/>
      <c r="S296" s="2128"/>
      <c r="T296" s="2128"/>
      <c r="U296" s="2128"/>
      <c r="V296" s="2128"/>
      <c r="W296" s="2128"/>
      <c r="X296" s="2128"/>
      <c r="Y296" s="2128"/>
      <c r="Z296" s="2128"/>
      <c r="AA296" s="2128"/>
      <c r="AB296" s="2128"/>
      <c r="AC296" s="2128"/>
      <c r="AD296" s="2128"/>
    </row>
    <row r="297" spans="1:30" ht="15.75" customHeight="1" x14ac:dyDescent="0.3">
      <c r="A297" s="4433"/>
      <c r="B297" s="4433"/>
      <c r="C297" s="2128"/>
      <c r="D297" s="2128"/>
      <c r="E297" s="2128"/>
      <c r="F297" s="2128"/>
      <c r="G297" s="2128"/>
      <c r="H297" s="2128"/>
      <c r="I297" s="2128"/>
      <c r="J297" s="2128"/>
      <c r="K297" s="2128"/>
      <c r="L297" s="2128"/>
      <c r="M297" s="2128"/>
      <c r="N297" s="2128"/>
      <c r="O297" s="2128"/>
      <c r="P297" s="2128"/>
      <c r="Q297" s="2128"/>
      <c r="R297" s="2128"/>
      <c r="S297" s="2128"/>
      <c r="T297" s="2128"/>
      <c r="U297" s="2128"/>
      <c r="V297" s="2128"/>
      <c r="W297" s="2128"/>
      <c r="X297" s="2128"/>
      <c r="Y297" s="2128"/>
      <c r="Z297" s="2128"/>
      <c r="AA297" s="2128"/>
      <c r="AB297" s="2128"/>
      <c r="AC297" s="2128"/>
      <c r="AD297" s="2128"/>
    </row>
    <row r="298" spans="1:30" ht="15.75" customHeight="1" x14ac:dyDescent="0.3">
      <c r="A298" s="4433"/>
      <c r="B298" s="4433"/>
      <c r="C298" s="2128"/>
      <c r="D298" s="2128"/>
      <c r="E298" s="2128"/>
      <c r="F298" s="2128"/>
      <c r="G298" s="2128"/>
      <c r="H298" s="2128"/>
      <c r="I298" s="2128"/>
      <c r="J298" s="2128"/>
      <c r="K298" s="2128"/>
      <c r="L298" s="2128"/>
      <c r="M298" s="2128"/>
      <c r="N298" s="2128"/>
      <c r="O298" s="2128"/>
      <c r="P298" s="2128"/>
      <c r="Q298" s="2128"/>
      <c r="R298" s="2128"/>
      <c r="S298" s="2128"/>
      <c r="T298" s="2128"/>
      <c r="U298" s="2128"/>
      <c r="V298" s="2128"/>
      <c r="W298" s="2128"/>
      <c r="X298" s="2128"/>
      <c r="Y298" s="2128"/>
      <c r="Z298" s="2128"/>
      <c r="AA298" s="2128"/>
      <c r="AB298" s="2128"/>
      <c r="AC298" s="2128"/>
      <c r="AD298" s="2128"/>
    </row>
    <row r="299" spans="1:30" ht="15.75" customHeight="1" x14ac:dyDescent="0.3">
      <c r="A299" s="4433"/>
      <c r="B299" s="4433"/>
      <c r="C299" s="2128"/>
      <c r="D299" s="2128"/>
      <c r="E299" s="2128"/>
      <c r="F299" s="2128"/>
      <c r="G299" s="2128"/>
      <c r="H299" s="2128"/>
      <c r="I299" s="2128"/>
      <c r="J299" s="2128"/>
      <c r="K299" s="2128"/>
      <c r="L299" s="2128"/>
      <c r="M299" s="2128"/>
      <c r="N299" s="2128"/>
      <c r="O299" s="2128"/>
      <c r="P299" s="2128"/>
      <c r="Q299" s="2128"/>
      <c r="R299" s="2128"/>
      <c r="S299" s="2128"/>
      <c r="T299" s="2128"/>
      <c r="U299" s="2128"/>
      <c r="V299" s="2128"/>
      <c r="W299" s="2128"/>
      <c r="X299" s="2128"/>
      <c r="Y299" s="2128"/>
      <c r="Z299" s="2128"/>
      <c r="AA299" s="2128"/>
      <c r="AB299" s="2128"/>
      <c r="AC299" s="2128"/>
      <c r="AD299" s="2128"/>
    </row>
    <row r="300" spans="1:30" ht="15.75" customHeight="1" x14ac:dyDescent="0.3">
      <c r="A300" s="4433"/>
      <c r="B300" s="4433"/>
      <c r="C300" s="2128"/>
      <c r="D300" s="2128"/>
      <c r="E300" s="2128"/>
      <c r="F300" s="2128"/>
      <c r="G300" s="2128"/>
      <c r="H300" s="2128"/>
      <c r="I300" s="2128"/>
      <c r="J300" s="2128"/>
      <c r="K300" s="2128"/>
      <c r="L300" s="2128"/>
      <c r="M300" s="2128"/>
      <c r="N300" s="2128"/>
      <c r="O300" s="2128"/>
      <c r="P300" s="2128"/>
      <c r="Q300" s="2128"/>
      <c r="R300" s="2128"/>
      <c r="S300" s="2128"/>
      <c r="T300" s="2128"/>
      <c r="U300" s="2128"/>
      <c r="V300" s="2128"/>
      <c r="W300" s="2128"/>
      <c r="X300" s="2128"/>
      <c r="Y300" s="2128"/>
      <c r="Z300" s="2128"/>
      <c r="AA300" s="2128"/>
      <c r="AB300" s="2128"/>
      <c r="AC300" s="2128"/>
      <c r="AD300" s="2128"/>
    </row>
    <row r="301" spans="1:30" ht="15.75" customHeight="1" x14ac:dyDescent="0.3">
      <c r="A301" s="4433"/>
      <c r="B301" s="4433"/>
      <c r="C301" s="2128"/>
      <c r="D301" s="2128"/>
      <c r="E301" s="2128"/>
      <c r="F301" s="2128"/>
      <c r="G301" s="2128"/>
      <c r="H301" s="2128"/>
      <c r="I301" s="2128"/>
      <c r="J301" s="2128"/>
      <c r="K301" s="2128"/>
      <c r="L301" s="2128"/>
      <c r="M301" s="2128"/>
      <c r="N301" s="2128"/>
      <c r="O301" s="2128"/>
      <c r="P301" s="2128"/>
      <c r="Q301" s="2128"/>
      <c r="R301" s="2128"/>
      <c r="S301" s="2128"/>
      <c r="T301" s="2128"/>
      <c r="U301" s="2128"/>
      <c r="V301" s="2128"/>
      <c r="W301" s="2128"/>
      <c r="X301" s="2128"/>
      <c r="Y301" s="2128"/>
      <c r="Z301" s="2128"/>
      <c r="AA301" s="2128"/>
      <c r="AB301" s="2128"/>
      <c r="AC301" s="2128"/>
      <c r="AD301" s="2128"/>
    </row>
    <row r="302" spans="1:30" ht="15.75" customHeight="1" x14ac:dyDescent="0.3">
      <c r="A302" s="4433"/>
      <c r="B302" s="4433"/>
      <c r="C302" s="2128"/>
      <c r="D302" s="2128"/>
      <c r="E302" s="2128"/>
      <c r="F302" s="2128"/>
      <c r="G302" s="2128"/>
      <c r="H302" s="2128"/>
      <c r="I302" s="2128"/>
      <c r="J302" s="2128"/>
      <c r="K302" s="2128"/>
      <c r="L302" s="2128"/>
      <c r="M302" s="2128"/>
      <c r="N302" s="2128"/>
      <c r="O302" s="2128"/>
      <c r="P302" s="2128"/>
      <c r="Q302" s="2128"/>
      <c r="R302" s="2128"/>
      <c r="S302" s="2128"/>
      <c r="T302" s="2128"/>
      <c r="U302" s="2128"/>
      <c r="V302" s="2128"/>
      <c r="W302" s="2128"/>
      <c r="X302" s="2128"/>
      <c r="Y302" s="2128"/>
      <c r="Z302" s="2128"/>
      <c r="AA302" s="2128"/>
      <c r="AB302" s="2128"/>
      <c r="AC302" s="2128"/>
      <c r="AD302" s="2128"/>
    </row>
    <row r="303" spans="1:30" ht="15.75" customHeight="1" x14ac:dyDescent="0.3">
      <c r="A303" s="4433"/>
      <c r="B303" s="4433"/>
      <c r="C303" s="2128"/>
      <c r="D303" s="2128"/>
      <c r="E303" s="2128"/>
      <c r="F303" s="2128"/>
      <c r="G303" s="2128"/>
      <c r="H303" s="2128"/>
      <c r="I303" s="2128"/>
      <c r="J303" s="2128"/>
      <c r="K303" s="2128"/>
      <c r="L303" s="2128"/>
      <c r="M303" s="2128"/>
      <c r="N303" s="2128"/>
      <c r="O303" s="2128"/>
      <c r="P303" s="2128"/>
      <c r="Q303" s="2128"/>
      <c r="R303" s="2128"/>
      <c r="S303" s="2128"/>
      <c r="T303" s="2128"/>
      <c r="U303" s="2128"/>
      <c r="V303" s="2128"/>
      <c r="W303" s="2128"/>
      <c r="X303" s="2128"/>
      <c r="Y303" s="2128"/>
      <c r="Z303" s="2128"/>
      <c r="AA303" s="2128"/>
      <c r="AB303" s="2128"/>
      <c r="AC303" s="2128"/>
      <c r="AD303" s="2128"/>
    </row>
    <row r="304" spans="1:30" ht="15.75" customHeight="1" x14ac:dyDescent="0.3">
      <c r="A304" s="4433"/>
      <c r="B304" s="4433"/>
      <c r="C304" s="2128"/>
      <c r="D304" s="2128"/>
      <c r="E304" s="2128"/>
      <c r="F304" s="2128"/>
      <c r="G304" s="2128"/>
      <c r="H304" s="2128"/>
      <c r="I304" s="2128"/>
      <c r="J304" s="2128"/>
      <c r="K304" s="2128"/>
      <c r="L304" s="2128"/>
      <c r="M304" s="2128"/>
      <c r="N304" s="2128"/>
      <c r="O304" s="2128"/>
      <c r="P304" s="2128"/>
      <c r="Q304" s="2128"/>
      <c r="R304" s="2128"/>
      <c r="S304" s="2128"/>
      <c r="T304" s="2128"/>
      <c r="U304" s="2128"/>
      <c r="V304" s="2128"/>
      <c r="W304" s="2128"/>
      <c r="X304" s="2128"/>
      <c r="Y304" s="2128"/>
      <c r="Z304" s="2128"/>
      <c r="AA304" s="2128"/>
      <c r="AB304" s="2128"/>
      <c r="AC304" s="2128"/>
      <c r="AD304" s="2128"/>
    </row>
    <row r="305" spans="1:30" ht="15.75" customHeight="1" x14ac:dyDescent="0.3">
      <c r="A305" s="4433"/>
      <c r="B305" s="4433"/>
      <c r="C305" s="2128"/>
      <c r="D305" s="2128"/>
      <c r="E305" s="2128"/>
      <c r="F305" s="2128"/>
      <c r="G305" s="2128"/>
      <c r="H305" s="2128"/>
      <c r="I305" s="2128"/>
      <c r="J305" s="2128"/>
      <c r="K305" s="2128"/>
      <c r="L305" s="2128"/>
      <c r="M305" s="2128"/>
      <c r="N305" s="2128"/>
      <c r="O305" s="2128"/>
      <c r="P305" s="2128"/>
      <c r="Q305" s="2128"/>
      <c r="R305" s="2128"/>
      <c r="S305" s="2128"/>
      <c r="T305" s="2128"/>
      <c r="U305" s="2128"/>
      <c r="V305" s="2128"/>
      <c r="W305" s="2128"/>
      <c r="X305" s="2128"/>
      <c r="Y305" s="2128"/>
      <c r="Z305" s="2128"/>
      <c r="AA305" s="2128"/>
      <c r="AB305" s="2128"/>
      <c r="AC305" s="2128"/>
      <c r="AD305" s="2128"/>
    </row>
    <row r="306" spans="1:30" ht="15.75" customHeight="1" x14ac:dyDescent="0.3">
      <c r="A306" s="4433"/>
      <c r="B306" s="4433"/>
      <c r="C306" s="2128"/>
      <c r="D306" s="2128"/>
      <c r="E306" s="2128"/>
      <c r="F306" s="2128"/>
      <c r="G306" s="2128"/>
      <c r="H306" s="2128"/>
      <c r="I306" s="2128"/>
      <c r="J306" s="2128"/>
      <c r="K306" s="2128"/>
      <c r="L306" s="2128"/>
      <c r="M306" s="2128"/>
      <c r="N306" s="2128"/>
      <c r="O306" s="2128"/>
      <c r="P306" s="2128"/>
      <c r="Q306" s="2128"/>
      <c r="R306" s="2128"/>
      <c r="S306" s="2128"/>
      <c r="T306" s="2128"/>
      <c r="U306" s="2128"/>
      <c r="V306" s="2128"/>
      <c r="W306" s="2128"/>
      <c r="X306" s="2128"/>
      <c r="Y306" s="2128"/>
      <c r="Z306" s="2128"/>
      <c r="AA306" s="2128"/>
      <c r="AB306" s="2128"/>
      <c r="AC306" s="2128"/>
      <c r="AD306" s="2128"/>
    </row>
    <row r="307" spans="1:30" ht="15.75" customHeight="1" x14ac:dyDescent="0.3">
      <c r="A307" s="4433"/>
      <c r="B307" s="4433"/>
      <c r="C307" s="2128"/>
      <c r="D307" s="2128"/>
      <c r="E307" s="2128"/>
      <c r="F307" s="2128"/>
      <c r="G307" s="2128"/>
      <c r="H307" s="2128"/>
      <c r="I307" s="2128"/>
      <c r="J307" s="2128"/>
      <c r="K307" s="2128"/>
      <c r="L307" s="2128"/>
      <c r="M307" s="2128"/>
      <c r="N307" s="2128"/>
      <c r="O307" s="2128"/>
      <c r="P307" s="2128"/>
      <c r="Q307" s="2128"/>
      <c r="R307" s="2128"/>
      <c r="S307" s="2128"/>
      <c r="T307" s="2128"/>
      <c r="U307" s="2128"/>
      <c r="V307" s="2128"/>
      <c r="W307" s="2128"/>
      <c r="X307" s="2128"/>
      <c r="Y307" s="2128"/>
      <c r="Z307" s="2128"/>
      <c r="AA307" s="2128"/>
      <c r="AB307" s="2128"/>
      <c r="AC307" s="2128"/>
      <c r="AD307" s="2128"/>
    </row>
    <row r="308" spans="1:30" ht="15.75" customHeight="1" x14ac:dyDescent="0.3">
      <c r="A308" s="4433"/>
      <c r="B308" s="4433"/>
      <c r="C308" s="2128"/>
      <c r="D308" s="2128"/>
      <c r="E308" s="2128"/>
      <c r="F308" s="2128"/>
      <c r="G308" s="2128"/>
      <c r="H308" s="2128"/>
      <c r="I308" s="2128"/>
      <c r="J308" s="2128"/>
      <c r="K308" s="2128"/>
      <c r="L308" s="2128"/>
      <c r="M308" s="2128"/>
      <c r="N308" s="2128"/>
      <c r="O308" s="2128"/>
      <c r="P308" s="2128"/>
      <c r="Q308" s="2128"/>
      <c r="R308" s="2128"/>
      <c r="S308" s="2128"/>
      <c r="T308" s="2128"/>
      <c r="U308" s="2128"/>
      <c r="V308" s="2128"/>
      <c r="W308" s="2128"/>
      <c r="X308" s="2128"/>
      <c r="Y308" s="2128"/>
      <c r="Z308" s="2128"/>
      <c r="AA308" s="2128"/>
      <c r="AB308" s="2128"/>
      <c r="AC308" s="2128"/>
      <c r="AD308" s="2128"/>
    </row>
    <row r="309" spans="1:30" ht="15.75" customHeight="1" x14ac:dyDescent="0.3">
      <c r="A309" s="4433"/>
      <c r="B309" s="4433"/>
      <c r="C309" s="2128"/>
      <c r="D309" s="2128"/>
      <c r="E309" s="2128"/>
      <c r="F309" s="2128"/>
      <c r="G309" s="2128"/>
      <c r="H309" s="2128"/>
      <c r="I309" s="2128"/>
      <c r="J309" s="2128"/>
      <c r="K309" s="2128"/>
      <c r="L309" s="2128"/>
      <c r="M309" s="2128"/>
      <c r="N309" s="2128"/>
      <c r="O309" s="2128"/>
      <c r="P309" s="2128"/>
      <c r="Q309" s="2128"/>
      <c r="R309" s="2128"/>
      <c r="S309" s="2128"/>
      <c r="T309" s="2128"/>
      <c r="U309" s="2128"/>
      <c r="V309" s="2128"/>
      <c r="W309" s="2128"/>
      <c r="X309" s="2128"/>
      <c r="Y309" s="2128"/>
      <c r="Z309" s="2128"/>
      <c r="AA309" s="2128"/>
      <c r="AB309" s="2128"/>
      <c r="AC309" s="2128"/>
      <c r="AD309" s="2128"/>
    </row>
    <row r="310" spans="1:30" ht="15.75" customHeight="1" x14ac:dyDescent="0.3">
      <c r="A310" s="4433"/>
      <c r="B310" s="4433"/>
      <c r="C310" s="2128"/>
      <c r="D310" s="2128"/>
      <c r="E310" s="2128"/>
      <c r="F310" s="2128"/>
      <c r="G310" s="2128"/>
      <c r="H310" s="2128"/>
      <c r="I310" s="2128"/>
      <c r="J310" s="2128"/>
      <c r="K310" s="2128"/>
      <c r="L310" s="2128"/>
      <c r="M310" s="2128"/>
      <c r="N310" s="2128"/>
      <c r="O310" s="2128"/>
      <c r="P310" s="2128"/>
      <c r="Q310" s="2128"/>
      <c r="R310" s="2128"/>
      <c r="S310" s="2128"/>
      <c r="T310" s="2128"/>
      <c r="U310" s="2128"/>
      <c r="V310" s="2128"/>
      <c r="W310" s="2128"/>
      <c r="X310" s="2128"/>
      <c r="Y310" s="2128"/>
      <c r="Z310" s="2128"/>
      <c r="AA310" s="2128"/>
      <c r="AB310" s="2128"/>
      <c r="AC310" s="2128"/>
      <c r="AD310" s="2128"/>
    </row>
    <row r="311" spans="1:30" ht="15.75" customHeight="1" x14ac:dyDescent="0.3">
      <c r="A311" s="4433"/>
      <c r="B311" s="4433"/>
      <c r="C311" s="2128"/>
      <c r="D311" s="2128"/>
      <c r="E311" s="2128"/>
      <c r="F311" s="2128"/>
      <c r="G311" s="2128"/>
      <c r="H311" s="2128"/>
      <c r="I311" s="2128"/>
      <c r="J311" s="2128"/>
      <c r="K311" s="2128"/>
      <c r="L311" s="2128"/>
      <c r="M311" s="2128"/>
      <c r="N311" s="2128"/>
      <c r="O311" s="2128"/>
      <c r="P311" s="2128"/>
      <c r="Q311" s="2128"/>
      <c r="R311" s="2128"/>
      <c r="S311" s="2128"/>
      <c r="T311" s="2128"/>
      <c r="U311" s="2128"/>
      <c r="V311" s="2128"/>
      <c r="W311" s="2128"/>
      <c r="X311" s="2128"/>
      <c r="Y311" s="2128"/>
      <c r="Z311" s="2128"/>
      <c r="AA311" s="2128"/>
      <c r="AB311" s="2128"/>
      <c r="AC311" s="2128"/>
      <c r="AD311" s="2128"/>
    </row>
    <row r="312" spans="1:30" ht="15.75" customHeight="1" x14ac:dyDescent="0.3">
      <c r="A312" s="4433"/>
      <c r="B312" s="4433"/>
      <c r="C312" s="2128"/>
      <c r="D312" s="2128"/>
      <c r="E312" s="2128"/>
      <c r="F312" s="2128"/>
      <c r="G312" s="2128"/>
      <c r="H312" s="2128"/>
      <c r="I312" s="2128"/>
      <c r="J312" s="2128"/>
      <c r="K312" s="2128"/>
      <c r="L312" s="2128"/>
      <c r="M312" s="2128"/>
      <c r="N312" s="2128"/>
      <c r="O312" s="2128"/>
      <c r="P312" s="2128"/>
      <c r="Q312" s="2128"/>
      <c r="R312" s="2128"/>
      <c r="S312" s="2128"/>
      <c r="T312" s="2128"/>
      <c r="U312" s="2128"/>
      <c r="V312" s="2128"/>
      <c r="W312" s="2128"/>
      <c r="X312" s="2128"/>
      <c r="Y312" s="2128"/>
      <c r="Z312" s="2128"/>
      <c r="AA312" s="2128"/>
      <c r="AB312" s="2128"/>
      <c r="AC312" s="2128"/>
      <c r="AD312" s="2128"/>
    </row>
    <row r="313" spans="1:30" ht="15.75" customHeight="1" x14ac:dyDescent="0.3">
      <c r="A313" s="4433"/>
      <c r="B313" s="4433"/>
      <c r="C313" s="2128"/>
      <c r="D313" s="2128"/>
      <c r="E313" s="2128"/>
      <c r="F313" s="2128"/>
      <c r="G313" s="2128"/>
      <c r="H313" s="2128"/>
      <c r="I313" s="2128"/>
      <c r="J313" s="2128"/>
      <c r="K313" s="2128"/>
      <c r="L313" s="2128"/>
      <c r="M313" s="2128"/>
      <c r="N313" s="2128"/>
      <c r="O313" s="2128"/>
      <c r="P313" s="2128"/>
      <c r="Q313" s="2128"/>
      <c r="R313" s="2128"/>
      <c r="S313" s="2128"/>
      <c r="T313" s="2128"/>
      <c r="U313" s="2128"/>
      <c r="V313" s="2128"/>
      <c r="W313" s="2128"/>
      <c r="X313" s="2128"/>
      <c r="Y313" s="2128"/>
      <c r="Z313" s="2128"/>
      <c r="AA313" s="2128"/>
      <c r="AB313" s="2128"/>
      <c r="AC313" s="2128"/>
      <c r="AD313" s="2128"/>
    </row>
    <row r="314" spans="1:30" ht="15.75" customHeight="1" x14ac:dyDescent="0.3">
      <c r="A314" s="4433"/>
      <c r="B314" s="4433"/>
      <c r="C314" s="2128"/>
      <c r="D314" s="2128"/>
      <c r="E314" s="2128"/>
      <c r="F314" s="2128"/>
      <c r="G314" s="2128"/>
      <c r="H314" s="2128"/>
      <c r="I314" s="2128"/>
      <c r="J314" s="2128"/>
      <c r="K314" s="2128"/>
      <c r="L314" s="2128"/>
      <c r="M314" s="2128"/>
      <c r="N314" s="2128"/>
      <c r="O314" s="2128"/>
      <c r="P314" s="2128"/>
      <c r="Q314" s="2128"/>
      <c r="R314" s="2128"/>
      <c r="S314" s="2128"/>
      <c r="T314" s="2128"/>
      <c r="U314" s="2128"/>
      <c r="V314" s="2128"/>
      <c r="W314" s="2128"/>
      <c r="X314" s="2128"/>
      <c r="Y314" s="2128"/>
      <c r="Z314" s="2128"/>
      <c r="AA314" s="2128"/>
      <c r="AB314" s="2128"/>
      <c r="AC314" s="2128"/>
      <c r="AD314" s="2128"/>
    </row>
    <row r="315" spans="1:30" ht="15.75" customHeight="1" x14ac:dyDescent="0.3">
      <c r="A315" s="4433"/>
      <c r="B315" s="4433"/>
      <c r="C315" s="2128"/>
      <c r="D315" s="2128"/>
      <c r="E315" s="2128"/>
      <c r="F315" s="2128"/>
      <c r="G315" s="2128"/>
      <c r="H315" s="2128"/>
      <c r="I315" s="2128"/>
      <c r="J315" s="2128"/>
      <c r="K315" s="2128"/>
      <c r="L315" s="2128"/>
      <c r="M315" s="2128"/>
      <c r="N315" s="2128"/>
      <c r="O315" s="2128"/>
      <c r="P315" s="2128"/>
      <c r="Q315" s="2128"/>
      <c r="R315" s="2128"/>
      <c r="S315" s="2128"/>
      <c r="T315" s="2128"/>
      <c r="U315" s="2128"/>
      <c r="V315" s="2128"/>
      <c r="W315" s="2128"/>
      <c r="X315" s="2128"/>
      <c r="Y315" s="2128"/>
      <c r="Z315" s="2128"/>
      <c r="AA315" s="2128"/>
      <c r="AB315" s="2128"/>
      <c r="AC315" s="2128"/>
      <c r="AD315" s="2128"/>
    </row>
    <row r="316" spans="1:30" ht="15.75" customHeight="1" x14ac:dyDescent="0.3">
      <c r="A316" s="4433"/>
      <c r="B316" s="4433"/>
      <c r="C316" s="2128"/>
      <c r="D316" s="2128"/>
      <c r="E316" s="2128"/>
      <c r="F316" s="2128"/>
      <c r="G316" s="2128"/>
      <c r="H316" s="2128"/>
      <c r="I316" s="2128"/>
      <c r="J316" s="2128"/>
      <c r="K316" s="2128"/>
      <c r="L316" s="2128"/>
      <c r="M316" s="2128"/>
      <c r="N316" s="2128"/>
      <c r="O316" s="2128"/>
      <c r="P316" s="2128"/>
      <c r="Q316" s="2128"/>
      <c r="R316" s="2128"/>
      <c r="S316" s="2128"/>
      <c r="T316" s="2128"/>
      <c r="U316" s="2128"/>
      <c r="V316" s="2128"/>
      <c r="W316" s="2128"/>
      <c r="X316" s="2128"/>
      <c r="Y316" s="2128"/>
      <c r="Z316" s="2128"/>
      <c r="AA316" s="2128"/>
      <c r="AB316" s="2128"/>
      <c r="AC316" s="2128"/>
      <c r="AD316" s="2128"/>
    </row>
    <row r="317" spans="1:30" ht="15.75" customHeight="1" x14ac:dyDescent="0.3">
      <c r="A317" s="4433"/>
      <c r="B317" s="4433"/>
      <c r="C317" s="2128"/>
      <c r="D317" s="2128"/>
      <c r="E317" s="2128"/>
      <c r="F317" s="2128"/>
      <c r="G317" s="2128"/>
      <c r="H317" s="2128"/>
      <c r="I317" s="2128"/>
      <c r="J317" s="2128"/>
      <c r="K317" s="2128"/>
      <c r="L317" s="2128"/>
      <c r="M317" s="2128"/>
      <c r="N317" s="2128"/>
      <c r="O317" s="2128"/>
      <c r="P317" s="2128"/>
      <c r="Q317" s="2128"/>
      <c r="R317" s="2128"/>
      <c r="S317" s="2128"/>
      <c r="T317" s="2128"/>
      <c r="U317" s="2128"/>
      <c r="V317" s="2128"/>
      <c r="W317" s="2128"/>
      <c r="X317" s="2128"/>
      <c r="Y317" s="2128"/>
      <c r="Z317" s="2128"/>
      <c r="AA317" s="2128"/>
      <c r="AB317" s="2128"/>
      <c r="AC317" s="2128"/>
      <c r="AD317" s="2128"/>
    </row>
    <row r="318" spans="1:30" ht="15.75" customHeight="1" x14ac:dyDescent="0.3">
      <c r="A318" s="4433"/>
      <c r="B318" s="4433"/>
      <c r="C318" s="2128"/>
      <c r="D318" s="2128"/>
      <c r="E318" s="2128"/>
      <c r="F318" s="2128"/>
      <c r="G318" s="2128"/>
      <c r="H318" s="2128"/>
      <c r="I318" s="2128"/>
      <c r="J318" s="2128"/>
      <c r="K318" s="2128"/>
      <c r="L318" s="2128"/>
      <c r="M318" s="2128"/>
      <c r="N318" s="2128"/>
      <c r="O318" s="2128"/>
      <c r="P318" s="2128"/>
      <c r="Q318" s="2128"/>
      <c r="R318" s="2128"/>
      <c r="S318" s="2128"/>
      <c r="T318" s="2128"/>
      <c r="U318" s="2128"/>
      <c r="V318" s="2128"/>
      <c r="W318" s="2128"/>
      <c r="X318" s="2128"/>
      <c r="Y318" s="2128"/>
      <c r="Z318" s="2128"/>
      <c r="AA318" s="2128"/>
      <c r="AB318" s="2128"/>
      <c r="AC318" s="2128"/>
      <c r="AD318" s="2128"/>
    </row>
    <row r="319" spans="1:30" ht="15.75" customHeight="1" x14ac:dyDescent="0.3">
      <c r="A319" s="4433"/>
      <c r="B319" s="4433"/>
      <c r="C319" s="2128"/>
      <c r="D319" s="2128"/>
      <c r="E319" s="2128"/>
      <c r="F319" s="2128"/>
      <c r="G319" s="2128"/>
      <c r="H319" s="2128"/>
      <c r="I319" s="2128"/>
      <c r="J319" s="2128"/>
      <c r="K319" s="2128"/>
      <c r="L319" s="2128"/>
      <c r="M319" s="2128"/>
      <c r="N319" s="2128"/>
      <c r="O319" s="2128"/>
      <c r="P319" s="2128"/>
      <c r="Q319" s="2128"/>
      <c r="R319" s="2128"/>
      <c r="S319" s="2128"/>
      <c r="T319" s="2128"/>
      <c r="U319" s="2128"/>
      <c r="V319" s="2128"/>
      <c r="W319" s="2128"/>
      <c r="X319" s="2128"/>
      <c r="Y319" s="2128"/>
      <c r="Z319" s="2128"/>
      <c r="AA319" s="2128"/>
      <c r="AB319" s="2128"/>
      <c r="AC319" s="2128"/>
      <c r="AD319" s="2128"/>
    </row>
    <row r="320" spans="1:30" ht="15.75" customHeight="1" x14ac:dyDescent="0.3">
      <c r="A320" s="4433"/>
      <c r="B320" s="4433"/>
      <c r="C320" s="2128"/>
      <c r="D320" s="2128"/>
      <c r="E320" s="2128"/>
      <c r="F320" s="2128"/>
      <c r="G320" s="2128"/>
      <c r="H320" s="2128"/>
      <c r="I320" s="2128"/>
      <c r="J320" s="2128"/>
      <c r="K320" s="2128"/>
      <c r="L320" s="2128"/>
      <c r="M320" s="2128"/>
      <c r="N320" s="2128"/>
      <c r="O320" s="2128"/>
      <c r="P320" s="2128"/>
      <c r="Q320" s="2128"/>
      <c r="R320" s="2128"/>
      <c r="S320" s="2128"/>
      <c r="T320" s="2128"/>
      <c r="U320" s="2128"/>
      <c r="V320" s="2128"/>
      <c r="W320" s="2128"/>
      <c r="X320" s="2128"/>
      <c r="Y320" s="2128"/>
      <c r="Z320" s="2128"/>
      <c r="AA320" s="2128"/>
      <c r="AB320" s="2128"/>
      <c r="AC320" s="2128"/>
      <c r="AD320" s="2128"/>
    </row>
    <row r="321" spans="1:30" ht="15.75" customHeight="1" x14ac:dyDescent="0.3">
      <c r="A321" s="4433"/>
      <c r="B321" s="4433"/>
      <c r="C321" s="2128"/>
      <c r="D321" s="2128"/>
      <c r="E321" s="2128"/>
      <c r="F321" s="2128"/>
      <c r="G321" s="2128"/>
      <c r="H321" s="2128"/>
      <c r="I321" s="2128"/>
      <c r="J321" s="2128"/>
      <c r="K321" s="2128"/>
      <c r="L321" s="2128"/>
      <c r="M321" s="2128"/>
      <c r="N321" s="2128"/>
      <c r="O321" s="2128"/>
      <c r="P321" s="2128"/>
      <c r="Q321" s="2128"/>
      <c r="R321" s="2128"/>
      <c r="S321" s="2128"/>
      <c r="T321" s="2128"/>
      <c r="U321" s="2128"/>
      <c r="V321" s="2128"/>
      <c r="W321" s="2128"/>
      <c r="X321" s="2128"/>
      <c r="Y321" s="2128"/>
      <c r="Z321" s="2128"/>
      <c r="AA321" s="2128"/>
      <c r="AB321" s="2128"/>
      <c r="AC321" s="2128"/>
      <c r="AD321" s="2128"/>
    </row>
    <row r="322" spans="1:30" ht="15.75" customHeight="1" x14ac:dyDescent="0.3">
      <c r="A322" s="4433"/>
      <c r="B322" s="4433"/>
      <c r="C322" s="2128"/>
      <c r="D322" s="2128"/>
      <c r="E322" s="2128"/>
      <c r="F322" s="2128"/>
      <c r="G322" s="2128"/>
      <c r="H322" s="2128"/>
      <c r="I322" s="2128"/>
      <c r="J322" s="2128"/>
      <c r="K322" s="2128"/>
      <c r="L322" s="2128"/>
      <c r="M322" s="2128"/>
      <c r="N322" s="2128"/>
      <c r="O322" s="2128"/>
      <c r="P322" s="2128"/>
      <c r="Q322" s="2128"/>
      <c r="R322" s="2128"/>
      <c r="S322" s="2128"/>
      <c r="T322" s="2128"/>
      <c r="U322" s="2128"/>
      <c r="V322" s="2128"/>
      <c r="W322" s="2128"/>
      <c r="X322" s="2128"/>
      <c r="Y322" s="2128"/>
      <c r="Z322" s="2128"/>
      <c r="AA322" s="2128"/>
      <c r="AB322" s="2128"/>
      <c r="AC322" s="2128"/>
      <c r="AD322" s="2128"/>
    </row>
    <row r="323" spans="1:30" ht="15.75" customHeight="1" x14ac:dyDescent="0.3">
      <c r="A323" s="4433"/>
      <c r="B323" s="4433"/>
      <c r="C323" s="2128"/>
      <c r="D323" s="2128"/>
      <c r="E323" s="2128"/>
      <c r="F323" s="2128"/>
      <c r="G323" s="2128"/>
      <c r="H323" s="2128"/>
      <c r="I323" s="2128"/>
      <c r="J323" s="2128"/>
      <c r="K323" s="2128"/>
      <c r="L323" s="2128"/>
      <c r="M323" s="2128"/>
      <c r="N323" s="2128"/>
      <c r="O323" s="2128"/>
      <c r="P323" s="2128"/>
      <c r="Q323" s="2128"/>
      <c r="R323" s="2128"/>
      <c r="S323" s="2128"/>
      <c r="T323" s="2128"/>
      <c r="U323" s="2128"/>
      <c r="V323" s="2128"/>
      <c r="W323" s="2128"/>
      <c r="X323" s="2128"/>
      <c r="Y323" s="2128"/>
      <c r="Z323" s="2128"/>
      <c r="AA323" s="2128"/>
      <c r="AB323" s="2128"/>
      <c r="AC323" s="2128"/>
      <c r="AD323" s="2128"/>
    </row>
    <row r="324" spans="1:30" ht="15.75" customHeight="1" x14ac:dyDescent="0.3">
      <c r="A324" s="4433"/>
      <c r="B324" s="4433"/>
      <c r="C324" s="2128"/>
      <c r="D324" s="2128"/>
      <c r="E324" s="2128"/>
      <c r="F324" s="2128"/>
      <c r="G324" s="2128"/>
      <c r="H324" s="2128"/>
      <c r="I324" s="2128"/>
      <c r="J324" s="2128"/>
      <c r="K324" s="2128"/>
      <c r="L324" s="2128"/>
      <c r="M324" s="2128"/>
      <c r="N324" s="2128"/>
      <c r="O324" s="2128"/>
      <c r="P324" s="2128"/>
      <c r="Q324" s="2128"/>
      <c r="R324" s="2128"/>
      <c r="S324" s="2128"/>
      <c r="T324" s="2128"/>
      <c r="U324" s="2128"/>
      <c r="V324" s="2128"/>
      <c r="W324" s="2128"/>
      <c r="X324" s="2128"/>
      <c r="Y324" s="2128"/>
      <c r="Z324" s="2128"/>
      <c r="AA324" s="2128"/>
      <c r="AB324" s="2128"/>
      <c r="AC324" s="2128"/>
      <c r="AD324" s="2128"/>
    </row>
    <row r="325" spans="1:30" ht="15.75" customHeight="1" x14ac:dyDescent="0.3">
      <c r="A325" s="4433"/>
      <c r="B325" s="4433"/>
      <c r="C325" s="2128"/>
      <c r="D325" s="2128"/>
      <c r="E325" s="2128"/>
      <c r="F325" s="2128"/>
      <c r="G325" s="2128"/>
      <c r="H325" s="2128"/>
      <c r="I325" s="2128"/>
      <c r="J325" s="2128"/>
      <c r="K325" s="2128"/>
      <c r="L325" s="2128"/>
      <c r="M325" s="2128"/>
      <c r="N325" s="2128"/>
      <c r="O325" s="2128"/>
      <c r="P325" s="2128"/>
      <c r="Q325" s="2128"/>
      <c r="R325" s="2128"/>
      <c r="S325" s="2128"/>
      <c r="T325" s="2128"/>
      <c r="U325" s="2128"/>
      <c r="V325" s="2128"/>
      <c r="W325" s="2128"/>
      <c r="X325" s="2128"/>
      <c r="Y325" s="2128"/>
      <c r="Z325" s="2128"/>
      <c r="AA325" s="2128"/>
      <c r="AB325" s="2128"/>
      <c r="AC325" s="2128"/>
      <c r="AD325" s="2128"/>
    </row>
    <row r="326" spans="1:30" ht="15.75" customHeight="1" x14ac:dyDescent="0.3">
      <c r="A326" s="4433"/>
      <c r="B326" s="4433"/>
      <c r="C326" s="2128"/>
      <c r="D326" s="2128"/>
      <c r="E326" s="2128"/>
      <c r="F326" s="2128"/>
      <c r="G326" s="2128"/>
      <c r="H326" s="2128"/>
      <c r="I326" s="2128"/>
      <c r="J326" s="2128"/>
      <c r="K326" s="2128"/>
      <c r="L326" s="2128"/>
      <c r="M326" s="2128"/>
      <c r="N326" s="2128"/>
      <c r="O326" s="2128"/>
      <c r="P326" s="2128"/>
      <c r="Q326" s="2128"/>
      <c r="R326" s="2128"/>
      <c r="S326" s="2128"/>
      <c r="T326" s="2128"/>
      <c r="U326" s="2128"/>
      <c r="V326" s="2128"/>
      <c r="W326" s="2128"/>
      <c r="X326" s="2128"/>
      <c r="Y326" s="2128"/>
      <c r="Z326" s="2128"/>
      <c r="AA326" s="2128"/>
      <c r="AB326" s="2128"/>
      <c r="AC326" s="2128"/>
      <c r="AD326" s="2128"/>
    </row>
    <row r="327" spans="1:30" ht="15.75" customHeight="1" x14ac:dyDescent="0.3">
      <c r="A327" s="4433"/>
      <c r="B327" s="4433"/>
      <c r="C327" s="2128"/>
      <c r="D327" s="2128"/>
      <c r="E327" s="2128"/>
      <c r="F327" s="2128"/>
      <c r="G327" s="2128"/>
      <c r="H327" s="2128"/>
      <c r="I327" s="2128"/>
      <c r="J327" s="2128"/>
      <c r="K327" s="2128"/>
      <c r="L327" s="2128"/>
      <c r="M327" s="2128"/>
      <c r="N327" s="2128"/>
      <c r="O327" s="2128"/>
      <c r="P327" s="2128"/>
      <c r="Q327" s="2128"/>
      <c r="R327" s="2128"/>
      <c r="S327" s="2128"/>
      <c r="T327" s="2128"/>
      <c r="U327" s="2128"/>
      <c r="V327" s="2128"/>
      <c r="W327" s="2128"/>
      <c r="X327" s="2128"/>
      <c r="Y327" s="2128"/>
      <c r="Z327" s="2128"/>
      <c r="AA327" s="2128"/>
      <c r="AB327" s="2128"/>
      <c r="AC327" s="2128"/>
      <c r="AD327" s="2128"/>
    </row>
    <row r="328" spans="1:30" ht="15.75" customHeight="1" x14ac:dyDescent="0.3">
      <c r="A328" s="4433"/>
      <c r="B328" s="4433"/>
      <c r="C328" s="2128"/>
      <c r="D328" s="2128"/>
      <c r="E328" s="2128"/>
      <c r="F328" s="2128"/>
      <c r="G328" s="2128"/>
      <c r="H328" s="2128"/>
      <c r="I328" s="2128"/>
      <c r="J328" s="2128"/>
      <c r="K328" s="2128"/>
      <c r="L328" s="2128"/>
      <c r="M328" s="2128"/>
      <c r="N328" s="2128"/>
      <c r="O328" s="2128"/>
      <c r="P328" s="2128"/>
      <c r="Q328" s="2128"/>
      <c r="R328" s="2128"/>
      <c r="S328" s="2128"/>
      <c r="T328" s="2128"/>
      <c r="U328" s="2128"/>
      <c r="V328" s="2128"/>
      <c r="W328" s="2128"/>
      <c r="X328" s="2128"/>
      <c r="Y328" s="2128"/>
      <c r="Z328" s="2128"/>
      <c r="AA328" s="2128"/>
      <c r="AB328" s="2128"/>
      <c r="AC328" s="2128"/>
      <c r="AD328" s="2128"/>
    </row>
    <row r="329" spans="1:30" ht="15.75" customHeight="1" x14ac:dyDescent="0.3">
      <c r="A329" s="4433"/>
      <c r="B329" s="4433"/>
      <c r="C329" s="2128"/>
      <c r="D329" s="2128"/>
      <c r="E329" s="2128"/>
      <c r="F329" s="2128"/>
      <c r="G329" s="2128"/>
      <c r="H329" s="2128"/>
      <c r="I329" s="2128"/>
      <c r="J329" s="2128"/>
      <c r="K329" s="2128"/>
      <c r="L329" s="2128"/>
      <c r="M329" s="2128"/>
      <c r="N329" s="2128"/>
      <c r="O329" s="2128"/>
      <c r="P329" s="2128"/>
      <c r="Q329" s="2128"/>
      <c r="R329" s="2128"/>
      <c r="S329" s="2128"/>
      <c r="T329" s="2128"/>
      <c r="U329" s="2128"/>
      <c r="V329" s="2128"/>
      <c r="W329" s="2128"/>
      <c r="X329" s="2128"/>
      <c r="Y329" s="2128"/>
      <c r="Z329" s="2128"/>
      <c r="AA329" s="2128"/>
      <c r="AB329" s="2128"/>
      <c r="AC329" s="2128"/>
      <c r="AD329" s="2128"/>
    </row>
    <row r="330" spans="1:30" ht="15.75" customHeight="1" x14ac:dyDescent="0.3">
      <c r="A330" s="4433"/>
      <c r="B330" s="4433"/>
      <c r="C330" s="2128"/>
      <c r="D330" s="2128"/>
      <c r="E330" s="2128"/>
      <c r="F330" s="2128"/>
      <c r="G330" s="2128"/>
      <c r="H330" s="2128"/>
      <c r="I330" s="2128"/>
      <c r="J330" s="2128"/>
      <c r="K330" s="2128"/>
      <c r="L330" s="2128"/>
      <c r="M330" s="2128"/>
      <c r="N330" s="2128"/>
      <c r="O330" s="2128"/>
      <c r="P330" s="2128"/>
      <c r="Q330" s="2128"/>
      <c r="R330" s="2128"/>
      <c r="S330" s="2128"/>
      <c r="T330" s="2128"/>
      <c r="U330" s="2128"/>
      <c r="V330" s="2128"/>
      <c r="W330" s="2128"/>
      <c r="X330" s="2128"/>
      <c r="Y330" s="2128"/>
      <c r="Z330" s="2128"/>
      <c r="AA330" s="2128"/>
      <c r="AB330" s="2128"/>
      <c r="AC330" s="2128"/>
      <c r="AD330" s="2128"/>
    </row>
    <row r="331" spans="1:30" ht="15.75" customHeight="1" x14ac:dyDescent="0.3">
      <c r="A331" s="4433"/>
      <c r="B331" s="4433"/>
      <c r="C331" s="2128"/>
      <c r="D331" s="2128"/>
      <c r="E331" s="2128"/>
      <c r="F331" s="2128"/>
      <c r="G331" s="2128"/>
      <c r="H331" s="2128"/>
      <c r="I331" s="2128"/>
      <c r="J331" s="2128"/>
      <c r="K331" s="2128"/>
      <c r="L331" s="2128"/>
      <c r="M331" s="2128"/>
      <c r="N331" s="2128"/>
      <c r="O331" s="2128"/>
      <c r="P331" s="2128"/>
      <c r="Q331" s="2128"/>
      <c r="R331" s="2128"/>
      <c r="S331" s="2128"/>
      <c r="T331" s="2128"/>
      <c r="U331" s="2128"/>
      <c r="V331" s="2128"/>
      <c r="W331" s="2128"/>
      <c r="X331" s="2128"/>
      <c r="Y331" s="2128"/>
      <c r="Z331" s="2128"/>
      <c r="AA331" s="2128"/>
      <c r="AB331" s="2128"/>
      <c r="AC331" s="2128"/>
      <c r="AD331" s="2128"/>
    </row>
    <row r="332" spans="1:30" ht="15.75" customHeight="1" x14ac:dyDescent="0.3">
      <c r="A332" s="4433"/>
      <c r="B332" s="4433"/>
      <c r="C332" s="2128"/>
      <c r="D332" s="2128"/>
      <c r="E332" s="2128"/>
      <c r="F332" s="2128"/>
      <c r="G332" s="2128"/>
      <c r="H332" s="2128"/>
      <c r="I332" s="2128"/>
      <c r="J332" s="2128"/>
      <c r="K332" s="2128"/>
      <c r="L332" s="2128"/>
      <c r="M332" s="2128"/>
      <c r="N332" s="2128"/>
      <c r="O332" s="2128"/>
      <c r="P332" s="2128"/>
      <c r="Q332" s="2128"/>
      <c r="R332" s="2128"/>
      <c r="S332" s="2128"/>
      <c r="T332" s="2128"/>
      <c r="U332" s="2128"/>
      <c r="V332" s="2128"/>
      <c r="W332" s="2128"/>
      <c r="X332" s="2128"/>
      <c r="Y332" s="2128"/>
      <c r="Z332" s="2128"/>
      <c r="AA332" s="2128"/>
      <c r="AB332" s="2128"/>
      <c r="AC332" s="2128"/>
      <c r="AD332" s="2128"/>
    </row>
    <row r="333" spans="1:30" ht="15.75" customHeight="1" x14ac:dyDescent="0.3">
      <c r="A333" s="4433"/>
      <c r="B333" s="4433"/>
      <c r="C333" s="2128"/>
      <c r="D333" s="2128"/>
      <c r="E333" s="2128"/>
      <c r="F333" s="2128"/>
      <c r="G333" s="2128"/>
      <c r="H333" s="2128"/>
      <c r="I333" s="2128"/>
      <c r="J333" s="2128"/>
      <c r="K333" s="2128"/>
      <c r="L333" s="2128"/>
      <c r="M333" s="2128"/>
      <c r="N333" s="2128"/>
      <c r="O333" s="2128"/>
      <c r="P333" s="2128"/>
      <c r="Q333" s="2128"/>
      <c r="R333" s="2128"/>
      <c r="S333" s="2128"/>
      <c r="T333" s="2128"/>
      <c r="U333" s="2128"/>
      <c r="V333" s="2128"/>
      <c r="W333" s="2128"/>
      <c r="X333" s="2128"/>
      <c r="Y333" s="2128"/>
      <c r="Z333" s="2128"/>
      <c r="AA333" s="2128"/>
      <c r="AB333" s="2128"/>
      <c r="AC333" s="2128"/>
      <c r="AD333" s="2128"/>
    </row>
    <row r="334" spans="1:30" ht="15.75" customHeight="1" x14ac:dyDescent="0.3">
      <c r="A334" s="4433"/>
      <c r="B334" s="4433"/>
      <c r="C334" s="2128"/>
      <c r="D334" s="2128"/>
      <c r="E334" s="2128"/>
      <c r="F334" s="2128"/>
      <c r="G334" s="2128"/>
      <c r="H334" s="2128"/>
      <c r="I334" s="2128"/>
      <c r="J334" s="2128"/>
      <c r="K334" s="2128"/>
      <c r="L334" s="2128"/>
      <c r="M334" s="2128"/>
      <c r="N334" s="2128"/>
      <c r="O334" s="2128"/>
      <c r="P334" s="2128"/>
      <c r="Q334" s="2128"/>
      <c r="R334" s="2128"/>
      <c r="S334" s="2128"/>
      <c r="T334" s="2128"/>
      <c r="U334" s="2128"/>
      <c r="V334" s="2128"/>
      <c r="W334" s="2128"/>
      <c r="X334" s="2128"/>
      <c r="Y334" s="2128"/>
      <c r="Z334" s="2128"/>
      <c r="AA334" s="2128"/>
      <c r="AB334" s="2128"/>
      <c r="AC334" s="2128"/>
      <c r="AD334" s="2128"/>
    </row>
    <row r="335" spans="1:30" ht="15.75" customHeight="1" x14ac:dyDescent="0.3">
      <c r="A335" s="4433"/>
      <c r="B335" s="4433"/>
      <c r="C335" s="2128"/>
      <c r="D335" s="2128"/>
      <c r="E335" s="2128"/>
      <c r="F335" s="2128"/>
      <c r="G335" s="2128"/>
      <c r="H335" s="2128"/>
      <c r="I335" s="2128"/>
      <c r="J335" s="2128"/>
      <c r="K335" s="2128"/>
      <c r="L335" s="2128"/>
      <c r="M335" s="2128"/>
      <c r="N335" s="2128"/>
      <c r="O335" s="2128"/>
      <c r="P335" s="2128"/>
      <c r="Q335" s="2128"/>
      <c r="R335" s="2128"/>
      <c r="S335" s="2128"/>
      <c r="T335" s="2128"/>
      <c r="U335" s="2128"/>
      <c r="V335" s="2128"/>
      <c r="W335" s="2128"/>
      <c r="X335" s="2128"/>
      <c r="Y335" s="2128"/>
      <c r="Z335" s="2128"/>
      <c r="AA335" s="2128"/>
      <c r="AB335" s="2128"/>
      <c r="AC335" s="2128"/>
      <c r="AD335" s="2128"/>
    </row>
    <row r="336" spans="1:30" ht="15.75" customHeight="1" x14ac:dyDescent="0.3">
      <c r="A336" s="4433"/>
      <c r="B336" s="4433"/>
      <c r="C336" s="2128"/>
      <c r="D336" s="2128"/>
      <c r="E336" s="2128"/>
      <c r="F336" s="2128"/>
      <c r="G336" s="2128"/>
      <c r="H336" s="2128"/>
      <c r="I336" s="2128"/>
      <c r="J336" s="2128"/>
      <c r="K336" s="2128"/>
      <c r="L336" s="2128"/>
      <c r="M336" s="2128"/>
      <c r="N336" s="2128"/>
      <c r="O336" s="2128"/>
      <c r="P336" s="2128"/>
      <c r="Q336" s="2128"/>
      <c r="R336" s="2128"/>
      <c r="S336" s="2128"/>
      <c r="T336" s="2128"/>
      <c r="U336" s="2128"/>
      <c r="V336" s="2128"/>
      <c r="W336" s="2128"/>
      <c r="X336" s="2128"/>
      <c r="Y336" s="2128"/>
      <c r="Z336" s="2128"/>
      <c r="AA336" s="2128"/>
      <c r="AB336" s="2128"/>
      <c r="AC336" s="2128"/>
      <c r="AD336" s="2128"/>
    </row>
    <row r="337" spans="1:30" ht="15.75" customHeight="1" x14ac:dyDescent="0.3">
      <c r="A337" s="4433"/>
      <c r="B337" s="4433"/>
      <c r="C337" s="2128"/>
      <c r="D337" s="2128"/>
      <c r="E337" s="2128"/>
      <c r="F337" s="2128"/>
      <c r="G337" s="2128"/>
      <c r="H337" s="2128"/>
      <c r="I337" s="2128"/>
      <c r="J337" s="2128"/>
      <c r="K337" s="2128"/>
      <c r="L337" s="2128"/>
      <c r="M337" s="2128"/>
      <c r="N337" s="2128"/>
      <c r="O337" s="2128"/>
      <c r="P337" s="2128"/>
      <c r="Q337" s="2128"/>
      <c r="R337" s="2128"/>
      <c r="S337" s="2128"/>
      <c r="T337" s="2128"/>
      <c r="U337" s="2128"/>
      <c r="V337" s="2128"/>
      <c r="W337" s="2128"/>
      <c r="X337" s="2128"/>
      <c r="Y337" s="2128"/>
      <c r="Z337" s="2128"/>
      <c r="AA337" s="2128"/>
      <c r="AB337" s="2128"/>
      <c r="AC337" s="2128"/>
      <c r="AD337" s="2128"/>
    </row>
    <row r="338" spans="1:30" ht="15.75" customHeight="1" x14ac:dyDescent="0.3">
      <c r="A338" s="4433"/>
      <c r="B338" s="4433"/>
      <c r="C338" s="2128"/>
      <c r="D338" s="2128"/>
      <c r="E338" s="2128"/>
      <c r="F338" s="2128"/>
      <c r="G338" s="2128"/>
      <c r="H338" s="2128"/>
      <c r="I338" s="2128"/>
      <c r="J338" s="2128"/>
      <c r="K338" s="2128"/>
      <c r="L338" s="2128"/>
      <c r="M338" s="2128"/>
      <c r="N338" s="2128"/>
      <c r="O338" s="2128"/>
      <c r="P338" s="2128"/>
      <c r="Q338" s="2128"/>
      <c r="R338" s="2128"/>
      <c r="S338" s="2128"/>
      <c r="T338" s="2128"/>
      <c r="U338" s="2128"/>
      <c r="V338" s="2128"/>
      <c r="W338" s="2128"/>
      <c r="X338" s="2128"/>
      <c r="Y338" s="2128"/>
      <c r="Z338" s="2128"/>
      <c r="AA338" s="2128"/>
      <c r="AB338" s="2128"/>
      <c r="AC338" s="2128"/>
      <c r="AD338" s="2128"/>
    </row>
    <row r="339" spans="1:30" ht="15.75" customHeight="1" x14ac:dyDescent="0.3">
      <c r="A339" s="4433"/>
      <c r="B339" s="4433"/>
      <c r="C339" s="2128"/>
      <c r="D339" s="2128"/>
      <c r="E339" s="2128"/>
      <c r="F339" s="2128"/>
      <c r="G339" s="2128"/>
      <c r="H339" s="2128"/>
      <c r="I339" s="2128"/>
      <c r="J339" s="2128"/>
      <c r="K339" s="2128"/>
      <c r="L339" s="2128"/>
      <c r="M339" s="2128"/>
      <c r="N339" s="2128"/>
      <c r="O339" s="2128"/>
      <c r="P339" s="2128"/>
      <c r="Q339" s="2128"/>
      <c r="R339" s="2128"/>
      <c r="S339" s="2128"/>
      <c r="T339" s="2128"/>
      <c r="U339" s="2128"/>
      <c r="V339" s="2128"/>
      <c r="W339" s="2128"/>
      <c r="X339" s="2128"/>
      <c r="Y339" s="2128"/>
      <c r="Z339" s="2128"/>
      <c r="AA339" s="2128"/>
      <c r="AB339" s="2128"/>
      <c r="AC339" s="2128"/>
      <c r="AD339" s="2128"/>
    </row>
    <row r="340" spans="1:30" ht="15.75" customHeight="1" x14ac:dyDescent="0.3">
      <c r="A340" s="4433"/>
      <c r="B340" s="4433"/>
      <c r="C340" s="2128"/>
      <c r="D340" s="2128"/>
      <c r="E340" s="2128"/>
      <c r="F340" s="2128"/>
      <c r="G340" s="2128"/>
      <c r="H340" s="2128"/>
      <c r="I340" s="2128"/>
      <c r="J340" s="2128"/>
      <c r="K340" s="2128"/>
      <c r="L340" s="2128"/>
      <c r="M340" s="2128"/>
      <c r="N340" s="2128"/>
      <c r="O340" s="2128"/>
      <c r="P340" s="2128"/>
      <c r="Q340" s="2128"/>
      <c r="R340" s="2128"/>
      <c r="S340" s="2128"/>
      <c r="T340" s="2128"/>
      <c r="U340" s="2128"/>
      <c r="V340" s="2128"/>
      <c r="W340" s="2128"/>
      <c r="X340" s="2128"/>
      <c r="Y340" s="2128"/>
      <c r="Z340" s="2128"/>
      <c r="AA340" s="2128"/>
      <c r="AB340" s="2128"/>
      <c r="AC340" s="2128"/>
      <c r="AD340" s="2128"/>
    </row>
    <row r="341" spans="1:30" ht="15.75" customHeight="1" x14ac:dyDescent="0.3">
      <c r="A341" s="4433"/>
      <c r="B341" s="4433"/>
      <c r="C341" s="2128"/>
      <c r="D341" s="2128"/>
      <c r="E341" s="2128"/>
      <c r="F341" s="2128"/>
      <c r="G341" s="2128"/>
      <c r="H341" s="2128"/>
      <c r="I341" s="2128"/>
      <c r="J341" s="2128"/>
      <c r="K341" s="2128"/>
      <c r="L341" s="2128"/>
      <c r="M341" s="2128"/>
      <c r="N341" s="2128"/>
      <c r="O341" s="2128"/>
      <c r="P341" s="2128"/>
      <c r="Q341" s="2128"/>
      <c r="R341" s="2128"/>
      <c r="S341" s="2128"/>
      <c r="T341" s="2128"/>
      <c r="U341" s="2128"/>
      <c r="V341" s="2128"/>
      <c r="W341" s="2128"/>
      <c r="X341" s="2128"/>
      <c r="Y341" s="2128"/>
      <c r="Z341" s="2128"/>
      <c r="AA341" s="2128"/>
      <c r="AB341" s="2128"/>
      <c r="AC341" s="2128"/>
      <c r="AD341" s="2128"/>
    </row>
    <row r="342" spans="1:30" ht="15.75" customHeight="1" x14ac:dyDescent="0.3">
      <c r="A342" s="4433"/>
      <c r="B342" s="4433"/>
      <c r="C342" s="2128"/>
      <c r="D342" s="2128"/>
      <c r="E342" s="2128"/>
      <c r="F342" s="2128"/>
      <c r="G342" s="2128"/>
      <c r="H342" s="2128"/>
      <c r="I342" s="2128"/>
      <c r="J342" s="2128"/>
      <c r="K342" s="2128"/>
      <c r="L342" s="2128"/>
      <c r="M342" s="2128"/>
      <c r="N342" s="2128"/>
      <c r="O342" s="2128"/>
      <c r="P342" s="2128"/>
      <c r="Q342" s="2128"/>
      <c r="R342" s="2128"/>
      <c r="S342" s="2128"/>
      <c r="T342" s="2128"/>
      <c r="U342" s="2128"/>
      <c r="V342" s="2128"/>
      <c r="W342" s="2128"/>
      <c r="X342" s="2128"/>
      <c r="Y342" s="2128"/>
      <c r="Z342" s="2128"/>
      <c r="AA342" s="2128"/>
      <c r="AB342" s="2128"/>
      <c r="AC342" s="2128"/>
      <c r="AD342" s="2128"/>
    </row>
    <row r="343" spans="1:30" ht="15.75" customHeight="1" x14ac:dyDescent="0.3">
      <c r="A343" s="4433"/>
      <c r="B343" s="4433"/>
      <c r="C343" s="2128"/>
      <c r="D343" s="2128"/>
      <c r="E343" s="2128"/>
      <c r="F343" s="2128"/>
      <c r="G343" s="2128"/>
      <c r="H343" s="2128"/>
      <c r="I343" s="2128"/>
      <c r="J343" s="2128"/>
      <c r="K343" s="2128"/>
      <c r="L343" s="2128"/>
      <c r="M343" s="2128"/>
      <c r="N343" s="2128"/>
      <c r="O343" s="2128"/>
      <c r="P343" s="2128"/>
      <c r="Q343" s="2128"/>
      <c r="R343" s="2128"/>
      <c r="S343" s="2128"/>
      <c r="T343" s="2128"/>
      <c r="U343" s="2128"/>
      <c r="V343" s="2128"/>
      <c r="W343" s="2128"/>
      <c r="X343" s="2128"/>
      <c r="Y343" s="2128"/>
      <c r="Z343" s="2128"/>
      <c r="AA343" s="2128"/>
      <c r="AB343" s="2128"/>
      <c r="AC343" s="2128"/>
      <c r="AD343" s="2128"/>
    </row>
    <row r="344" spans="1:30" ht="15.75" customHeight="1" x14ac:dyDescent="0.3">
      <c r="A344" s="4433"/>
      <c r="B344" s="4433"/>
      <c r="C344" s="2128"/>
      <c r="D344" s="2128"/>
      <c r="E344" s="2128"/>
      <c r="F344" s="2128"/>
      <c r="G344" s="2128"/>
      <c r="H344" s="2128"/>
      <c r="I344" s="2128"/>
      <c r="J344" s="2128"/>
      <c r="K344" s="2128"/>
      <c r="L344" s="2128"/>
      <c r="M344" s="2128"/>
      <c r="N344" s="2128"/>
      <c r="O344" s="2128"/>
      <c r="P344" s="2128"/>
      <c r="Q344" s="2128"/>
      <c r="R344" s="2128"/>
      <c r="S344" s="2128"/>
      <c r="T344" s="2128"/>
      <c r="U344" s="2128"/>
      <c r="V344" s="2128"/>
      <c r="W344" s="2128"/>
      <c r="X344" s="2128"/>
      <c r="Y344" s="2128"/>
      <c r="Z344" s="2128"/>
      <c r="AA344" s="2128"/>
      <c r="AB344" s="2128"/>
      <c r="AC344" s="2128"/>
      <c r="AD344" s="2128"/>
    </row>
    <row r="345" spans="1:30" ht="15.75" customHeight="1" x14ac:dyDescent="0.3">
      <c r="A345" s="4433"/>
      <c r="B345" s="4433"/>
      <c r="C345" s="2128"/>
      <c r="D345" s="2128"/>
      <c r="E345" s="2128"/>
      <c r="F345" s="2128"/>
      <c r="G345" s="2128"/>
      <c r="H345" s="2128"/>
      <c r="I345" s="2128"/>
      <c r="J345" s="2128"/>
      <c r="K345" s="2128"/>
      <c r="L345" s="2128"/>
      <c r="M345" s="2128"/>
      <c r="N345" s="2128"/>
      <c r="O345" s="2128"/>
      <c r="P345" s="2128"/>
      <c r="Q345" s="2128"/>
      <c r="R345" s="2128"/>
      <c r="S345" s="2128"/>
      <c r="T345" s="2128"/>
      <c r="U345" s="2128"/>
      <c r="V345" s="2128"/>
      <c r="W345" s="2128"/>
      <c r="X345" s="2128"/>
      <c r="Y345" s="2128"/>
      <c r="Z345" s="2128"/>
      <c r="AA345" s="2128"/>
      <c r="AB345" s="2128"/>
      <c r="AC345" s="2128"/>
      <c r="AD345" s="2128"/>
    </row>
    <row r="346" spans="1:30" ht="15.75" customHeight="1" x14ac:dyDescent="0.3">
      <c r="A346" s="4433"/>
      <c r="B346" s="4433"/>
      <c r="C346" s="2128"/>
      <c r="D346" s="2128"/>
      <c r="E346" s="2128"/>
      <c r="F346" s="2128"/>
      <c r="G346" s="2128"/>
      <c r="H346" s="2128"/>
      <c r="I346" s="2128"/>
      <c r="J346" s="2128"/>
      <c r="K346" s="2128"/>
      <c r="L346" s="2128"/>
      <c r="M346" s="2128"/>
      <c r="N346" s="2128"/>
      <c r="O346" s="2128"/>
      <c r="P346" s="2128"/>
      <c r="Q346" s="2128"/>
      <c r="R346" s="2128"/>
      <c r="S346" s="2128"/>
      <c r="T346" s="2128"/>
      <c r="U346" s="2128"/>
      <c r="V346" s="2128"/>
      <c r="W346" s="2128"/>
      <c r="X346" s="2128"/>
      <c r="Y346" s="2128"/>
      <c r="Z346" s="2128"/>
      <c r="AA346" s="2128"/>
      <c r="AB346" s="2128"/>
      <c r="AC346" s="2128"/>
      <c r="AD346" s="2128"/>
    </row>
    <row r="347" spans="1:30" ht="15.75" customHeight="1" x14ac:dyDescent="0.3">
      <c r="A347" s="4433"/>
      <c r="B347" s="4433"/>
      <c r="C347" s="2128"/>
      <c r="D347" s="2128"/>
      <c r="E347" s="2128"/>
      <c r="F347" s="2128"/>
      <c r="G347" s="2128"/>
      <c r="H347" s="2128"/>
      <c r="I347" s="2128"/>
      <c r="J347" s="2128"/>
      <c r="K347" s="2128"/>
      <c r="L347" s="2128"/>
      <c r="M347" s="2128"/>
      <c r="N347" s="2128"/>
      <c r="O347" s="2128"/>
      <c r="P347" s="2128"/>
      <c r="Q347" s="2128"/>
      <c r="R347" s="2128"/>
      <c r="S347" s="2128"/>
      <c r="T347" s="2128"/>
      <c r="U347" s="2128"/>
      <c r="V347" s="2128"/>
      <c r="W347" s="2128"/>
      <c r="X347" s="2128"/>
      <c r="Y347" s="2128"/>
      <c r="Z347" s="2128"/>
      <c r="AA347" s="2128"/>
      <c r="AB347" s="2128"/>
      <c r="AC347" s="2128"/>
      <c r="AD347" s="2128"/>
    </row>
    <row r="348" spans="1:30" ht="15.75" customHeight="1" x14ac:dyDescent="0.3">
      <c r="A348" s="4433"/>
      <c r="B348" s="4433"/>
      <c r="C348" s="2128"/>
      <c r="D348" s="2128"/>
      <c r="E348" s="2128"/>
      <c r="F348" s="2128"/>
      <c r="G348" s="2128"/>
      <c r="H348" s="2128"/>
      <c r="I348" s="2128"/>
      <c r="J348" s="2128"/>
      <c r="K348" s="2128"/>
      <c r="L348" s="2128"/>
      <c r="M348" s="2128"/>
      <c r="N348" s="2128"/>
      <c r="O348" s="2128"/>
      <c r="P348" s="2128"/>
      <c r="Q348" s="2128"/>
      <c r="R348" s="2128"/>
      <c r="S348" s="2128"/>
      <c r="T348" s="2128"/>
      <c r="U348" s="2128"/>
      <c r="V348" s="2128"/>
      <c r="W348" s="2128"/>
      <c r="X348" s="2128"/>
      <c r="Y348" s="2128"/>
      <c r="Z348" s="2128"/>
      <c r="AA348" s="2128"/>
      <c r="AB348" s="2128"/>
      <c r="AC348" s="2128"/>
      <c r="AD348" s="2128"/>
    </row>
    <row r="349" spans="1:30" ht="15.75" customHeight="1" x14ac:dyDescent="0.3">
      <c r="A349" s="4433"/>
      <c r="B349" s="4433"/>
      <c r="C349" s="2128"/>
      <c r="D349" s="2128"/>
      <c r="E349" s="2128"/>
      <c r="F349" s="2128"/>
      <c r="G349" s="2128"/>
      <c r="H349" s="2128"/>
      <c r="I349" s="2128"/>
      <c r="J349" s="2128"/>
      <c r="K349" s="2128"/>
      <c r="L349" s="2128"/>
      <c r="M349" s="2128"/>
      <c r="N349" s="2128"/>
      <c r="O349" s="2128"/>
      <c r="P349" s="2128"/>
      <c r="Q349" s="2128"/>
      <c r="R349" s="2128"/>
      <c r="S349" s="2128"/>
      <c r="T349" s="2128"/>
      <c r="U349" s="2128"/>
      <c r="V349" s="2128"/>
      <c r="W349" s="2128"/>
      <c r="X349" s="2128"/>
      <c r="Y349" s="2128"/>
      <c r="Z349" s="2128"/>
      <c r="AA349" s="2128"/>
      <c r="AB349" s="2128"/>
      <c r="AC349" s="2128"/>
      <c r="AD349" s="2128"/>
    </row>
    <row r="350" spans="1:30" ht="15.75" customHeight="1" x14ac:dyDescent="0.3">
      <c r="A350" s="4433"/>
      <c r="B350" s="4433"/>
      <c r="C350" s="2128"/>
      <c r="D350" s="2128"/>
      <c r="E350" s="2128"/>
      <c r="F350" s="2128"/>
      <c r="G350" s="2128"/>
      <c r="H350" s="2128"/>
      <c r="I350" s="2128"/>
      <c r="J350" s="2128"/>
      <c r="K350" s="2128"/>
      <c r="L350" s="2128"/>
      <c r="M350" s="2128"/>
      <c r="N350" s="2128"/>
      <c r="O350" s="2128"/>
      <c r="P350" s="2128"/>
      <c r="Q350" s="2128"/>
      <c r="R350" s="2128"/>
      <c r="S350" s="2128"/>
      <c r="T350" s="2128"/>
      <c r="U350" s="2128"/>
      <c r="V350" s="2128"/>
      <c r="W350" s="2128"/>
      <c r="X350" s="2128"/>
      <c r="Y350" s="2128"/>
      <c r="Z350" s="2128"/>
      <c r="AA350" s="2128"/>
      <c r="AB350" s="2128"/>
      <c r="AC350" s="2128"/>
      <c r="AD350" s="2128"/>
    </row>
    <row r="351" spans="1:30" ht="15.75" customHeight="1" x14ac:dyDescent="0.3">
      <c r="A351" s="4433"/>
      <c r="B351" s="4433"/>
      <c r="C351" s="2128"/>
      <c r="D351" s="2128"/>
      <c r="E351" s="2128"/>
      <c r="F351" s="2128"/>
      <c r="G351" s="2128"/>
      <c r="H351" s="2128"/>
      <c r="I351" s="2128"/>
      <c r="J351" s="2128"/>
      <c r="K351" s="2128"/>
      <c r="L351" s="2128"/>
      <c r="M351" s="2128"/>
      <c r="N351" s="2128"/>
      <c r="O351" s="2128"/>
      <c r="P351" s="2128"/>
      <c r="Q351" s="2128"/>
      <c r="R351" s="2128"/>
      <c r="S351" s="2128"/>
      <c r="T351" s="2128"/>
      <c r="U351" s="2128"/>
      <c r="V351" s="2128"/>
      <c r="W351" s="2128"/>
      <c r="X351" s="2128"/>
      <c r="Y351" s="2128"/>
      <c r="Z351" s="2128"/>
      <c r="AA351" s="2128"/>
      <c r="AB351" s="2128"/>
      <c r="AC351" s="2128"/>
      <c r="AD351" s="2128"/>
    </row>
    <row r="352" spans="1:30" ht="15.75" customHeight="1" x14ac:dyDescent="0.3">
      <c r="A352" s="4433"/>
      <c r="B352" s="4433"/>
      <c r="C352" s="2128"/>
      <c r="D352" s="2128"/>
      <c r="E352" s="2128"/>
      <c r="F352" s="2128"/>
      <c r="G352" s="2128"/>
      <c r="H352" s="2128"/>
      <c r="I352" s="2128"/>
      <c r="J352" s="2128"/>
      <c r="K352" s="2128"/>
      <c r="L352" s="2128"/>
      <c r="M352" s="2128"/>
      <c r="N352" s="2128"/>
      <c r="O352" s="2128"/>
      <c r="P352" s="2128"/>
      <c r="Q352" s="2128"/>
      <c r="R352" s="2128"/>
      <c r="S352" s="2128"/>
      <c r="T352" s="2128"/>
      <c r="U352" s="2128"/>
      <c r="V352" s="2128"/>
      <c r="W352" s="2128"/>
      <c r="X352" s="2128"/>
      <c r="Y352" s="2128"/>
      <c r="Z352" s="2128"/>
      <c r="AA352" s="2128"/>
      <c r="AB352" s="2128"/>
      <c r="AC352" s="2128"/>
      <c r="AD352" s="2128"/>
    </row>
    <row r="353" spans="1:30" ht="15.75" customHeight="1" x14ac:dyDescent="0.3">
      <c r="A353" s="4433"/>
      <c r="B353" s="4433"/>
      <c r="C353" s="2128"/>
      <c r="D353" s="2128"/>
      <c r="E353" s="2128"/>
      <c r="F353" s="2128"/>
      <c r="G353" s="2128"/>
      <c r="H353" s="2128"/>
      <c r="I353" s="2128"/>
      <c r="J353" s="2128"/>
      <c r="K353" s="2128"/>
      <c r="L353" s="2128"/>
      <c r="M353" s="2128"/>
      <c r="N353" s="2128"/>
      <c r="O353" s="2128"/>
      <c r="P353" s="2128"/>
      <c r="Q353" s="2128"/>
      <c r="R353" s="2128"/>
      <c r="S353" s="2128"/>
      <c r="T353" s="2128"/>
      <c r="U353" s="2128"/>
      <c r="V353" s="2128"/>
      <c r="W353" s="2128"/>
      <c r="X353" s="2128"/>
      <c r="Y353" s="2128"/>
      <c r="Z353" s="2128"/>
      <c r="AA353" s="2128"/>
      <c r="AB353" s="2128"/>
      <c r="AC353" s="2128"/>
      <c r="AD353" s="2128"/>
    </row>
    <row r="354" spans="1:30" ht="15.75" customHeight="1" x14ac:dyDescent="0.3">
      <c r="A354" s="4433"/>
      <c r="B354" s="4433"/>
      <c r="C354" s="2128"/>
      <c r="D354" s="2128"/>
      <c r="E354" s="2128"/>
      <c r="F354" s="2128"/>
      <c r="G354" s="2128"/>
      <c r="H354" s="2128"/>
      <c r="I354" s="2128"/>
      <c r="J354" s="2128"/>
      <c r="K354" s="2128"/>
      <c r="L354" s="2128"/>
      <c r="M354" s="2128"/>
      <c r="N354" s="2128"/>
      <c r="O354" s="2128"/>
      <c r="P354" s="2128"/>
      <c r="Q354" s="2128"/>
      <c r="R354" s="2128"/>
      <c r="S354" s="2128"/>
      <c r="T354" s="2128"/>
      <c r="U354" s="2128"/>
      <c r="V354" s="2128"/>
      <c r="W354" s="2128"/>
      <c r="X354" s="2128"/>
      <c r="Y354" s="2128"/>
      <c r="Z354" s="2128"/>
      <c r="AA354" s="2128"/>
      <c r="AB354" s="2128"/>
      <c r="AC354" s="2128"/>
      <c r="AD354" s="2128"/>
    </row>
    <row r="355" spans="1:30" ht="15.75" customHeight="1" x14ac:dyDescent="0.3">
      <c r="A355" s="4433"/>
      <c r="B355" s="4433"/>
      <c r="C355" s="2128"/>
      <c r="D355" s="2128"/>
      <c r="E355" s="2128"/>
      <c r="F355" s="2128"/>
      <c r="G355" s="2128"/>
      <c r="H355" s="2128"/>
      <c r="I355" s="2128"/>
      <c r="J355" s="2128"/>
      <c r="K355" s="2128"/>
      <c r="L355" s="2128"/>
      <c r="M355" s="2128"/>
      <c r="N355" s="2128"/>
      <c r="O355" s="2128"/>
      <c r="P355" s="2128"/>
      <c r="Q355" s="2128"/>
      <c r="R355" s="2128"/>
      <c r="S355" s="2128"/>
      <c r="T355" s="2128"/>
      <c r="U355" s="2128"/>
      <c r="V355" s="2128"/>
      <c r="W355" s="2128"/>
      <c r="X355" s="2128"/>
      <c r="Y355" s="2128"/>
      <c r="Z355" s="2128"/>
      <c r="AA355" s="2128"/>
      <c r="AB355" s="2128"/>
      <c r="AC355" s="2128"/>
      <c r="AD355" s="2128"/>
    </row>
    <row r="356" spans="1:30" ht="15.75" customHeight="1" x14ac:dyDescent="0.3">
      <c r="A356" s="4433"/>
      <c r="B356" s="4433"/>
      <c r="C356" s="2128"/>
      <c r="D356" s="2128"/>
      <c r="E356" s="2128"/>
      <c r="F356" s="2128"/>
      <c r="G356" s="2128"/>
      <c r="H356" s="2128"/>
      <c r="I356" s="2128"/>
      <c r="J356" s="2128"/>
      <c r="K356" s="2128"/>
      <c r="L356" s="2128"/>
      <c r="M356" s="2128"/>
      <c r="N356" s="2128"/>
      <c r="O356" s="2128"/>
      <c r="P356" s="2128"/>
      <c r="Q356" s="2128"/>
      <c r="R356" s="2128"/>
      <c r="S356" s="2128"/>
      <c r="T356" s="2128"/>
      <c r="U356" s="2128"/>
      <c r="V356" s="2128"/>
      <c r="W356" s="2128"/>
      <c r="X356" s="2128"/>
      <c r="Y356" s="2128"/>
      <c r="Z356" s="2128"/>
      <c r="AA356" s="2128"/>
      <c r="AB356" s="2128"/>
      <c r="AC356" s="2128"/>
      <c r="AD356" s="2128"/>
    </row>
    <row r="357" spans="1:30" ht="15.75" customHeight="1" x14ac:dyDescent="0.3">
      <c r="A357" s="4433"/>
      <c r="B357" s="4433"/>
      <c r="C357" s="2128"/>
      <c r="D357" s="2128"/>
      <c r="E357" s="2128"/>
      <c r="F357" s="2128"/>
      <c r="G357" s="2128"/>
      <c r="H357" s="2128"/>
      <c r="I357" s="2128"/>
      <c r="J357" s="2128"/>
      <c r="K357" s="2128"/>
      <c r="L357" s="2128"/>
      <c r="M357" s="2128"/>
      <c r="N357" s="2128"/>
      <c r="O357" s="2128"/>
      <c r="P357" s="2128"/>
      <c r="Q357" s="2128"/>
      <c r="R357" s="2128"/>
      <c r="S357" s="2128"/>
      <c r="T357" s="2128"/>
      <c r="U357" s="2128"/>
      <c r="V357" s="2128"/>
      <c r="W357" s="2128"/>
      <c r="X357" s="2128"/>
      <c r="Y357" s="2128"/>
      <c r="Z357" s="2128"/>
      <c r="AA357" s="2128"/>
      <c r="AB357" s="2128"/>
      <c r="AC357" s="2128"/>
      <c r="AD357" s="2128"/>
    </row>
    <row r="358" spans="1:30" ht="15.75" customHeight="1" x14ac:dyDescent="0.3">
      <c r="A358" s="4433"/>
      <c r="B358" s="4433"/>
      <c r="C358" s="2128"/>
      <c r="D358" s="2128"/>
      <c r="E358" s="2128"/>
      <c r="F358" s="2128"/>
      <c r="G358" s="2128"/>
      <c r="H358" s="2128"/>
      <c r="I358" s="2128"/>
      <c r="J358" s="2128"/>
      <c r="K358" s="2128"/>
      <c r="L358" s="2128"/>
      <c r="M358" s="2128"/>
      <c r="N358" s="2128"/>
      <c r="O358" s="2128"/>
      <c r="P358" s="2128"/>
      <c r="Q358" s="2128"/>
      <c r="R358" s="2128"/>
      <c r="S358" s="2128"/>
      <c r="T358" s="2128"/>
      <c r="U358" s="2128"/>
      <c r="V358" s="2128"/>
      <c r="W358" s="2128"/>
      <c r="X358" s="2128"/>
      <c r="Y358" s="2128"/>
      <c r="Z358" s="2128"/>
      <c r="AA358" s="2128"/>
      <c r="AB358" s="2128"/>
      <c r="AC358" s="2128"/>
      <c r="AD358" s="2128"/>
    </row>
    <row r="359" spans="1:30" ht="15.75" customHeight="1" x14ac:dyDescent="0.3">
      <c r="A359" s="4433"/>
      <c r="B359" s="4433"/>
      <c r="C359" s="2128"/>
      <c r="D359" s="2128"/>
      <c r="E359" s="2128"/>
      <c r="F359" s="2128"/>
      <c r="G359" s="2128"/>
      <c r="H359" s="2128"/>
      <c r="I359" s="2128"/>
      <c r="J359" s="2128"/>
      <c r="K359" s="2128"/>
      <c r="L359" s="2128"/>
      <c r="M359" s="2128"/>
      <c r="N359" s="2128"/>
      <c r="O359" s="2128"/>
      <c r="P359" s="2128"/>
      <c r="Q359" s="2128"/>
      <c r="R359" s="2128"/>
      <c r="S359" s="2128"/>
      <c r="T359" s="2128"/>
      <c r="U359" s="2128"/>
      <c r="V359" s="2128"/>
      <c r="W359" s="2128"/>
      <c r="X359" s="2128"/>
      <c r="Y359" s="2128"/>
      <c r="Z359" s="2128"/>
      <c r="AA359" s="2128"/>
      <c r="AB359" s="2128"/>
      <c r="AC359" s="2128"/>
      <c r="AD359" s="2128"/>
    </row>
    <row r="360" spans="1:30" ht="15.75" customHeight="1" x14ac:dyDescent="0.3">
      <c r="A360" s="4433"/>
      <c r="B360" s="4433"/>
      <c r="C360" s="2128"/>
      <c r="D360" s="2128"/>
      <c r="E360" s="2128"/>
      <c r="F360" s="2128"/>
      <c r="G360" s="2128"/>
      <c r="H360" s="2128"/>
      <c r="I360" s="2128"/>
      <c r="J360" s="2128"/>
      <c r="K360" s="2128"/>
      <c r="L360" s="2128"/>
      <c r="M360" s="2128"/>
      <c r="N360" s="2128"/>
      <c r="O360" s="2128"/>
      <c r="P360" s="2128"/>
      <c r="Q360" s="2128"/>
      <c r="R360" s="2128"/>
      <c r="S360" s="2128"/>
      <c r="T360" s="2128"/>
      <c r="U360" s="2128"/>
      <c r="V360" s="2128"/>
      <c r="W360" s="2128"/>
      <c r="X360" s="2128"/>
      <c r="Y360" s="2128"/>
      <c r="Z360" s="2128"/>
      <c r="AA360" s="2128"/>
      <c r="AB360" s="2128"/>
      <c r="AC360" s="2128"/>
      <c r="AD360" s="2128"/>
    </row>
    <row r="361" spans="1:30" ht="15.75" customHeight="1" x14ac:dyDescent="0.3">
      <c r="A361" s="4433"/>
      <c r="B361" s="4433"/>
      <c r="C361" s="2128"/>
      <c r="D361" s="2128"/>
      <c r="E361" s="2128"/>
      <c r="F361" s="2128"/>
      <c r="G361" s="2128"/>
      <c r="H361" s="2128"/>
      <c r="I361" s="2128"/>
      <c r="J361" s="2128"/>
      <c r="K361" s="2128"/>
      <c r="L361" s="2128"/>
      <c r="M361" s="2128"/>
      <c r="N361" s="2128"/>
      <c r="O361" s="2128"/>
      <c r="P361" s="2128"/>
      <c r="Q361" s="2128"/>
      <c r="R361" s="2128"/>
      <c r="S361" s="2128"/>
      <c r="T361" s="2128"/>
      <c r="U361" s="2128"/>
      <c r="V361" s="2128"/>
      <c r="W361" s="2128"/>
      <c r="X361" s="2128"/>
      <c r="Y361" s="2128"/>
      <c r="Z361" s="2128"/>
      <c r="AA361" s="2128"/>
      <c r="AB361" s="2128"/>
      <c r="AC361" s="2128"/>
      <c r="AD361" s="2128"/>
    </row>
    <row r="362" spans="1:30" ht="15.75" customHeight="1" x14ac:dyDescent="0.3">
      <c r="A362" s="4433"/>
      <c r="B362" s="4433"/>
      <c r="C362" s="2128"/>
      <c r="D362" s="2128"/>
      <c r="E362" s="2128"/>
      <c r="F362" s="2128"/>
      <c r="G362" s="2128"/>
      <c r="H362" s="2128"/>
      <c r="I362" s="2128"/>
      <c r="J362" s="2128"/>
      <c r="K362" s="2128"/>
      <c r="L362" s="2128"/>
      <c r="M362" s="2128"/>
      <c r="N362" s="2128"/>
      <c r="O362" s="2128"/>
      <c r="P362" s="2128"/>
      <c r="Q362" s="2128"/>
      <c r="R362" s="2128"/>
      <c r="S362" s="2128"/>
      <c r="T362" s="2128"/>
      <c r="U362" s="2128"/>
      <c r="V362" s="2128"/>
      <c r="W362" s="2128"/>
      <c r="X362" s="2128"/>
      <c r="Y362" s="2128"/>
      <c r="Z362" s="2128"/>
      <c r="AA362" s="2128"/>
      <c r="AB362" s="2128"/>
      <c r="AC362" s="2128"/>
      <c r="AD362" s="2128"/>
    </row>
    <row r="363" spans="1:30" ht="15.75" customHeight="1" x14ac:dyDescent="0.3">
      <c r="A363" s="4433"/>
      <c r="B363" s="4433"/>
      <c r="C363" s="2128"/>
      <c r="D363" s="2128"/>
      <c r="E363" s="2128"/>
      <c r="F363" s="2128"/>
      <c r="G363" s="2128"/>
      <c r="H363" s="2128"/>
      <c r="I363" s="2128"/>
      <c r="J363" s="2128"/>
      <c r="K363" s="2128"/>
      <c r="L363" s="2128"/>
      <c r="M363" s="2128"/>
      <c r="N363" s="2128"/>
      <c r="O363" s="2128"/>
      <c r="P363" s="2128"/>
      <c r="Q363" s="2128"/>
      <c r="R363" s="2128"/>
      <c r="S363" s="2128"/>
      <c r="T363" s="2128"/>
      <c r="U363" s="2128"/>
      <c r="V363" s="2128"/>
      <c r="W363" s="2128"/>
      <c r="X363" s="2128"/>
      <c r="Y363" s="2128"/>
      <c r="Z363" s="2128"/>
      <c r="AA363" s="2128"/>
      <c r="AB363" s="2128"/>
      <c r="AC363" s="2128"/>
      <c r="AD363" s="2128"/>
    </row>
    <row r="364" spans="1:30" ht="15.75" customHeight="1" x14ac:dyDescent="0.3">
      <c r="A364" s="4433"/>
      <c r="B364" s="4433"/>
      <c r="C364" s="2128"/>
      <c r="D364" s="2128"/>
      <c r="E364" s="2128"/>
      <c r="F364" s="2128"/>
      <c r="G364" s="2128"/>
      <c r="H364" s="2128"/>
      <c r="I364" s="2128"/>
      <c r="J364" s="2128"/>
      <c r="K364" s="2128"/>
      <c r="L364" s="2128"/>
      <c r="M364" s="2128"/>
      <c r="N364" s="2128"/>
      <c r="O364" s="2128"/>
      <c r="P364" s="2128"/>
      <c r="Q364" s="2128"/>
      <c r="R364" s="2128"/>
      <c r="S364" s="2128"/>
      <c r="T364" s="2128"/>
      <c r="U364" s="2128"/>
      <c r="V364" s="2128"/>
      <c r="W364" s="2128"/>
      <c r="X364" s="2128"/>
      <c r="Y364" s="2128"/>
      <c r="Z364" s="2128"/>
      <c r="AA364" s="2128"/>
      <c r="AB364" s="2128"/>
      <c r="AC364" s="2128"/>
      <c r="AD364" s="2128"/>
    </row>
    <row r="365" spans="1:30" ht="15.75" customHeight="1" x14ac:dyDescent="0.3">
      <c r="A365" s="4433"/>
      <c r="B365" s="4433"/>
      <c r="C365" s="2128"/>
      <c r="D365" s="2128"/>
      <c r="E365" s="2128"/>
      <c r="F365" s="2128"/>
      <c r="G365" s="2128"/>
      <c r="H365" s="2128"/>
      <c r="I365" s="2128"/>
      <c r="J365" s="2128"/>
      <c r="K365" s="2128"/>
      <c r="L365" s="2128"/>
      <c r="M365" s="2128"/>
      <c r="N365" s="2128"/>
      <c r="O365" s="2128"/>
      <c r="P365" s="2128"/>
      <c r="Q365" s="2128"/>
      <c r="R365" s="2128"/>
      <c r="S365" s="2128"/>
      <c r="T365" s="2128"/>
      <c r="U365" s="2128"/>
      <c r="V365" s="2128"/>
      <c r="W365" s="2128"/>
      <c r="X365" s="2128"/>
      <c r="Y365" s="2128"/>
      <c r="Z365" s="2128"/>
      <c r="AA365" s="2128"/>
      <c r="AB365" s="2128"/>
      <c r="AC365" s="2128"/>
      <c r="AD365" s="2128"/>
    </row>
    <row r="366" spans="1:30" ht="15.75" customHeight="1" x14ac:dyDescent="0.3">
      <c r="A366" s="4433"/>
      <c r="B366" s="4433"/>
      <c r="C366" s="2128"/>
      <c r="D366" s="2128"/>
      <c r="E366" s="2128"/>
      <c r="F366" s="2128"/>
      <c r="G366" s="2128"/>
      <c r="H366" s="2128"/>
      <c r="I366" s="2128"/>
      <c r="J366" s="2128"/>
      <c r="K366" s="2128"/>
      <c r="L366" s="2128"/>
      <c r="M366" s="2128"/>
      <c r="N366" s="2128"/>
      <c r="O366" s="2128"/>
      <c r="P366" s="2128"/>
      <c r="Q366" s="2128"/>
      <c r="R366" s="2128"/>
      <c r="S366" s="2128"/>
      <c r="T366" s="2128"/>
      <c r="U366" s="2128"/>
      <c r="V366" s="2128"/>
      <c r="W366" s="2128"/>
      <c r="X366" s="2128"/>
      <c r="Y366" s="2128"/>
      <c r="Z366" s="2128"/>
      <c r="AA366" s="2128"/>
      <c r="AB366" s="2128"/>
      <c r="AC366" s="2128"/>
      <c r="AD366" s="2128"/>
    </row>
    <row r="367" spans="1:30" ht="15.75" customHeight="1" x14ac:dyDescent="0.3">
      <c r="A367" s="4433"/>
      <c r="B367" s="4433"/>
      <c r="C367" s="2128"/>
      <c r="D367" s="2128"/>
      <c r="E367" s="2128"/>
      <c r="F367" s="2128"/>
      <c r="G367" s="2128"/>
      <c r="H367" s="2128"/>
      <c r="I367" s="2128"/>
      <c r="J367" s="2128"/>
      <c r="K367" s="2128"/>
      <c r="L367" s="2128"/>
      <c r="M367" s="2128"/>
      <c r="N367" s="2128"/>
      <c r="O367" s="2128"/>
      <c r="P367" s="2128"/>
      <c r="Q367" s="2128"/>
      <c r="R367" s="2128"/>
      <c r="S367" s="2128"/>
      <c r="T367" s="2128"/>
      <c r="U367" s="2128"/>
      <c r="V367" s="2128"/>
      <c r="W367" s="2128"/>
      <c r="X367" s="2128"/>
      <c r="Y367" s="2128"/>
      <c r="Z367" s="2128"/>
      <c r="AA367" s="2128"/>
      <c r="AB367" s="2128"/>
      <c r="AC367" s="2128"/>
      <c r="AD367" s="2128"/>
    </row>
    <row r="368" spans="1:30" ht="15.75" customHeight="1" x14ac:dyDescent="0.3">
      <c r="A368" s="4433"/>
      <c r="B368" s="4433"/>
      <c r="C368" s="2128"/>
      <c r="D368" s="2128"/>
      <c r="E368" s="2128"/>
      <c r="F368" s="2128"/>
      <c r="G368" s="2128"/>
      <c r="H368" s="2128"/>
      <c r="I368" s="2128"/>
      <c r="J368" s="2128"/>
      <c r="K368" s="2128"/>
      <c r="L368" s="2128"/>
      <c r="M368" s="2128"/>
      <c r="N368" s="2128"/>
      <c r="O368" s="2128"/>
      <c r="P368" s="2128"/>
      <c r="Q368" s="2128"/>
      <c r="R368" s="2128"/>
      <c r="S368" s="2128"/>
      <c r="T368" s="2128"/>
      <c r="U368" s="2128"/>
      <c r="V368" s="2128"/>
      <c r="W368" s="2128"/>
      <c r="X368" s="2128"/>
      <c r="Y368" s="2128"/>
      <c r="Z368" s="2128"/>
      <c r="AA368" s="2128"/>
      <c r="AB368" s="2128"/>
      <c r="AC368" s="2128"/>
      <c r="AD368" s="2128"/>
    </row>
    <row r="369" spans="1:30" ht="15.75" customHeight="1" x14ac:dyDescent="0.3">
      <c r="A369" s="4433"/>
      <c r="B369" s="4433"/>
      <c r="C369" s="2128"/>
      <c r="D369" s="2128"/>
      <c r="E369" s="2128"/>
      <c r="F369" s="2128"/>
      <c r="G369" s="2128"/>
      <c r="H369" s="2128"/>
      <c r="I369" s="2128"/>
      <c r="J369" s="2128"/>
      <c r="K369" s="2128"/>
      <c r="L369" s="2128"/>
      <c r="M369" s="2128"/>
      <c r="N369" s="2128"/>
      <c r="O369" s="2128"/>
      <c r="P369" s="2128"/>
      <c r="Q369" s="2128"/>
      <c r="R369" s="2128"/>
      <c r="S369" s="2128"/>
      <c r="T369" s="2128"/>
      <c r="U369" s="2128"/>
      <c r="V369" s="2128"/>
      <c r="W369" s="2128"/>
      <c r="X369" s="2128"/>
      <c r="Y369" s="2128"/>
      <c r="Z369" s="2128"/>
      <c r="AA369" s="2128"/>
      <c r="AB369" s="2128"/>
      <c r="AC369" s="2128"/>
      <c r="AD369" s="2128"/>
    </row>
    <row r="370" spans="1:30" ht="15.75" customHeight="1" x14ac:dyDescent="0.3">
      <c r="A370" s="4433"/>
      <c r="B370" s="4433"/>
      <c r="C370" s="2128"/>
      <c r="D370" s="2128"/>
      <c r="E370" s="2128"/>
      <c r="F370" s="2128"/>
      <c r="G370" s="2128"/>
      <c r="H370" s="2128"/>
      <c r="I370" s="2128"/>
      <c r="J370" s="2128"/>
      <c r="K370" s="2128"/>
      <c r="L370" s="2128"/>
      <c r="M370" s="2128"/>
      <c r="N370" s="2128"/>
      <c r="O370" s="2128"/>
      <c r="P370" s="2128"/>
      <c r="Q370" s="2128"/>
      <c r="R370" s="2128"/>
      <c r="S370" s="2128"/>
      <c r="T370" s="2128"/>
      <c r="U370" s="2128"/>
      <c r="V370" s="2128"/>
      <c r="W370" s="2128"/>
      <c r="X370" s="2128"/>
      <c r="Y370" s="2128"/>
      <c r="Z370" s="2128"/>
      <c r="AA370" s="2128"/>
      <c r="AB370" s="2128"/>
      <c r="AC370" s="2128"/>
      <c r="AD370" s="2128"/>
    </row>
    <row r="371" spans="1:30" ht="15.75" customHeight="1" x14ac:dyDescent="0.3">
      <c r="A371" s="4433"/>
      <c r="B371" s="4433"/>
      <c r="C371" s="2128"/>
      <c r="D371" s="2128"/>
      <c r="E371" s="2128"/>
      <c r="F371" s="2128"/>
      <c r="G371" s="2128"/>
      <c r="H371" s="2128"/>
      <c r="I371" s="2128"/>
      <c r="J371" s="2128"/>
      <c r="K371" s="2128"/>
      <c r="L371" s="2128"/>
      <c r="M371" s="2128"/>
      <c r="N371" s="2128"/>
      <c r="O371" s="2128"/>
      <c r="P371" s="2128"/>
      <c r="Q371" s="2128"/>
      <c r="R371" s="2128"/>
      <c r="S371" s="2128"/>
      <c r="T371" s="2128"/>
      <c r="U371" s="2128"/>
      <c r="V371" s="2128"/>
      <c r="W371" s="2128"/>
      <c r="X371" s="2128"/>
      <c r="Y371" s="2128"/>
      <c r="Z371" s="2128"/>
      <c r="AA371" s="2128"/>
      <c r="AB371" s="2128"/>
      <c r="AC371" s="2128"/>
      <c r="AD371" s="2128"/>
    </row>
    <row r="372" spans="1:30" ht="15.75" customHeight="1" x14ac:dyDescent="0.3">
      <c r="A372" s="4433"/>
      <c r="B372" s="4433"/>
      <c r="C372" s="2128"/>
      <c r="D372" s="2128"/>
      <c r="E372" s="2128"/>
      <c r="F372" s="2128"/>
      <c r="G372" s="2128"/>
      <c r="H372" s="2128"/>
      <c r="I372" s="2128"/>
      <c r="J372" s="2128"/>
      <c r="K372" s="2128"/>
      <c r="L372" s="2128"/>
      <c r="M372" s="2128"/>
      <c r="N372" s="2128"/>
      <c r="O372" s="2128"/>
      <c r="P372" s="2128"/>
      <c r="Q372" s="2128"/>
      <c r="R372" s="2128"/>
      <c r="S372" s="2128"/>
      <c r="T372" s="2128"/>
      <c r="U372" s="2128"/>
      <c r="V372" s="2128"/>
      <c r="W372" s="2128"/>
      <c r="X372" s="2128"/>
      <c r="Y372" s="2128"/>
      <c r="Z372" s="2128"/>
      <c r="AA372" s="2128"/>
      <c r="AB372" s="2128"/>
      <c r="AC372" s="2128"/>
      <c r="AD372" s="2128"/>
    </row>
    <row r="373" spans="1:30" ht="15.75" customHeight="1" x14ac:dyDescent="0.3">
      <c r="A373" s="4433"/>
      <c r="B373" s="4433"/>
      <c r="C373" s="2128"/>
      <c r="D373" s="2128"/>
      <c r="E373" s="2128"/>
      <c r="F373" s="2128"/>
      <c r="G373" s="2128"/>
      <c r="H373" s="2128"/>
      <c r="I373" s="2128"/>
      <c r="J373" s="2128"/>
      <c r="K373" s="2128"/>
      <c r="L373" s="2128"/>
      <c r="M373" s="2128"/>
      <c r="N373" s="2128"/>
      <c r="O373" s="2128"/>
      <c r="P373" s="2128"/>
      <c r="Q373" s="2128"/>
      <c r="R373" s="2128"/>
      <c r="S373" s="2128"/>
      <c r="T373" s="2128"/>
      <c r="U373" s="2128"/>
      <c r="V373" s="2128"/>
      <c r="W373" s="2128"/>
      <c r="X373" s="2128"/>
      <c r="Y373" s="2128"/>
      <c r="Z373" s="2128"/>
      <c r="AA373" s="2128"/>
      <c r="AB373" s="2128"/>
      <c r="AC373" s="2128"/>
      <c r="AD373" s="2128"/>
    </row>
    <row r="374" spans="1:30" ht="15.75" customHeight="1" x14ac:dyDescent="0.3">
      <c r="A374" s="4433"/>
      <c r="B374" s="4433"/>
      <c r="C374" s="2128"/>
      <c r="D374" s="2128"/>
      <c r="E374" s="2128"/>
      <c r="F374" s="2128"/>
      <c r="G374" s="2128"/>
      <c r="H374" s="2128"/>
      <c r="I374" s="2128"/>
      <c r="J374" s="2128"/>
      <c r="K374" s="2128"/>
      <c r="L374" s="2128"/>
      <c r="M374" s="2128"/>
      <c r="N374" s="2128"/>
      <c r="O374" s="2128"/>
      <c r="P374" s="2128"/>
      <c r="Q374" s="2128"/>
      <c r="R374" s="2128"/>
      <c r="S374" s="2128"/>
      <c r="T374" s="2128"/>
      <c r="U374" s="2128"/>
      <c r="V374" s="2128"/>
      <c r="W374" s="2128"/>
      <c r="X374" s="2128"/>
      <c r="Y374" s="2128"/>
      <c r="Z374" s="2128"/>
      <c r="AA374" s="2128"/>
      <c r="AB374" s="2128"/>
      <c r="AC374" s="2128"/>
      <c r="AD374" s="2128"/>
    </row>
    <row r="375" spans="1:30" ht="15.75" customHeight="1" x14ac:dyDescent="0.3">
      <c r="A375" s="4433"/>
      <c r="B375" s="4433"/>
      <c r="C375" s="2128"/>
      <c r="D375" s="2128"/>
      <c r="E375" s="2128"/>
      <c r="F375" s="2128"/>
      <c r="G375" s="2128"/>
      <c r="H375" s="2128"/>
      <c r="I375" s="2128"/>
      <c r="J375" s="2128"/>
      <c r="K375" s="2128"/>
      <c r="L375" s="2128"/>
      <c r="M375" s="2128"/>
      <c r="N375" s="2128"/>
      <c r="O375" s="2128"/>
      <c r="P375" s="2128"/>
      <c r="Q375" s="2128"/>
      <c r="R375" s="2128"/>
      <c r="S375" s="2128"/>
      <c r="T375" s="2128"/>
      <c r="U375" s="2128"/>
      <c r="V375" s="2128"/>
      <c r="W375" s="2128"/>
      <c r="X375" s="2128"/>
      <c r="Y375" s="2128"/>
      <c r="Z375" s="2128"/>
      <c r="AA375" s="2128"/>
      <c r="AB375" s="2128"/>
      <c r="AC375" s="2128"/>
      <c r="AD375" s="2128"/>
    </row>
    <row r="376" spans="1:30" ht="15.75" customHeight="1" x14ac:dyDescent="0.3">
      <c r="A376" s="4433"/>
      <c r="B376" s="4433"/>
      <c r="C376" s="2128"/>
      <c r="D376" s="2128"/>
      <c r="E376" s="2128"/>
      <c r="F376" s="2128"/>
      <c r="G376" s="2128"/>
      <c r="H376" s="2128"/>
      <c r="I376" s="2128"/>
      <c r="J376" s="2128"/>
      <c r="K376" s="2128"/>
      <c r="L376" s="2128"/>
      <c r="M376" s="2128"/>
      <c r="N376" s="2128"/>
      <c r="O376" s="2128"/>
      <c r="P376" s="2128"/>
      <c r="Q376" s="2128"/>
      <c r="R376" s="2128"/>
      <c r="S376" s="2128"/>
      <c r="T376" s="2128"/>
      <c r="U376" s="2128"/>
      <c r="V376" s="2128"/>
      <c r="W376" s="2128"/>
      <c r="X376" s="2128"/>
      <c r="Y376" s="2128"/>
      <c r="Z376" s="2128"/>
      <c r="AA376" s="2128"/>
      <c r="AB376" s="2128"/>
      <c r="AC376" s="2128"/>
      <c r="AD376" s="2128"/>
    </row>
    <row r="377" spans="1:30" ht="15.75" customHeight="1" x14ac:dyDescent="0.3">
      <c r="A377" s="4433"/>
      <c r="B377" s="4433"/>
      <c r="C377" s="2128"/>
      <c r="D377" s="2128"/>
      <c r="E377" s="2128"/>
      <c r="F377" s="2128"/>
      <c r="G377" s="2128"/>
      <c r="H377" s="2128"/>
      <c r="I377" s="2128"/>
      <c r="J377" s="2128"/>
      <c r="K377" s="2128"/>
      <c r="L377" s="2128"/>
      <c r="M377" s="2128"/>
      <c r="N377" s="2128"/>
      <c r="O377" s="2128"/>
      <c r="P377" s="2128"/>
      <c r="Q377" s="2128"/>
      <c r="R377" s="2128"/>
      <c r="S377" s="2128"/>
      <c r="T377" s="2128"/>
      <c r="U377" s="2128"/>
      <c r="V377" s="2128"/>
      <c r="W377" s="2128"/>
      <c r="X377" s="2128"/>
      <c r="Y377" s="2128"/>
      <c r="Z377" s="2128"/>
      <c r="AA377" s="2128"/>
      <c r="AB377" s="2128"/>
      <c r="AC377" s="2128"/>
      <c r="AD377" s="2128"/>
    </row>
    <row r="378" spans="1:30" ht="15.75" customHeight="1" x14ac:dyDescent="0.3">
      <c r="A378" s="4433"/>
      <c r="B378" s="4433"/>
      <c r="C378" s="2128"/>
      <c r="D378" s="2128"/>
      <c r="E378" s="2128"/>
      <c r="F378" s="2128"/>
      <c r="G378" s="2128"/>
      <c r="H378" s="2128"/>
      <c r="I378" s="2128"/>
      <c r="J378" s="2128"/>
      <c r="K378" s="2128"/>
      <c r="L378" s="2128"/>
      <c r="M378" s="2128"/>
      <c r="N378" s="2128"/>
      <c r="O378" s="2128"/>
      <c r="P378" s="2128"/>
      <c r="Q378" s="2128"/>
      <c r="R378" s="2128"/>
      <c r="S378" s="2128"/>
      <c r="T378" s="2128"/>
      <c r="U378" s="2128"/>
      <c r="V378" s="2128"/>
      <c r="W378" s="2128"/>
      <c r="X378" s="2128"/>
      <c r="Y378" s="2128"/>
      <c r="Z378" s="2128"/>
      <c r="AA378" s="2128"/>
      <c r="AB378" s="2128"/>
      <c r="AC378" s="2128"/>
      <c r="AD378" s="2128"/>
    </row>
    <row r="379" spans="1:30" ht="15.75" customHeight="1" x14ac:dyDescent="0.3">
      <c r="A379" s="4433"/>
      <c r="B379" s="4433"/>
      <c r="C379" s="2128"/>
      <c r="D379" s="2128"/>
      <c r="E379" s="2128"/>
      <c r="F379" s="2128"/>
      <c r="G379" s="2128"/>
      <c r="H379" s="2128"/>
      <c r="I379" s="2128"/>
      <c r="J379" s="2128"/>
      <c r="K379" s="2128"/>
      <c r="L379" s="2128"/>
      <c r="M379" s="2128"/>
      <c r="N379" s="2128"/>
      <c r="O379" s="2128"/>
      <c r="P379" s="2128"/>
      <c r="Q379" s="2128"/>
      <c r="R379" s="2128"/>
      <c r="S379" s="2128"/>
      <c r="T379" s="2128"/>
      <c r="U379" s="2128"/>
      <c r="V379" s="2128"/>
      <c r="W379" s="2128"/>
      <c r="X379" s="2128"/>
      <c r="Y379" s="2128"/>
      <c r="Z379" s="2128"/>
      <c r="AA379" s="2128"/>
      <c r="AB379" s="2128"/>
      <c r="AC379" s="2128"/>
      <c r="AD379" s="2128"/>
    </row>
    <row r="380" spans="1:30" ht="15.75" customHeight="1" x14ac:dyDescent="0.3">
      <c r="A380" s="4433"/>
      <c r="B380" s="4433"/>
      <c r="C380" s="2128"/>
      <c r="D380" s="2128"/>
      <c r="E380" s="2128"/>
      <c r="F380" s="2128"/>
      <c r="G380" s="2128"/>
      <c r="H380" s="2128"/>
      <c r="I380" s="2128"/>
      <c r="J380" s="2128"/>
      <c r="K380" s="2128"/>
      <c r="L380" s="2128"/>
      <c r="M380" s="2128"/>
      <c r="N380" s="2128"/>
      <c r="O380" s="2128"/>
      <c r="P380" s="2128"/>
      <c r="Q380" s="2128"/>
      <c r="R380" s="2128"/>
      <c r="S380" s="2128"/>
      <c r="T380" s="2128"/>
      <c r="U380" s="2128"/>
      <c r="V380" s="2128"/>
      <c r="W380" s="2128"/>
      <c r="X380" s="2128"/>
      <c r="Y380" s="2128"/>
      <c r="Z380" s="2128"/>
      <c r="AA380" s="2128"/>
      <c r="AB380" s="2128"/>
      <c r="AC380" s="2128"/>
      <c r="AD380" s="2128"/>
    </row>
    <row r="381" spans="1:30" ht="15.75" customHeight="1" x14ac:dyDescent="0.3">
      <c r="A381" s="4433"/>
      <c r="B381" s="4433"/>
      <c r="C381" s="2128"/>
      <c r="D381" s="2128"/>
      <c r="E381" s="2128"/>
      <c r="F381" s="2128"/>
      <c r="G381" s="2128"/>
      <c r="H381" s="2128"/>
      <c r="I381" s="2128"/>
      <c r="J381" s="2128"/>
      <c r="K381" s="2128"/>
      <c r="L381" s="2128"/>
      <c r="M381" s="2128"/>
      <c r="N381" s="2128"/>
      <c r="O381" s="2128"/>
      <c r="P381" s="2128"/>
      <c r="Q381" s="2128"/>
      <c r="R381" s="2128"/>
      <c r="S381" s="2128"/>
      <c r="T381" s="2128"/>
      <c r="U381" s="2128"/>
      <c r="V381" s="2128"/>
      <c r="W381" s="2128"/>
      <c r="X381" s="2128"/>
      <c r="Y381" s="2128"/>
      <c r="Z381" s="2128"/>
      <c r="AA381" s="2128"/>
      <c r="AB381" s="2128"/>
      <c r="AC381" s="2128"/>
      <c r="AD381" s="2128"/>
    </row>
    <row r="382" spans="1:30" ht="15.75" customHeight="1" x14ac:dyDescent="0.3">
      <c r="A382" s="4433"/>
      <c r="B382" s="4433"/>
      <c r="C382" s="2128"/>
      <c r="D382" s="2128"/>
      <c r="E382" s="2128"/>
      <c r="F382" s="2128"/>
      <c r="G382" s="2128"/>
      <c r="H382" s="2128"/>
      <c r="I382" s="2128"/>
      <c r="J382" s="2128"/>
      <c r="K382" s="2128"/>
      <c r="L382" s="2128"/>
      <c r="M382" s="2128"/>
      <c r="N382" s="2128"/>
      <c r="O382" s="2128"/>
      <c r="P382" s="2128"/>
      <c r="Q382" s="2128"/>
      <c r="R382" s="2128"/>
      <c r="S382" s="2128"/>
      <c r="T382" s="2128"/>
      <c r="U382" s="2128"/>
      <c r="V382" s="2128"/>
      <c r="W382" s="2128"/>
      <c r="X382" s="2128"/>
      <c r="Y382" s="2128"/>
      <c r="Z382" s="2128"/>
      <c r="AA382" s="2128"/>
      <c r="AB382" s="2128"/>
      <c r="AC382" s="2128"/>
      <c r="AD382" s="2128"/>
    </row>
    <row r="383" spans="1:30" ht="15.75" customHeight="1" x14ac:dyDescent="0.3">
      <c r="A383" s="4433"/>
      <c r="B383" s="4433"/>
      <c r="C383" s="2128"/>
      <c r="D383" s="2128"/>
      <c r="E383" s="2128"/>
      <c r="F383" s="2128"/>
      <c r="G383" s="2128"/>
      <c r="H383" s="2128"/>
      <c r="I383" s="2128"/>
      <c r="J383" s="2128"/>
      <c r="K383" s="2128"/>
      <c r="L383" s="2128"/>
      <c r="M383" s="2128"/>
      <c r="N383" s="2128"/>
      <c r="O383" s="2128"/>
      <c r="P383" s="2128"/>
      <c r="Q383" s="2128"/>
      <c r="R383" s="2128"/>
      <c r="S383" s="2128"/>
      <c r="T383" s="2128"/>
      <c r="U383" s="2128"/>
      <c r="V383" s="2128"/>
      <c r="W383" s="2128"/>
      <c r="X383" s="2128"/>
      <c r="Y383" s="2128"/>
      <c r="Z383" s="2128"/>
      <c r="AA383" s="2128"/>
      <c r="AB383" s="2128"/>
      <c r="AC383" s="2128"/>
      <c r="AD383" s="2128"/>
    </row>
    <row r="384" spans="1:30" ht="15.75" customHeight="1" x14ac:dyDescent="0.3">
      <c r="A384" s="4433"/>
      <c r="B384" s="4433"/>
      <c r="C384" s="2128"/>
      <c r="D384" s="2128"/>
      <c r="E384" s="2128"/>
      <c r="F384" s="2128"/>
      <c r="G384" s="2128"/>
      <c r="H384" s="2128"/>
      <c r="I384" s="2128"/>
      <c r="J384" s="2128"/>
      <c r="K384" s="2128"/>
      <c r="L384" s="2128"/>
      <c r="M384" s="2128"/>
      <c r="N384" s="2128"/>
      <c r="O384" s="2128"/>
      <c r="P384" s="2128"/>
      <c r="Q384" s="2128"/>
      <c r="R384" s="2128"/>
      <c r="S384" s="2128"/>
      <c r="T384" s="2128"/>
      <c r="U384" s="2128"/>
      <c r="V384" s="2128"/>
      <c r="W384" s="2128"/>
      <c r="X384" s="2128"/>
      <c r="Y384" s="2128"/>
      <c r="Z384" s="2128"/>
      <c r="AA384" s="2128"/>
      <c r="AB384" s="2128"/>
      <c r="AC384" s="2128"/>
      <c r="AD384" s="2128"/>
    </row>
    <row r="385" spans="1:30" ht="15.75" customHeight="1" x14ac:dyDescent="0.3">
      <c r="A385" s="4433"/>
      <c r="B385" s="4433"/>
      <c r="C385" s="2128"/>
      <c r="D385" s="2128"/>
      <c r="E385" s="2128"/>
      <c r="F385" s="2128"/>
      <c r="G385" s="2128"/>
      <c r="H385" s="2128"/>
      <c r="I385" s="2128"/>
      <c r="J385" s="2128"/>
      <c r="K385" s="2128"/>
      <c r="L385" s="2128"/>
      <c r="M385" s="2128"/>
      <c r="N385" s="2128"/>
      <c r="O385" s="2128"/>
      <c r="P385" s="2128"/>
      <c r="Q385" s="2128"/>
      <c r="R385" s="2128"/>
      <c r="S385" s="2128"/>
      <c r="T385" s="2128"/>
      <c r="U385" s="2128"/>
      <c r="V385" s="2128"/>
      <c r="W385" s="2128"/>
      <c r="X385" s="2128"/>
      <c r="Y385" s="2128"/>
      <c r="Z385" s="2128"/>
      <c r="AA385" s="2128"/>
      <c r="AB385" s="2128"/>
      <c r="AC385" s="2128"/>
      <c r="AD385" s="2128"/>
    </row>
    <row r="386" spans="1:30" ht="15.75" customHeight="1" x14ac:dyDescent="0.3">
      <c r="A386" s="4433"/>
      <c r="B386" s="4433"/>
      <c r="C386" s="2128"/>
      <c r="D386" s="2128"/>
      <c r="E386" s="2128"/>
      <c r="F386" s="2128"/>
      <c r="G386" s="2128"/>
      <c r="H386" s="2128"/>
      <c r="I386" s="2128"/>
      <c r="J386" s="2128"/>
      <c r="K386" s="2128"/>
      <c r="L386" s="2128"/>
      <c r="M386" s="2128"/>
      <c r="N386" s="2128"/>
      <c r="O386" s="2128"/>
      <c r="P386" s="2128"/>
      <c r="Q386" s="2128"/>
      <c r="R386" s="2128"/>
      <c r="S386" s="2128"/>
      <c r="T386" s="2128"/>
      <c r="U386" s="2128"/>
      <c r="V386" s="2128"/>
      <c r="W386" s="2128"/>
      <c r="X386" s="2128"/>
      <c r="Y386" s="2128"/>
      <c r="Z386" s="2128"/>
      <c r="AA386" s="2128"/>
      <c r="AB386" s="2128"/>
      <c r="AC386" s="2128"/>
      <c r="AD386" s="2128"/>
    </row>
    <row r="387" spans="1:30" ht="15.75" customHeight="1" x14ac:dyDescent="0.3">
      <c r="A387" s="4433"/>
      <c r="B387" s="4433"/>
      <c r="C387" s="2128"/>
      <c r="D387" s="2128"/>
      <c r="E387" s="2128"/>
      <c r="F387" s="2128"/>
      <c r="G387" s="2128"/>
      <c r="H387" s="2128"/>
      <c r="I387" s="2128"/>
      <c r="J387" s="2128"/>
      <c r="K387" s="2128"/>
      <c r="L387" s="2128"/>
      <c r="M387" s="2128"/>
      <c r="N387" s="2128"/>
      <c r="O387" s="2128"/>
      <c r="P387" s="2128"/>
      <c r="Q387" s="2128"/>
      <c r="R387" s="2128"/>
      <c r="S387" s="2128"/>
      <c r="T387" s="2128"/>
      <c r="U387" s="2128"/>
      <c r="V387" s="2128"/>
      <c r="W387" s="2128"/>
      <c r="X387" s="2128"/>
      <c r="Y387" s="2128"/>
      <c r="Z387" s="2128"/>
      <c r="AA387" s="2128"/>
      <c r="AB387" s="2128"/>
      <c r="AC387" s="2128"/>
      <c r="AD387" s="2128"/>
    </row>
    <row r="388" spans="1:30" ht="15.75" customHeight="1" x14ac:dyDescent="0.3">
      <c r="A388" s="4433"/>
      <c r="B388" s="4433"/>
      <c r="C388" s="2128"/>
      <c r="D388" s="2128"/>
      <c r="E388" s="2128"/>
      <c r="F388" s="2128"/>
      <c r="G388" s="2128"/>
      <c r="H388" s="2128"/>
      <c r="I388" s="2128"/>
      <c r="J388" s="2128"/>
      <c r="K388" s="2128"/>
      <c r="L388" s="2128"/>
      <c r="M388" s="2128"/>
      <c r="N388" s="2128"/>
      <c r="O388" s="2128"/>
      <c r="P388" s="2128"/>
      <c r="Q388" s="2128"/>
      <c r="R388" s="2128"/>
      <c r="S388" s="2128"/>
      <c r="T388" s="2128"/>
      <c r="U388" s="2128"/>
      <c r="V388" s="2128"/>
      <c r="W388" s="2128"/>
      <c r="X388" s="2128"/>
      <c r="Y388" s="2128"/>
      <c r="Z388" s="2128"/>
      <c r="AA388" s="2128"/>
      <c r="AB388" s="2128"/>
      <c r="AC388" s="2128"/>
      <c r="AD388" s="2128"/>
    </row>
    <row r="389" spans="1:30" ht="15.75" customHeight="1" x14ac:dyDescent="0.3">
      <c r="A389" s="4433"/>
      <c r="B389" s="4433"/>
      <c r="C389" s="2128"/>
      <c r="D389" s="2128"/>
      <c r="E389" s="2128"/>
      <c r="F389" s="2128"/>
      <c r="G389" s="2128"/>
      <c r="H389" s="2128"/>
      <c r="I389" s="2128"/>
      <c r="J389" s="2128"/>
      <c r="K389" s="2128"/>
      <c r="L389" s="2128"/>
      <c r="M389" s="2128"/>
      <c r="N389" s="2128"/>
      <c r="O389" s="2128"/>
      <c r="P389" s="2128"/>
      <c r="Q389" s="2128"/>
      <c r="R389" s="2128"/>
      <c r="S389" s="2128"/>
      <c r="T389" s="2128"/>
      <c r="U389" s="2128"/>
      <c r="V389" s="2128"/>
      <c r="W389" s="2128"/>
      <c r="X389" s="2128"/>
      <c r="Y389" s="2128"/>
      <c r="Z389" s="2128"/>
      <c r="AA389" s="2128"/>
      <c r="AB389" s="2128"/>
      <c r="AC389" s="2128"/>
      <c r="AD389" s="2128"/>
    </row>
    <row r="390" spans="1:30" ht="15.75" customHeight="1" x14ac:dyDescent="0.3">
      <c r="A390" s="4433"/>
      <c r="B390" s="4433"/>
      <c r="C390" s="2128"/>
      <c r="D390" s="2128"/>
      <c r="E390" s="2128"/>
      <c r="F390" s="2128"/>
      <c r="G390" s="2128"/>
      <c r="H390" s="2128"/>
      <c r="I390" s="2128"/>
      <c r="J390" s="2128"/>
      <c r="K390" s="2128"/>
      <c r="L390" s="2128"/>
      <c r="M390" s="2128"/>
      <c r="N390" s="2128"/>
      <c r="O390" s="2128"/>
      <c r="P390" s="2128"/>
      <c r="Q390" s="2128"/>
      <c r="R390" s="2128"/>
      <c r="S390" s="2128"/>
      <c r="T390" s="2128"/>
      <c r="U390" s="2128"/>
      <c r="V390" s="2128"/>
      <c r="W390" s="2128"/>
      <c r="X390" s="2128"/>
      <c r="Y390" s="2128"/>
      <c r="Z390" s="2128"/>
      <c r="AA390" s="2128"/>
      <c r="AB390" s="2128"/>
      <c r="AC390" s="2128"/>
      <c r="AD390" s="2128"/>
    </row>
    <row r="391" spans="1:30" ht="15.75" customHeight="1" x14ac:dyDescent="0.3">
      <c r="A391" s="4433"/>
      <c r="B391" s="4433"/>
      <c r="C391" s="2128"/>
      <c r="D391" s="2128"/>
      <c r="E391" s="2128"/>
      <c r="F391" s="2128"/>
      <c r="G391" s="2128"/>
      <c r="H391" s="2128"/>
      <c r="I391" s="2128"/>
      <c r="J391" s="2128"/>
      <c r="K391" s="2128"/>
      <c r="L391" s="2128"/>
      <c r="M391" s="2128"/>
      <c r="N391" s="2128"/>
      <c r="O391" s="2128"/>
      <c r="P391" s="2128"/>
      <c r="Q391" s="2128"/>
      <c r="R391" s="2128"/>
      <c r="S391" s="2128"/>
      <c r="T391" s="2128"/>
      <c r="U391" s="2128"/>
      <c r="V391" s="2128"/>
      <c r="W391" s="2128"/>
      <c r="X391" s="2128"/>
      <c r="Y391" s="2128"/>
      <c r="Z391" s="2128"/>
      <c r="AA391" s="2128"/>
      <c r="AB391" s="2128"/>
      <c r="AC391" s="2128"/>
      <c r="AD391" s="2128"/>
    </row>
    <row r="392" spans="1:30" ht="15.75" customHeight="1" x14ac:dyDescent="0.3">
      <c r="A392" s="4433"/>
      <c r="B392" s="4433"/>
      <c r="C392" s="2128"/>
      <c r="D392" s="2128"/>
      <c r="E392" s="2128"/>
      <c r="F392" s="2128"/>
      <c r="G392" s="2128"/>
      <c r="H392" s="2128"/>
      <c r="I392" s="2128"/>
      <c r="J392" s="2128"/>
      <c r="K392" s="2128"/>
      <c r="L392" s="2128"/>
      <c r="M392" s="2128"/>
      <c r="N392" s="2128"/>
      <c r="O392" s="2128"/>
      <c r="P392" s="2128"/>
      <c r="Q392" s="2128"/>
      <c r="R392" s="2128"/>
      <c r="S392" s="2128"/>
      <c r="T392" s="2128"/>
      <c r="U392" s="2128"/>
      <c r="V392" s="2128"/>
      <c r="W392" s="2128"/>
      <c r="X392" s="2128"/>
      <c r="Y392" s="2128"/>
      <c r="Z392" s="2128"/>
      <c r="AA392" s="2128"/>
      <c r="AB392" s="2128"/>
      <c r="AC392" s="2128"/>
      <c r="AD392" s="2128"/>
    </row>
    <row r="393" spans="1:30" ht="15.75" customHeight="1" x14ac:dyDescent="0.3">
      <c r="A393" s="4433"/>
      <c r="B393" s="4433"/>
      <c r="C393" s="2128"/>
      <c r="D393" s="2128"/>
      <c r="E393" s="2128"/>
      <c r="F393" s="2128"/>
      <c r="G393" s="2128"/>
      <c r="H393" s="2128"/>
      <c r="I393" s="2128"/>
      <c r="J393" s="2128"/>
      <c r="K393" s="2128"/>
      <c r="L393" s="2128"/>
      <c r="M393" s="2128"/>
      <c r="N393" s="2128"/>
      <c r="O393" s="2128"/>
      <c r="P393" s="2128"/>
      <c r="Q393" s="2128"/>
      <c r="R393" s="2128"/>
      <c r="S393" s="2128"/>
      <c r="T393" s="2128"/>
      <c r="U393" s="2128"/>
      <c r="V393" s="2128"/>
      <c r="W393" s="2128"/>
      <c r="X393" s="2128"/>
      <c r="Y393" s="2128"/>
      <c r="Z393" s="2128"/>
      <c r="AA393" s="2128"/>
      <c r="AB393" s="2128"/>
      <c r="AC393" s="2128"/>
      <c r="AD393" s="2128"/>
    </row>
    <row r="394" spans="1:30" ht="15.75" customHeight="1" x14ac:dyDescent="0.3">
      <c r="A394" s="4433"/>
      <c r="B394" s="4433"/>
      <c r="C394" s="2128"/>
      <c r="D394" s="2128"/>
      <c r="E394" s="2128"/>
      <c r="F394" s="2128"/>
      <c r="G394" s="2128"/>
      <c r="H394" s="2128"/>
      <c r="I394" s="2128"/>
      <c r="J394" s="2128"/>
      <c r="K394" s="2128"/>
      <c r="L394" s="2128"/>
      <c r="M394" s="2128"/>
      <c r="N394" s="2128"/>
      <c r="O394" s="2128"/>
      <c r="P394" s="2128"/>
      <c r="Q394" s="2128"/>
      <c r="R394" s="2128"/>
      <c r="S394" s="2128"/>
      <c r="T394" s="2128"/>
      <c r="U394" s="2128"/>
      <c r="V394" s="2128"/>
      <c r="W394" s="2128"/>
      <c r="X394" s="2128"/>
      <c r="Y394" s="2128"/>
      <c r="Z394" s="2128"/>
      <c r="AA394" s="2128"/>
      <c r="AB394" s="2128"/>
      <c r="AC394" s="2128"/>
      <c r="AD394" s="2128"/>
    </row>
    <row r="395" spans="1:30" ht="15.75" customHeight="1" x14ac:dyDescent="0.3">
      <c r="A395" s="4433"/>
      <c r="B395" s="4433"/>
      <c r="C395" s="2128"/>
      <c r="D395" s="2128"/>
      <c r="E395" s="2128"/>
      <c r="F395" s="2128"/>
      <c r="G395" s="2128"/>
      <c r="H395" s="2128"/>
      <c r="I395" s="2128"/>
      <c r="J395" s="2128"/>
      <c r="K395" s="2128"/>
      <c r="L395" s="2128"/>
      <c r="M395" s="2128"/>
      <c r="N395" s="2128"/>
      <c r="O395" s="2128"/>
      <c r="P395" s="2128"/>
      <c r="Q395" s="2128"/>
      <c r="R395" s="2128"/>
      <c r="S395" s="2128"/>
      <c r="T395" s="2128"/>
      <c r="U395" s="2128"/>
      <c r="V395" s="2128"/>
      <c r="W395" s="2128"/>
      <c r="X395" s="2128"/>
      <c r="Y395" s="2128"/>
      <c r="Z395" s="2128"/>
      <c r="AA395" s="2128"/>
      <c r="AB395" s="2128"/>
      <c r="AC395" s="2128"/>
      <c r="AD395" s="2128"/>
    </row>
    <row r="396" spans="1:30" ht="15.75" customHeight="1" x14ac:dyDescent="0.3">
      <c r="A396" s="4433"/>
      <c r="B396" s="4433"/>
      <c r="C396" s="2128"/>
      <c r="D396" s="2128"/>
      <c r="E396" s="2128"/>
      <c r="F396" s="2128"/>
      <c r="G396" s="2128"/>
      <c r="H396" s="2128"/>
      <c r="I396" s="2128"/>
      <c r="J396" s="2128"/>
      <c r="K396" s="2128"/>
      <c r="L396" s="2128"/>
      <c r="M396" s="2128"/>
      <c r="N396" s="2128"/>
      <c r="O396" s="2128"/>
      <c r="P396" s="2128"/>
      <c r="Q396" s="2128"/>
      <c r="R396" s="2128"/>
      <c r="S396" s="2128"/>
      <c r="T396" s="2128"/>
      <c r="U396" s="2128"/>
      <c r="V396" s="2128"/>
      <c r="W396" s="2128"/>
      <c r="X396" s="2128"/>
      <c r="Y396" s="2128"/>
      <c r="Z396" s="2128"/>
      <c r="AA396" s="2128"/>
      <c r="AB396" s="2128"/>
      <c r="AC396" s="2128"/>
      <c r="AD396" s="2128"/>
    </row>
    <row r="397" spans="1:30" ht="15.75" customHeight="1" x14ac:dyDescent="0.3">
      <c r="A397" s="4433"/>
      <c r="B397" s="4433"/>
      <c r="C397" s="2128"/>
      <c r="D397" s="2128"/>
      <c r="E397" s="2128"/>
      <c r="F397" s="2128"/>
      <c r="G397" s="2128"/>
      <c r="H397" s="2128"/>
      <c r="I397" s="2128"/>
      <c r="J397" s="2128"/>
      <c r="K397" s="2128"/>
      <c r="L397" s="2128"/>
      <c r="M397" s="2128"/>
      <c r="N397" s="2128"/>
      <c r="O397" s="2128"/>
      <c r="P397" s="2128"/>
      <c r="Q397" s="2128"/>
      <c r="R397" s="2128"/>
      <c r="S397" s="2128"/>
      <c r="T397" s="2128"/>
      <c r="U397" s="2128"/>
      <c r="V397" s="2128"/>
      <c r="W397" s="2128"/>
      <c r="X397" s="2128"/>
      <c r="Y397" s="2128"/>
      <c r="Z397" s="2128"/>
      <c r="AA397" s="2128"/>
      <c r="AB397" s="2128"/>
      <c r="AC397" s="2128"/>
      <c r="AD397" s="2128"/>
    </row>
    <row r="398" spans="1:30" ht="15.75" customHeight="1" x14ac:dyDescent="0.3">
      <c r="A398" s="4433"/>
      <c r="B398" s="4433"/>
      <c r="C398" s="2128"/>
      <c r="D398" s="2128"/>
      <c r="E398" s="2128"/>
      <c r="F398" s="2128"/>
      <c r="G398" s="2128"/>
      <c r="H398" s="2128"/>
      <c r="I398" s="2128"/>
      <c r="J398" s="2128"/>
      <c r="K398" s="2128"/>
      <c r="L398" s="2128"/>
      <c r="M398" s="2128"/>
      <c r="N398" s="2128"/>
      <c r="O398" s="2128"/>
      <c r="P398" s="2128"/>
      <c r="Q398" s="2128"/>
      <c r="R398" s="2128"/>
      <c r="S398" s="2128"/>
      <c r="T398" s="2128"/>
      <c r="U398" s="2128"/>
      <c r="V398" s="2128"/>
      <c r="W398" s="2128"/>
      <c r="X398" s="2128"/>
      <c r="Y398" s="2128"/>
      <c r="Z398" s="2128"/>
      <c r="AA398" s="2128"/>
      <c r="AB398" s="2128"/>
      <c r="AC398" s="2128"/>
      <c r="AD398" s="2128"/>
    </row>
    <row r="399" spans="1:30" ht="15.75" customHeight="1" x14ac:dyDescent="0.3">
      <c r="A399" s="4433"/>
      <c r="B399" s="4433"/>
      <c r="C399" s="2128"/>
      <c r="D399" s="2128"/>
      <c r="E399" s="2128"/>
      <c r="F399" s="2128"/>
      <c r="G399" s="2128"/>
      <c r="H399" s="2128"/>
      <c r="I399" s="2128"/>
      <c r="J399" s="2128"/>
      <c r="K399" s="2128"/>
      <c r="L399" s="2128"/>
      <c r="M399" s="2128"/>
      <c r="N399" s="2128"/>
      <c r="O399" s="2128"/>
      <c r="P399" s="2128"/>
      <c r="Q399" s="2128"/>
      <c r="R399" s="2128"/>
      <c r="S399" s="2128"/>
      <c r="T399" s="2128"/>
      <c r="U399" s="2128"/>
      <c r="V399" s="2128"/>
      <c r="W399" s="2128"/>
      <c r="X399" s="2128"/>
      <c r="Y399" s="2128"/>
      <c r="Z399" s="2128"/>
      <c r="AA399" s="2128"/>
      <c r="AB399" s="2128"/>
      <c r="AC399" s="2128"/>
      <c r="AD399" s="2128"/>
    </row>
    <row r="400" spans="1:30" ht="15.75" customHeight="1" x14ac:dyDescent="0.3">
      <c r="A400" s="4433"/>
      <c r="B400" s="4433"/>
      <c r="C400" s="2128"/>
      <c r="D400" s="2128"/>
      <c r="E400" s="2128"/>
      <c r="F400" s="2128"/>
      <c r="G400" s="2128"/>
      <c r="H400" s="2128"/>
      <c r="I400" s="2128"/>
      <c r="J400" s="2128"/>
      <c r="K400" s="2128"/>
      <c r="L400" s="2128"/>
      <c r="M400" s="2128"/>
      <c r="N400" s="2128"/>
      <c r="O400" s="2128"/>
      <c r="P400" s="2128"/>
      <c r="Q400" s="2128"/>
      <c r="R400" s="2128"/>
      <c r="S400" s="2128"/>
      <c r="T400" s="2128"/>
      <c r="U400" s="2128"/>
      <c r="V400" s="2128"/>
      <c r="W400" s="2128"/>
      <c r="X400" s="2128"/>
      <c r="Y400" s="2128"/>
      <c r="Z400" s="2128"/>
      <c r="AA400" s="2128"/>
      <c r="AB400" s="2128"/>
      <c r="AC400" s="2128"/>
      <c r="AD400" s="2128"/>
    </row>
    <row r="401" spans="1:30" ht="15.75" customHeight="1" x14ac:dyDescent="0.3">
      <c r="A401" s="4433"/>
      <c r="B401" s="4433"/>
      <c r="C401" s="2128"/>
      <c r="D401" s="2128"/>
      <c r="E401" s="2128"/>
      <c r="F401" s="2128"/>
      <c r="G401" s="2128"/>
      <c r="H401" s="2128"/>
      <c r="I401" s="2128"/>
      <c r="J401" s="2128"/>
      <c r="K401" s="2128"/>
      <c r="L401" s="2128"/>
      <c r="M401" s="2128"/>
      <c r="N401" s="2128"/>
      <c r="O401" s="2128"/>
      <c r="P401" s="2128"/>
      <c r="Q401" s="2128"/>
      <c r="R401" s="2128"/>
      <c r="S401" s="2128"/>
      <c r="T401" s="2128"/>
      <c r="U401" s="2128"/>
      <c r="V401" s="2128"/>
      <c r="W401" s="2128"/>
      <c r="X401" s="2128"/>
      <c r="Y401" s="2128"/>
      <c r="Z401" s="2128"/>
      <c r="AA401" s="2128"/>
      <c r="AB401" s="2128"/>
      <c r="AC401" s="2128"/>
      <c r="AD401" s="2128"/>
    </row>
    <row r="402" spans="1:30" ht="15.75" customHeight="1" x14ac:dyDescent="0.3">
      <c r="A402" s="4433"/>
      <c r="B402" s="4433"/>
      <c r="C402" s="2128"/>
      <c r="D402" s="2128"/>
      <c r="E402" s="2128"/>
      <c r="F402" s="2128"/>
      <c r="G402" s="2128"/>
      <c r="H402" s="2128"/>
      <c r="I402" s="2128"/>
      <c r="J402" s="2128"/>
      <c r="K402" s="2128"/>
      <c r="L402" s="2128"/>
      <c r="M402" s="2128"/>
      <c r="N402" s="2128"/>
      <c r="O402" s="2128"/>
      <c r="P402" s="2128"/>
      <c r="Q402" s="2128"/>
      <c r="R402" s="2128"/>
      <c r="S402" s="2128"/>
      <c r="T402" s="2128"/>
      <c r="U402" s="2128"/>
      <c r="V402" s="2128"/>
      <c r="W402" s="2128"/>
      <c r="X402" s="2128"/>
      <c r="Y402" s="2128"/>
      <c r="Z402" s="2128"/>
      <c r="AA402" s="2128"/>
      <c r="AB402" s="2128"/>
      <c r="AC402" s="2128"/>
      <c r="AD402" s="2128"/>
    </row>
    <row r="403" spans="1:30" ht="15.75" customHeight="1" x14ac:dyDescent="0.3">
      <c r="A403" s="4433"/>
      <c r="B403" s="4433"/>
      <c r="C403" s="2128"/>
      <c r="D403" s="2128"/>
      <c r="E403" s="2128"/>
      <c r="F403" s="2128"/>
      <c r="G403" s="2128"/>
      <c r="H403" s="2128"/>
      <c r="I403" s="2128"/>
      <c r="J403" s="2128"/>
      <c r="K403" s="2128"/>
      <c r="L403" s="2128"/>
      <c r="M403" s="2128"/>
      <c r="N403" s="2128"/>
      <c r="O403" s="2128"/>
      <c r="P403" s="2128"/>
      <c r="Q403" s="2128"/>
      <c r="R403" s="2128"/>
      <c r="S403" s="2128"/>
      <c r="T403" s="2128"/>
      <c r="U403" s="2128"/>
      <c r="V403" s="2128"/>
      <c r="W403" s="2128"/>
      <c r="X403" s="2128"/>
      <c r="Y403" s="2128"/>
      <c r="Z403" s="2128"/>
      <c r="AA403" s="2128"/>
      <c r="AB403" s="2128"/>
      <c r="AC403" s="2128"/>
      <c r="AD403" s="2128"/>
    </row>
    <row r="404" spans="1:30" ht="15.75" customHeight="1" x14ac:dyDescent="0.3">
      <c r="A404" s="4433"/>
      <c r="B404" s="4433"/>
      <c r="C404" s="2128"/>
      <c r="D404" s="2128"/>
      <c r="E404" s="2128"/>
      <c r="F404" s="2128"/>
      <c r="G404" s="2128"/>
      <c r="H404" s="2128"/>
      <c r="I404" s="2128"/>
      <c r="J404" s="2128"/>
      <c r="K404" s="2128"/>
      <c r="L404" s="2128"/>
      <c r="M404" s="2128"/>
      <c r="N404" s="2128"/>
      <c r="O404" s="2128"/>
      <c r="P404" s="2128"/>
      <c r="Q404" s="2128"/>
      <c r="R404" s="2128"/>
      <c r="S404" s="2128"/>
      <c r="T404" s="2128"/>
      <c r="U404" s="2128"/>
      <c r="V404" s="2128"/>
      <c r="W404" s="2128"/>
      <c r="X404" s="2128"/>
      <c r="Y404" s="2128"/>
      <c r="Z404" s="2128"/>
      <c r="AA404" s="2128"/>
      <c r="AB404" s="2128"/>
      <c r="AC404" s="2128"/>
      <c r="AD404" s="2128"/>
    </row>
    <row r="405" spans="1:30" ht="15.75" customHeight="1" x14ac:dyDescent="0.3">
      <c r="A405" s="4433"/>
      <c r="B405" s="4433"/>
      <c r="C405" s="2128"/>
      <c r="D405" s="2128"/>
      <c r="E405" s="2128"/>
      <c r="F405" s="2128"/>
      <c r="G405" s="2128"/>
      <c r="H405" s="2128"/>
      <c r="I405" s="2128"/>
      <c r="J405" s="2128"/>
      <c r="K405" s="2128"/>
      <c r="L405" s="2128"/>
      <c r="M405" s="2128"/>
      <c r="N405" s="2128"/>
      <c r="O405" s="2128"/>
      <c r="P405" s="2128"/>
      <c r="Q405" s="2128"/>
      <c r="R405" s="2128"/>
      <c r="S405" s="2128"/>
      <c r="T405" s="2128"/>
      <c r="U405" s="2128"/>
      <c r="V405" s="2128"/>
      <c r="W405" s="2128"/>
      <c r="X405" s="2128"/>
      <c r="Y405" s="2128"/>
      <c r="Z405" s="2128"/>
      <c r="AA405" s="2128"/>
      <c r="AB405" s="2128"/>
      <c r="AC405" s="2128"/>
      <c r="AD405" s="2128"/>
    </row>
    <row r="406" spans="1:30" ht="15.75" customHeight="1" x14ac:dyDescent="0.3">
      <c r="A406" s="4433"/>
      <c r="B406" s="4433"/>
      <c r="C406" s="2128"/>
      <c r="D406" s="2128"/>
      <c r="E406" s="2128"/>
      <c r="F406" s="2128"/>
      <c r="G406" s="2128"/>
      <c r="H406" s="2128"/>
      <c r="I406" s="2128"/>
      <c r="J406" s="2128"/>
      <c r="K406" s="2128"/>
      <c r="L406" s="2128"/>
      <c r="M406" s="2128"/>
      <c r="N406" s="2128"/>
      <c r="O406" s="2128"/>
      <c r="P406" s="2128"/>
      <c r="Q406" s="2128"/>
      <c r="R406" s="2128"/>
      <c r="S406" s="2128"/>
      <c r="T406" s="2128"/>
      <c r="U406" s="2128"/>
      <c r="V406" s="2128"/>
      <c r="W406" s="2128"/>
      <c r="X406" s="2128"/>
      <c r="Y406" s="2128"/>
      <c r="Z406" s="2128"/>
      <c r="AA406" s="2128"/>
      <c r="AB406" s="2128"/>
      <c r="AC406" s="2128"/>
      <c r="AD406" s="2128"/>
    </row>
    <row r="407" spans="1:30" ht="15.75" customHeight="1" x14ac:dyDescent="0.3">
      <c r="A407" s="4433"/>
      <c r="B407" s="4433"/>
      <c r="C407" s="2128"/>
      <c r="D407" s="2128"/>
      <c r="E407" s="2128"/>
      <c r="F407" s="2128"/>
      <c r="G407" s="2128"/>
      <c r="H407" s="2128"/>
      <c r="I407" s="2128"/>
      <c r="J407" s="2128"/>
      <c r="K407" s="2128"/>
      <c r="L407" s="2128"/>
      <c r="M407" s="2128"/>
      <c r="N407" s="2128"/>
      <c r="O407" s="2128"/>
      <c r="P407" s="2128"/>
      <c r="Q407" s="2128"/>
      <c r="R407" s="2128"/>
      <c r="S407" s="2128"/>
      <c r="T407" s="2128"/>
      <c r="U407" s="2128"/>
      <c r="V407" s="2128"/>
      <c r="W407" s="2128"/>
      <c r="X407" s="2128"/>
      <c r="Y407" s="2128"/>
      <c r="Z407" s="2128"/>
      <c r="AA407" s="2128"/>
      <c r="AB407" s="2128"/>
      <c r="AC407" s="2128"/>
      <c r="AD407" s="2128"/>
    </row>
    <row r="408" spans="1:30" ht="15.75" customHeight="1" x14ac:dyDescent="0.3">
      <c r="A408" s="4433"/>
      <c r="B408" s="4433"/>
      <c r="C408" s="2128"/>
      <c r="D408" s="2128"/>
      <c r="E408" s="2128"/>
      <c r="F408" s="2128"/>
      <c r="G408" s="2128"/>
      <c r="H408" s="2128"/>
      <c r="I408" s="2128"/>
      <c r="J408" s="2128"/>
      <c r="K408" s="2128"/>
      <c r="L408" s="2128"/>
      <c r="M408" s="2128"/>
      <c r="N408" s="2128"/>
      <c r="O408" s="2128"/>
      <c r="P408" s="2128"/>
      <c r="Q408" s="2128"/>
      <c r="R408" s="2128"/>
      <c r="S408" s="2128"/>
      <c r="T408" s="2128"/>
      <c r="U408" s="2128"/>
      <c r="V408" s="2128"/>
      <c r="W408" s="2128"/>
      <c r="X408" s="2128"/>
      <c r="Y408" s="2128"/>
      <c r="Z408" s="2128"/>
      <c r="AA408" s="2128"/>
      <c r="AB408" s="2128"/>
      <c r="AC408" s="2128"/>
      <c r="AD408" s="2128"/>
    </row>
    <row r="409" spans="1:30" ht="15.75" customHeight="1" x14ac:dyDescent="0.3">
      <c r="A409" s="4433"/>
      <c r="B409" s="4433"/>
      <c r="C409" s="2128"/>
      <c r="D409" s="2128"/>
      <c r="E409" s="2128"/>
      <c r="F409" s="2128"/>
      <c r="G409" s="2128"/>
      <c r="H409" s="2128"/>
      <c r="I409" s="2128"/>
      <c r="J409" s="2128"/>
      <c r="K409" s="2128"/>
      <c r="L409" s="2128"/>
      <c r="M409" s="2128"/>
      <c r="N409" s="2128"/>
      <c r="O409" s="2128"/>
      <c r="P409" s="2128"/>
      <c r="Q409" s="2128"/>
      <c r="R409" s="2128"/>
      <c r="S409" s="2128"/>
      <c r="T409" s="2128"/>
      <c r="U409" s="2128"/>
      <c r="V409" s="2128"/>
      <c r="W409" s="2128"/>
      <c r="X409" s="2128"/>
      <c r="Y409" s="2128"/>
      <c r="Z409" s="2128"/>
      <c r="AA409" s="2128"/>
      <c r="AB409" s="2128"/>
      <c r="AC409" s="2128"/>
      <c r="AD409" s="2128"/>
    </row>
    <row r="410" spans="1:30" ht="15.75" customHeight="1" x14ac:dyDescent="0.3">
      <c r="A410" s="4433"/>
      <c r="B410" s="4433"/>
      <c r="C410" s="2128"/>
      <c r="D410" s="2128"/>
      <c r="E410" s="2128"/>
      <c r="F410" s="2128"/>
      <c r="G410" s="2128"/>
      <c r="H410" s="2128"/>
      <c r="I410" s="2128"/>
      <c r="J410" s="2128"/>
      <c r="K410" s="2128"/>
      <c r="L410" s="2128"/>
      <c r="M410" s="2128"/>
      <c r="N410" s="2128"/>
      <c r="O410" s="2128"/>
      <c r="P410" s="2128"/>
      <c r="Q410" s="2128"/>
      <c r="R410" s="2128"/>
      <c r="S410" s="2128"/>
      <c r="T410" s="2128"/>
      <c r="U410" s="2128"/>
      <c r="V410" s="2128"/>
      <c r="W410" s="2128"/>
      <c r="X410" s="2128"/>
      <c r="Y410" s="2128"/>
      <c r="Z410" s="2128"/>
      <c r="AA410" s="2128"/>
      <c r="AB410" s="2128"/>
      <c r="AC410" s="2128"/>
      <c r="AD410" s="2128"/>
    </row>
    <row r="411" spans="1:30" ht="15.75" customHeight="1" x14ac:dyDescent="0.3">
      <c r="A411" s="4433"/>
      <c r="B411" s="4433"/>
      <c r="C411" s="2128"/>
      <c r="D411" s="2128"/>
      <c r="E411" s="2128"/>
      <c r="F411" s="2128"/>
      <c r="G411" s="2128"/>
      <c r="H411" s="2128"/>
      <c r="I411" s="2128"/>
      <c r="J411" s="2128"/>
      <c r="K411" s="2128"/>
      <c r="L411" s="2128"/>
      <c r="M411" s="2128"/>
      <c r="N411" s="2128"/>
      <c r="O411" s="2128"/>
      <c r="P411" s="2128"/>
      <c r="Q411" s="2128"/>
      <c r="R411" s="2128"/>
      <c r="S411" s="2128"/>
      <c r="T411" s="2128"/>
      <c r="U411" s="2128"/>
      <c r="V411" s="2128"/>
      <c r="W411" s="2128"/>
      <c r="X411" s="2128"/>
      <c r="Y411" s="2128"/>
      <c r="Z411" s="2128"/>
      <c r="AA411" s="2128"/>
      <c r="AB411" s="2128"/>
      <c r="AC411" s="2128"/>
      <c r="AD411" s="2128"/>
    </row>
    <row r="412" spans="1:30" ht="15.75" customHeight="1" x14ac:dyDescent="0.3">
      <c r="A412" s="4433"/>
      <c r="B412" s="4433"/>
      <c r="C412" s="2128"/>
      <c r="D412" s="2128"/>
      <c r="E412" s="2128"/>
      <c r="F412" s="2128"/>
      <c r="G412" s="2128"/>
      <c r="H412" s="2128"/>
      <c r="I412" s="2128"/>
      <c r="J412" s="2128"/>
      <c r="K412" s="2128"/>
      <c r="L412" s="2128"/>
      <c r="M412" s="2128"/>
      <c r="N412" s="2128"/>
      <c r="O412" s="2128"/>
      <c r="P412" s="2128"/>
      <c r="Q412" s="2128"/>
      <c r="R412" s="2128"/>
      <c r="S412" s="2128"/>
      <c r="T412" s="2128"/>
      <c r="U412" s="2128"/>
      <c r="V412" s="2128"/>
      <c r="W412" s="2128"/>
      <c r="X412" s="2128"/>
      <c r="Y412" s="2128"/>
      <c r="Z412" s="2128"/>
      <c r="AA412" s="2128"/>
      <c r="AB412" s="2128"/>
      <c r="AC412" s="2128"/>
      <c r="AD412" s="2128"/>
    </row>
    <row r="413" spans="1:30" ht="15.75" customHeight="1" x14ac:dyDescent="0.3">
      <c r="A413" s="4433"/>
      <c r="B413" s="4433"/>
      <c r="C413" s="2128"/>
      <c r="D413" s="2128"/>
      <c r="E413" s="2128"/>
      <c r="F413" s="2128"/>
      <c r="G413" s="2128"/>
      <c r="H413" s="2128"/>
      <c r="I413" s="2128"/>
      <c r="J413" s="2128"/>
      <c r="K413" s="2128"/>
      <c r="L413" s="2128"/>
      <c r="M413" s="2128"/>
      <c r="N413" s="2128"/>
      <c r="O413" s="2128"/>
      <c r="P413" s="2128"/>
      <c r="Q413" s="2128"/>
      <c r="R413" s="2128"/>
      <c r="S413" s="2128"/>
      <c r="T413" s="2128"/>
      <c r="U413" s="2128"/>
      <c r="V413" s="2128"/>
      <c r="W413" s="2128"/>
      <c r="X413" s="2128"/>
      <c r="Y413" s="2128"/>
      <c r="Z413" s="2128"/>
      <c r="AA413" s="2128"/>
      <c r="AB413" s="2128"/>
      <c r="AC413" s="2128"/>
      <c r="AD413" s="2128"/>
    </row>
    <row r="414" spans="1:30" ht="15.75" customHeight="1" x14ac:dyDescent="0.3">
      <c r="A414" s="4433"/>
      <c r="B414" s="4433"/>
      <c r="C414" s="2128"/>
      <c r="D414" s="2128"/>
      <c r="E414" s="2128"/>
      <c r="F414" s="2128"/>
      <c r="G414" s="2128"/>
      <c r="H414" s="2128"/>
      <c r="I414" s="2128"/>
      <c r="J414" s="2128"/>
      <c r="K414" s="2128"/>
      <c r="L414" s="2128"/>
      <c r="M414" s="2128"/>
      <c r="N414" s="2128"/>
      <c r="O414" s="2128"/>
      <c r="P414" s="2128"/>
      <c r="Q414" s="2128"/>
      <c r="R414" s="2128"/>
      <c r="S414" s="2128"/>
      <c r="T414" s="2128"/>
      <c r="U414" s="2128"/>
      <c r="V414" s="2128"/>
      <c r="W414" s="2128"/>
      <c r="X414" s="2128"/>
      <c r="Y414" s="2128"/>
      <c r="Z414" s="2128"/>
      <c r="AA414" s="2128"/>
      <c r="AB414" s="2128"/>
      <c r="AC414" s="2128"/>
      <c r="AD414" s="2128"/>
    </row>
    <row r="415" spans="1:30" ht="15.75" customHeight="1" x14ac:dyDescent="0.3">
      <c r="A415" s="4433"/>
      <c r="B415" s="4433"/>
      <c r="C415" s="2128"/>
      <c r="D415" s="2128"/>
      <c r="E415" s="2128"/>
      <c r="F415" s="2128"/>
      <c r="G415" s="2128"/>
      <c r="H415" s="2128"/>
      <c r="I415" s="2128"/>
      <c r="J415" s="2128"/>
      <c r="K415" s="2128"/>
      <c r="L415" s="2128"/>
      <c r="M415" s="2128"/>
      <c r="N415" s="2128"/>
      <c r="O415" s="2128"/>
      <c r="P415" s="2128"/>
      <c r="Q415" s="2128"/>
      <c r="R415" s="2128"/>
      <c r="S415" s="2128"/>
      <c r="T415" s="2128"/>
      <c r="U415" s="2128"/>
      <c r="V415" s="2128"/>
      <c r="W415" s="2128"/>
      <c r="X415" s="2128"/>
      <c r="Y415" s="2128"/>
      <c r="Z415" s="2128"/>
      <c r="AA415" s="2128"/>
      <c r="AB415" s="2128"/>
      <c r="AC415" s="2128"/>
      <c r="AD415" s="2128"/>
    </row>
    <row r="416" spans="1:30" ht="15.75" customHeight="1" x14ac:dyDescent="0.3">
      <c r="A416" s="4433"/>
      <c r="B416" s="4433"/>
      <c r="C416" s="2128"/>
      <c r="D416" s="2128"/>
      <c r="E416" s="2128"/>
      <c r="F416" s="2128"/>
      <c r="G416" s="2128"/>
      <c r="H416" s="2128"/>
      <c r="I416" s="2128"/>
      <c r="J416" s="2128"/>
      <c r="K416" s="2128"/>
      <c r="L416" s="2128"/>
      <c r="M416" s="2128"/>
      <c r="N416" s="2128"/>
      <c r="O416" s="2128"/>
      <c r="P416" s="2128"/>
      <c r="Q416" s="2128"/>
      <c r="R416" s="2128"/>
      <c r="S416" s="2128"/>
      <c r="T416" s="2128"/>
      <c r="U416" s="2128"/>
      <c r="V416" s="2128"/>
      <c r="W416" s="2128"/>
      <c r="X416" s="2128"/>
      <c r="Y416" s="2128"/>
      <c r="Z416" s="2128"/>
      <c r="AA416" s="2128"/>
      <c r="AB416" s="2128"/>
      <c r="AC416" s="2128"/>
      <c r="AD416" s="2128"/>
    </row>
    <row r="417" spans="1:30" ht="15.75" customHeight="1" x14ac:dyDescent="0.3">
      <c r="A417" s="4433"/>
      <c r="B417" s="4433"/>
      <c r="C417" s="2128"/>
      <c r="D417" s="2128"/>
      <c r="E417" s="2128"/>
      <c r="F417" s="2128"/>
      <c r="G417" s="2128"/>
      <c r="H417" s="2128"/>
      <c r="I417" s="2128"/>
      <c r="J417" s="2128"/>
      <c r="K417" s="2128"/>
      <c r="L417" s="2128"/>
      <c r="M417" s="2128"/>
      <c r="N417" s="2128"/>
      <c r="O417" s="2128"/>
      <c r="P417" s="2128"/>
      <c r="Q417" s="2128"/>
      <c r="R417" s="2128"/>
      <c r="S417" s="2128"/>
      <c r="T417" s="2128"/>
      <c r="U417" s="2128"/>
      <c r="V417" s="2128"/>
      <c r="W417" s="2128"/>
      <c r="X417" s="2128"/>
      <c r="Y417" s="2128"/>
      <c r="Z417" s="2128"/>
      <c r="AA417" s="2128"/>
      <c r="AB417" s="2128"/>
      <c r="AC417" s="2128"/>
      <c r="AD417" s="2128"/>
    </row>
    <row r="418" spans="1:30" ht="15.75" customHeight="1" x14ac:dyDescent="0.3">
      <c r="A418" s="4433"/>
      <c r="B418" s="4433"/>
      <c r="C418" s="2128"/>
      <c r="D418" s="2128"/>
      <c r="E418" s="2128"/>
      <c r="F418" s="2128"/>
      <c r="G418" s="2128"/>
      <c r="H418" s="2128"/>
      <c r="I418" s="2128"/>
      <c r="J418" s="2128"/>
      <c r="K418" s="2128"/>
      <c r="L418" s="2128"/>
      <c r="M418" s="2128"/>
      <c r="N418" s="2128"/>
      <c r="O418" s="2128"/>
      <c r="P418" s="2128"/>
      <c r="Q418" s="2128"/>
      <c r="R418" s="2128"/>
      <c r="S418" s="2128"/>
      <c r="T418" s="2128"/>
      <c r="U418" s="2128"/>
      <c r="V418" s="2128"/>
      <c r="W418" s="2128"/>
      <c r="X418" s="2128"/>
      <c r="Y418" s="2128"/>
      <c r="Z418" s="2128"/>
      <c r="AA418" s="2128"/>
      <c r="AB418" s="2128"/>
      <c r="AC418" s="2128"/>
      <c r="AD418" s="2128"/>
    </row>
    <row r="419" spans="1:30" ht="15.75" customHeight="1" x14ac:dyDescent="0.3">
      <c r="A419" s="4433"/>
      <c r="B419" s="4433"/>
      <c r="C419" s="2128"/>
      <c r="D419" s="2128"/>
      <c r="E419" s="2128"/>
      <c r="F419" s="2128"/>
      <c r="G419" s="2128"/>
      <c r="H419" s="2128"/>
      <c r="I419" s="2128"/>
      <c r="J419" s="2128"/>
      <c r="K419" s="2128"/>
      <c r="L419" s="2128"/>
      <c r="M419" s="2128"/>
      <c r="N419" s="2128"/>
      <c r="O419" s="2128"/>
      <c r="P419" s="2128"/>
      <c r="Q419" s="2128"/>
      <c r="R419" s="2128"/>
      <c r="S419" s="2128"/>
      <c r="T419" s="2128"/>
      <c r="U419" s="2128"/>
      <c r="V419" s="2128"/>
      <c r="W419" s="2128"/>
      <c r="X419" s="2128"/>
      <c r="Y419" s="2128"/>
      <c r="Z419" s="2128"/>
      <c r="AA419" s="2128"/>
      <c r="AB419" s="2128"/>
      <c r="AC419" s="2128"/>
      <c r="AD419" s="2128"/>
    </row>
    <row r="420" spans="1:30" ht="15.75" customHeight="1" x14ac:dyDescent="0.3">
      <c r="A420" s="4433"/>
      <c r="B420" s="4433"/>
      <c r="C420" s="2128"/>
      <c r="D420" s="2128"/>
      <c r="E420" s="2128"/>
      <c r="F420" s="2128"/>
      <c r="G420" s="2128"/>
      <c r="H420" s="2128"/>
      <c r="I420" s="2128"/>
      <c r="J420" s="2128"/>
      <c r="K420" s="2128"/>
      <c r="L420" s="2128"/>
      <c r="M420" s="2128"/>
      <c r="N420" s="2128"/>
      <c r="O420" s="2128"/>
      <c r="P420" s="2128"/>
      <c r="Q420" s="2128"/>
      <c r="R420" s="2128"/>
      <c r="S420" s="2128"/>
      <c r="T420" s="2128"/>
      <c r="U420" s="2128"/>
      <c r="V420" s="2128"/>
      <c r="W420" s="2128"/>
      <c r="X420" s="2128"/>
      <c r="Y420" s="2128"/>
      <c r="Z420" s="2128"/>
      <c r="AA420" s="2128"/>
      <c r="AB420" s="2128"/>
      <c r="AC420" s="2128"/>
      <c r="AD420" s="2128"/>
    </row>
    <row r="421" spans="1:30" ht="15.75" customHeight="1" x14ac:dyDescent="0.3">
      <c r="A421" s="4433"/>
      <c r="B421" s="4433"/>
      <c r="C421" s="2128"/>
      <c r="D421" s="2128"/>
      <c r="E421" s="2128"/>
      <c r="F421" s="2128"/>
      <c r="G421" s="2128"/>
      <c r="H421" s="2128"/>
      <c r="I421" s="2128"/>
      <c r="J421" s="2128"/>
      <c r="K421" s="2128"/>
      <c r="L421" s="2128"/>
      <c r="M421" s="2128"/>
      <c r="N421" s="2128"/>
      <c r="O421" s="2128"/>
      <c r="P421" s="2128"/>
      <c r="Q421" s="2128"/>
      <c r="R421" s="2128"/>
      <c r="S421" s="2128"/>
      <c r="T421" s="2128"/>
      <c r="U421" s="2128"/>
      <c r="V421" s="2128"/>
      <c r="W421" s="2128"/>
      <c r="X421" s="2128"/>
      <c r="Y421" s="2128"/>
      <c r="Z421" s="2128"/>
      <c r="AA421" s="2128"/>
      <c r="AB421" s="2128"/>
      <c r="AC421" s="2128"/>
      <c r="AD421" s="2128"/>
    </row>
    <row r="422" spans="1:30" ht="15.75" customHeight="1" x14ac:dyDescent="0.3">
      <c r="A422" s="4433"/>
      <c r="B422" s="4433"/>
      <c r="C422" s="2128"/>
      <c r="D422" s="2128"/>
      <c r="E422" s="2128"/>
      <c r="F422" s="2128"/>
      <c r="G422" s="2128"/>
      <c r="H422" s="2128"/>
      <c r="I422" s="2128"/>
      <c r="J422" s="2128"/>
      <c r="K422" s="2128"/>
      <c r="L422" s="2128"/>
      <c r="M422" s="2128"/>
      <c r="N422" s="2128"/>
      <c r="O422" s="2128"/>
      <c r="P422" s="2128"/>
      <c r="Q422" s="2128"/>
      <c r="R422" s="2128"/>
      <c r="S422" s="2128"/>
      <c r="T422" s="2128"/>
      <c r="U422" s="2128"/>
      <c r="V422" s="2128"/>
      <c r="W422" s="2128"/>
      <c r="X422" s="2128"/>
      <c r="Y422" s="2128"/>
      <c r="Z422" s="2128"/>
      <c r="AA422" s="2128"/>
      <c r="AB422" s="2128"/>
      <c r="AC422" s="2128"/>
      <c r="AD422" s="2128"/>
    </row>
    <row r="423" spans="1:30" ht="15.75" customHeight="1" x14ac:dyDescent="0.3">
      <c r="A423" s="4433"/>
      <c r="B423" s="4433"/>
      <c r="C423" s="2128"/>
      <c r="D423" s="2128"/>
      <c r="E423" s="2128"/>
      <c r="F423" s="2128"/>
      <c r="G423" s="2128"/>
      <c r="H423" s="2128"/>
      <c r="I423" s="2128"/>
      <c r="J423" s="2128"/>
      <c r="K423" s="2128"/>
      <c r="L423" s="2128"/>
      <c r="M423" s="2128"/>
      <c r="N423" s="2128"/>
      <c r="O423" s="2128"/>
      <c r="P423" s="2128"/>
      <c r="Q423" s="2128"/>
      <c r="R423" s="2128"/>
      <c r="S423" s="2128"/>
      <c r="T423" s="2128"/>
      <c r="U423" s="2128"/>
      <c r="V423" s="2128"/>
      <c r="W423" s="2128"/>
      <c r="X423" s="2128"/>
      <c r="Y423" s="2128"/>
      <c r="Z423" s="2128"/>
      <c r="AA423" s="2128"/>
      <c r="AB423" s="2128"/>
      <c r="AC423" s="2128"/>
      <c r="AD423" s="2128"/>
    </row>
    <row r="424" spans="1:30" ht="15.75" customHeight="1" x14ac:dyDescent="0.3">
      <c r="A424" s="4433"/>
      <c r="B424" s="4433"/>
      <c r="C424" s="2128"/>
      <c r="D424" s="2128"/>
      <c r="E424" s="2128"/>
      <c r="F424" s="2128"/>
      <c r="G424" s="2128"/>
      <c r="H424" s="2128"/>
      <c r="I424" s="2128"/>
      <c r="J424" s="2128"/>
      <c r="K424" s="2128"/>
      <c r="L424" s="2128"/>
      <c r="M424" s="2128"/>
      <c r="N424" s="2128"/>
      <c r="O424" s="2128"/>
      <c r="P424" s="2128"/>
      <c r="Q424" s="2128"/>
      <c r="R424" s="2128"/>
      <c r="S424" s="2128"/>
      <c r="T424" s="2128"/>
      <c r="U424" s="2128"/>
      <c r="V424" s="2128"/>
      <c r="W424" s="2128"/>
      <c r="X424" s="2128"/>
      <c r="Y424" s="2128"/>
      <c r="Z424" s="2128"/>
      <c r="AA424" s="2128"/>
      <c r="AB424" s="2128"/>
      <c r="AC424" s="2128"/>
      <c r="AD424" s="2128"/>
    </row>
    <row r="425" spans="1:30" ht="15.75" customHeight="1" x14ac:dyDescent="0.3">
      <c r="A425" s="4433"/>
      <c r="B425" s="4433"/>
      <c r="C425" s="2128"/>
      <c r="D425" s="2128"/>
      <c r="E425" s="2128"/>
      <c r="F425" s="2128"/>
      <c r="G425" s="2128"/>
      <c r="H425" s="2128"/>
      <c r="I425" s="2128"/>
      <c r="J425" s="2128"/>
      <c r="K425" s="2128"/>
      <c r="L425" s="2128"/>
      <c r="M425" s="2128"/>
      <c r="N425" s="2128"/>
      <c r="O425" s="2128"/>
      <c r="P425" s="2128"/>
      <c r="Q425" s="2128"/>
      <c r="R425" s="2128"/>
      <c r="S425" s="2128"/>
      <c r="T425" s="2128"/>
      <c r="U425" s="2128"/>
      <c r="V425" s="2128"/>
      <c r="W425" s="2128"/>
      <c r="X425" s="2128"/>
      <c r="Y425" s="2128"/>
      <c r="Z425" s="2128"/>
      <c r="AA425" s="2128"/>
      <c r="AB425" s="2128"/>
      <c r="AC425" s="2128"/>
      <c r="AD425" s="2128"/>
    </row>
    <row r="426" spans="1:30" ht="15.75" customHeight="1" x14ac:dyDescent="0.3">
      <c r="A426" s="4433"/>
      <c r="B426" s="4433"/>
      <c r="C426" s="2128"/>
      <c r="D426" s="2128"/>
      <c r="E426" s="2128"/>
      <c r="F426" s="2128"/>
      <c r="G426" s="2128"/>
      <c r="H426" s="2128"/>
      <c r="I426" s="2128"/>
      <c r="J426" s="2128"/>
      <c r="K426" s="2128"/>
      <c r="L426" s="2128"/>
      <c r="M426" s="2128"/>
      <c r="N426" s="2128"/>
      <c r="O426" s="2128"/>
      <c r="P426" s="2128"/>
      <c r="Q426" s="2128"/>
      <c r="R426" s="2128"/>
      <c r="S426" s="2128"/>
      <c r="T426" s="2128"/>
      <c r="U426" s="2128"/>
      <c r="V426" s="2128"/>
      <c r="W426" s="2128"/>
      <c r="X426" s="2128"/>
      <c r="Y426" s="2128"/>
      <c r="Z426" s="2128"/>
      <c r="AA426" s="2128"/>
      <c r="AB426" s="2128"/>
      <c r="AC426" s="2128"/>
      <c r="AD426" s="2128"/>
    </row>
    <row r="427" spans="1:30" ht="15.75" customHeight="1" x14ac:dyDescent="0.3">
      <c r="A427" s="4433"/>
      <c r="B427" s="4433"/>
      <c r="C427" s="2128"/>
      <c r="D427" s="2128"/>
      <c r="E427" s="2128"/>
      <c r="F427" s="2128"/>
      <c r="G427" s="2128"/>
      <c r="H427" s="2128"/>
      <c r="I427" s="2128"/>
      <c r="J427" s="2128"/>
      <c r="K427" s="2128"/>
      <c r="L427" s="2128"/>
      <c r="M427" s="2128"/>
      <c r="N427" s="2128"/>
      <c r="O427" s="2128"/>
      <c r="P427" s="2128"/>
      <c r="Q427" s="2128"/>
      <c r="R427" s="2128"/>
      <c r="S427" s="2128"/>
      <c r="T427" s="2128"/>
      <c r="U427" s="2128"/>
      <c r="V427" s="2128"/>
      <c r="W427" s="2128"/>
      <c r="X427" s="2128"/>
      <c r="Y427" s="2128"/>
      <c r="Z427" s="2128"/>
      <c r="AA427" s="2128"/>
      <c r="AB427" s="2128"/>
      <c r="AC427" s="2128"/>
      <c r="AD427" s="2128"/>
    </row>
    <row r="428" spans="1:30" ht="15.75" customHeight="1" x14ac:dyDescent="0.3">
      <c r="A428" s="4433"/>
      <c r="B428" s="4433"/>
      <c r="C428" s="2128"/>
      <c r="D428" s="2128"/>
      <c r="E428" s="2128"/>
      <c r="F428" s="2128"/>
      <c r="G428" s="2128"/>
      <c r="H428" s="2128"/>
      <c r="I428" s="2128"/>
      <c r="J428" s="2128"/>
      <c r="K428" s="2128"/>
      <c r="L428" s="2128"/>
      <c r="M428" s="2128"/>
      <c r="N428" s="2128"/>
      <c r="O428" s="2128"/>
      <c r="P428" s="2128"/>
      <c r="Q428" s="2128"/>
      <c r="R428" s="2128"/>
      <c r="S428" s="2128"/>
      <c r="T428" s="2128"/>
      <c r="U428" s="2128"/>
      <c r="V428" s="2128"/>
      <c r="W428" s="2128"/>
      <c r="X428" s="2128"/>
      <c r="Y428" s="2128"/>
      <c r="Z428" s="2128"/>
      <c r="AA428" s="2128"/>
      <c r="AB428" s="2128"/>
      <c r="AC428" s="2128"/>
      <c r="AD428" s="2128"/>
    </row>
    <row r="429" spans="1:30" ht="15.75" customHeight="1" x14ac:dyDescent="0.3">
      <c r="A429" s="4433"/>
      <c r="B429" s="4433"/>
      <c r="C429" s="2128"/>
      <c r="D429" s="2128"/>
      <c r="E429" s="2128"/>
      <c r="F429" s="2128"/>
      <c r="G429" s="2128"/>
      <c r="H429" s="2128"/>
      <c r="I429" s="2128"/>
      <c r="J429" s="2128"/>
      <c r="K429" s="2128"/>
      <c r="L429" s="2128"/>
      <c r="M429" s="2128"/>
      <c r="N429" s="2128"/>
      <c r="O429" s="2128"/>
      <c r="P429" s="2128"/>
      <c r="Q429" s="2128"/>
      <c r="R429" s="2128"/>
      <c r="S429" s="2128"/>
      <c r="T429" s="2128"/>
      <c r="U429" s="2128"/>
      <c r="V429" s="2128"/>
      <c r="W429" s="2128"/>
      <c r="X429" s="2128"/>
      <c r="Y429" s="2128"/>
      <c r="Z429" s="2128"/>
      <c r="AA429" s="2128"/>
      <c r="AB429" s="2128"/>
      <c r="AC429" s="2128"/>
      <c r="AD429" s="2128"/>
    </row>
    <row r="430" spans="1:30" ht="15.75" customHeight="1" x14ac:dyDescent="0.3">
      <c r="A430" s="4433"/>
      <c r="B430" s="4433"/>
      <c r="C430" s="2128"/>
      <c r="D430" s="2128"/>
      <c r="E430" s="2128"/>
      <c r="F430" s="2128"/>
      <c r="G430" s="2128"/>
      <c r="H430" s="2128"/>
      <c r="I430" s="2128"/>
      <c r="J430" s="2128"/>
      <c r="K430" s="2128"/>
      <c r="L430" s="2128"/>
      <c r="M430" s="2128"/>
      <c r="N430" s="2128"/>
      <c r="O430" s="2128"/>
      <c r="P430" s="2128"/>
      <c r="Q430" s="2128"/>
      <c r="R430" s="2128"/>
      <c r="S430" s="2128"/>
      <c r="T430" s="2128"/>
      <c r="U430" s="2128"/>
      <c r="V430" s="2128"/>
      <c r="W430" s="2128"/>
      <c r="X430" s="2128"/>
      <c r="Y430" s="2128"/>
      <c r="Z430" s="2128"/>
      <c r="AA430" s="2128"/>
      <c r="AB430" s="2128"/>
      <c r="AC430" s="2128"/>
      <c r="AD430" s="2128"/>
    </row>
    <row r="431" spans="1:30" ht="15.75" customHeight="1" x14ac:dyDescent="0.3">
      <c r="A431" s="4433"/>
      <c r="B431" s="4433"/>
      <c r="C431" s="2128"/>
      <c r="D431" s="2128"/>
      <c r="E431" s="2128"/>
      <c r="F431" s="2128"/>
      <c r="G431" s="2128"/>
      <c r="H431" s="2128"/>
      <c r="I431" s="2128"/>
      <c r="J431" s="2128"/>
      <c r="K431" s="2128"/>
      <c r="L431" s="2128"/>
      <c r="M431" s="2128"/>
      <c r="N431" s="2128"/>
      <c r="O431" s="2128"/>
      <c r="P431" s="2128"/>
      <c r="Q431" s="2128"/>
      <c r="R431" s="2128"/>
      <c r="S431" s="2128"/>
      <c r="T431" s="2128"/>
      <c r="U431" s="2128"/>
      <c r="V431" s="2128"/>
      <c r="W431" s="2128"/>
      <c r="X431" s="2128"/>
      <c r="Y431" s="2128"/>
      <c r="Z431" s="2128"/>
      <c r="AA431" s="2128"/>
      <c r="AB431" s="2128"/>
      <c r="AC431" s="2128"/>
      <c r="AD431" s="2128"/>
    </row>
    <row r="432" spans="1:30" ht="15.75" customHeight="1" x14ac:dyDescent="0.3">
      <c r="A432" s="4433"/>
      <c r="B432" s="4433"/>
      <c r="C432" s="2128"/>
      <c r="D432" s="2128"/>
      <c r="E432" s="2128"/>
      <c r="F432" s="2128"/>
      <c r="G432" s="2128"/>
      <c r="H432" s="2128"/>
      <c r="I432" s="2128"/>
      <c r="J432" s="2128"/>
      <c r="K432" s="2128"/>
      <c r="L432" s="2128"/>
      <c r="M432" s="2128"/>
      <c r="N432" s="2128"/>
      <c r="O432" s="2128"/>
      <c r="P432" s="2128"/>
      <c r="Q432" s="2128"/>
      <c r="R432" s="2128"/>
      <c r="S432" s="2128"/>
      <c r="T432" s="2128"/>
      <c r="U432" s="2128"/>
      <c r="V432" s="2128"/>
      <c r="W432" s="2128"/>
      <c r="X432" s="2128"/>
      <c r="Y432" s="2128"/>
      <c r="Z432" s="2128"/>
      <c r="AA432" s="2128"/>
      <c r="AB432" s="2128"/>
      <c r="AC432" s="2128"/>
      <c r="AD432" s="2128"/>
    </row>
    <row r="433" spans="1:30" ht="15.75" customHeight="1" x14ac:dyDescent="0.3">
      <c r="A433" s="4433"/>
      <c r="B433" s="4433"/>
      <c r="C433" s="2128"/>
      <c r="D433" s="2128"/>
      <c r="E433" s="2128"/>
      <c r="F433" s="2128"/>
      <c r="G433" s="2128"/>
      <c r="H433" s="2128"/>
      <c r="I433" s="2128"/>
      <c r="J433" s="2128"/>
      <c r="K433" s="2128"/>
      <c r="L433" s="2128"/>
      <c r="M433" s="2128"/>
      <c r="N433" s="2128"/>
      <c r="O433" s="2128"/>
      <c r="P433" s="2128"/>
      <c r="Q433" s="2128"/>
      <c r="R433" s="2128"/>
      <c r="S433" s="2128"/>
      <c r="T433" s="2128"/>
      <c r="U433" s="2128"/>
      <c r="V433" s="2128"/>
      <c r="W433" s="2128"/>
      <c r="X433" s="2128"/>
      <c r="Y433" s="2128"/>
      <c r="Z433" s="2128"/>
      <c r="AA433" s="2128"/>
      <c r="AB433" s="2128"/>
      <c r="AC433" s="2128"/>
      <c r="AD433" s="2128"/>
    </row>
    <row r="434" spans="1:30" ht="15.75" customHeight="1" x14ac:dyDescent="0.3">
      <c r="A434" s="4433"/>
      <c r="B434" s="4433"/>
      <c r="C434" s="2128"/>
      <c r="D434" s="2128"/>
      <c r="E434" s="2128"/>
      <c r="F434" s="2128"/>
      <c r="G434" s="2128"/>
      <c r="H434" s="2128"/>
      <c r="I434" s="2128"/>
      <c r="J434" s="2128"/>
      <c r="K434" s="2128"/>
      <c r="L434" s="2128"/>
      <c r="M434" s="2128"/>
      <c r="N434" s="2128"/>
      <c r="O434" s="2128"/>
      <c r="P434" s="2128"/>
      <c r="Q434" s="2128"/>
      <c r="R434" s="2128"/>
      <c r="S434" s="2128"/>
      <c r="T434" s="2128"/>
      <c r="U434" s="2128"/>
      <c r="V434" s="2128"/>
      <c r="W434" s="2128"/>
      <c r="X434" s="2128"/>
      <c r="Y434" s="2128"/>
      <c r="Z434" s="2128"/>
      <c r="AA434" s="2128"/>
      <c r="AB434" s="2128"/>
      <c r="AC434" s="2128"/>
      <c r="AD434" s="2128"/>
    </row>
    <row r="435" spans="1:30" ht="15.75" customHeight="1" x14ac:dyDescent="0.3">
      <c r="A435" s="4433"/>
      <c r="B435" s="4433"/>
      <c r="C435" s="2128"/>
      <c r="D435" s="2128"/>
      <c r="E435" s="2128"/>
      <c r="F435" s="2128"/>
      <c r="G435" s="2128"/>
      <c r="H435" s="2128"/>
      <c r="I435" s="2128"/>
      <c r="J435" s="2128"/>
      <c r="K435" s="2128"/>
      <c r="L435" s="2128"/>
      <c r="M435" s="2128"/>
      <c r="N435" s="2128"/>
      <c r="O435" s="2128"/>
      <c r="P435" s="2128"/>
      <c r="Q435" s="2128"/>
      <c r="R435" s="2128"/>
      <c r="S435" s="2128"/>
      <c r="T435" s="2128"/>
      <c r="U435" s="2128"/>
      <c r="V435" s="2128"/>
      <c r="W435" s="2128"/>
      <c r="X435" s="2128"/>
      <c r="Y435" s="2128"/>
      <c r="Z435" s="2128"/>
      <c r="AA435" s="2128"/>
      <c r="AB435" s="2128"/>
      <c r="AC435" s="2128"/>
      <c r="AD435" s="2128"/>
    </row>
    <row r="436" spans="1:30" ht="15.75" customHeight="1" x14ac:dyDescent="0.3">
      <c r="A436" s="4433"/>
      <c r="B436" s="4433"/>
      <c r="C436" s="2128"/>
      <c r="D436" s="2128"/>
      <c r="E436" s="2128"/>
      <c r="F436" s="2128"/>
      <c r="G436" s="2128"/>
      <c r="H436" s="2128"/>
      <c r="I436" s="2128"/>
      <c r="J436" s="2128"/>
      <c r="K436" s="2128"/>
      <c r="L436" s="2128"/>
      <c r="M436" s="2128"/>
      <c r="N436" s="2128"/>
      <c r="O436" s="2128"/>
      <c r="P436" s="2128"/>
      <c r="Q436" s="2128"/>
      <c r="R436" s="2128"/>
      <c r="S436" s="2128"/>
      <c r="T436" s="2128"/>
      <c r="U436" s="2128"/>
      <c r="V436" s="2128"/>
      <c r="W436" s="2128"/>
      <c r="X436" s="2128"/>
      <c r="Y436" s="2128"/>
      <c r="Z436" s="2128"/>
      <c r="AA436" s="2128"/>
      <c r="AB436" s="2128"/>
      <c r="AC436" s="2128"/>
      <c r="AD436" s="2128"/>
    </row>
    <row r="437" spans="1:30" ht="15.75" customHeight="1" x14ac:dyDescent="0.3">
      <c r="A437" s="4433"/>
      <c r="B437" s="4433"/>
      <c r="C437" s="2128"/>
      <c r="D437" s="2128"/>
      <c r="E437" s="2128"/>
      <c r="F437" s="2128"/>
      <c r="G437" s="2128"/>
      <c r="H437" s="2128"/>
      <c r="I437" s="2128"/>
      <c r="J437" s="2128"/>
      <c r="K437" s="2128"/>
      <c r="L437" s="2128"/>
      <c r="M437" s="2128"/>
      <c r="N437" s="2128"/>
      <c r="O437" s="2128"/>
      <c r="P437" s="2128"/>
      <c r="Q437" s="2128"/>
      <c r="R437" s="2128"/>
      <c r="S437" s="2128"/>
      <c r="T437" s="2128"/>
      <c r="U437" s="2128"/>
      <c r="V437" s="2128"/>
      <c r="W437" s="2128"/>
      <c r="X437" s="2128"/>
      <c r="Y437" s="2128"/>
      <c r="Z437" s="2128"/>
      <c r="AA437" s="2128"/>
      <c r="AB437" s="2128"/>
      <c r="AC437" s="2128"/>
      <c r="AD437" s="2128"/>
    </row>
    <row r="438" spans="1:30" ht="15.75" customHeight="1" x14ac:dyDescent="0.3">
      <c r="A438" s="4433"/>
      <c r="B438" s="4433"/>
      <c r="C438" s="2128"/>
      <c r="D438" s="2128"/>
      <c r="E438" s="2128"/>
      <c r="F438" s="2128"/>
      <c r="G438" s="2128"/>
      <c r="H438" s="2128"/>
      <c r="I438" s="2128"/>
      <c r="J438" s="2128"/>
      <c r="K438" s="2128"/>
      <c r="L438" s="2128"/>
      <c r="M438" s="2128"/>
      <c r="N438" s="2128"/>
      <c r="O438" s="2128"/>
      <c r="P438" s="2128"/>
      <c r="Q438" s="2128"/>
      <c r="R438" s="2128"/>
      <c r="S438" s="2128"/>
      <c r="T438" s="2128"/>
      <c r="U438" s="2128"/>
      <c r="V438" s="2128"/>
      <c r="W438" s="2128"/>
      <c r="X438" s="2128"/>
      <c r="Y438" s="2128"/>
      <c r="Z438" s="2128"/>
      <c r="AA438" s="2128"/>
      <c r="AB438" s="2128"/>
      <c r="AC438" s="2128"/>
      <c r="AD438" s="2128"/>
    </row>
    <row r="439" spans="1:30" ht="15.75" customHeight="1" x14ac:dyDescent="0.3">
      <c r="A439" s="4433"/>
      <c r="B439" s="4433"/>
      <c r="C439" s="2128"/>
      <c r="D439" s="2128"/>
      <c r="E439" s="2128"/>
      <c r="F439" s="2128"/>
      <c r="G439" s="2128"/>
      <c r="H439" s="2128"/>
      <c r="I439" s="2128"/>
      <c r="J439" s="2128"/>
      <c r="K439" s="2128"/>
      <c r="L439" s="2128"/>
      <c r="M439" s="2128"/>
      <c r="N439" s="2128"/>
      <c r="O439" s="2128"/>
      <c r="P439" s="2128"/>
      <c r="Q439" s="2128"/>
      <c r="R439" s="2128"/>
      <c r="S439" s="2128"/>
      <c r="T439" s="2128"/>
      <c r="U439" s="2128"/>
      <c r="V439" s="2128"/>
      <c r="W439" s="2128"/>
      <c r="X439" s="2128"/>
      <c r="Y439" s="2128"/>
      <c r="Z439" s="2128"/>
      <c r="AA439" s="2128"/>
      <c r="AB439" s="2128"/>
      <c r="AC439" s="2128"/>
      <c r="AD439" s="2128"/>
    </row>
    <row r="440" spans="1:30" ht="15.75" customHeight="1" x14ac:dyDescent="0.3">
      <c r="A440" s="4433"/>
      <c r="B440" s="4433"/>
      <c r="C440" s="2128"/>
      <c r="D440" s="2128"/>
      <c r="E440" s="2128"/>
      <c r="F440" s="2128"/>
      <c r="G440" s="2128"/>
      <c r="H440" s="2128"/>
      <c r="I440" s="2128"/>
      <c r="J440" s="2128"/>
      <c r="K440" s="2128"/>
      <c r="L440" s="2128"/>
      <c r="M440" s="2128"/>
      <c r="N440" s="2128"/>
      <c r="O440" s="2128"/>
      <c r="P440" s="2128"/>
      <c r="Q440" s="2128"/>
      <c r="R440" s="2128"/>
      <c r="S440" s="2128"/>
      <c r="T440" s="2128"/>
      <c r="U440" s="2128"/>
      <c r="V440" s="2128"/>
      <c r="W440" s="2128"/>
      <c r="X440" s="2128"/>
      <c r="Y440" s="2128"/>
      <c r="Z440" s="2128"/>
      <c r="AA440" s="2128"/>
      <c r="AB440" s="2128"/>
      <c r="AC440" s="2128"/>
      <c r="AD440" s="2128"/>
    </row>
    <row r="441" spans="1:30" ht="15.75" customHeight="1" x14ac:dyDescent="0.3">
      <c r="A441" s="4433"/>
      <c r="B441" s="4433"/>
      <c r="C441" s="2128"/>
      <c r="D441" s="2128"/>
      <c r="E441" s="2128"/>
      <c r="F441" s="2128"/>
      <c r="G441" s="2128"/>
      <c r="H441" s="2128"/>
      <c r="I441" s="2128"/>
      <c r="J441" s="2128"/>
      <c r="K441" s="2128"/>
      <c r="L441" s="2128"/>
      <c r="M441" s="2128"/>
      <c r="N441" s="2128"/>
      <c r="O441" s="2128"/>
      <c r="P441" s="2128"/>
      <c r="Q441" s="2128"/>
      <c r="R441" s="2128"/>
      <c r="S441" s="2128"/>
      <c r="T441" s="2128"/>
      <c r="U441" s="2128"/>
      <c r="V441" s="2128"/>
      <c r="W441" s="2128"/>
      <c r="X441" s="2128"/>
      <c r="Y441" s="2128"/>
      <c r="Z441" s="2128"/>
      <c r="AA441" s="2128"/>
      <c r="AB441" s="2128"/>
      <c r="AC441" s="2128"/>
      <c r="AD441" s="2128"/>
    </row>
    <row r="442" spans="1:30" ht="15.75" customHeight="1" x14ac:dyDescent="0.3">
      <c r="A442" s="4433"/>
      <c r="B442" s="4433"/>
      <c r="C442" s="2128"/>
      <c r="D442" s="2128"/>
      <c r="E442" s="2128"/>
      <c r="F442" s="2128"/>
      <c r="G442" s="2128"/>
      <c r="H442" s="2128"/>
      <c r="I442" s="2128"/>
      <c r="J442" s="2128"/>
      <c r="K442" s="2128"/>
      <c r="L442" s="2128"/>
      <c r="M442" s="2128"/>
      <c r="N442" s="2128"/>
      <c r="O442" s="2128"/>
      <c r="P442" s="2128"/>
      <c r="Q442" s="2128"/>
      <c r="R442" s="2128"/>
      <c r="S442" s="2128"/>
      <c r="T442" s="2128"/>
      <c r="U442" s="2128"/>
      <c r="V442" s="2128"/>
      <c r="W442" s="2128"/>
      <c r="X442" s="2128"/>
      <c r="Y442" s="2128"/>
      <c r="Z442" s="2128"/>
      <c r="AA442" s="2128"/>
      <c r="AB442" s="2128"/>
      <c r="AC442" s="2128"/>
      <c r="AD442" s="2128"/>
    </row>
    <row r="443" spans="1:30" ht="15.75" customHeight="1" x14ac:dyDescent="0.3">
      <c r="A443" s="4433"/>
      <c r="B443" s="4433"/>
      <c r="C443" s="2128"/>
      <c r="D443" s="2128"/>
      <c r="E443" s="2128"/>
      <c r="F443" s="2128"/>
      <c r="G443" s="2128"/>
      <c r="H443" s="2128"/>
      <c r="I443" s="2128"/>
      <c r="J443" s="2128"/>
      <c r="K443" s="2128"/>
      <c r="L443" s="2128"/>
      <c r="M443" s="2128"/>
      <c r="N443" s="2128"/>
      <c r="O443" s="2128"/>
      <c r="P443" s="2128"/>
      <c r="Q443" s="2128"/>
      <c r="R443" s="2128"/>
      <c r="S443" s="2128"/>
      <c r="T443" s="2128"/>
      <c r="U443" s="2128"/>
      <c r="V443" s="2128"/>
      <c r="W443" s="2128"/>
      <c r="X443" s="2128"/>
      <c r="Y443" s="2128"/>
      <c r="Z443" s="2128"/>
      <c r="AA443" s="2128"/>
      <c r="AB443" s="2128"/>
      <c r="AC443" s="2128"/>
      <c r="AD443" s="2128"/>
    </row>
    <row r="444" spans="1:30" ht="15.75" customHeight="1" x14ac:dyDescent="0.3">
      <c r="A444" s="4433"/>
      <c r="B444" s="4433"/>
      <c r="C444" s="2128"/>
      <c r="D444" s="2128"/>
      <c r="E444" s="2128"/>
      <c r="F444" s="2128"/>
      <c r="G444" s="2128"/>
      <c r="H444" s="2128"/>
      <c r="I444" s="2128"/>
      <c r="J444" s="2128"/>
      <c r="K444" s="2128"/>
      <c r="L444" s="2128"/>
      <c r="M444" s="2128"/>
      <c r="N444" s="2128"/>
      <c r="O444" s="2128"/>
      <c r="P444" s="2128"/>
      <c r="Q444" s="2128"/>
      <c r="R444" s="2128"/>
      <c r="S444" s="2128"/>
      <c r="T444" s="2128"/>
      <c r="U444" s="2128"/>
      <c r="V444" s="2128"/>
      <c r="W444" s="2128"/>
      <c r="X444" s="2128"/>
      <c r="Y444" s="2128"/>
      <c r="Z444" s="2128"/>
      <c r="AA444" s="2128"/>
      <c r="AB444" s="2128"/>
      <c r="AC444" s="2128"/>
      <c r="AD444" s="2128"/>
    </row>
    <row r="445" spans="1:30" ht="15.75" customHeight="1" x14ac:dyDescent="0.3">
      <c r="A445" s="4433"/>
      <c r="B445" s="4433"/>
      <c r="C445" s="2128"/>
      <c r="D445" s="2128"/>
      <c r="E445" s="2128"/>
      <c r="F445" s="2128"/>
      <c r="G445" s="2128"/>
      <c r="H445" s="2128"/>
      <c r="I445" s="2128"/>
      <c r="J445" s="2128"/>
      <c r="K445" s="2128"/>
      <c r="L445" s="2128"/>
      <c r="M445" s="2128"/>
      <c r="N445" s="2128"/>
      <c r="O445" s="2128"/>
      <c r="P445" s="2128"/>
      <c r="Q445" s="2128"/>
      <c r="R445" s="2128"/>
      <c r="S445" s="2128"/>
      <c r="T445" s="2128"/>
      <c r="U445" s="2128"/>
      <c r="V445" s="2128"/>
      <c r="W445" s="2128"/>
      <c r="X445" s="2128"/>
      <c r="Y445" s="2128"/>
      <c r="Z445" s="2128"/>
      <c r="AA445" s="2128"/>
      <c r="AB445" s="2128"/>
      <c r="AC445" s="2128"/>
      <c r="AD445" s="2128"/>
    </row>
    <row r="446" spans="1:30" ht="15.75" customHeight="1" x14ac:dyDescent="0.3">
      <c r="A446" s="4433"/>
      <c r="B446" s="4433"/>
      <c r="C446" s="2128"/>
      <c r="D446" s="2128"/>
      <c r="E446" s="2128"/>
      <c r="F446" s="2128"/>
      <c r="G446" s="2128"/>
      <c r="H446" s="2128"/>
      <c r="I446" s="2128"/>
      <c r="J446" s="2128"/>
      <c r="K446" s="2128"/>
      <c r="L446" s="2128"/>
      <c r="M446" s="2128"/>
      <c r="N446" s="2128"/>
      <c r="O446" s="2128"/>
      <c r="P446" s="2128"/>
      <c r="Q446" s="2128"/>
      <c r="R446" s="2128"/>
      <c r="S446" s="2128"/>
      <c r="T446" s="2128"/>
      <c r="U446" s="2128"/>
      <c r="V446" s="2128"/>
      <c r="W446" s="2128"/>
      <c r="X446" s="2128"/>
      <c r="Y446" s="2128"/>
      <c r="Z446" s="2128"/>
      <c r="AA446" s="2128"/>
      <c r="AB446" s="2128"/>
      <c r="AC446" s="2128"/>
      <c r="AD446" s="2128"/>
    </row>
    <row r="447" spans="1:30" ht="15.75" customHeight="1" x14ac:dyDescent="0.3">
      <c r="A447" s="4433"/>
      <c r="B447" s="4433"/>
      <c r="C447" s="2128"/>
      <c r="D447" s="2128"/>
      <c r="E447" s="2128"/>
      <c r="F447" s="2128"/>
      <c r="G447" s="2128"/>
      <c r="H447" s="2128"/>
      <c r="I447" s="2128"/>
      <c r="J447" s="2128"/>
      <c r="K447" s="2128"/>
      <c r="L447" s="2128"/>
      <c r="M447" s="2128"/>
      <c r="N447" s="2128"/>
      <c r="O447" s="2128"/>
      <c r="P447" s="2128"/>
      <c r="Q447" s="2128"/>
      <c r="R447" s="2128"/>
      <c r="S447" s="2128"/>
      <c r="T447" s="2128"/>
      <c r="U447" s="2128"/>
      <c r="V447" s="2128"/>
      <c r="W447" s="2128"/>
      <c r="X447" s="2128"/>
      <c r="Y447" s="2128"/>
      <c r="Z447" s="2128"/>
      <c r="AA447" s="2128"/>
      <c r="AB447" s="2128"/>
      <c r="AC447" s="2128"/>
      <c r="AD447" s="2128"/>
    </row>
    <row r="448" spans="1:30" ht="15.75" customHeight="1" x14ac:dyDescent="0.3">
      <c r="A448" s="4433"/>
      <c r="B448" s="4433"/>
      <c r="C448" s="2128"/>
      <c r="D448" s="2128"/>
      <c r="E448" s="2128"/>
      <c r="F448" s="2128"/>
      <c r="G448" s="2128"/>
      <c r="H448" s="2128"/>
      <c r="I448" s="2128"/>
      <c r="J448" s="2128"/>
      <c r="K448" s="2128"/>
      <c r="L448" s="2128"/>
      <c r="M448" s="2128"/>
      <c r="N448" s="2128"/>
      <c r="O448" s="2128"/>
      <c r="P448" s="2128"/>
      <c r="Q448" s="2128"/>
      <c r="R448" s="2128"/>
      <c r="S448" s="2128"/>
      <c r="T448" s="2128"/>
      <c r="U448" s="2128"/>
      <c r="V448" s="2128"/>
      <c r="W448" s="2128"/>
      <c r="X448" s="2128"/>
      <c r="Y448" s="2128"/>
      <c r="Z448" s="2128"/>
      <c r="AA448" s="2128"/>
      <c r="AB448" s="2128"/>
      <c r="AC448" s="2128"/>
      <c r="AD448" s="2128"/>
    </row>
    <row r="449" spans="1:30" ht="15.75" customHeight="1" x14ac:dyDescent="0.3">
      <c r="A449" s="4433"/>
      <c r="B449" s="4433"/>
      <c r="C449" s="2128"/>
      <c r="D449" s="2128"/>
      <c r="E449" s="2128"/>
      <c r="F449" s="2128"/>
      <c r="G449" s="2128"/>
      <c r="H449" s="2128"/>
      <c r="I449" s="2128"/>
      <c r="J449" s="2128"/>
      <c r="K449" s="2128"/>
      <c r="L449" s="2128"/>
      <c r="M449" s="2128"/>
      <c r="N449" s="2128"/>
      <c r="O449" s="2128"/>
      <c r="P449" s="2128"/>
      <c r="Q449" s="2128"/>
      <c r="R449" s="2128"/>
      <c r="S449" s="2128"/>
      <c r="T449" s="2128"/>
      <c r="U449" s="2128"/>
      <c r="V449" s="2128"/>
      <c r="W449" s="2128"/>
      <c r="X449" s="2128"/>
      <c r="Y449" s="2128"/>
      <c r="Z449" s="2128"/>
      <c r="AA449" s="2128"/>
      <c r="AB449" s="2128"/>
      <c r="AC449" s="2128"/>
      <c r="AD449" s="2128"/>
    </row>
    <row r="450" spans="1:30" ht="15.75" customHeight="1" x14ac:dyDescent="0.3">
      <c r="A450" s="4433"/>
      <c r="B450" s="4433"/>
      <c r="C450" s="2128"/>
      <c r="D450" s="2128"/>
      <c r="E450" s="2128"/>
      <c r="F450" s="2128"/>
      <c r="G450" s="2128"/>
      <c r="H450" s="2128"/>
      <c r="I450" s="2128"/>
      <c r="J450" s="2128"/>
      <c r="K450" s="2128"/>
      <c r="L450" s="2128"/>
      <c r="M450" s="2128"/>
      <c r="N450" s="2128"/>
      <c r="O450" s="2128"/>
      <c r="P450" s="2128"/>
      <c r="Q450" s="2128"/>
      <c r="R450" s="2128"/>
      <c r="S450" s="2128"/>
      <c r="T450" s="2128"/>
      <c r="U450" s="2128"/>
      <c r="V450" s="2128"/>
      <c r="W450" s="2128"/>
      <c r="X450" s="2128"/>
      <c r="Y450" s="2128"/>
      <c r="Z450" s="2128"/>
      <c r="AA450" s="2128"/>
      <c r="AB450" s="2128"/>
      <c r="AC450" s="2128"/>
      <c r="AD450" s="2128"/>
    </row>
    <row r="451" spans="1:30" ht="15.75" customHeight="1" x14ac:dyDescent="0.3">
      <c r="A451" s="4433"/>
      <c r="B451" s="4433"/>
      <c r="C451" s="2128"/>
      <c r="D451" s="2128"/>
      <c r="E451" s="2128"/>
      <c r="F451" s="2128"/>
      <c r="G451" s="2128"/>
      <c r="H451" s="2128"/>
      <c r="I451" s="2128"/>
      <c r="J451" s="2128"/>
      <c r="K451" s="2128"/>
      <c r="L451" s="2128"/>
      <c r="M451" s="2128"/>
      <c r="N451" s="2128"/>
      <c r="O451" s="2128"/>
      <c r="P451" s="2128"/>
      <c r="Q451" s="2128"/>
      <c r="R451" s="2128"/>
      <c r="S451" s="2128"/>
      <c r="T451" s="2128"/>
      <c r="U451" s="2128"/>
      <c r="V451" s="2128"/>
      <c r="W451" s="2128"/>
      <c r="X451" s="2128"/>
      <c r="Y451" s="2128"/>
      <c r="Z451" s="2128"/>
      <c r="AA451" s="2128"/>
      <c r="AB451" s="2128"/>
      <c r="AC451" s="2128"/>
      <c r="AD451" s="2128"/>
    </row>
    <row r="452" spans="1:30" ht="15.75" customHeight="1" x14ac:dyDescent="0.3">
      <c r="A452" s="4433"/>
      <c r="B452" s="4433"/>
      <c r="C452" s="2128"/>
      <c r="D452" s="2128"/>
      <c r="E452" s="2128"/>
      <c r="F452" s="2128"/>
      <c r="G452" s="2128"/>
      <c r="H452" s="2128"/>
      <c r="I452" s="2128"/>
      <c r="J452" s="2128"/>
      <c r="K452" s="2128"/>
      <c r="L452" s="2128"/>
      <c r="M452" s="2128"/>
      <c r="N452" s="2128"/>
      <c r="O452" s="2128"/>
      <c r="P452" s="2128"/>
      <c r="Q452" s="2128"/>
      <c r="R452" s="2128"/>
      <c r="S452" s="2128"/>
      <c r="T452" s="2128"/>
      <c r="U452" s="2128"/>
      <c r="V452" s="2128"/>
      <c r="W452" s="2128"/>
      <c r="X452" s="2128"/>
      <c r="Y452" s="2128"/>
      <c r="Z452" s="2128"/>
      <c r="AA452" s="2128"/>
      <c r="AB452" s="2128"/>
      <c r="AC452" s="2128"/>
      <c r="AD452" s="2128"/>
    </row>
    <row r="453" spans="1:30" ht="15.75" customHeight="1" x14ac:dyDescent="0.3">
      <c r="A453" s="4433"/>
      <c r="B453" s="4433"/>
      <c r="C453" s="2128"/>
      <c r="D453" s="2128"/>
      <c r="E453" s="2128"/>
      <c r="F453" s="2128"/>
      <c r="G453" s="2128"/>
      <c r="H453" s="2128"/>
      <c r="I453" s="2128"/>
      <c r="J453" s="2128"/>
      <c r="K453" s="2128"/>
      <c r="L453" s="2128"/>
      <c r="M453" s="2128"/>
      <c r="N453" s="2128"/>
      <c r="O453" s="2128"/>
      <c r="P453" s="2128"/>
      <c r="Q453" s="2128"/>
      <c r="R453" s="2128"/>
      <c r="S453" s="2128"/>
      <c r="T453" s="2128"/>
      <c r="U453" s="2128"/>
      <c r="V453" s="2128"/>
      <c r="W453" s="2128"/>
      <c r="X453" s="2128"/>
      <c r="Y453" s="2128"/>
      <c r="Z453" s="2128"/>
      <c r="AA453" s="2128"/>
      <c r="AB453" s="2128"/>
      <c r="AC453" s="2128"/>
      <c r="AD453" s="2128"/>
    </row>
    <row r="454" spans="1:30" ht="15.75" customHeight="1" x14ac:dyDescent="0.3">
      <c r="A454" s="4433"/>
      <c r="B454" s="4433"/>
      <c r="C454" s="2128"/>
      <c r="D454" s="2128"/>
      <c r="E454" s="2128"/>
      <c r="F454" s="2128"/>
      <c r="G454" s="2128"/>
      <c r="H454" s="2128"/>
      <c r="I454" s="2128"/>
      <c r="J454" s="2128"/>
      <c r="K454" s="2128"/>
      <c r="L454" s="2128"/>
      <c r="M454" s="2128"/>
      <c r="N454" s="2128"/>
      <c r="O454" s="2128"/>
      <c r="P454" s="2128"/>
      <c r="Q454" s="2128"/>
      <c r="R454" s="2128"/>
      <c r="S454" s="2128"/>
      <c r="T454" s="2128"/>
      <c r="U454" s="2128"/>
      <c r="V454" s="2128"/>
      <c r="W454" s="2128"/>
      <c r="X454" s="2128"/>
      <c r="Y454" s="2128"/>
      <c r="Z454" s="2128"/>
      <c r="AA454" s="2128"/>
      <c r="AB454" s="2128"/>
      <c r="AC454" s="2128"/>
      <c r="AD454" s="2128"/>
    </row>
    <row r="455" spans="1:30" ht="15.75" customHeight="1" x14ac:dyDescent="0.3">
      <c r="A455" s="4433"/>
      <c r="B455" s="4433"/>
      <c r="C455" s="2128"/>
      <c r="D455" s="2128"/>
      <c r="E455" s="2128"/>
      <c r="F455" s="2128"/>
      <c r="G455" s="2128"/>
      <c r="H455" s="2128"/>
      <c r="I455" s="2128"/>
      <c r="J455" s="2128"/>
      <c r="K455" s="2128"/>
      <c r="L455" s="2128"/>
      <c r="M455" s="2128"/>
      <c r="N455" s="2128"/>
      <c r="O455" s="2128"/>
      <c r="P455" s="2128"/>
      <c r="Q455" s="2128"/>
      <c r="R455" s="2128"/>
      <c r="S455" s="2128"/>
      <c r="T455" s="2128"/>
      <c r="U455" s="2128"/>
      <c r="V455" s="2128"/>
      <c r="W455" s="2128"/>
      <c r="X455" s="2128"/>
      <c r="Y455" s="2128"/>
      <c r="Z455" s="2128"/>
      <c r="AA455" s="2128"/>
      <c r="AB455" s="2128"/>
      <c r="AC455" s="2128"/>
      <c r="AD455" s="2128"/>
    </row>
    <row r="456" spans="1:30" ht="15.75" customHeight="1" x14ac:dyDescent="0.3">
      <c r="A456" s="4433"/>
      <c r="B456" s="4433"/>
      <c r="C456" s="2128"/>
      <c r="D456" s="2128"/>
      <c r="E456" s="2128"/>
      <c r="F456" s="2128"/>
      <c r="G456" s="2128"/>
      <c r="H456" s="2128"/>
      <c r="I456" s="2128"/>
      <c r="J456" s="2128"/>
      <c r="K456" s="2128"/>
      <c r="L456" s="2128"/>
      <c r="M456" s="2128"/>
      <c r="N456" s="2128"/>
      <c r="O456" s="2128"/>
      <c r="P456" s="2128"/>
      <c r="Q456" s="2128"/>
      <c r="R456" s="2128"/>
      <c r="S456" s="2128"/>
      <c r="T456" s="2128"/>
      <c r="U456" s="2128"/>
      <c r="V456" s="2128"/>
      <c r="W456" s="2128"/>
      <c r="X456" s="2128"/>
      <c r="Y456" s="2128"/>
      <c r="Z456" s="2128"/>
      <c r="AA456" s="2128"/>
      <c r="AB456" s="2128"/>
      <c r="AC456" s="2128"/>
      <c r="AD456" s="2128"/>
    </row>
    <row r="457" spans="1:30" ht="15.75" customHeight="1" x14ac:dyDescent="0.3">
      <c r="A457" s="4433"/>
      <c r="B457" s="4433"/>
      <c r="C457" s="2128"/>
      <c r="D457" s="2128"/>
      <c r="E457" s="2128"/>
      <c r="F457" s="2128"/>
      <c r="G457" s="2128"/>
      <c r="H457" s="2128"/>
      <c r="I457" s="2128"/>
      <c r="J457" s="2128"/>
      <c r="K457" s="2128"/>
      <c r="L457" s="2128"/>
      <c r="M457" s="2128"/>
      <c r="N457" s="2128"/>
      <c r="O457" s="2128"/>
      <c r="P457" s="2128"/>
      <c r="Q457" s="2128"/>
      <c r="R457" s="2128"/>
      <c r="S457" s="2128"/>
      <c r="T457" s="2128"/>
      <c r="U457" s="2128"/>
      <c r="V457" s="2128"/>
      <c r="W457" s="2128"/>
      <c r="X457" s="2128"/>
      <c r="Y457" s="2128"/>
      <c r="Z457" s="2128"/>
      <c r="AA457" s="2128"/>
      <c r="AB457" s="2128"/>
      <c r="AC457" s="2128"/>
      <c r="AD457" s="2128"/>
    </row>
    <row r="458" spans="1:30" ht="15.75" customHeight="1" x14ac:dyDescent="0.3">
      <c r="A458" s="4433"/>
      <c r="B458" s="4433"/>
      <c r="C458" s="2128"/>
      <c r="D458" s="2128"/>
      <c r="E458" s="2128"/>
      <c r="F458" s="2128"/>
      <c r="G458" s="2128"/>
      <c r="H458" s="2128"/>
      <c r="I458" s="2128"/>
      <c r="J458" s="2128"/>
      <c r="K458" s="2128"/>
      <c r="L458" s="2128"/>
      <c r="M458" s="2128"/>
      <c r="N458" s="2128"/>
      <c r="O458" s="2128"/>
      <c r="P458" s="2128"/>
      <c r="Q458" s="2128"/>
      <c r="R458" s="2128"/>
      <c r="S458" s="2128"/>
      <c r="T458" s="2128"/>
      <c r="U458" s="2128"/>
      <c r="V458" s="2128"/>
      <c r="W458" s="2128"/>
      <c r="X458" s="2128"/>
      <c r="Y458" s="2128"/>
      <c r="Z458" s="2128"/>
      <c r="AA458" s="2128"/>
      <c r="AB458" s="2128"/>
      <c r="AC458" s="2128"/>
      <c r="AD458" s="2128"/>
    </row>
    <row r="459" spans="1:30" ht="15.75" customHeight="1" x14ac:dyDescent="0.3">
      <c r="A459" s="4433"/>
      <c r="B459" s="4433"/>
      <c r="C459" s="2128"/>
      <c r="D459" s="2128"/>
      <c r="E459" s="2128"/>
      <c r="F459" s="2128"/>
      <c r="G459" s="2128"/>
      <c r="H459" s="2128"/>
      <c r="I459" s="2128"/>
      <c r="J459" s="2128"/>
      <c r="K459" s="2128"/>
      <c r="L459" s="2128"/>
      <c r="M459" s="2128"/>
      <c r="N459" s="2128"/>
      <c r="O459" s="2128"/>
      <c r="P459" s="2128"/>
      <c r="Q459" s="2128"/>
      <c r="R459" s="2128"/>
      <c r="S459" s="2128"/>
      <c r="T459" s="2128"/>
      <c r="U459" s="2128"/>
      <c r="V459" s="2128"/>
      <c r="W459" s="2128"/>
      <c r="X459" s="2128"/>
      <c r="Y459" s="2128"/>
      <c r="Z459" s="2128"/>
      <c r="AA459" s="2128"/>
      <c r="AB459" s="2128"/>
      <c r="AC459" s="2128"/>
      <c r="AD459" s="2128"/>
    </row>
    <row r="460" spans="1:30" ht="15.75" customHeight="1" x14ac:dyDescent="0.3">
      <c r="A460" s="4433"/>
      <c r="B460" s="4433"/>
      <c r="C460" s="2128"/>
      <c r="D460" s="2128"/>
      <c r="E460" s="2128"/>
      <c r="F460" s="2128"/>
      <c r="G460" s="2128"/>
      <c r="H460" s="2128"/>
      <c r="I460" s="2128"/>
      <c r="J460" s="2128"/>
      <c r="K460" s="2128"/>
      <c r="L460" s="2128"/>
      <c r="M460" s="2128"/>
      <c r="N460" s="2128"/>
      <c r="O460" s="2128"/>
      <c r="P460" s="2128"/>
      <c r="Q460" s="2128"/>
      <c r="R460" s="2128"/>
      <c r="S460" s="2128"/>
      <c r="T460" s="2128"/>
      <c r="U460" s="2128"/>
      <c r="V460" s="2128"/>
      <c r="W460" s="2128"/>
      <c r="X460" s="2128"/>
      <c r="Y460" s="2128"/>
      <c r="Z460" s="2128"/>
      <c r="AA460" s="2128"/>
      <c r="AB460" s="2128"/>
      <c r="AC460" s="2128"/>
      <c r="AD460" s="2128"/>
    </row>
    <row r="461" spans="1:30" ht="15.75" customHeight="1" x14ac:dyDescent="0.3">
      <c r="A461" s="4433"/>
      <c r="B461" s="4433"/>
      <c r="C461" s="2128"/>
      <c r="D461" s="2128"/>
      <c r="E461" s="2128"/>
      <c r="F461" s="2128"/>
      <c r="G461" s="2128"/>
      <c r="H461" s="2128"/>
      <c r="I461" s="2128"/>
      <c r="J461" s="2128"/>
      <c r="K461" s="2128"/>
      <c r="L461" s="2128"/>
      <c r="M461" s="2128"/>
      <c r="N461" s="2128"/>
      <c r="O461" s="2128"/>
      <c r="P461" s="2128"/>
      <c r="Q461" s="2128"/>
      <c r="R461" s="2128"/>
      <c r="S461" s="2128"/>
      <c r="T461" s="2128"/>
      <c r="U461" s="2128"/>
      <c r="V461" s="2128"/>
      <c r="W461" s="2128"/>
      <c r="X461" s="2128"/>
      <c r="Y461" s="2128"/>
      <c r="Z461" s="2128"/>
      <c r="AA461" s="2128"/>
      <c r="AB461" s="2128"/>
      <c r="AC461" s="2128"/>
      <c r="AD461" s="2128"/>
    </row>
    <row r="462" spans="1:30" ht="15.75" customHeight="1" x14ac:dyDescent="0.3">
      <c r="A462" s="4433"/>
      <c r="B462" s="4433"/>
      <c r="C462" s="2128"/>
      <c r="D462" s="2128"/>
      <c r="E462" s="2128"/>
      <c r="F462" s="2128"/>
      <c r="G462" s="2128"/>
      <c r="H462" s="2128"/>
      <c r="I462" s="2128"/>
      <c r="J462" s="2128"/>
      <c r="K462" s="2128"/>
      <c r="L462" s="2128"/>
      <c r="M462" s="2128"/>
      <c r="N462" s="2128"/>
      <c r="O462" s="2128"/>
      <c r="P462" s="2128"/>
      <c r="Q462" s="2128"/>
      <c r="R462" s="2128"/>
      <c r="S462" s="2128"/>
      <c r="T462" s="2128"/>
      <c r="U462" s="2128"/>
      <c r="V462" s="2128"/>
      <c r="W462" s="2128"/>
      <c r="X462" s="2128"/>
      <c r="Y462" s="2128"/>
      <c r="Z462" s="2128"/>
      <c r="AA462" s="2128"/>
      <c r="AB462" s="2128"/>
      <c r="AC462" s="2128"/>
      <c r="AD462" s="2128"/>
    </row>
    <row r="463" spans="1:30" ht="15.75" customHeight="1" x14ac:dyDescent="0.3">
      <c r="A463" s="4433"/>
      <c r="B463" s="4433"/>
      <c r="C463" s="2128"/>
      <c r="D463" s="2128"/>
      <c r="E463" s="2128"/>
      <c r="F463" s="2128"/>
      <c r="G463" s="2128"/>
      <c r="H463" s="2128"/>
      <c r="I463" s="2128"/>
      <c r="J463" s="2128"/>
      <c r="K463" s="2128"/>
      <c r="L463" s="2128"/>
      <c r="M463" s="2128"/>
      <c r="N463" s="2128"/>
      <c r="O463" s="2128"/>
      <c r="P463" s="2128"/>
      <c r="Q463" s="2128"/>
      <c r="R463" s="2128"/>
      <c r="S463" s="2128"/>
      <c r="T463" s="2128"/>
      <c r="U463" s="2128"/>
      <c r="V463" s="2128"/>
      <c r="W463" s="2128"/>
      <c r="X463" s="2128"/>
      <c r="Y463" s="2128"/>
      <c r="Z463" s="2128"/>
      <c r="AA463" s="2128"/>
      <c r="AB463" s="2128"/>
      <c r="AC463" s="2128"/>
      <c r="AD463" s="2128"/>
    </row>
    <row r="464" spans="1:30" ht="15.75" customHeight="1" x14ac:dyDescent="0.3">
      <c r="A464" s="4433"/>
      <c r="B464" s="4433"/>
      <c r="C464" s="2128"/>
      <c r="D464" s="2128"/>
      <c r="E464" s="2128"/>
      <c r="F464" s="2128"/>
      <c r="G464" s="2128"/>
      <c r="H464" s="2128"/>
      <c r="I464" s="2128"/>
      <c r="J464" s="2128"/>
      <c r="K464" s="2128"/>
      <c r="L464" s="2128"/>
      <c r="M464" s="2128"/>
      <c r="N464" s="2128"/>
      <c r="O464" s="2128"/>
      <c r="P464" s="2128"/>
      <c r="Q464" s="2128"/>
      <c r="R464" s="2128"/>
      <c r="S464" s="2128"/>
      <c r="T464" s="2128"/>
      <c r="U464" s="2128"/>
      <c r="V464" s="2128"/>
      <c r="W464" s="2128"/>
      <c r="X464" s="2128"/>
      <c r="Y464" s="2128"/>
      <c r="Z464" s="2128"/>
      <c r="AA464" s="2128"/>
      <c r="AB464" s="2128"/>
      <c r="AC464" s="2128"/>
      <c r="AD464" s="2128"/>
    </row>
    <row r="465" spans="1:30" ht="15.75" customHeight="1" x14ac:dyDescent="0.3">
      <c r="A465" s="4433"/>
      <c r="B465" s="4433"/>
      <c r="C465" s="2128"/>
      <c r="D465" s="2128"/>
      <c r="E465" s="2128"/>
      <c r="F465" s="2128"/>
      <c r="G465" s="2128"/>
      <c r="H465" s="2128"/>
      <c r="I465" s="2128"/>
      <c r="J465" s="2128"/>
      <c r="K465" s="2128"/>
      <c r="L465" s="2128"/>
      <c r="M465" s="2128"/>
      <c r="N465" s="2128"/>
      <c r="O465" s="2128"/>
      <c r="P465" s="2128"/>
      <c r="Q465" s="2128"/>
      <c r="R465" s="2128"/>
      <c r="S465" s="2128"/>
      <c r="T465" s="2128"/>
      <c r="U465" s="2128"/>
      <c r="V465" s="2128"/>
      <c r="W465" s="2128"/>
      <c r="X465" s="2128"/>
      <c r="Y465" s="2128"/>
      <c r="Z465" s="2128"/>
      <c r="AA465" s="2128"/>
      <c r="AB465" s="2128"/>
      <c r="AC465" s="2128"/>
      <c r="AD465" s="2128"/>
    </row>
    <row r="466" spans="1:30" ht="15.75" customHeight="1" x14ac:dyDescent="0.3">
      <c r="A466" s="4433"/>
      <c r="B466" s="4433"/>
      <c r="C466" s="2128"/>
      <c r="D466" s="2128"/>
      <c r="E466" s="2128"/>
      <c r="F466" s="2128"/>
      <c r="G466" s="2128"/>
      <c r="H466" s="2128"/>
      <c r="I466" s="2128"/>
      <c r="J466" s="2128"/>
      <c r="K466" s="2128"/>
      <c r="L466" s="2128"/>
      <c r="M466" s="2128"/>
      <c r="N466" s="2128"/>
      <c r="O466" s="2128"/>
      <c r="P466" s="2128"/>
      <c r="Q466" s="2128"/>
      <c r="R466" s="2128"/>
      <c r="S466" s="2128"/>
      <c r="T466" s="2128"/>
      <c r="U466" s="2128"/>
      <c r="V466" s="2128"/>
      <c r="W466" s="2128"/>
      <c r="X466" s="2128"/>
      <c r="Y466" s="2128"/>
      <c r="Z466" s="2128"/>
      <c r="AA466" s="2128"/>
      <c r="AB466" s="2128"/>
      <c r="AC466" s="2128"/>
      <c r="AD466" s="2128"/>
    </row>
    <row r="467" spans="1:30" ht="15.75" customHeight="1" x14ac:dyDescent="0.3">
      <c r="A467" s="4433"/>
      <c r="B467" s="4433"/>
      <c r="C467" s="2128"/>
      <c r="D467" s="2128"/>
      <c r="E467" s="2128"/>
      <c r="F467" s="2128"/>
      <c r="G467" s="2128"/>
      <c r="H467" s="2128"/>
      <c r="I467" s="2128"/>
      <c r="J467" s="2128"/>
      <c r="K467" s="2128"/>
      <c r="L467" s="2128"/>
      <c r="M467" s="2128"/>
      <c r="N467" s="2128"/>
      <c r="O467" s="2128"/>
      <c r="P467" s="2128"/>
      <c r="Q467" s="2128"/>
      <c r="R467" s="2128"/>
      <c r="S467" s="2128"/>
      <c r="T467" s="2128"/>
      <c r="U467" s="2128"/>
      <c r="V467" s="2128"/>
      <c r="W467" s="2128"/>
      <c r="X467" s="2128"/>
      <c r="Y467" s="2128"/>
      <c r="Z467" s="2128"/>
      <c r="AA467" s="2128"/>
      <c r="AB467" s="2128"/>
      <c r="AC467" s="2128"/>
      <c r="AD467" s="2128"/>
    </row>
    <row r="468" spans="1:30" ht="15.75" customHeight="1" x14ac:dyDescent="0.3">
      <c r="A468" s="4433"/>
      <c r="B468" s="4433"/>
      <c r="C468" s="2128"/>
      <c r="D468" s="2128"/>
      <c r="E468" s="2128"/>
      <c r="F468" s="2128"/>
      <c r="G468" s="2128"/>
      <c r="H468" s="2128"/>
      <c r="I468" s="2128"/>
      <c r="J468" s="2128"/>
      <c r="K468" s="2128"/>
      <c r="L468" s="2128"/>
      <c r="M468" s="2128"/>
      <c r="N468" s="2128"/>
      <c r="O468" s="2128"/>
      <c r="P468" s="2128"/>
      <c r="Q468" s="2128"/>
      <c r="R468" s="2128"/>
      <c r="S468" s="2128"/>
      <c r="T468" s="2128"/>
      <c r="U468" s="2128"/>
      <c r="V468" s="2128"/>
      <c r="W468" s="2128"/>
      <c r="X468" s="2128"/>
      <c r="Y468" s="2128"/>
      <c r="Z468" s="2128"/>
      <c r="AA468" s="2128"/>
      <c r="AB468" s="2128"/>
      <c r="AC468" s="2128"/>
      <c r="AD468" s="2128"/>
    </row>
    <row r="469" spans="1:30" ht="15.75" customHeight="1" x14ac:dyDescent="0.3">
      <c r="A469" s="4433"/>
      <c r="B469" s="4433"/>
      <c r="C469" s="2128"/>
      <c r="D469" s="2128"/>
      <c r="E469" s="2128"/>
      <c r="F469" s="2128"/>
      <c r="G469" s="2128"/>
      <c r="H469" s="2128"/>
      <c r="I469" s="2128"/>
      <c r="J469" s="2128"/>
      <c r="K469" s="2128"/>
      <c r="L469" s="2128"/>
      <c r="M469" s="2128"/>
      <c r="N469" s="2128"/>
      <c r="O469" s="2128"/>
      <c r="P469" s="2128"/>
      <c r="Q469" s="2128"/>
      <c r="R469" s="2128"/>
      <c r="S469" s="2128"/>
      <c r="T469" s="2128"/>
      <c r="U469" s="2128"/>
      <c r="V469" s="2128"/>
      <c r="W469" s="2128"/>
      <c r="X469" s="2128"/>
      <c r="Y469" s="2128"/>
      <c r="Z469" s="2128"/>
      <c r="AA469" s="2128"/>
      <c r="AB469" s="2128"/>
      <c r="AC469" s="2128"/>
      <c r="AD469" s="2128"/>
    </row>
    <row r="470" spans="1:30" ht="15.75" customHeight="1" x14ac:dyDescent="0.3">
      <c r="A470" s="4433"/>
      <c r="B470" s="4433"/>
      <c r="C470" s="2128"/>
      <c r="D470" s="2128"/>
      <c r="E470" s="2128"/>
      <c r="F470" s="2128"/>
      <c r="G470" s="2128"/>
      <c r="H470" s="2128"/>
      <c r="I470" s="2128"/>
      <c r="J470" s="2128"/>
      <c r="K470" s="2128"/>
      <c r="L470" s="2128"/>
      <c r="M470" s="2128"/>
      <c r="N470" s="2128"/>
      <c r="O470" s="2128"/>
      <c r="P470" s="2128"/>
      <c r="Q470" s="2128"/>
      <c r="R470" s="2128"/>
      <c r="S470" s="2128"/>
      <c r="T470" s="2128"/>
      <c r="U470" s="2128"/>
      <c r="V470" s="2128"/>
      <c r="W470" s="2128"/>
      <c r="X470" s="2128"/>
      <c r="Y470" s="2128"/>
      <c r="Z470" s="2128"/>
      <c r="AA470" s="2128"/>
      <c r="AB470" s="2128"/>
      <c r="AC470" s="2128"/>
      <c r="AD470" s="2128"/>
    </row>
    <row r="471" spans="1:30" ht="15.75" customHeight="1" x14ac:dyDescent="0.3">
      <c r="A471" s="4433"/>
      <c r="B471" s="4433"/>
      <c r="C471" s="2128"/>
      <c r="D471" s="2128"/>
      <c r="E471" s="2128"/>
      <c r="F471" s="2128"/>
      <c r="G471" s="2128"/>
      <c r="H471" s="2128"/>
      <c r="I471" s="2128"/>
      <c r="J471" s="2128"/>
      <c r="K471" s="2128"/>
      <c r="L471" s="2128"/>
      <c r="M471" s="2128"/>
      <c r="N471" s="2128"/>
      <c r="O471" s="2128"/>
      <c r="P471" s="2128"/>
      <c r="Q471" s="2128"/>
      <c r="R471" s="2128"/>
      <c r="S471" s="2128"/>
      <c r="T471" s="2128"/>
      <c r="U471" s="2128"/>
      <c r="V471" s="2128"/>
      <c r="W471" s="2128"/>
      <c r="X471" s="2128"/>
      <c r="Y471" s="2128"/>
      <c r="Z471" s="2128"/>
      <c r="AA471" s="2128"/>
      <c r="AB471" s="2128"/>
      <c r="AC471" s="2128"/>
      <c r="AD471" s="2128"/>
    </row>
    <row r="472" spans="1:30" ht="15.75" customHeight="1" x14ac:dyDescent="0.3">
      <c r="A472" s="4433"/>
      <c r="B472" s="4433"/>
      <c r="C472" s="2128"/>
      <c r="D472" s="2128"/>
      <c r="E472" s="2128"/>
      <c r="F472" s="2128"/>
      <c r="G472" s="2128"/>
      <c r="H472" s="2128"/>
      <c r="I472" s="2128"/>
      <c r="J472" s="2128"/>
      <c r="K472" s="2128"/>
      <c r="L472" s="2128"/>
      <c r="M472" s="2128"/>
      <c r="N472" s="2128"/>
      <c r="O472" s="2128"/>
      <c r="P472" s="2128"/>
      <c r="Q472" s="2128"/>
      <c r="R472" s="2128"/>
      <c r="S472" s="2128"/>
      <c r="T472" s="2128"/>
      <c r="U472" s="2128"/>
      <c r="V472" s="2128"/>
      <c r="W472" s="2128"/>
      <c r="X472" s="2128"/>
      <c r="Y472" s="2128"/>
      <c r="Z472" s="2128"/>
      <c r="AA472" s="2128"/>
      <c r="AB472" s="2128"/>
      <c r="AC472" s="2128"/>
      <c r="AD472" s="2128"/>
    </row>
    <row r="473" spans="1:30" ht="15.75" customHeight="1" x14ac:dyDescent="0.3">
      <c r="A473" s="4433"/>
      <c r="B473" s="4433"/>
      <c r="C473" s="2128"/>
      <c r="D473" s="2128"/>
      <c r="E473" s="2128"/>
      <c r="F473" s="2128"/>
      <c r="G473" s="2128"/>
      <c r="H473" s="2128"/>
      <c r="I473" s="2128"/>
      <c r="J473" s="2128"/>
      <c r="K473" s="2128"/>
      <c r="L473" s="2128"/>
      <c r="M473" s="2128"/>
      <c r="N473" s="2128"/>
      <c r="O473" s="2128"/>
      <c r="P473" s="2128"/>
      <c r="Q473" s="2128"/>
      <c r="R473" s="2128"/>
      <c r="S473" s="2128"/>
      <c r="T473" s="2128"/>
      <c r="U473" s="2128"/>
      <c r="V473" s="2128"/>
      <c r="W473" s="2128"/>
      <c r="X473" s="2128"/>
      <c r="Y473" s="2128"/>
      <c r="Z473" s="2128"/>
      <c r="AA473" s="2128"/>
      <c r="AB473" s="2128"/>
      <c r="AC473" s="2128"/>
      <c r="AD473" s="2128"/>
    </row>
    <row r="474" spans="1:30" ht="15.75" customHeight="1" x14ac:dyDescent="0.3">
      <c r="A474" s="4433"/>
      <c r="B474" s="4433"/>
      <c r="C474" s="2128"/>
      <c r="D474" s="2128"/>
      <c r="E474" s="2128"/>
      <c r="F474" s="2128"/>
      <c r="G474" s="2128"/>
      <c r="H474" s="2128"/>
      <c r="I474" s="2128"/>
      <c r="J474" s="2128"/>
      <c r="K474" s="2128"/>
      <c r="L474" s="2128"/>
      <c r="M474" s="2128"/>
      <c r="N474" s="2128"/>
      <c r="O474" s="2128"/>
      <c r="P474" s="2128"/>
      <c r="Q474" s="2128"/>
      <c r="R474" s="2128"/>
      <c r="S474" s="2128"/>
      <c r="T474" s="2128"/>
      <c r="U474" s="2128"/>
      <c r="V474" s="2128"/>
      <c r="W474" s="2128"/>
      <c r="X474" s="2128"/>
      <c r="Y474" s="2128"/>
      <c r="Z474" s="2128"/>
      <c r="AA474" s="2128"/>
      <c r="AB474" s="2128"/>
      <c r="AC474" s="2128"/>
      <c r="AD474" s="2128"/>
    </row>
    <row r="475" spans="1:30" ht="15.75" customHeight="1" x14ac:dyDescent="0.3">
      <c r="A475" s="4433"/>
      <c r="B475" s="4433"/>
      <c r="C475" s="2128"/>
      <c r="D475" s="2128"/>
      <c r="E475" s="2128"/>
      <c r="F475" s="2128"/>
      <c r="G475" s="2128"/>
      <c r="H475" s="2128"/>
      <c r="I475" s="2128"/>
      <c r="J475" s="2128"/>
      <c r="K475" s="2128"/>
      <c r="L475" s="2128"/>
      <c r="M475" s="2128"/>
      <c r="N475" s="2128"/>
      <c r="O475" s="2128"/>
      <c r="P475" s="2128"/>
      <c r="Q475" s="2128"/>
      <c r="R475" s="2128"/>
      <c r="S475" s="2128"/>
      <c r="T475" s="2128"/>
      <c r="U475" s="2128"/>
      <c r="V475" s="2128"/>
      <c r="W475" s="2128"/>
      <c r="X475" s="2128"/>
      <c r="Y475" s="2128"/>
      <c r="Z475" s="2128"/>
      <c r="AA475" s="2128"/>
      <c r="AB475" s="2128"/>
      <c r="AC475" s="2128"/>
      <c r="AD475" s="2128"/>
    </row>
    <row r="476" spans="1:30" ht="15.75" customHeight="1" x14ac:dyDescent="0.3">
      <c r="A476" s="4433"/>
      <c r="B476" s="4433"/>
      <c r="C476" s="2128"/>
      <c r="D476" s="2128"/>
      <c r="E476" s="2128"/>
      <c r="F476" s="2128"/>
      <c r="G476" s="2128"/>
      <c r="H476" s="2128"/>
      <c r="I476" s="2128"/>
      <c r="J476" s="2128"/>
      <c r="K476" s="2128"/>
      <c r="L476" s="2128"/>
      <c r="M476" s="2128"/>
      <c r="N476" s="2128"/>
      <c r="O476" s="2128"/>
      <c r="P476" s="2128"/>
      <c r="Q476" s="2128"/>
      <c r="R476" s="2128"/>
      <c r="S476" s="2128"/>
      <c r="T476" s="2128"/>
      <c r="U476" s="2128"/>
      <c r="V476" s="2128"/>
      <c r="W476" s="2128"/>
      <c r="X476" s="2128"/>
      <c r="Y476" s="2128"/>
      <c r="Z476" s="2128"/>
      <c r="AA476" s="2128"/>
      <c r="AB476" s="2128"/>
      <c r="AC476" s="2128"/>
      <c r="AD476" s="2128"/>
    </row>
    <row r="477" spans="1:30" ht="15.75" customHeight="1" x14ac:dyDescent="0.3">
      <c r="A477" s="4433"/>
      <c r="B477" s="4433"/>
      <c r="C477" s="2128"/>
      <c r="D477" s="2128"/>
      <c r="E477" s="2128"/>
      <c r="F477" s="2128"/>
      <c r="G477" s="2128"/>
      <c r="H477" s="2128"/>
      <c r="I477" s="2128"/>
      <c r="J477" s="2128"/>
      <c r="K477" s="2128"/>
      <c r="L477" s="2128"/>
      <c r="M477" s="2128"/>
      <c r="N477" s="2128"/>
      <c r="O477" s="2128"/>
      <c r="P477" s="2128"/>
      <c r="Q477" s="2128"/>
      <c r="R477" s="2128"/>
      <c r="S477" s="2128"/>
      <c r="T477" s="2128"/>
      <c r="U477" s="2128"/>
      <c r="V477" s="2128"/>
      <c r="W477" s="2128"/>
      <c r="X477" s="2128"/>
      <c r="Y477" s="2128"/>
      <c r="Z477" s="2128"/>
      <c r="AA477" s="2128"/>
      <c r="AB477" s="2128"/>
      <c r="AC477" s="2128"/>
      <c r="AD477" s="2128"/>
    </row>
    <row r="478" spans="1:30" ht="15.75" customHeight="1" x14ac:dyDescent="0.3">
      <c r="A478" s="4433"/>
      <c r="B478" s="4433"/>
      <c r="C478" s="2128"/>
      <c r="D478" s="2128"/>
      <c r="E478" s="2128"/>
      <c r="F478" s="2128"/>
      <c r="G478" s="2128"/>
      <c r="H478" s="2128"/>
      <c r="I478" s="2128"/>
      <c r="J478" s="2128"/>
      <c r="K478" s="2128"/>
      <c r="L478" s="2128"/>
      <c r="M478" s="2128"/>
      <c r="N478" s="2128"/>
      <c r="O478" s="2128"/>
      <c r="P478" s="2128"/>
      <c r="Q478" s="2128"/>
      <c r="R478" s="2128"/>
      <c r="S478" s="2128"/>
      <c r="T478" s="2128"/>
      <c r="U478" s="2128"/>
      <c r="V478" s="2128"/>
      <c r="W478" s="2128"/>
      <c r="X478" s="2128"/>
      <c r="Y478" s="2128"/>
      <c r="Z478" s="2128"/>
      <c r="AA478" s="2128"/>
      <c r="AB478" s="2128"/>
      <c r="AC478" s="2128"/>
      <c r="AD478" s="2128"/>
    </row>
    <row r="479" spans="1:30" ht="15.75" customHeight="1" x14ac:dyDescent="0.3">
      <c r="A479" s="4433"/>
      <c r="B479" s="4433"/>
      <c r="C479" s="2128"/>
      <c r="D479" s="2128"/>
      <c r="E479" s="2128"/>
      <c r="F479" s="2128"/>
      <c r="G479" s="2128"/>
      <c r="H479" s="2128"/>
      <c r="I479" s="2128"/>
      <c r="J479" s="2128"/>
      <c r="K479" s="2128"/>
      <c r="L479" s="2128"/>
      <c r="M479" s="2128"/>
      <c r="N479" s="2128"/>
      <c r="O479" s="2128"/>
      <c r="P479" s="2128"/>
      <c r="Q479" s="2128"/>
      <c r="R479" s="2128"/>
      <c r="S479" s="2128"/>
      <c r="T479" s="2128"/>
      <c r="U479" s="2128"/>
      <c r="V479" s="2128"/>
      <c r="W479" s="2128"/>
      <c r="X479" s="2128"/>
      <c r="Y479" s="2128"/>
      <c r="Z479" s="2128"/>
      <c r="AA479" s="2128"/>
      <c r="AB479" s="2128"/>
      <c r="AC479" s="2128"/>
      <c r="AD479" s="2128"/>
    </row>
    <row r="480" spans="1:30" ht="15.75" customHeight="1" x14ac:dyDescent="0.3">
      <c r="A480" s="4433"/>
      <c r="B480" s="4433"/>
      <c r="C480" s="2128"/>
      <c r="D480" s="2128"/>
      <c r="E480" s="2128"/>
      <c r="F480" s="2128"/>
      <c r="G480" s="2128"/>
      <c r="H480" s="2128"/>
      <c r="I480" s="2128"/>
      <c r="J480" s="2128"/>
      <c r="K480" s="2128"/>
      <c r="L480" s="2128"/>
      <c r="M480" s="2128"/>
      <c r="N480" s="2128"/>
      <c r="O480" s="2128"/>
      <c r="P480" s="2128"/>
      <c r="Q480" s="2128"/>
      <c r="R480" s="2128"/>
      <c r="S480" s="2128"/>
      <c r="T480" s="2128"/>
      <c r="U480" s="2128"/>
      <c r="V480" s="2128"/>
      <c r="W480" s="2128"/>
      <c r="X480" s="2128"/>
      <c r="Y480" s="2128"/>
      <c r="Z480" s="2128"/>
      <c r="AA480" s="2128"/>
      <c r="AB480" s="2128"/>
      <c r="AC480" s="2128"/>
      <c r="AD480" s="2128"/>
    </row>
    <row r="481" spans="1:30" ht="15.75" customHeight="1" x14ac:dyDescent="0.3">
      <c r="A481" s="4433"/>
      <c r="B481" s="4433"/>
      <c r="C481" s="2128"/>
      <c r="D481" s="2128"/>
      <c r="E481" s="2128"/>
      <c r="F481" s="2128"/>
      <c r="G481" s="2128"/>
      <c r="H481" s="2128"/>
      <c r="I481" s="2128"/>
      <c r="J481" s="2128"/>
      <c r="K481" s="2128"/>
      <c r="L481" s="2128"/>
      <c r="M481" s="2128"/>
      <c r="N481" s="2128"/>
      <c r="O481" s="2128"/>
      <c r="P481" s="2128"/>
      <c r="Q481" s="2128"/>
      <c r="R481" s="2128"/>
      <c r="S481" s="2128"/>
      <c r="T481" s="2128"/>
      <c r="U481" s="2128"/>
      <c r="V481" s="2128"/>
      <c r="W481" s="2128"/>
      <c r="X481" s="2128"/>
      <c r="Y481" s="2128"/>
      <c r="Z481" s="2128"/>
      <c r="AA481" s="2128"/>
      <c r="AB481" s="2128"/>
      <c r="AC481" s="2128"/>
      <c r="AD481" s="2128"/>
    </row>
    <row r="482" spans="1:30" ht="15.75" customHeight="1" x14ac:dyDescent="0.3">
      <c r="A482" s="4433"/>
      <c r="B482" s="4433"/>
      <c r="C482" s="2128"/>
      <c r="D482" s="2128"/>
      <c r="E482" s="2128"/>
      <c r="F482" s="2128"/>
      <c r="G482" s="2128"/>
      <c r="H482" s="2128"/>
      <c r="I482" s="2128"/>
      <c r="J482" s="2128"/>
      <c r="K482" s="2128"/>
      <c r="L482" s="2128"/>
      <c r="M482" s="2128"/>
      <c r="N482" s="2128"/>
      <c r="O482" s="2128"/>
      <c r="P482" s="2128"/>
      <c r="Q482" s="2128"/>
      <c r="R482" s="2128"/>
      <c r="S482" s="2128"/>
      <c r="T482" s="2128"/>
      <c r="U482" s="2128"/>
      <c r="V482" s="2128"/>
      <c r="W482" s="2128"/>
      <c r="X482" s="2128"/>
      <c r="Y482" s="2128"/>
      <c r="Z482" s="2128"/>
      <c r="AA482" s="2128"/>
      <c r="AB482" s="2128"/>
      <c r="AC482" s="2128"/>
      <c r="AD482" s="2128"/>
    </row>
    <row r="483" spans="1:30" ht="15.75" customHeight="1" x14ac:dyDescent="0.3">
      <c r="A483" s="4433"/>
      <c r="B483" s="4433"/>
      <c r="C483" s="2128"/>
      <c r="D483" s="2128"/>
      <c r="E483" s="2128"/>
      <c r="F483" s="2128"/>
      <c r="G483" s="2128"/>
      <c r="H483" s="2128"/>
      <c r="I483" s="2128"/>
      <c r="J483" s="2128"/>
      <c r="K483" s="2128"/>
      <c r="L483" s="2128"/>
      <c r="M483" s="2128"/>
      <c r="N483" s="2128"/>
      <c r="O483" s="2128"/>
      <c r="P483" s="2128"/>
      <c r="Q483" s="2128"/>
      <c r="R483" s="2128"/>
      <c r="S483" s="2128"/>
      <c r="T483" s="2128"/>
      <c r="U483" s="2128"/>
      <c r="V483" s="2128"/>
      <c r="W483" s="2128"/>
      <c r="X483" s="2128"/>
      <c r="Y483" s="2128"/>
      <c r="Z483" s="2128"/>
      <c r="AA483" s="2128"/>
      <c r="AB483" s="2128"/>
      <c r="AC483" s="2128"/>
      <c r="AD483" s="2128"/>
    </row>
    <row r="484" spans="1:30" ht="15.75" customHeight="1" x14ac:dyDescent="0.3">
      <c r="A484" s="4433"/>
      <c r="B484" s="4433"/>
      <c r="C484" s="2128"/>
      <c r="D484" s="2128"/>
      <c r="E484" s="2128"/>
      <c r="F484" s="2128"/>
      <c r="G484" s="2128"/>
      <c r="H484" s="2128"/>
      <c r="I484" s="2128"/>
      <c r="J484" s="2128"/>
      <c r="K484" s="2128"/>
      <c r="L484" s="2128"/>
      <c r="M484" s="2128"/>
      <c r="N484" s="2128"/>
      <c r="O484" s="2128"/>
      <c r="P484" s="2128"/>
      <c r="Q484" s="2128"/>
      <c r="R484" s="2128"/>
      <c r="S484" s="2128"/>
      <c r="T484" s="2128"/>
      <c r="U484" s="2128"/>
      <c r="V484" s="2128"/>
      <c r="W484" s="2128"/>
      <c r="X484" s="2128"/>
      <c r="Y484" s="2128"/>
      <c r="Z484" s="2128"/>
      <c r="AA484" s="2128"/>
      <c r="AB484" s="2128"/>
      <c r="AC484" s="2128"/>
      <c r="AD484" s="2128"/>
    </row>
    <row r="485" spans="1:30" ht="15.75" customHeight="1" x14ac:dyDescent="0.3">
      <c r="A485" s="4433"/>
      <c r="B485" s="4433"/>
      <c r="C485" s="2128"/>
      <c r="D485" s="2128"/>
      <c r="E485" s="2128"/>
      <c r="F485" s="2128"/>
      <c r="G485" s="2128"/>
      <c r="H485" s="2128"/>
      <c r="I485" s="2128"/>
      <c r="J485" s="2128"/>
      <c r="K485" s="2128"/>
      <c r="L485" s="2128"/>
      <c r="M485" s="2128"/>
      <c r="N485" s="2128"/>
      <c r="O485" s="2128"/>
      <c r="P485" s="2128"/>
      <c r="Q485" s="2128"/>
      <c r="R485" s="2128"/>
      <c r="S485" s="2128"/>
      <c r="T485" s="2128"/>
      <c r="U485" s="2128"/>
      <c r="V485" s="2128"/>
      <c r="W485" s="2128"/>
      <c r="X485" s="2128"/>
      <c r="Y485" s="2128"/>
      <c r="Z485" s="2128"/>
      <c r="AA485" s="2128"/>
      <c r="AB485" s="2128"/>
      <c r="AC485" s="2128"/>
      <c r="AD485" s="2128"/>
    </row>
    <row r="486" spans="1:30" ht="15.75" customHeight="1" x14ac:dyDescent="0.3">
      <c r="A486" s="4433"/>
      <c r="B486" s="4433"/>
      <c r="C486" s="2128"/>
      <c r="D486" s="2128"/>
      <c r="E486" s="2128"/>
      <c r="F486" s="2128"/>
      <c r="G486" s="2128"/>
      <c r="H486" s="2128"/>
      <c r="I486" s="2128"/>
      <c r="J486" s="2128"/>
      <c r="K486" s="2128"/>
      <c r="L486" s="2128"/>
      <c r="M486" s="2128"/>
      <c r="N486" s="2128"/>
      <c r="O486" s="2128"/>
      <c r="P486" s="2128"/>
      <c r="Q486" s="2128"/>
      <c r="R486" s="2128"/>
      <c r="S486" s="2128"/>
      <c r="T486" s="2128"/>
      <c r="U486" s="2128"/>
      <c r="V486" s="2128"/>
      <c r="W486" s="2128"/>
      <c r="X486" s="2128"/>
      <c r="Y486" s="2128"/>
      <c r="Z486" s="2128"/>
      <c r="AA486" s="2128"/>
      <c r="AB486" s="2128"/>
      <c r="AC486" s="2128"/>
      <c r="AD486" s="2128"/>
    </row>
    <row r="487" spans="1:30" ht="15.75" customHeight="1" x14ac:dyDescent="0.3">
      <c r="A487" s="4433"/>
      <c r="B487" s="4433"/>
      <c r="C487" s="2128"/>
      <c r="D487" s="2128"/>
      <c r="E487" s="2128"/>
      <c r="F487" s="2128"/>
      <c r="G487" s="2128"/>
      <c r="H487" s="2128"/>
      <c r="I487" s="2128"/>
      <c r="J487" s="2128"/>
      <c r="K487" s="2128"/>
      <c r="L487" s="2128"/>
      <c r="M487" s="2128"/>
      <c r="N487" s="2128"/>
      <c r="O487" s="2128"/>
      <c r="P487" s="2128"/>
      <c r="Q487" s="2128"/>
      <c r="R487" s="2128"/>
      <c r="S487" s="2128"/>
      <c r="T487" s="2128"/>
      <c r="U487" s="2128"/>
      <c r="V487" s="2128"/>
      <c r="W487" s="2128"/>
      <c r="X487" s="2128"/>
      <c r="Y487" s="2128"/>
      <c r="Z487" s="2128"/>
      <c r="AA487" s="2128"/>
      <c r="AB487" s="2128"/>
      <c r="AC487" s="2128"/>
      <c r="AD487" s="2128"/>
    </row>
    <row r="488" spans="1:30" ht="15.75" customHeight="1" x14ac:dyDescent="0.3">
      <c r="A488" s="4433"/>
      <c r="B488" s="4433"/>
      <c r="C488" s="2128"/>
      <c r="D488" s="2128"/>
      <c r="E488" s="2128"/>
      <c r="F488" s="2128"/>
      <c r="G488" s="2128"/>
      <c r="H488" s="2128"/>
      <c r="I488" s="2128"/>
      <c r="J488" s="2128"/>
      <c r="K488" s="2128"/>
      <c r="L488" s="2128"/>
      <c r="M488" s="2128"/>
      <c r="N488" s="2128"/>
      <c r="O488" s="2128"/>
      <c r="P488" s="2128"/>
      <c r="Q488" s="2128"/>
      <c r="R488" s="2128"/>
      <c r="S488" s="2128"/>
      <c r="T488" s="2128"/>
      <c r="U488" s="2128"/>
      <c r="V488" s="2128"/>
      <c r="W488" s="2128"/>
      <c r="X488" s="2128"/>
      <c r="Y488" s="2128"/>
      <c r="Z488" s="2128"/>
      <c r="AA488" s="2128"/>
      <c r="AB488" s="2128"/>
      <c r="AC488" s="2128"/>
      <c r="AD488" s="2128"/>
    </row>
    <row r="489" spans="1:30" ht="15.75" customHeight="1" x14ac:dyDescent="0.3">
      <c r="A489" s="4433"/>
      <c r="B489" s="4433"/>
      <c r="C489" s="2128"/>
      <c r="D489" s="2128"/>
      <c r="E489" s="2128"/>
      <c r="F489" s="2128"/>
      <c r="G489" s="2128"/>
      <c r="H489" s="2128"/>
      <c r="I489" s="2128"/>
      <c r="J489" s="2128"/>
      <c r="K489" s="2128"/>
      <c r="L489" s="2128"/>
      <c r="M489" s="2128"/>
      <c r="N489" s="2128"/>
      <c r="O489" s="2128"/>
      <c r="P489" s="2128"/>
      <c r="Q489" s="2128"/>
      <c r="R489" s="2128"/>
      <c r="S489" s="2128"/>
      <c r="T489" s="2128"/>
      <c r="U489" s="2128"/>
      <c r="V489" s="2128"/>
      <c r="W489" s="2128"/>
      <c r="X489" s="2128"/>
      <c r="Y489" s="2128"/>
      <c r="Z489" s="2128"/>
      <c r="AA489" s="2128"/>
      <c r="AB489" s="2128"/>
      <c r="AC489" s="2128"/>
      <c r="AD489" s="2128"/>
    </row>
    <row r="490" spans="1:30" ht="15.75" customHeight="1" x14ac:dyDescent="0.3">
      <c r="A490" s="4433"/>
      <c r="B490" s="4433"/>
      <c r="C490" s="2128"/>
      <c r="D490" s="2128"/>
      <c r="E490" s="2128"/>
      <c r="F490" s="2128"/>
      <c r="G490" s="2128"/>
      <c r="H490" s="2128"/>
      <c r="I490" s="2128"/>
      <c r="J490" s="2128"/>
      <c r="K490" s="2128"/>
      <c r="L490" s="2128"/>
      <c r="M490" s="2128"/>
      <c r="N490" s="2128"/>
      <c r="O490" s="2128"/>
      <c r="P490" s="2128"/>
      <c r="Q490" s="2128"/>
      <c r="R490" s="2128"/>
      <c r="S490" s="2128"/>
      <c r="T490" s="2128"/>
      <c r="U490" s="2128"/>
      <c r="V490" s="2128"/>
      <c r="W490" s="2128"/>
      <c r="X490" s="2128"/>
      <c r="Y490" s="2128"/>
      <c r="Z490" s="2128"/>
      <c r="AA490" s="2128"/>
      <c r="AB490" s="2128"/>
      <c r="AC490" s="2128"/>
      <c r="AD490" s="2128"/>
    </row>
    <row r="491" spans="1:30" ht="15.75" customHeight="1" x14ac:dyDescent="0.3">
      <c r="A491" s="4433"/>
      <c r="B491" s="4433"/>
      <c r="C491" s="2128"/>
      <c r="D491" s="2128"/>
      <c r="E491" s="2128"/>
      <c r="F491" s="2128"/>
      <c r="G491" s="2128"/>
      <c r="H491" s="2128"/>
      <c r="I491" s="2128"/>
      <c r="J491" s="2128"/>
      <c r="K491" s="2128"/>
      <c r="L491" s="2128"/>
      <c r="M491" s="2128"/>
      <c r="N491" s="2128"/>
      <c r="O491" s="2128"/>
      <c r="P491" s="2128"/>
      <c r="Q491" s="2128"/>
      <c r="R491" s="2128"/>
      <c r="S491" s="2128"/>
      <c r="T491" s="2128"/>
      <c r="U491" s="2128"/>
      <c r="V491" s="2128"/>
      <c r="W491" s="2128"/>
      <c r="X491" s="2128"/>
      <c r="Y491" s="2128"/>
      <c r="Z491" s="2128"/>
      <c r="AA491" s="2128"/>
      <c r="AB491" s="2128"/>
      <c r="AC491" s="2128"/>
      <c r="AD491" s="2128"/>
    </row>
    <row r="492" spans="1:30" ht="15.75" customHeight="1" x14ac:dyDescent="0.3">
      <c r="A492" s="4433"/>
      <c r="B492" s="4433"/>
      <c r="C492" s="2128"/>
      <c r="D492" s="2128"/>
      <c r="E492" s="2128"/>
      <c r="F492" s="2128"/>
      <c r="G492" s="2128"/>
      <c r="H492" s="2128"/>
      <c r="I492" s="2128"/>
      <c r="J492" s="2128"/>
      <c r="K492" s="2128"/>
      <c r="L492" s="2128"/>
      <c r="M492" s="2128"/>
      <c r="N492" s="2128"/>
      <c r="O492" s="2128"/>
      <c r="P492" s="2128"/>
      <c r="Q492" s="2128"/>
      <c r="R492" s="2128"/>
      <c r="S492" s="2128"/>
      <c r="T492" s="2128"/>
      <c r="U492" s="2128"/>
      <c r="V492" s="2128"/>
      <c r="W492" s="2128"/>
      <c r="X492" s="2128"/>
      <c r="Y492" s="2128"/>
      <c r="Z492" s="2128"/>
      <c r="AA492" s="2128"/>
      <c r="AB492" s="2128"/>
      <c r="AC492" s="2128"/>
      <c r="AD492" s="2128"/>
    </row>
    <row r="493" spans="1:30" ht="15.75" customHeight="1" x14ac:dyDescent="0.3">
      <c r="A493" s="4433"/>
      <c r="B493" s="4433"/>
      <c r="C493" s="2128"/>
      <c r="D493" s="2128"/>
      <c r="E493" s="2128"/>
      <c r="F493" s="2128"/>
      <c r="G493" s="2128"/>
      <c r="H493" s="2128"/>
      <c r="I493" s="2128"/>
      <c r="J493" s="2128"/>
      <c r="K493" s="2128"/>
      <c r="L493" s="2128"/>
      <c r="M493" s="2128"/>
      <c r="N493" s="2128"/>
      <c r="O493" s="2128"/>
      <c r="P493" s="2128"/>
      <c r="Q493" s="2128"/>
      <c r="R493" s="2128"/>
      <c r="S493" s="2128"/>
      <c r="T493" s="2128"/>
      <c r="U493" s="2128"/>
      <c r="V493" s="2128"/>
      <c r="W493" s="2128"/>
      <c r="X493" s="2128"/>
      <c r="Y493" s="2128"/>
      <c r="Z493" s="2128"/>
      <c r="AA493" s="2128"/>
      <c r="AB493" s="2128"/>
      <c r="AC493" s="2128"/>
      <c r="AD493" s="2128"/>
    </row>
    <row r="494" spans="1:30" ht="15.75" customHeight="1" x14ac:dyDescent="0.3">
      <c r="A494" s="4433"/>
      <c r="B494" s="4433"/>
      <c r="C494" s="2128"/>
      <c r="D494" s="2128"/>
      <c r="E494" s="2128"/>
      <c r="F494" s="2128"/>
      <c r="G494" s="2128"/>
      <c r="H494" s="2128"/>
      <c r="I494" s="2128"/>
      <c r="J494" s="2128"/>
      <c r="K494" s="2128"/>
      <c r="L494" s="2128"/>
      <c r="M494" s="2128"/>
      <c r="N494" s="2128"/>
      <c r="O494" s="2128"/>
      <c r="P494" s="2128"/>
      <c r="Q494" s="2128"/>
      <c r="R494" s="2128"/>
      <c r="S494" s="2128"/>
      <c r="T494" s="2128"/>
      <c r="U494" s="2128"/>
      <c r="V494" s="2128"/>
      <c r="W494" s="2128"/>
      <c r="X494" s="2128"/>
      <c r="Y494" s="2128"/>
      <c r="Z494" s="2128"/>
      <c r="AA494" s="2128"/>
      <c r="AB494" s="2128"/>
      <c r="AC494" s="2128"/>
      <c r="AD494" s="2128"/>
    </row>
    <row r="495" spans="1:30" ht="15.75" customHeight="1" x14ac:dyDescent="0.3">
      <c r="A495" s="4433"/>
      <c r="B495" s="4433"/>
      <c r="C495" s="2128"/>
      <c r="D495" s="2128"/>
      <c r="E495" s="2128"/>
      <c r="F495" s="2128"/>
      <c r="G495" s="2128"/>
      <c r="H495" s="2128"/>
      <c r="I495" s="2128"/>
      <c r="J495" s="2128"/>
      <c r="K495" s="2128"/>
      <c r="L495" s="2128"/>
      <c r="M495" s="2128"/>
      <c r="N495" s="2128"/>
      <c r="O495" s="2128"/>
      <c r="P495" s="2128"/>
      <c r="Q495" s="2128"/>
      <c r="R495" s="2128"/>
      <c r="S495" s="2128"/>
      <c r="T495" s="2128"/>
      <c r="U495" s="2128"/>
      <c r="V495" s="2128"/>
      <c r="W495" s="2128"/>
      <c r="X495" s="2128"/>
      <c r="Y495" s="2128"/>
      <c r="Z495" s="2128"/>
      <c r="AA495" s="2128"/>
      <c r="AB495" s="2128"/>
      <c r="AC495" s="2128"/>
      <c r="AD495" s="2128"/>
    </row>
    <row r="496" spans="1:30" ht="15.75" customHeight="1" x14ac:dyDescent="0.3">
      <c r="A496" s="4433"/>
      <c r="B496" s="4433"/>
      <c r="C496" s="2128"/>
      <c r="D496" s="2128"/>
      <c r="E496" s="2128"/>
      <c r="F496" s="2128"/>
      <c r="G496" s="2128"/>
      <c r="H496" s="2128"/>
      <c r="I496" s="2128"/>
      <c r="J496" s="2128"/>
      <c r="K496" s="2128"/>
      <c r="L496" s="2128"/>
      <c r="M496" s="2128"/>
      <c r="N496" s="2128"/>
      <c r="O496" s="2128"/>
      <c r="P496" s="2128"/>
      <c r="Q496" s="2128"/>
      <c r="R496" s="2128"/>
      <c r="S496" s="2128"/>
      <c r="T496" s="2128"/>
      <c r="U496" s="2128"/>
      <c r="V496" s="2128"/>
      <c r="W496" s="2128"/>
      <c r="X496" s="2128"/>
      <c r="Y496" s="2128"/>
      <c r="Z496" s="2128"/>
      <c r="AA496" s="2128"/>
      <c r="AB496" s="2128"/>
      <c r="AC496" s="2128"/>
      <c r="AD496" s="2128"/>
    </row>
    <row r="497" spans="1:30" ht="15.75" customHeight="1" x14ac:dyDescent="0.3">
      <c r="A497" s="4433"/>
      <c r="B497" s="4433"/>
      <c r="C497" s="2128"/>
      <c r="D497" s="2128"/>
      <c r="E497" s="2128"/>
      <c r="F497" s="2128"/>
      <c r="G497" s="2128"/>
      <c r="H497" s="2128"/>
      <c r="I497" s="2128"/>
      <c r="J497" s="2128"/>
      <c r="K497" s="2128"/>
      <c r="L497" s="2128"/>
      <c r="M497" s="2128"/>
      <c r="N497" s="2128"/>
      <c r="O497" s="2128"/>
      <c r="P497" s="2128"/>
      <c r="Q497" s="2128"/>
      <c r="R497" s="2128"/>
      <c r="S497" s="2128"/>
      <c r="T497" s="2128"/>
      <c r="U497" s="2128"/>
      <c r="V497" s="2128"/>
      <c r="W497" s="2128"/>
      <c r="X497" s="2128"/>
      <c r="Y497" s="2128"/>
      <c r="Z497" s="2128"/>
      <c r="AA497" s="2128"/>
      <c r="AB497" s="2128"/>
      <c r="AC497" s="2128"/>
      <c r="AD497" s="2128"/>
    </row>
    <row r="498" spans="1:30" ht="15.75" customHeight="1" x14ac:dyDescent="0.3">
      <c r="A498" s="4433"/>
      <c r="B498" s="4433"/>
      <c r="C498" s="2128"/>
      <c r="D498" s="2128"/>
      <c r="E498" s="2128"/>
      <c r="F498" s="2128"/>
      <c r="G498" s="2128"/>
      <c r="H498" s="2128"/>
      <c r="I498" s="2128"/>
      <c r="J498" s="2128"/>
      <c r="K498" s="2128"/>
      <c r="L498" s="2128"/>
      <c r="M498" s="2128"/>
      <c r="N498" s="2128"/>
      <c r="O498" s="2128"/>
      <c r="P498" s="2128"/>
      <c r="Q498" s="2128"/>
      <c r="R498" s="2128"/>
      <c r="S498" s="2128"/>
      <c r="T498" s="2128"/>
      <c r="U498" s="2128"/>
      <c r="V498" s="2128"/>
      <c r="W498" s="2128"/>
      <c r="X498" s="2128"/>
      <c r="Y498" s="2128"/>
      <c r="Z498" s="2128"/>
      <c r="AA498" s="2128"/>
      <c r="AB498" s="2128"/>
      <c r="AC498" s="2128"/>
      <c r="AD498" s="2128"/>
    </row>
    <row r="499" spans="1:30" ht="15.75" customHeight="1" x14ac:dyDescent="0.3">
      <c r="A499" s="4433"/>
      <c r="B499" s="4433"/>
      <c r="C499" s="2128"/>
      <c r="D499" s="2128"/>
      <c r="E499" s="2128"/>
      <c r="F499" s="2128"/>
      <c r="G499" s="2128"/>
      <c r="H499" s="2128"/>
      <c r="I499" s="2128"/>
      <c r="J499" s="2128"/>
      <c r="K499" s="2128"/>
      <c r="L499" s="2128"/>
      <c r="M499" s="2128"/>
      <c r="N499" s="2128"/>
      <c r="O499" s="2128"/>
      <c r="P499" s="2128"/>
      <c r="Q499" s="2128"/>
      <c r="R499" s="2128"/>
      <c r="S499" s="2128"/>
      <c r="T499" s="2128"/>
      <c r="U499" s="2128"/>
      <c r="V499" s="2128"/>
      <c r="W499" s="2128"/>
      <c r="X499" s="2128"/>
      <c r="Y499" s="2128"/>
      <c r="Z499" s="2128"/>
      <c r="AA499" s="2128"/>
      <c r="AB499" s="2128"/>
      <c r="AC499" s="2128"/>
      <c r="AD499" s="2128"/>
    </row>
    <row r="500" spans="1:30" ht="15.75" customHeight="1" x14ac:dyDescent="0.3">
      <c r="A500" s="4433"/>
      <c r="B500" s="4433"/>
      <c r="C500" s="2128"/>
      <c r="D500" s="2128"/>
      <c r="E500" s="2128"/>
      <c r="F500" s="2128"/>
      <c r="G500" s="2128"/>
      <c r="H500" s="2128"/>
      <c r="I500" s="2128"/>
      <c r="J500" s="2128"/>
      <c r="K500" s="2128"/>
      <c r="L500" s="2128"/>
      <c r="M500" s="2128"/>
      <c r="N500" s="2128"/>
      <c r="O500" s="2128"/>
      <c r="P500" s="2128"/>
      <c r="Q500" s="2128"/>
      <c r="R500" s="2128"/>
      <c r="S500" s="2128"/>
      <c r="T500" s="2128"/>
      <c r="U500" s="2128"/>
      <c r="V500" s="2128"/>
      <c r="W500" s="2128"/>
      <c r="X500" s="2128"/>
      <c r="Y500" s="2128"/>
      <c r="Z500" s="2128"/>
      <c r="AA500" s="2128"/>
      <c r="AB500" s="2128"/>
      <c r="AC500" s="2128"/>
      <c r="AD500" s="2128"/>
    </row>
    <row r="501" spans="1:30" ht="15.75" customHeight="1" x14ac:dyDescent="0.3">
      <c r="A501" s="4433"/>
      <c r="B501" s="4433"/>
      <c r="C501" s="2128"/>
      <c r="D501" s="2128"/>
      <c r="E501" s="2128"/>
      <c r="F501" s="2128"/>
      <c r="G501" s="2128"/>
      <c r="H501" s="2128"/>
      <c r="I501" s="2128"/>
      <c r="J501" s="2128"/>
      <c r="K501" s="2128"/>
      <c r="L501" s="2128"/>
      <c r="M501" s="2128"/>
      <c r="N501" s="2128"/>
      <c r="O501" s="2128"/>
      <c r="P501" s="2128"/>
      <c r="Q501" s="2128"/>
      <c r="R501" s="2128"/>
      <c r="S501" s="2128"/>
      <c r="T501" s="2128"/>
      <c r="U501" s="2128"/>
      <c r="V501" s="2128"/>
      <c r="W501" s="2128"/>
      <c r="X501" s="2128"/>
      <c r="Y501" s="2128"/>
      <c r="Z501" s="2128"/>
      <c r="AA501" s="2128"/>
      <c r="AB501" s="2128"/>
      <c r="AC501" s="2128"/>
      <c r="AD501" s="2128"/>
    </row>
    <row r="502" spans="1:30" ht="15.75" customHeight="1" x14ac:dyDescent="0.3">
      <c r="A502" s="4433"/>
      <c r="B502" s="4433"/>
      <c r="C502" s="2128"/>
      <c r="D502" s="2128"/>
      <c r="E502" s="2128"/>
      <c r="F502" s="2128"/>
      <c r="G502" s="2128"/>
      <c r="H502" s="2128"/>
      <c r="I502" s="2128"/>
      <c r="J502" s="2128"/>
      <c r="K502" s="2128"/>
      <c r="L502" s="2128"/>
      <c r="M502" s="2128"/>
      <c r="N502" s="2128"/>
      <c r="O502" s="2128"/>
      <c r="P502" s="2128"/>
      <c r="Q502" s="2128"/>
      <c r="R502" s="2128"/>
      <c r="S502" s="2128"/>
      <c r="T502" s="2128"/>
      <c r="U502" s="2128"/>
      <c r="V502" s="2128"/>
      <c r="W502" s="2128"/>
      <c r="X502" s="2128"/>
      <c r="Y502" s="2128"/>
      <c r="Z502" s="2128"/>
      <c r="AA502" s="2128"/>
      <c r="AB502" s="2128"/>
      <c r="AC502" s="2128"/>
      <c r="AD502" s="2128"/>
    </row>
    <row r="503" spans="1:30" ht="15.75" customHeight="1" x14ac:dyDescent="0.3">
      <c r="A503" s="4433"/>
      <c r="B503" s="4433"/>
      <c r="C503" s="2128"/>
      <c r="D503" s="2128"/>
      <c r="E503" s="2128"/>
      <c r="F503" s="2128"/>
      <c r="G503" s="2128"/>
      <c r="H503" s="2128"/>
      <c r="I503" s="2128"/>
      <c r="J503" s="2128"/>
      <c r="K503" s="2128"/>
      <c r="L503" s="2128"/>
      <c r="M503" s="2128"/>
      <c r="N503" s="2128"/>
      <c r="O503" s="2128"/>
      <c r="P503" s="2128"/>
      <c r="Q503" s="2128"/>
      <c r="R503" s="2128"/>
      <c r="S503" s="2128"/>
      <c r="T503" s="2128"/>
      <c r="U503" s="2128"/>
      <c r="V503" s="2128"/>
      <c r="W503" s="2128"/>
      <c r="X503" s="2128"/>
      <c r="Y503" s="2128"/>
      <c r="Z503" s="2128"/>
      <c r="AA503" s="2128"/>
      <c r="AB503" s="2128"/>
      <c r="AC503" s="2128"/>
      <c r="AD503" s="2128"/>
    </row>
    <row r="504" spans="1:30" ht="15.75" customHeight="1" x14ac:dyDescent="0.3">
      <c r="A504" s="4433"/>
      <c r="B504" s="4433"/>
      <c r="C504" s="2128"/>
      <c r="D504" s="2128"/>
      <c r="E504" s="2128"/>
      <c r="F504" s="2128"/>
      <c r="G504" s="2128"/>
      <c r="H504" s="2128"/>
      <c r="I504" s="2128"/>
      <c r="J504" s="2128"/>
      <c r="K504" s="2128"/>
      <c r="L504" s="2128"/>
      <c r="M504" s="2128"/>
      <c r="N504" s="2128"/>
      <c r="O504" s="2128"/>
      <c r="P504" s="2128"/>
      <c r="Q504" s="2128"/>
      <c r="R504" s="2128"/>
      <c r="S504" s="2128"/>
      <c r="T504" s="2128"/>
      <c r="U504" s="2128"/>
      <c r="V504" s="2128"/>
      <c r="W504" s="2128"/>
      <c r="X504" s="2128"/>
      <c r="Y504" s="2128"/>
      <c r="Z504" s="2128"/>
      <c r="AA504" s="2128"/>
      <c r="AB504" s="2128"/>
      <c r="AC504" s="2128"/>
      <c r="AD504" s="2128"/>
    </row>
    <row r="505" spans="1:30" ht="15.75" customHeight="1" x14ac:dyDescent="0.3">
      <c r="A505" s="4433"/>
      <c r="B505" s="4433"/>
      <c r="C505" s="2128"/>
      <c r="D505" s="2128"/>
      <c r="E505" s="2128"/>
      <c r="F505" s="2128"/>
      <c r="G505" s="2128"/>
      <c r="H505" s="2128"/>
      <c r="I505" s="2128"/>
      <c r="J505" s="2128"/>
      <c r="K505" s="2128"/>
      <c r="L505" s="2128"/>
      <c r="M505" s="2128"/>
      <c r="N505" s="2128"/>
      <c r="O505" s="2128"/>
      <c r="P505" s="2128"/>
      <c r="Q505" s="2128"/>
      <c r="R505" s="2128"/>
      <c r="S505" s="2128"/>
      <c r="T505" s="2128"/>
      <c r="U505" s="2128"/>
      <c r="V505" s="2128"/>
      <c r="W505" s="2128"/>
      <c r="X505" s="2128"/>
      <c r="Y505" s="2128"/>
      <c r="Z505" s="2128"/>
      <c r="AA505" s="2128"/>
      <c r="AB505" s="2128"/>
      <c r="AC505" s="2128"/>
      <c r="AD505" s="2128"/>
    </row>
    <row r="506" spans="1:30" ht="15.75" customHeight="1" x14ac:dyDescent="0.3">
      <c r="A506" s="4433"/>
      <c r="B506" s="4433"/>
      <c r="C506" s="2128"/>
      <c r="D506" s="2128"/>
      <c r="E506" s="2128"/>
      <c r="F506" s="2128"/>
      <c r="G506" s="2128"/>
      <c r="H506" s="2128"/>
      <c r="I506" s="2128"/>
      <c r="J506" s="2128"/>
      <c r="K506" s="2128"/>
      <c r="L506" s="2128"/>
      <c r="M506" s="2128"/>
      <c r="N506" s="2128"/>
      <c r="O506" s="2128"/>
      <c r="P506" s="2128"/>
      <c r="Q506" s="2128"/>
      <c r="R506" s="2128"/>
      <c r="S506" s="2128"/>
      <c r="T506" s="2128"/>
      <c r="U506" s="2128"/>
      <c r="V506" s="2128"/>
      <c r="W506" s="2128"/>
      <c r="X506" s="2128"/>
      <c r="Y506" s="2128"/>
      <c r="Z506" s="2128"/>
      <c r="AA506" s="2128"/>
      <c r="AB506" s="2128"/>
      <c r="AC506" s="2128"/>
      <c r="AD506" s="2128"/>
    </row>
    <row r="507" spans="1:30" ht="15.75" customHeight="1" x14ac:dyDescent="0.3">
      <c r="A507" s="4433"/>
      <c r="B507" s="4433"/>
      <c r="C507" s="2128"/>
      <c r="D507" s="2128"/>
      <c r="E507" s="2128"/>
      <c r="F507" s="2128"/>
      <c r="G507" s="2128"/>
      <c r="H507" s="2128"/>
      <c r="I507" s="2128"/>
      <c r="J507" s="2128"/>
      <c r="K507" s="2128"/>
      <c r="L507" s="2128"/>
      <c r="M507" s="2128"/>
      <c r="N507" s="2128"/>
      <c r="O507" s="2128"/>
      <c r="P507" s="2128"/>
      <c r="Q507" s="2128"/>
      <c r="R507" s="2128"/>
      <c r="S507" s="2128"/>
      <c r="T507" s="2128"/>
      <c r="U507" s="2128"/>
      <c r="V507" s="2128"/>
      <c r="W507" s="2128"/>
      <c r="X507" s="2128"/>
      <c r="Y507" s="2128"/>
      <c r="Z507" s="2128"/>
      <c r="AA507" s="2128"/>
      <c r="AB507" s="2128"/>
      <c r="AC507" s="2128"/>
      <c r="AD507" s="2128"/>
    </row>
    <row r="508" spans="1:30" ht="15.75" customHeight="1" x14ac:dyDescent="0.3">
      <c r="A508" s="4433"/>
      <c r="B508" s="4433"/>
      <c r="C508" s="2128"/>
      <c r="D508" s="2128"/>
      <c r="E508" s="2128"/>
      <c r="F508" s="2128"/>
      <c r="G508" s="2128"/>
      <c r="H508" s="2128"/>
      <c r="I508" s="2128"/>
      <c r="J508" s="2128"/>
      <c r="K508" s="2128"/>
      <c r="L508" s="2128"/>
      <c r="M508" s="2128"/>
      <c r="N508" s="2128"/>
      <c r="O508" s="2128"/>
      <c r="P508" s="2128"/>
      <c r="Q508" s="2128"/>
      <c r="R508" s="2128"/>
      <c r="S508" s="2128"/>
      <c r="T508" s="2128"/>
      <c r="U508" s="2128"/>
      <c r="V508" s="2128"/>
      <c r="W508" s="2128"/>
      <c r="X508" s="2128"/>
      <c r="Y508" s="2128"/>
      <c r="Z508" s="2128"/>
      <c r="AA508" s="2128"/>
      <c r="AB508" s="2128"/>
      <c r="AC508" s="2128"/>
      <c r="AD508" s="2128"/>
    </row>
    <row r="509" spans="1:30" ht="15.75" customHeight="1" x14ac:dyDescent="0.3">
      <c r="A509" s="4433"/>
      <c r="B509" s="4433"/>
      <c r="C509" s="2128"/>
      <c r="D509" s="2128"/>
      <c r="E509" s="2128"/>
      <c r="F509" s="2128"/>
      <c r="G509" s="2128"/>
      <c r="H509" s="2128"/>
      <c r="I509" s="2128"/>
      <c r="J509" s="2128"/>
      <c r="K509" s="2128"/>
      <c r="L509" s="2128"/>
      <c r="M509" s="2128"/>
      <c r="N509" s="2128"/>
      <c r="O509" s="2128"/>
      <c r="P509" s="2128"/>
      <c r="Q509" s="2128"/>
      <c r="R509" s="2128"/>
      <c r="S509" s="2128"/>
      <c r="T509" s="2128"/>
      <c r="U509" s="2128"/>
      <c r="V509" s="2128"/>
      <c r="W509" s="2128"/>
      <c r="X509" s="2128"/>
      <c r="Y509" s="2128"/>
      <c r="Z509" s="2128"/>
      <c r="AA509" s="2128"/>
      <c r="AB509" s="2128"/>
      <c r="AC509" s="2128"/>
      <c r="AD509" s="2128"/>
    </row>
    <row r="510" spans="1:30" ht="15.75" customHeight="1" x14ac:dyDescent="0.3">
      <c r="A510" s="4433"/>
      <c r="B510" s="4433"/>
      <c r="C510" s="2128"/>
      <c r="D510" s="2128"/>
      <c r="E510" s="2128"/>
      <c r="F510" s="2128"/>
      <c r="G510" s="2128"/>
      <c r="H510" s="2128"/>
      <c r="I510" s="2128"/>
      <c r="J510" s="2128"/>
      <c r="K510" s="2128"/>
      <c r="L510" s="2128"/>
      <c r="M510" s="2128"/>
      <c r="N510" s="2128"/>
      <c r="O510" s="2128"/>
      <c r="P510" s="2128"/>
      <c r="Q510" s="2128"/>
      <c r="R510" s="2128"/>
      <c r="S510" s="2128"/>
      <c r="T510" s="2128"/>
      <c r="U510" s="2128"/>
      <c r="V510" s="2128"/>
      <c r="W510" s="2128"/>
      <c r="X510" s="2128"/>
      <c r="Y510" s="2128"/>
      <c r="Z510" s="2128"/>
      <c r="AA510" s="2128"/>
      <c r="AB510" s="2128"/>
      <c r="AC510" s="2128"/>
      <c r="AD510" s="2128"/>
    </row>
    <row r="511" spans="1:30" ht="15.75" customHeight="1" x14ac:dyDescent="0.3">
      <c r="A511" s="4433"/>
      <c r="B511" s="4433"/>
      <c r="C511" s="2128"/>
      <c r="D511" s="2128"/>
      <c r="E511" s="2128"/>
      <c r="F511" s="2128"/>
      <c r="G511" s="2128"/>
      <c r="H511" s="2128"/>
      <c r="I511" s="2128"/>
      <c r="J511" s="2128"/>
      <c r="K511" s="2128"/>
      <c r="L511" s="2128"/>
      <c r="M511" s="2128"/>
      <c r="N511" s="2128"/>
      <c r="O511" s="2128"/>
      <c r="P511" s="2128"/>
      <c r="Q511" s="2128"/>
      <c r="R511" s="2128"/>
      <c r="S511" s="2128"/>
      <c r="T511" s="2128"/>
      <c r="U511" s="2128"/>
      <c r="V511" s="2128"/>
      <c r="W511" s="2128"/>
      <c r="X511" s="2128"/>
      <c r="Y511" s="2128"/>
      <c r="Z511" s="2128"/>
      <c r="AA511" s="2128"/>
      <c r="AB511" s="2128"/>
      <c r="AC511" s="2128"/>
      <c r="AD511" s="2128"/>
    </row>
    <row r="512" spans="1:30" ht="15.75" customHeight="1" x14ac:dyDescent="0.3">
      <c r="A512" s="4433"/>
      <c r="B512" s="4433"/>
      <c r="C512" s="2128"/>
      <c r="D512" s="2128"/>
      <c r="E512" s="2128"/>
      <c r="F512" s="2128"/>
      <c r="G512" s="2128"/>
      <c r="H512" s="2128"/>
      <c r="I512" s="2128"/>
      <c r="J512" s="2128"/>
      <c r="K512" s="2128"/>
      <c r="L512" s="2128"/>
      <c r="M512" s="2128"/>
      <c r="N512" s="2128"/>
      <c r="O512" s="2128"/>
      <c r="P512" s="2128"/>
      <c r="Q512" s="2128"/>
      <c r="R512" s="2128"/>
      <c r="S512" s="2128"/>
      <c r="T512" s="2128"/>
      <c r="U512" s="2128"/>
      <c r="V512" s="2128"/>
      <c r="W512" s="2128"/>
      <c r="X512" s="2128"/>
      <c r="Y512" s="2128"/>
      <c r="Z512" s="2128"/>
      <c r="AA512" s="2128"/>
      <c r="AB512" s="2128"/>
      <c r="AC512" s="2128"/>
      <c r="AD512" s="2128"/>
    </row>
    <row r="513" spans="1:30" ht="15.75" customHeight="1" x14ac:dyDescent="0.3">
      <c r="A513" s="4433"/>
      <c r="B513" s="4433"/>
      <c r="C513" s="2128"/>
      <c r="D513" s="2128"/>
      <c r="E513" s="2128"/>
      <c r="F513" s="2128"/>
      <c r="G513" s="2128"/>
      <c r="H513" s="2128"/>
      <c r="I513" s="2128"/>
      <c r="J513" s="2128"/>
      <c r="K513" s="2128"/>
      <c r="L513" s="2128"/>
      <c r="M513" s="2128"/>
      <c r="N513" s="2128"/>
      <c r="O513" s="2128"/>
      <c r="P513" s="2128"/>
      <c r="Q513" s="2128"/>
      <c r="R513" s="2128"/>
      <c r="S513" s="2128"/>
      <c r="T513" s="2128"/>
      <c r="U513" s="2128"/>
      <c r="V513" s="2128"/>
      <c r="W513" s="2128"/>
      <c r="X513" s="2128"/>
      <c r="Y513" s="2128"/>
      <c r="Z513" s="2128"/>
      <c r="AA513" s="2128"/>
      <c r="AB513" s="2128"/>
      <c r="AC513" s="2128"/>
      <c r="AD513" s="2128"/>
    </row>
    <row r="514" spans="1:30" ht="15.75" customHeight="1" x14ac:dyDescent="0.3">
      <c r="A514" s="4433"/>
      <c r="B514" s="4433"/>
      <c r="C514" s="2128"/>
      <c r="D514" s="2128"/>
      <c r="E514" s="2128"/>
      <c r="F514" s="2128"/>
      <c r="G514" s="2128"/>
      <c r="H514" s="2128"/>
      <c r="I514" s="2128"/>
      <c r="J514" s="2128"/>
      <c r="K514" s="2128"/>
      <c r="L514" s="2128"/>
      <c r="M514" s="2128"/>
      <c r="N514" s="2128"/>
      <c r="O514" s="2128"/>
      <c r="P514" s="2128"/>
      <c r="Q514" s="2128"/>
      <c r="R514" s="2128"/>
      <c r="S514" s="2128"/>
      <c r="T514" s="2128"/>
      <c r="U514" s="2128"/>
      <c r="V514" s="2128"/>
      <c r="W514" s="2128"/>
      <c r="X514" s="2128"/>
      <c r="Y514" s="2128"/>
      <c r="Z514" s="2128"/>
      <c r="AA514" s="2128"/>
      <c r="AB514" s="2128"/>
      <c r="AC514" s="2128"/>
      <c r="AD514" s="2128"/>
    </row>
    <row r="515" spans="1:30" ht="15.75" customHeight="1" x14ac:dyDescent="0.3">
      <c r="A515" s="4433"/>
      <c r="B515" s="4433"/>
      <c r="C515" s="2128"/>
      <c r="D515" s="2128"/>
      <c r="E515" s="2128"/>
      <c r="F515" s="2128"/>
      <c r="G515" s="2128"/>
      <c r="H515" s="2128"/>
      <c r="I515" s="2128"/>
      <c r="J515" s="2128"/>
      <c r="K515" s="2128"/>
      <c r="L515" s="2128"/>
      <c r="M515" s="2128"/>
      <c r="N515" s="2128"/>
      <c r="O515" s="2128"/>
      <c r="P515" s="2128"/>
      <c r="Q515" s="2128"/>
      <c r="R515" s="2128"/>
      <c r="S515" s="2128"/>
      <c r="T515" s="2128"/>
      <c r="U515" s="2128"/>
      <c r="V515" s="2128"/>
      <c r="W515" s="2128"/>
      <c r="X515" s="2128"/>
      <c r="Y515" s="2128"/>
      <c r="Z515" s="2128"/>
      <c r="AA515" s="2128"/>
      <c r="AB515" s="2128"/>
      <c r="AC515" s="2128"/>
      <c r="AD515" s="2128"/>
    </row>
    <row r="516" spans="1:30" ht="15.75" customHeight="1" x14ac:dyDescent="0.3">
      <c r="A516" s="4433"/>
      <c r="B516" s="4433"/>
      <c r="C516" s="2128"/>
      <c r="D516" s="2128"/>
      <c r="E516" s="2128"/>
      <c r="F516" s="2128"/>
      <c r="G516" s="2128"/>
      <c r="H516" s="2128"/>
      <c r="I516" s="2128"/>
      <c r="J516" s="2128"/>
      <c r="K516" s="2128"/>
      <c r="L516" s="2128"/>
      <c r="M516" s="2128"/>
      <c r="N516" s="2128"/>
      <c r="O516" s="2128"/>
      <c r="P516" s="2128"/>
      <c r="Q516" s="2128"/>
      <c r="R516" s="2128"/>
      <c r="S516" s="2128"/>
      <c r="T516" s="2128"/>
      <c r="U516" s="2128"/>
      <c r="V516" s="2128"/>
      <c r="W516" s="2128"/>
      <c r="X516" s="2128"/>
      <c r="Y516" s="2128"/>
      <c r="Z516" s="2128"/>
      <c r="AA516" s="2128"/>
      <c r="AB516" s="2128"/>
      <c r="AC516" s="2128"/>
      <c r="AD516" s="2128"/>
    </row>
    <row r="517" spans="1:30" ht="15.75" customHeight="1" x14ac:dyDescent="0.3">
      <c r="A517" s="4433"/>
      <c r="B517" s="4433"/>
      <c r="C517" s="2128"/>
      <c r="D517" s="2128"/>
      <c r="E517" s="2128"/>
      <c r="F517" s="2128"/>
      <c r="G517" s="2128"/>
      <c r="H517" s="2128"/>
      <c r="I517" s="2128"/>
      <c r="J517" s="2128"/>
      <c r="K517" s="2128"/>
      <c r="L517" s="2128"/>
      <c r="M517" s="2128"/>
      <c r="N517" s="2128"/>
      <c r="O517" s="2128"/>
      <c r="P517" s="2128"/>
      <c r="Q517" s="2128"/>
      <c r="R517" s="2128"/>
      <c r="S517" s="2128"/>
      <c r="T517" s="2128"/>
      <c r="U517" s="2128"/>
      <c r="V517" s="2128"/>
      <c r="W517" s="2128"/>
      <c r="X517" s="2128"/>
      <c r="Y517" s="2128"/>
      <c r="Z517" s="2128"/>
      <c r="AA517" s="2128"/>
      <c r="AB517" s="2128"/>
      <c r="AC517" s="2128"/>
      <c r="AD517" s="2128"/>
    </row>
    <row r="518" spans="1:30" ht="15.75" customHeight="1" x14ac:dyDescent="0.3">
      <c r="A518" s="4433"/>
      <c r="B518" s="4433"/>
      <c r="C518" s="2128"/>
      <c r="D518" s="2128"/>
      <c r="E518" s="2128"/>
      <c r="F518" s="2128"/>
      <c r="G518" s="2128"/>
      <c r="H518" s="2128"/>
      <c r="I518" s="2128"/>
      <c r="J518" s="2128"/>
      <c r="K518" s="2128"/>
      <c r="L518" s="2128"/>
      <c r="M518" s="2128"/>
      <c r="N518" s="2128"/>
      <c r="O518" s="2128"/>
      <c r="P518" s="2128"/>
      <c r="Q518" s="2128"/>
      <c r="R518" s="2128"/>
      <c r="S518" s="2128"/>
      <c r="T518" s="2128"/>
      <c r="U518" s="2128"/>
      <c r="V518" s="2128"/>
      <c r="W518" s="2128"/>
      <c r="X518" s="2128"/>
      <c r="Y518" s="2128"/>
      <c r="Z518" s="2128"/>
      <c r="AA518" s="2128"/>
      <c r="AB518" s="2128"/>
      <c r="AC518" s="2128"/>
      <c r="AD518" s="2128"/>
    </row>
    <row r="519" spans="1:30" ht="15.75" customHeight="1" x14ac:dyDescent="0.3">
      <c r="A519" s="4433"/>
      <c r="B519" s="4433"/>
      <c r="C519" s="2128"/>
      <c r="D519" s="2128"/>
      <c r="E519" s="2128"/>
      <c r="F519" s="2128"/>
      <c r="G519" s="2128"/>
      <c r="H519" s="2128"/>
      <c r="I519" s="2128"/>
      <c r="J519" s="2128"/>
      <c r="K519" s="2128"/>
      <c r="L519" s="2128"/>
      <c r="M519" s="2128"/>
      <c r="N519" s="2128"/>
      <c r="O519" s="2128"/>
      <c r="P519" s="2128"/>
      <c r="Q519" s="2128"/>
      <c r="R519" s="2128"/>
      <c r="S519" s="2128"/>
      <c r="T519" s="2128"/>
      <c r="U519" s="2128"/>
      <c r="V519" s="2128"/>
      <c r="W519" s="2128"/>
      <c r="X519" s="2128"/>
      <c r="Y519" s="2128"/>
      <c r="Z519" s="2128"/>
      <c r="AA519" s="2128"/>
      <c r="AB519" s="2128"/>
      <c r="AC519" s="2128"/>
      <c r="AD519" s="2128"/>
    </row>
    <row r="520" spans="1:30" ht="15.75" customHeight="1" x14ac:dyDescent="0.3">
      <c r="A520" s="4433"/>
      <c r="B520" s="4433"/>
      <c r="C520" s="2128"/>
      <c r="D520" s="2128"/>
      <c r="E520" s="2128"/>
      <c r="F520" s="2128"/>
      <c r="G520" s="2128"/>
      <c r="H520" s="2128"/>
      <c r="I520" s="2128"/>
      <c r="J520" s="2128"/>
      <c r="K520" s="2128"/>
      <c r="L520" s="2128"/>
      <c r="M520" s="2128"/>
      <c r="N520" s="2128"/>
      <c r="O520" s="2128"/>
      <c r="P520" s="2128"/>
      <c r="Q520" s="2128"/>
      <c r="R520" s="2128"/>
      <c r="S520" s="2128"/>
      <c r="T520" s="2128"/>
      <c r="U520" s="2128"/>
      <c r="V520" s="2128"/>
      <c r="W520" s="2128"/>
      <c r="X520" s="2128"/>
      <c r="Y520" s="2128"/>
      <c r="Z520" s="2128"/>
      <c r="AA520" s="2128"/>
      <c r="AB520" s="2128"/>
      <c r="AC520" s="2128"/>
      <c r="AD520" s="2128"/>
    </row>
    <row r="521" spans="1:30" ht="15.75" customHeight="1" x14ac:dyDescent="0.3">
      <c r="A521" s="4433"/>
      <c r="B521" s="4433"/>
      <c r="C521" s="2128"/>
      <c r="D521" s="2128"/>
      <c r="E521" s="2128"/>
      <c r="F521" s="2128"/>
      <c r="G521" s="2128"/>
      <c r="H521" s="2128"/>
      <c r="I521" s="2128"/>
      <c r="J521" s="2128"/>
      <c r="K521" s="2128"/>
      <c r="L521" s="2128"/>
      <c r="M521" s="2128"/>
      <c r="N521" s="2128"/>
      <c r="O521" s="2128"/>
      <c r="P521" s="2128"/>
      <c r="Q521" s="2128"/>
      <c r="R521" s="2128"/>
      <c r="S521" s="2128"/>
      <c r="T521" s="2128"/>
      <c r="U521" s="2128"/>
      <c r="V521" s="2128"/>
      <c r="W521" s="2128"/>
      <c r="X521" s="2128"/>
      <c r="Y521" s="2128"/>
      <c r="Z521" s="2128"/>
      <c r="AA521" s="2128"/>
      <c r="AB521" s="2128"/>
      <c r="AC521" s="2128"/>
      <c r="AD521" s="2128"/>
    </row>
    <row r="522" spans="1:30" ht="15.75" customHeight="1" x14ac:dyDescent="0.3">
      <c r="A522" s="4433"/>
      <c r="B522" s="4433"/>
      <c r="C522" s="2128"/>
      <c r="D522" s="2128"/>
      <c r="E522" s="2128"/>
      <c r="F522" s="2128"/>
      <c r="G522" s="2128"/>
      <c r="H522" s="2128"/>
      <c r="I522" s="2128"/>
      <c r="J522" s="2128"/>
      <c r="K522" s="2128"/>
      <c r="L522" s="2128"/>
      <c r="M522" s="2128"/>
      <c r="N522" s="2128"/>
      <c r="O522" s="2128"/>
      <c r="P522" s="2128"/>
      <c r="Q522" s="2128"/>
      <c r="R522" s="2128"/>
      <c r="S522" s="2128"/>
      <c r="T522" s="2128"/>
      <c r="U522" s="2128"/>
      <c r="V522" s="2128"/>
      <c r="W522" s="2128"/>
      <c r="X522" s="2128"/>
      <c r="Y522" s="2128"/>
      <c r="Z522" s="2128"/>
      <c r="AA522" s="2128"/>
      <c r="AB522" s="2128"/>
      <c r="AC522" s="2128"/>
      <c r="AD522" s="2128"/>
    </row>
    <row r="523" spans="1:30" ht="15.75" customHeight="1" x14ac:dyDescent="0.3">
      <c r="A523" s="4433"/>
      <c r="B523" s="4433"/>
      <c r="C523" s="2128"/>
      <c r="D523" s="2128"/>
      <c r="E523" s="2128"/>
      <c r="F523" s="2128"/>
      <c r="G523" s="2128"/>
      <c r="H523" s="2128"/>
      <c r="I523" s="2128"/>
      <c r="J523" s="2128"/>
      <c r="K523" s="2128"/>
      <c r="L523" s="2128"/>
      <c r="M523" s="2128"/>
      <c r="N523" s="2128"/>
      <c r="O523" s="2128"/>
      <c r="P523" s="2128"/>
      <c r="Q523" s="2128"/>
      <c r="R523" s="2128"/>
      <c r="S523" s="2128"/>
      <c r="T523" s="2128"/>
      <c r="U523" s="2128"/>
      <c r="V523" s="2128"/>
      <c r="W523" s="2128"/>
      <c r="X523" s="2128"/>
      <c r="Y523" s="2128"/>
      <c r="Z523" s="2128"/>
      <c r="AA523" s="2128"/>
      <c r="AB523" s="2128"/>
      <c r="AC523" s="2128"/>
      <c r="AD523" s="2128"/>
    </row>
    <row r="524" spans="1:30" ht="15.75" customHeight="1" x14ac:dyDescent="0.3">
      <c r="A524" s="4433"/>
      <c r="B524" s="4433"/>
      <c r="C524" s="2128"/>
      <c r="D524" s="2128"/>
      <c r="E524" s="2128"/>
      <c r="F524" s="2128"/>
      <c r="G524" s="2128"/>
      <c r="H524" s="2128"/>
      <c r="I524" s="2128"/>
      <c r="J524" s="2128"/>
      <c r="K524" s="2128"/>
      <c r="L524" s="2128"/>
      <c r="M524" s="2128"/>
      <c r="N524" s="2128"/>
      <c r="O524" s="2128"/>
      <c r="P524" s="2128"/>
      <c r="Q524" s="2128"/>
      <c r="R524" s="2128"/>
      <c r="S524" s="2128"/>
      <c r="T524" s="2128"/>
      <c r="U524" s="2128"/>
      <c r="V524" s="2128"/>
      <c r="W524" s="2128"/>
      <c r="X524" s="2128"/>
      <c r="Y524" s="2128"/>
      <c r="Z524" s="2128"/>
      <c r="AA524" s="2128"/>
      <c r="AB524" s="2128"/>
      <c r="AC524" s="2128"/>
      <c r="AD524" s="2128"/>
    </row>
    <row r="525" spans="1:30" ht="15.75" customHeight="1" x14ac:dyDescent="0.3">
      <c r="A525" s="4433"/>
      <c r="B525" s="4433"/>
      <c r="C525" s="2128"/>
      <c r="D525" s="2128"/>
      <c r="E525" s="2128"/>
      <c r="F525" s="2128"/>
      <c r="G525" s="2128"/>
      <c r="H525" s="2128"/>
      <c r="I525" s="2128"/>
      <c r="J525" s="2128"/>
      <c r="K525" s="2128"/>
      <c r="L525" s="2128"/>
      <c r="M525" s="2128"/>
      <c r="N525" s="2128"/>
      <c r="O525" s="2128"/>
      <c r="P525" s="2128"/>
      <c r="Q525" s="2128"/>
      <c r="R525" s="2128"/>
      <c r="S525" s="2128"/>
      <c r="T525" s="2128"/>
      <c r="U525" s="2128"/>
      <c r="V525" s="2128"/>
      <c r="W525" s="2128"/>
      <c r="X525" s="2128"/>
      <c r="Y525" s="2128"/>
      <c r="Z525" s="2128"/>
      <c r="AA525" s="2128"/>
      <c r="AB525" s="2128"/>
      <c r="AC525" s="2128"/>
      <c r="AD525" s="2128"/>
    </row>
    <row r="526" spans="1:30" ht="15.75" customHeight="1" x14ac:dyDescent="0.3">
      <c r="A526" s="4433"/>
      <c r="B526" s="4433"/>
      <c r="C526" s="2128"/>
      <c r="D526" s="2128"/>
      <c r="E526" s="2128"/>
      <c r="F526" s="2128"/>
      <c r="G526" s="2128"/>
      <c r="H526" s="2128"/>
      <c r="I526" s="2128"/>
      <c r="J526" s="2128"/>
      <c r="K526" s="2128"/>
      <c r="L526" s="2128"/>
      <c r="M526" s="2128"/>
      <c r="N526" s="2128"/>
      <c r="O526" s="2128"/>
      <c r="P526" s="2128"/>
      <c r="Q526" s="2128"/>
      <c r="R526" s="2128"/>
      <c r="S526" s="2128"/>
      <c r="T526" s="2128"/>
      <c r="U526" s="2128"/>
      <c r="V526" s="2128"/>
      <c r="W526" s="2128"/>
      <c r="X526" s="2128"/>
      <c r="Y526" s="2128"/>
      <c r="Z526" s="2128"/>
      <c r="AA526" s="2128"/>
      <c r="AB526" s="2128"/>
      <c r="AC526" s="2128"/>
      <c r="AD526" s="2128"/>
    </row>
    <row r="527" spans="1:30" ht="15.75" customHeight="1" x14ac:dyDescent="0.3">
      <c r="A527" s="4433"/>
      <c r="B527" s="4433"/>
      <c r="C527" s="2128"/>
      <c r="D527" s="2128"/>
      <c r="E527" s="2128"/>
      <c r="F527" s="2128"/>
      <c r="G527" s="2128"/>
      <c r="H527" s="2128"/>
      <c r="I527" s="2128"/>
      <c r="J527" s="2128"/>
      <c r="K527" s="2128"/>
      <c r="L527" s="2128"/>
      <c r="M527" s="2128"/>
      <c r="N527" s="2128"/>
      <c r="O527" s="2128"/>
      <c r="P527" s="2128"/>
      <c r="Q527" s="2128"/>
      <c r="R527" s="2128"/>
      <c r="S527" s="2128"/>
      <c r="T527" s="2128"/>
      <c r="U527" s="2128"/>
      <c r="V527" s="2128"/>
      <c r="W527" s="2128"/>
      <c r="X527" s="2128"/>
      <c r="Y527" s="2128"/>
      <c r="Z527" s="2128"/>
      <c r="AA527" s="2128"/>
      <c r="AB527" s="2128"/>
      <c r="AC527" s="2128"/>
      <c r="AD527" s="2128"/>
    </row>
    <row r="528" spans="1:30" ht="15.75" customHeight="1" x14ac:dyDescent="0.3">
      <c r="A528" s="4433"/>
      <c r="B528" s="4433"/>
      <c r="C528" s="2128"/>
      <c r="D528" s="2128"/>
      <c r="E528" s="2128"/>
      <c r="F528" s="2128"/>
      <c r="G528" s="2128"/>
      <c r="H528" s="2128"/>
      <c r="I528" s="2128"/>
      <c r="J528" s="2128"/>
      <c r="K528" s="2128"/>
      <c r="L528" s="2128"/>
      <c r="M528" s="2128"/>
      <c r="N528" s="2128"/>
      <c r="O528" s="2128"/>
      <c r="P528" s="2128"/>
      <c r="Q528" s="2128"/>
      <c r="R528" s="2128"/>
      <c r="S528" s="2128"/>
      <c r="T528" s="2128"/>
      <c r="U528" s="2128"/>
      <c r="V528" s="2128"/>
      <c r="W528" s="2128"/>
      <c r="X528" s="2128"/>
      <c r="Y528" s="2128"/>
      <c r="Z528" s="2128"/>
      <c r="AA528" s="2128"/>
      <c r="AB528" s="2128"/>
      <c r="AC528" s="2128"/>
      <c r="AD528" s="2128"/>
    </row>
    <row r="529" spans="1:30" ht="15.75" customHeight="1" x14ac:dyDescent="0.3">
      <c r="A529" s="4433"/>
      <c r="B529" s="4433"/>
      <c r="C529" s="2128"/>
      <c r="D529" s="2128"/>
      <c r="E529" s="2128"/>
      <c r="F529" s="2128"/>
      <c r="G529" s="2128"/>
      <c r="H529" s="2128"/>
      <c r="I529" s="2128"/>
      <c r="J529" s="2128"/>
      <c r="K529" s="2128"/>
      <c r="L529" s="2128"/>
      <c r="M529" s="2128"/>
      <c r="N529" s="2128"/>
      <c r="O529" s="2128"/>
      <c r="P529" s="2128"/>
      <c r="Q529" s="2128"/>
      <c r="R529" s="2128"/>
      <c r="S529" s="2128"/>
      <c r="T529" s="2128"/>
      <c r="U529" s="2128"/>
      <c r="V529" s="2128"/>
      <c r="W529" s="2128"/>
      <c r="X529" s="2128"/>
      <c r="Y529" s="2128"/>
      <c r="Z529" s="2128"/>
      <c r="AA529" s="2128"/>
      <c r="AB529" s="2128"/>
      <c r="AC529" s="2128"/>
      <c r="AD529" s="2128"/>
    </row>
    <row r="530" spans="1:30" ht="15.75" customHeight="1" x14ac:dyDescent="0.3">
      <c r="A530" s="4433"/>
      <c r="B530" s="4433"/>
      <c r="C530" s="2128"/>
      <c r="D530" s="2128"/>
      <c r="E530" s="2128"/>
      <c r="F530" s="2128"/>
      <c r="G530" s="2128"/>
      <c r="H530" s="2128"/>
      <c r="I530" s="2128"/>
      <c r="J530" s="2128"/>
      <c r="K530" s="2128"/>
      <c r="L530" s="2128"/>
      <c r="M530" s="2128"/>
      <c r="N530" s="2128"/>
      <c r="O530" s="2128"/>
      <c r="P530" s="2128"/>
      <c r="Q530" s="2128"/>
      <c r="R530" s="2128"/>
      <c r="S530" s="2128"/>
      <c r="T530" s="2128"/>
      <c r="U530" s="2128"/>
      <c r="V530" s="2128"/>
      <c r="W530" s="2128"/>
      <c r="X530" s="2128"/>
      <c r="Y530" s="2128"/>
      <c r="Z530" s="2128"/>
      <c r="AA530" s="2128"/>
      <c r="AB530" s="2128"/>
      <c r="AC530" s="2128"/>
      <c r="AD530" s="2128"/>
    </row>
    <row r="531" spans="1:30" ht="15.75" customHeight="1" x14ac:dyDescent="0.3">
      <c r="A531" s="4433"/>
      <c r="B531" s="4433"/>
      <c r="C531" s="2128"/>
      <c r="D531" s="2128"/>
      <c r="E531" s="2128"/>
      <c r="F531" s="2128"/>
      <c r="G531" s="2128"/>
      <c r="H531" s="2128"/>
      <c r="I531" s="2128"/>
      <c r="J531" s="2128"/>
      <c r="K531" s="2128"/>
      <c r="L531" s="2128"/>
      <c r="M531" s="2128"/>
      <c r="N531" s="2128"/>
      <c r="O531" s="2128"/>
      <c r="P531" s="2128"/>
      <c r="Q531" s="2128"/>
      <c r="R531" s="2128"/>
      <c r="S531" s="2128"/>
      <c r="T531" s="2128"/>
      <c r="U531" s="2128"/>
      <c r="V531" s="2128"/>
      <c r="W531" s="2128"/>
      <c r="X531" s="2128"/>
      <c r="Y531" s="2128"/>
      <c r="Z531" s="2128"/>
      <c r="AA531" s="2128"/>
      <c r="AB531" s="2128"/>
      <c r="AC531" s="2128"/>
      <c r="AD531" s="2128"/>
    </row>
    <row r="532" spans="1:30" ht="15.75" customHeight="1" x14ac:dyDescent="0.3">
      <c r="A532" s="4433"/>
      <c r="B532" s="4433"/>
      <c r="C532" s="2128"/>
      <c r="D532" s="2128"/>
      <c r="E532" s="2128"/>
      <c r="F532" s="2128"/>
      <c r="G532" s="2128"/>
      <c r="H532" s="2128"/>
      <c r="I532" s="2128"/>
      <c r="J532" s="2128"/>
      <c r="K532" s="2128"/>
      <c r="L532" s="2128"/>
      <c r="M532" s="2128"/>
      <c r="N532" s="2128"/>
      <c r="O532" s="2128"/>
      <c r="P532" s="2128"/>
      <c r="Q532" s="2128"/>
      <c r="R532" s="2128"/>
      <c r="S532" s="2128"/>
      <c r="T532" s="2128"/>
      <c r="U532" s="2128"/>
      <c r="V532" s="2128"/>
      <c r="W532" s="2128"/>
      <c r="X532" s="2128"/>
      <c r="Y532" s="2128"/>
      <c r="Z532" s="2128"/>
      <c r="AA532" s="2128"/>
      <c r="AB532" s="2128"/>
      <c r="AC532" s="2128"/>
      <c r="AD532" s="2128"/>
    </row>
    <row r="533" spans="1:30" ht="15.75" customHeight="1" x14ac:dyDescent="0.3">
      <c r="A533" s="4433"/>
      <c r="B533" s="4433"/>
      <c r="C533" s="2128"/>
      <c r="D533" s="2128"/>
      <c r="E533" s="2128"/>
      <c r="F533" s="2128"/>
      <c r="G533" s="2128"/>
      <c r="H533" s="2128"/>
      <c r="I533" s="2128"/>
      <c r="J533" s="2128"/>
      <c r="K533" s="2128"/>
      <c r="L533" s="2128"/>
      <c r="M533" s="2128"/>
      <c r="N533" s="2128"/>
      <c r="O533" s="2128"/>
      <c r="P533" s="2128"/>
      <c r="Q533" s="2128"/>
      <c r="R533" s="2128"/>
      <c r="S533" s="2128"/>
      <c r="T533" s="2128"/>
      <c r="U533" s="2128"/>
      <c r="V533" s="2128"/>
      <c r="W533" s="2128"/>
      <c r="X533" s="2128"/>
      <c r="Y533" s="2128"/>
      <c r="Z533" s="2128"/>
      <c r="AA533" s="2128"/>
      <c r="AB533" s="2128"/>
      <c r="AC533" s="2128"/>
      <c r="AD533" s="2128"/>
    </row>
    <row r="534" spans="1:30" ht="15.75" customHeight="1" x14ac:dyDescent="0.3">
      <c r="A534" s="4433"/>
      <c r="B534" s="4433"/>
      <c r="C534" s="2128"/>
      <c r="D534" s="2128"/>
      <c r="E534" s="2128"/>
      <c r="F534" s="2128"/>
      <c r="G534" s="2128"/>
      <c r="H534" s="2128"/>
      <c r="I534" s="2128"/>
      <c r="J534" s="2128"/>
      <c r="K534" s="2128"/>
      <c r="L534" s="2128"/>
      <c r="M534" s="2128"/>
      <c r="N534" s="2128"/>
      <c r="O534" s="2128"/>
      <c r="P534" s="2128"/>
      <c r="Q534" s="2128"/>
      <c r="R534" s="2128"/>
      <c r="S534" s="2128"/>
      <c r="T534" s="2128"/>
      <c r="U534" s="2128"/>
      <c r="V534" s="2128"/>
      <c r="W534" s="2128"/>
      <c r="X534" s="2128"/>
      <c r="Y534" s="2128"/>
      <c r="Z534" s="2128"/>
      <c r="AA534" s="2128"/>
      <c r="AB534" s="2128"/>
      <c r="AC534" s="2128"/>
      <c r="AD534" s="2128"/>
    </row>
    <row r="535" spans="1:30" ht="15.75" customHeight="1" x14ac:dyDescent="0.3">
      <c r="A535" s="4433"/>
      <c r="B535" s="4433"/>
      <c r="C535" s="2128"/>
      <c r="D535" s="2128"/>
      <c r="E535" s="2128"/>
      <c r="F535" s="2128"/>
      <c r="G535" s="2128"/>
      <c r="H535" s="2128"/>
      <c r="I535" s="2128"/>
      <c r="J535" s="2128"/>
      <c r="K535" s="2128"/>
      <c r="L535" s="2128"/>
      <c r="M535" s="2128"/>
      <c r="N535" s="2128"/>
      <c r="O535" s="2128"/>
      <c r="P535" s="2128"/>
      <c r="Q535" s="2128"/>
      <c r="R535" s="2128"/>
      <c r="S535" s="2128"/>
      <c r="T535" s="2128"/>
      <c r="U535" s="2128"/>
      <c r="V535" s="2128"/>
      <c r="W535" s="2128"/>
      <c r="X535" s="2128"/>
      <c r="Y535" s="2128"/>
      <c r="Z535" s="2128"/>
      <c r="AA535" s="2128"/>
      <c r="AB535" s="2128"/>
      <c r="AC535" s="2128"/>
      <c r="AD535" s="2128"/>
    </row>
    <row r="536" spans="1:30" ht="15.75" customHeight="1" x14ac:dyDescent="0.3">
      <c r="A536" s="4433"/>
      <c r="B536" s="4433"/>
      <c r="C536" s="2128"/>
      <c r="D536" s="2128"/>
      <c r="E536" s="2128"/>
      <c r="F536" s="2128"/>
      <c r="G536" s="2128"/>
      <c r="H536" s="2128"/>
      <c r="I536" s="2128"/>
      <c r="J536" s="2128"/>
      <c r="K536" s="2128"/>
      <c r="L536" s="2128"/>
      <c r="M536" s="2128"/>
      <c r="N536" s="2128"/>
      <c r="O536" s="2128"/>
      <c r="P536" s="2128"/>
      <c r="Q536" s="2128"/>
      <c r="R536" s="2128"/>
      <c r="S536" s="2128"/>
      <c r="T536" s="2128"/>
      <c r="U536" s="2128"/>
      <c r="V536" s="2128"/>
      <c r="W536" s="2128"/>
      <c r="X536" s="2128"/>
      <c r="Y536" s="2128"/>
      <c r="Z536" s="2128"/>
      <c r="AA536" s="2128"/>
      <c r="AB536" s="2128"/>
      <c r="AC536" s="2128"/>
      <c r="AD536" s="2128"/>
    </row>
    <row r="537" spans="1:30" ht="15.75" customHeight="1" x14ac:dyDescent="0.3">
      <c r="A537" s="4433"/>
      <c r="B537" s="4433"/>
      <c r="C537" s="2128"/>
      <c r="D537" s="2128"/>
      <c r="E537" s="2128"/>
      <c r="F537" s="2128"/>
      <c r="G537" s="2128"/>
      <c r="H537" s="2128"/>
      <c r="I537" s="2128"/>
      <c r="J537" s="2128"/>
      <c r="K537" s="2128"/>
      <c r="L537" s="2128"/>
      <c r="M537" s="2128"/>
      <c r="N537" s="2128"/>
      <c r="O537" s="2128"/>
      <c r="P537" s="2128"/>
      <c r="Q537" s="2128"/>
      <c r="R537" s="2128"/>
      <c r="S537" s="2128"/>
      <c r="T537" s="2128"/>
      <c r="U537" s="2128"/>
      <c r="V537" s="2128"/>
      <c r="W537" s="2128"/>
      <c r="X537" s="2128"/>
      <c r="Y537" s="2128"/>
      <c r="Z537" s="2128"/>
      <c r="AA537" s="2128"/>
      <c r="AB537" s="2128"/>
      <c r="AC537" s="2128"/>
      <c r="AD537" s="2128"/>
    </row>
    <row r="538" spans="1:30" ht="15.75" customHeight="1" x14ac:dyDescent="0.3">
      <c r="A538" s="4433"/>
      <c r="B538" s="4433"/>
      <c r="C538" s="2128"/>
      <c r="D538" s="2128"/>
      <c r="E538" s="2128"/>
      <c r="F538" s="2128"/>
      <c r="G538" s="2128"/>
      <c r="H538" s="2128"/>
      <c r="I538" s="2128"/>
      <c r="J538" s="2128"/>
      <c r="K538" s="2128"/>
      <c r="L538" s="2128"/>
      <c r="M538" s="2128"/>
      <c r="N538" s="2128"/>
      <c r="O538" s="2128"/>
      <c r="P538" s="2128"/>
      <c r="Q538" s="2128"/>
      <c r="R538" s="2128"/>
      <c r="S538" s="2128"/>
      <c r="T538" s="2128"/>
      <c r="U538" s="2128"/>
      <c r="V538" s="2128"/>
      <c r="W538" s="2128"/>
      <c r="X538" s="2128"/>
      <c r="Y538" s="2128"/>
      <c r="Z538" s="2128"/>
      <c r="AA538" s="2128"/>
      <c r="AB538" s="2128"/>
      <c r="AC538" s="2128"/>
      <c r="AD538" s="2128"/>
    </row>
    <row r="539" spans="1:30" ht="15.75" customHeight="1" x14ac:dyDescent="0.3">
      <c r="A539" s="4433"/>
      <c r="B539" s="4433"/>
      <c r="C539" s="2128"/>
      <c r="D539" s="2128"/>
      <c r="E539" s="2128"/>
      <c r="F539" s="2128"/>
      <c r="G539" s="2128"/>
      <c r="H539" s="2128"/>
      <c r="I539" s="2128"/>
      <c r="J539" s="2128"/>
      <c r="K539" s="2128"/>
      <c r="L539" s="2128"/>
      <c r="M539" s="2128"/>
      <c r="N539" s="2128"/>
      <c r="O539" s="2128"/>
      <c r="P539" s="2128"/>
      <c r="Q539" s="2128"/>
      <c r="R539" s="2128"/>
      <c r="S539" s="2128"/>
      <c r="T539" s="2128"/>
      <c r="U539" s="2128"/>
      <c r="V539" s="2128"/>
      <c r="W539" s="2128"/>
      <c r="X539" s="2128"/>
      <c r="Y539" s="2128"/>
      <c r="Z539" s="2128"/>
      <c r="AA539" s="2128"/>
      <c r="AB539" s="2128"/>
      <c r="AC539" s="2128"/>
      <c r="AD539" s="2128"/>
    </row>
    <row r="540" spans="1:30" ht="15.75" customHeight="1" x14ac:dyDescent="0.3">
      <c r="A540" s="4433"/>
      <c r="B540" s="4433"/>
      <c r="C540" s="2128"/>
      <c r="D540" s="2128"/>
      <c r="E540" s="2128"/>
      <c r="F540" s="2128"/>
      <c r="G540" s="2128"/>
      <c r="H540" s="2128"/>
      <c r="I540" s="2128"/>
      <c r="J540" s="2128"/>
      <c r="K540" s="2128"/>
      <c r="L540" s="2128"/>
      <c r="M540" s="2128"/>
      <c r="N540" s="2128"/>
      <c r="O540" s="2128"/>
      <c r="P540" s="2128"/>
      <c r="Q540" s="2128"/>
      <c r="R540" s="2128"/>
      <c r="S540" s="2128"/>
      <c r="T540" s="2128"/>
      <c r="U540" s="2128"/>
      <c r="V540" s="2128"/>
      <c r="W540" s="2128"/>
      <c r="X540" s="2128"/>
      <c r="Y540" s="2128"/>
      <c r="Z540" s="2128"/>
      <c r="AA540" s="2128"/>
      <c r="AB540" s="2128"/>
      <c r="AC540" s="2128"/>
      <c r="AD540" s="2128"/>
    </row>
    <row r="541" spans="1:30" ht="15.75" customHeight="1" x14ac:dyDescent="0.3">
      <c r="A541" s="4433"/>
      <c r="B541" s="4433"/>
      <c r="C541" s="2128"/>
      <c r="D541" s="2128"/>
      <c r="E541" s="2128"/>
      <c r="F541" s="2128"/>
      <c r="G541" s="2128"/>
      <c r="H541" s="2128"/>
      <c r="I541" s="2128"/>
      <c r="J541" s="2128"/>
      <c r="K541" s="2128"/>
      <c r="L541" s="2128"/>
      <c r="M541" s="2128"/>
      <c r="N541" s="2128"/>
      <c r="O541" s="2128"/>
      <c r="P541" s="2128"/>
      <c r="Q541" s="2128"/>
      <c r="R541" s="2128"/>
      <c r="S541" s="2128"/>
      <c r="T541" s="2128"/>
      <c r="U541" s="2128"/>
      <c r="V541" s="2128"/>
      <c r="W541" s="2128"/>
      <c r="X541" s="2128"/>
      <c r="Y541" s="2128"/>
      <c r="Z541" s="2128"/>
      <c r="AA541" s="2128"/>
      <c r="AB541" s="2128"/>
      <c r="AC541" s="2128"/>
      <c r="AD541" s="2128"/>
    </row>
    <row r="542" spans="1:30" ht="15.75" customHeight="1" x14ac:dyDescent="0.3">
      <c r="A542" s="4433"/>
      <c r="B542" s="4433"/>
      <c r="C542" s="2128"/>
      <c r="D542" s="2128"/>
      <c r="E542" s="2128"/>
      <c r="F542" s="2128"/>
      <c r="G542" s="2128"/>
      <c r="H542" s="2128"/>
      <c r="I542" s="2128"/>
      <c r="J542" s="2128"/>
      <c r="K542" s="2128"/>
      <c r="L542" s="2128"/>
      <c r="M542" s="2128"/>
      <c r="N542" s="2128"/>
      <c r="O542" s="2128"/>
      <c r="P542" s="2128"/>
      <c r="Q542" s="2128"/>
      <c r="R542" s="2128"/>
      <c r="S542" s="2128"/>
      <c r="T542" s="2128"/>
      <c r="U542" s="2128"/>
      <c r="V542" s="2128"/>
      <c r="W542" s="2128"/>
      <c r="X542" s="2128"/>
      <c r="Y542" s="2128"/>
      <c r="Z542" s="2128"/>
      <c r="AA542" s="2128"/>
      <c r="AB542" s="2128"/>
      <c r="AC542" s="2128"/>
      <c r="AD542" s="2128"/>
    </row>
    <row r="543" spans="1:30" ht="15.75" customHeight="1" x14ac:dyDescent="0.3">
      <c r="A543" s="4433"/>
      <c r="B543" s="4433"/>
      <c r="C543" s="2128"/>
      <c r="D543" s="2128"/>
      <c r="E543" s="2128"/>
      <c r="F543" s="2128"/>
      <c r="G543" s="2128"/>
      <c r="H543" s="2128"/>
      <c r="I543" s="2128"/>
      <c r="J543" s="2128"/>
      <c r="K543" s="2128"/>
      <c r="L543" s="2128"/>
      <c r="M543" s="2128"/>
      <c r="N543" s="2128"/>
      <c r="O543" s="2128"/>
      <c r="P543" s="2128"/>
      <c r="Q543" s="2128"/>
      <c r="R543" s="2128"/>
      <c r="S543" s="2128"/>
      <c r="T543" s="2128"/>
      <c r="U543" s="2128"/>
      <c r="V543" s="2128"/>
      <c r="W543" s="2128"/>
      <c r="X543" s="2128"/>
      <c r="Y543" s="2128"/>
      <c r="Z543" s="2128"/>
      <c r="AA543" s="2128"/>
      <c r="AB543" s="2128"/>
      <c r="AC543" s="2128"/>
      <c r="AD543" s="2128"/>
    </row>
    <row r="544" spans="1:30" ht="15.75" customHeight="1" x14ac:dyDescent="0.3">
      <c r="A544" s="4433"/>
      <c r="B544" s="4433"/>
      <c r="C544" s="2128"/>
      <c r="D544" s="2128"/>
      <c r="E544" s="2128"/>
      <c r="F544" s="2128"/>
      <c r="G544" s="2128"/>
      <c r="H544" s="2128"/>
      <c r="I544" s="2128"/>
      <c r="J544" s="2128"/>
      <c r="K544" s="2128"/>
      <c r="L544" s="2128"/>
      <c r="M544" s="2128"/>
      <c r="N544" s="2128"/>
      <c r="O544" s="2128"/>
      <c r="P544" s="2128"/>
      <c r="Q544" s="2128"/>
      <c r="R544" s="2128"/>
      <c r="S544" s="2128"/>
      <c r="T544" s="2128"/>
      <c r="U544" s="2128"/>
      <c r="V544" s="2128"/>
      <c r="W544" s="2128"/>
      <c r="X544" s="2128"/>
      <c r="Y544" s="2128"/>
      <c r="Z544" s="2128"/>
      <c r="AA544" s="2128"/>
      <c r="AB544" s="2128"/>
      <c r="AC544" s="2128"/>
      <c r="AD544" s="2128"/>
    </row>
    <row r="545" spans="1:30" ht="15.75" customHeight="1" x14ac:dyDescent="0.3">
      <c r="A545" s="4433"/>
      <c r="B545" s="4433"/>
      <c r="C545" s="2128"/>
      <c r="D545" s="2128"/>
      <c r="E545" s="2128"/>
      <c r="F545" s="2128"/>
      <c r="G545" s="2128"/>
      <c r="H545" s="2128"/>
      <c r="I545" s="2128"/>
      <c r="J545" s="2128"/>
      <c r="K545" s="2128"/>
      <c r="L545" s="2128"/>
      <c r="M545" s="2128"/>
      <c r="N545" s="2128"/>
      <c r="O545" s="2128"/>
      <c r="P545" s="2128"/>
      <c r="Q545" s="2128"/>
      <c r="R545" s="2128"/>
      <c r="S545" s="2128"/>
      <c r="T545" s="2128"/>
      <c r="U545" s="2128"/>
      <c r="V545" s="2128"/>
      <c r="W545" s="2128"/>
      <c r="X545" s="2128"/>
      <c r="Y545" s="2128"/>
      <c r="Z545" s="2128"/>
      <c r="AA545" s="2128"/>
      <c r="AB545" s="2128"/>
      <c r="AC545" s="2128"/>
      <c r="AD545" s="2128"/>
    </row>
    <row r="546" spans="1:30" ht="15.75" customHeight="1" x14ac:dyDescent="0.3">
      <c r="A546" s="4433"/>
      <c r="B546" s="4433"/>
      <c r="C546" s="2128"/>
      <c r="D546" s="2128"/>
      <c r="E546" s="2128"/>
      <c r="F546" s="2128"/>
      <c r="G546" s="2128"/>
      <c r="H546" s="2128"/>
      <c r="I546" s="2128"/>
      <c r="J546" s="2128"/>
      <c r="K546" s="2128"/>
      <c r="L546" s="2128"/>
      <c r="M546" s="2128"/>
      <c r="N546" s="2128"/>
      <c r="O546" s="2128"/>
      <c r="P546" s="2128"/>
      <c r="Q546" s="2128"/>
      <c r="R546" s="2128"/>
      <c r="S546" s="2128"/>
      <c r="T546" s="2128"/>
      <c r="U546" s="2128"/>
      <c r="V546" s="2128"/>
      <c r="W546" s="2128"/>
      <c r="X546" s="2128"/>
      <c r="Y546" s="2128"/>
      <c r="Z546" s="2128"/>
      <c r="AA546" s="2128"/>
      <c r="AB546" s="2128"/>
      <c r="AC546" s="2128"/>
      <c r="AD546" s="2128"/>
    </row>
    <row r="547" spans="1:30" ht="15.75" customHeight="1" x14ac:dyDescent="0.3">
      <c r="A547" s="4433"/>
      <c r="B547" s="4433"/>
      <c r="C547" s="2128"/>
      <c r="D547" s="2128"/>
      <c r="E547" s="2128"/>
      <c r="F547" s="2128"/>
      <c r="G547" s="2128"/>
      <c r="H547" s="2128"/>
      <c r="I547" s="2128"/>
      <c r="J547" s="2128"/>
      <c r="K547" s="2128"/>
      <c r="L547" s="2128"/>
      <c r="M547" s="2128"/>
      <c r="N547" s="2128"/>
      <c r="O547" s="2128"/>
      <c r="P547" s="2128"/>
      <c r="Q547" s="2128"/>
      <c r="R547" s="2128"/>
      <c r="S547" s="2128"/>
      <c r="T547" s="2128"/>
      <c r="U547" s="2128"/>
      <c r="V547" s="2128"/>
      <c r="W547" s="2128"/>
      <c r="X547" s="2128"/>
      <c r="Y547" s="2128"/>
      <c r="Z547" s="2128"/>
      <c r="AA547" s="2128"/>
      <c r="AB547" s="2128"/>
      <c r="AC547" s="2128"/>
      <c r="AD547" s="2128"/>
    </row>
    <row r="548" spans="1:30" ht="15.75" customHeight="1" x14ac:dyDescent="0.3">
      <c r="A548" s="4433"/>
      <c r="B548" s="4433"/>
      <c r="C548" s="2128"/>
      <c r="D548" s="2128"/>
      <c r="E548" s="2128"/>
      <c r="F548" s="2128"/>
      <c r="G548" s="2128"/>
      <c r="H548" s="2128"/>
      <c r="I548" s="2128"/>
      <c r="J548" s="2128"/>
      <c r="K548" s="2128"/>
      <c r="L548" s="2128"/>
      <c r="M548" s="2128"/>
      <c r="N548" s="2128"/>
      <c r="O548" s="2128"/>
      <c r="P548" s="2128"/>
      <c r="Q548" s="2128"/>
      <c r="R548" s="2128"/>
      <c r="S548" s="2128"/>
      <c r="T548" s="2128"/>
      <c r="U548" s="2128"/>
      <c r="V548" s="2128"/>
      <c r="W548" s="2128"/>
      <c r="X548" s="2128"/>
      <c r="Y548" s="2128"/>
      <c r="Z548" s="2128"/>
      <c r="AA548" s="2128"/>
      <c r="AB548" s="2128"/>
      <c r="AC548" s="2128"/>
      <c r="AD548" s="2128"/>
    </row>
    <row r="549" spans="1:30" ht="15.75" customHeight="1" x14ac:dyDescent="0.3">
      <c r="A549" s="4433"/>
      <c r="B549" s="4433"/>
      <c r="C549" s="2128"/>
      <c r="D549" s="2128"/>
      <c r="E549" s="2128"/>
      <c r="F549" s="2128"/>
      <c r="G549" s="2128"/>
      <c r="H549" s="2128"/>
      <c r="I549" s="2128"/>
      <c r="J549" s="2128"/>
      <c r="K549" s="2128"/>
      <c r="L549" s="2128"/>
      <c r="M549" s="2128"/>
      <c r="N549" s="2128"/>
      <c r="O549" s="2128"/>
      <c r="P549" s="2128"/>
      <c r="Q549" s="2128"/>
      <c r="R549" s="2128"/>
      <c r="S549" s="2128"/>
      <c r="T549" s="2128"/>
      <c r="U549" s="2128"/>
      <c r="V549" s="2128"/>
      <c r="W549" s="2128"/>
      <c r="X549" s="2128"/>
      <c r="Y549" s="2128"/>
      <c r="Z549" s="2128"/>
      <c r="AA549" s="2128"/>
      <c r="AB549" s="2128"/>
      <c r="AC549" s="2128"/>
      <c r="AD549" s="2128"/>
    </row>
    <row r="550" spans="1:30" ht="15.75" customHeight="1" x14ac:dyDescent="0.3">
      <c r="A550" s="4433"/>
      <c r="B550" s="4433"/>
      <c r="C550" s="2128"/>
      <c r="D550" s="2128"/>
      <c r="E550" s="2128"/>
      <c r="F550" s="2128"/>
      <c r="G550" s="2128"/>
      <c r="H550" s="2128"/>
      <c r="I550" s="2128"/>
      <c r="J550" s="2128"/>
      <c r="K550" s="2128"/>
      <c r="L550" s="2128"/>
      <c r="M550" s="2128"/>
      <c r="N550" s="2128"/>
      <c r="O550" s="2128"/>
      <c r="P550" s="2128"/>
      <c r="Q550" s="2128"/>
      <c r="R550" s="2128"/>
      <c r="S550" s="2128"/>
      <c r="T550" s="2128"/>
      <c r="U550" s="2128"/>
      <c r="V550" s="2128"/>
      <c r="W550" s="2128"/>
      <c r="X550" s="2128"/>
      <c r="Y550" s="2128"/>
      <c r="Z550" s="2128"/>
      <c r="AA550" s="2128"/>
      <c r="AB550" s="2128"/>
      <c r="AC550" s="2128"/>
      <c r="AD550" s="2128"/>
    </row>
    <row r="551" spans="1:30" ht="15.75" customHeight="1" x14ac:dyDescent="0.3">
      <c r="A551" s="4433"/>
      <c r="B551" s="4433"/>
      <c r="C551" s="2128"/>
      <c r="D551" s="2128"/>
      <c r="E551" s="2128"/>
      <c r="F551" s="2128"/>
      <c r="G551" s="2128"/>
      <c r="H551" s="2128"/>
      <c r="I551" s="2128"/>
      <c r="J551" s="2128"/>
      <c r="K551" s="2128"/>
      <c r="L551" s="2128"/>
      <c r="M551" s="2128"/>
      <c r="N551" s="2128"/>
      <c r="O551" s="2128"/>
      <c r="P551" s="2128"/>
      <c r="Q551" s="2128"/>
      <c r="R551" s="2128"/>
      <c r="S551" s="2128"/>
      <c r="T551" s="2128"/>
      <c r="U551" s="2128"/>
      <c r="V551" s="2128"/>
      <c r="W551" s="2128"/>
      <c r="X551" s="2128"/>
      <c r="Y551" s="2128"/>
      <c r="Z551" s="2128"/>
      <c r="AA551" s="2128"/>
      <c r="AB551" s="2128"/>
      <c r="AC551" s="2128"/>
      <c r="AD551" s="2128"/>
    </row>
    <row r="552" spans="1:30" ht="15.75" customHeight="1" x14ac:dyDescent="0.3">
      <c r="A552" s="4433"/>
      <c r="B552" s="4433"/>
      <c r="C552" s="2128"/>
      <c r="D552" s="2128"/>
      <c r="E552" s="2128"/>
      <c r="F552" s="2128"/>
      <c r="G552" s="2128"/>
      <c r="H552" s="2128"/>
      <c r="I552" s="2128"/>
      <c r="J552" s="2128"/>
      <c r="K552" s="2128"/>
      <c r="L552" s="2128"/>
      <c r="M552" s="2128"/>
      <c r="N552" s="2128"/>
      <c r="O552" s="2128"/>
      <c r="P552" s="2128"/>
      <c r="Q552" s="2128"/>
      <c r="R552" s="2128"/>
      <c r="S552" s="2128"/>
      <c r="T552" s="2128"/>
      <c r="U552" s="2128"/>
      <c r="V552" s="2128"/>
      <c r="W552" s="2128"/>
      <c r="X552" s="2128"/>
      <c r="Y552" s="2128"/>
      <c r="Z552" s="2128"/>
      <c r="AA552" s="2128"/>
      <c r="AB552" s="2128"/>
      <c r="AC552" s="2128"/>
      <c r="AD552" s="2128"/>
    </row>
    <row r="553" spans="1:30" ht="15.75" customHeight="1" x14ac:dyDescent="0.3">
      <c r="A553" s="4433"/>
      <c r="B553" s="4433"/>
      <c r="C553" s="2128"/>
      <c r="D553" s="2128"/>
      <c r="E553" s="2128"/>
      <c r="F553" s="2128"/>
      <c r="G553" s="2128"/>
      <c r="H553" s="2128"/>
      <c r="I553" s="2128"/>
      <c r="J553" s="2128"/>
      <c r="K553" s="2128"/>
      <c r="L553" s="2128"/>
      <c r="M553" s="2128"/>
      <c r="N553" s="2128"/>
      <c r="O553" s="2128"/>
      <c r="P553" s="2128"/>
      <c r="Q553" s="2128"/>
      <c r="R553" s="2128"/>
      <c r="S553" s="2128"/>
      <c r="T553" s="2128"/>
      <c r="U553" s="2128"/>
      <c r="V553" s="2128"/>
      <c r="W553" s="2128"/>
      <c r="X553" s="2128"/>
      <c r="Y553" s="2128"/>
      <c r="Z553" s="2128"/>
      <c r="AA553" s="2128"/>
      <c r="AB553" s="2128"/>
      <c r="AC553" s="2128"/>
      <c r="AD553" s="2128"/>
    </row>
    <row r="554" spans="1:30" ht="15.75" customHeight="1" x14ac:dyDescent="0.3">
      <c r="A554" s="4433"/>
      <c r="B554" s="4433"/>
      <c r="C554" s="2128"/>
      <c r="D554" s="2128"/>
      <c r="E554" s="2128"/>
      <c r="F554" s="2128"/>
      <c r="G554" s="2128"/>
      <c r="H554" s="2128"/>
      <c r="I554" s="2128"/>
      <c r="J554" s="2128"/>
      <c r="K554" s="2128"/>
      <c r="L554" s="2128"/>
      <c r="M554" s="2128"/>
      <c r="N554" s="2128"/>
      <c r="O554" s="2128"/>
      <c r="P554" s="2128"/>
      <c r="Q554" s="2128"/>
      <c r="R554" s="2128"/>
      <c r="S554" s="2128"/>
      <c r="T554" s="2128"/>
      <c r="U554" s="2128"/>
      <c r="V554" s="2128"/>
      <c r="W554" s="2128"/>
      <c r="X554" s="2128"/>
      <c r="Y554" s="2128"/>
      <c r="Z554" s="2128"/>
      <c r="AA554" s="2128"/>
      <c r="AB554" s="2128"/>
      <c r="AC554" s="2128"/>
      <c r="AD554" s="2128"/>
    </row>
    <row r="555" spans="1:30" ht="15.75" customHeight="1" x14ac:dyDescent="0.3">
      <c r="A555" s="4433"/>
      <c r="B555" s="4433"/>
      <c r="C555" s="2128"/>
      <c r="D555" s="2128"/>
      <c r="E555" s="2128"/>
      <c r="F555" s="2128"/>
      <c r="G555" s="2128"/>
      <c r="H555" s="2128"/>
      <c r="I555" s="2128"/>
      <c r="J555" s="2128"/>
      <c r="K555" s="2128"/>
      <c r="L555" s="2128"/>
      <c r="M555" s="2128"/>
      <c r="N555" s="2128"/>
      <c r="O555" s="2128"/>
      <c r="P555" s="2128"/>
      <c r="Q555" s="2128"/>
      <c r="R555" s="2128"/>
      <c r="S555" s="2128"/>
      <c r="T555" s="2128"/>
      <c r="U555" s="2128"/>
      <c r="V555" s="2128"/>
      <c r="W555" s="2128"/>
      <c r="X555" s="2128"/>
      <c r="Y555" s="2128"/>
      <c r="Z555" s="2128"/>
      <c r="AA555" s="2128"/>
      <c r="AB555" s="2128"/>
      <c r="AC555" s="2128"/>
      <c r="AD555" s="2128"/>
    </row>
    <row r="556" spans="1:30" ht="15.75" customHeight="1" x14ac:dyDescent="0.3">
      <c r="A556" s="4433"/>
      <c r="B556" s="4433"/>
      <c r="C556" s="2128"/>
      <c r="D556" s="2128"/>
      <c r="E556" s="2128"/>
      <c r="F556" s="2128"/>
      <c r="G556" s="2128"/>
      <c r="H556" s="2128"/>
      <c r="I556" s="2128"/>
      <c r="J556" s="2128"/>
      <c r="K556" s="2128"/>
      <c r="L556" s="2128"/>
      <c r="M556" s="2128"/>
      <c r="N556" s="2128"/>
      <c r="O556" s="2128"/>
      <c r="P556" s="2128"/>
      <c r="Q556" s="2128"/>
      <c r="R556" s="2128"/>
      <c r="S556" s="2128"/>
      <c r="T556" s="2128"/>
      <c r="U556" s="2128"/>
      <c r="V556" s="2128"/>
      <c r="W556" s="2128"/>
      <c r="X556" s="2128"/>
      <c r="Y556" s="2128"/>
      <c r="Z556" s="2128"/>
      <c r="AA556" s="2128"/>
      <c r="AB556" s="2128"/>
      <c r="AC556" s="2128"/>
      <c r="AD556" s="2128"/>
    </row>
    <row r="557" spans="1:30" ht="15.75" customHeight="1" x14ac:dyDescent="0.3">
      <c r="A557" s="4433"/>
      <c r="B557" s="4433"/>
      <c r="C557" s="2128"/>
      <c r="D557" s="2128"/>
      <c r="E557" s="2128"/>
      <c r="F557" s="2128"/>
      <c r="G557" s="2128"/>
      <c r="H557" s="2128"/>
      <c r="I557" s="2128"/>
      <c r="J557" s="2128"/>
      <c r="K557" s="2128"/>
      <c r="L557" s="2128"/>
      <c r="M557" s="2128"/>
      <c r="N557" s="2128"/>
      <c r="O557" s="2128"/>
      <c r="P557" s="2128"/>
      <c r="Q557" s="2128"/>
      <c r="R557" s="2128"/>
      <c r="S557" s="2128"/>
      <c r="T557" s="2128"/>
      <c r="U557" s="2128"/>
      <c r="V557" s="2128"/>
      <c r="W557" s="2128"/>
      <c r="X557" s="2128"/>
      <c r="Y557" s="2128"/>
      <c r="Z557" s="2128"/>
      <c r="AA557" s="2128"/>
      <c r="AB557" s="2128"/>
      <c r="AC557" s="2128"/>
      <c r="AD557" s="2128"/>
    </row>
    <row r="558" spans="1:30" ht="15.75" customHeight="1" x14ac:dyDescent="0.3">
      <c r="A558" s="4433"/>
      <c r="B558" s="4433"/>
      <c r="C558" s="2128"/>
      <c r="D558" s="2128"/>
      <c r="E558" s="2128"/>
      <c r="F558" s="2128"/>
      <c r="G558" s="2128"/>
      <c r="H558" s="2128"/>
      <c r="I558" s="2128"/>
      <c r="J558" s="2128"/>
      <c r="K558" s="2128"/>
      <c r="L558" s="2128"/>
      <c r="M558" s="2128"/>
      <c r="N558" s="2128"/>
      <c r="O558" s="2128"/>
      <c r="P558" s="2128"/>
      <c r="Q558" s="2128"/>
      <c r="R558" s="2128"/>
      <c r="S558" s="2128"/>
      <c r="T558" s="2128"/>
      <c r="U558" s="2128"/>
      <c r="V558" s="2128"/>
      <c r="W558" s="2128"/>
      <c r="X558" s="2128"/>
      <c r="Y558" s="2128"/>
      <c r="Z558" s="2128"/>
      <c r="AA558" s="2128"/>
      <c r="AB558" s="2128"/>
      <c r="AC558" s="2128"/>
      <c r="AD558" s="2128"/>
    </row>
    <row r="559" spans="1:30" ht="15.75" customHeight="1" x14ac:dyDescent="0.3">
      <c r="A559" s="4433"/>
      <c r="B559" s="4433"/>
      <c r="C559" s="2128"/>
      <c r="D559" s="2128"/>
      <c r="E559" s="2128"/>
      <c r="F559" s="2128"/>
      <c r="G559" s="2128"/>
      <c r="H559" s="2128"/>
      <c r="I559" s="2128"/>
      <c r="J559" s="2128"/>
      <c r="K559" s="2128"/>
      <c r="L559" s="2128"/>
      <c r="M559" s="2128"/>
      <c r="N559" s="2128"/>
      <c r="O559" s="2128"/>
      <c r="P559" s="2128"/>
      <c r="Q559" s="2128"/>
      <c r="R559" s="2128"/>
      <c r="S559" s="2128"/>
      <c r="T559" s="2128"/>
      <c r="U559" s="2128"/>
      <c r="V559" s="2128"/>
      <c r="W559" s="2128"/>
      <c r="X559" s="2128"/>
      <c r="Y559" s="2128"/>
      <c r="Z559" s="2128"/>
      <c r="AA559" s="2128"/>
      <c r="AB559" s="2128"/>
      <c r="AC559" s="2128"/>
      <c r="AD559" s="2128"/>
    </row>
    <row r="560" spans="1:30" ht="15.75" customHeight="1" x14ac:dyDescent="0.3">
      <c r="A560" s="4433"/>
      <c r="B560" s="4433"/>
      <c r="C560" s="2128"/>
      <c r="D560" s="2128"/>
      <c r="E560" s="2128"/>
      <c r="F560" s="2128"/>
      <c r="G560" s="2128"/>
      <c r="H560" s="2128"/>
      <c r="I560" s="2128"/>
      <c r="J560" s="2128"/>
      <c r="K560" s="2128"/>
      <c r="L560" s="2128"/>
      <c r="M560" s="2128"/>
      <c r="N560" s="2128"/>
      <c r="O560" s="2128"/>
      <c r="P560" s="2128"/>
      <c r="Q560" s="2128"/>
      <c r="R560" s="2128"/>
      <c r="S560" s="2128"/>
      <c r="T560" s="2128"/>
      <c r="U560" s="2128"/>
      <c r="V560" s="2128"/>
      <c r="W560" s="2128"/>
      <c r="X560" s="2128"/>
      <c r="Y560" s="2128"/>
      <c r="Z560" s="2128"/>
      <c r="AA560" s="2128"/>
      <c r="AB560" s="2128"/>
      <c r="AC560" s="2128"/>
      <c r="AD560" s="2128"/>
    </row>
    <row r="561" spans="1:30" ht="15.75" customHeight="1" x14ac:dyDescent="0.3">
      <c r="A561" s="4433"/>
      <c r="B561" s="4433"/>
      <c r="C561" s="2128"/>
      <c r="D561" s="2128"/>
      <c r="E561" s="2128"/>
      <c r="F561" s="2128"/>
      <c r="G561" s="2128"/>
      <c r="H561" s="2128"/>
      <c r="I561" s="2128"/>
      <c r="J561" s="2128"/>
      <c r="K561" s="2128"/>
      <c r="L561" s="2128"/>
      <c r="M561" s="2128"/>
      <c r="N561" s="2128"/>
      <c r="O561" s="2128"/>
      <c r="P561" s="2128"/>
      <c r="Q561" s="2128"/>
      <c r="R561" s="2128"/>
      <c r="S561" s="2128"/>
      <c r="T561" s="2128"/>
      <c r="U561" s="2128"/>
      <c r="V561" s="2128"/>
      <c r="W561" s="2128"/>
      <c r="X561" s="2128"/>
      <c r="Y561" s="2128"/>
      <c r="Z561" s="2128"/>
      <c r="AA561" s="2128"/>
      <c r="AB561" s="2128"/>
      <c r="AC561" s="2128"/>
      <c r="AD561" s="2128"/>
    </row>
    <row r="562" spans="1:30" ht="15.75" customHeight="1" x14ac:dyDescent="0.3">
      <c r="A562" s="4433"/>
      <c r="B562" s="4433"/>
      <c r="C562" s="2128"/>
      <c r="D562" s="2128"/>
      <c r="E562" s="2128"/>
      <c r="F562" s="2128"/>
      <c r="G562" s="2128"/>
      <c r="H562" s="2128"/>
      <c r="I562" s="2128"/>
      <c r="J562" s="2128"/>
      <c r="K562" s="2128"/>
      <c r="L562" s="2128"/>
      <c r="M562" s="2128"/>
      <c r="N562" s="2128"/>
      <c r="O562" s="2128"/>
      <c r="P562" s="2128"/>
      <c r="Q562" s="2128"/>
      <c r="R562" s="2128"/>
      <c r="S562" s="2128"/>
      <c r="T562" s="2128"/>
      <c r="U562" s="2128"/>
      <c r="V562" s="2128"/>
      <c r="W562" s="2128"/>
      <c r="X562" s="2128"/>
      <c r="Y562" s="2128"/>
      <c r="Z562" s="2128"/>
      <c r="AA562" s="2128"/>
      <c r="AB562" s="2128"/>
      <c r="AC562" s="2128"/>
      <c r="AD562" s="2128"/>
    </row>
    <row r="563" spans="1:30" ht="15.75" customHeight="1" x14ac:dyDescent="0.3">
      <c r="A563" s="4433"/>
      <c r="B563" s="4433"/>
      <c r="C563" s="2128"/>
      <c r="D563" s="2128"/>
      <c r="E563" s="2128"/>
      <c r="F563" s="2128"/>
      <c r="G563" s="2128"/>
      <c r="H563" s="2128"/>
      <c r="I563" s="2128"/>
      <c r="J563" s="2128"/>
      <c r="K563" s="2128"/>
      <c r="L563" s="2128"/>
      <c r="M563" s="2128"/>
      <c r="N563" s="2128"/>
      <c r="O563" s="2128"/>
      <c r="P563" s="2128"/>
      <c r="Q563" s="2128"/>
      <c r="R563" s="2128"/>
      <c r="S563" s="2128"/>
      <c r="T563" s="2128"/>
      <c r="U563" s="2128"/>
      <c r="V563" s="2128"/>
      <c r="W563" s="2128"/>
      <c r="X563" s="2128"/>
      <c r="Y563" s="2128"/>
      <c r="Z563" s="2128"/>
      <c r="AA563" s="2128"/>
      <c r="AB563" s="2128"/>
      <c r="AC563" s="2128"/>
      <c r="AD563" s="2128"/>
    </row>
    <row r="564" spans="1:30" ht="15.75" customHeight="1" x14ac:dyDescent="0.3">
      <c r="A564" s="4433"/>
      <c r="B564" s="4433"/>
      <c r="C564" s="2128"/>
      <c r="D564" s="2128"/>
      <c r="E564" s="2128"/>
      <c r="F564" s="2128"/>
      <c r="G564" s="2128"/>
      <c r="H564" s="2128"/>
      <c r="I564" s="2128"/>
      <c r="J564" s="2128"/>
      <c r="K564" s="2128"/>
      <c r="L564" s="2128"/>
      <c r="M564" s="2128"/>
      <c r="N564" s="2128"/>
      <c r="O564" s="2128"/>
      <c r="P564" s="2128"/>
      <c r="Q564" s="2128"/>
      <c r="R564" s="2128"/>
      <c r="S564" s="2128"/>
      <c r="T564" s="2128"/>
      <c r="U564" s="2128"/>
      <c r="V564" s="2128"/>
      <c r="W564" s="2128"/>
      <c r="X564" s="2128"/>
      <c r="Y564" s="2128"/>
      <c r="Z564" s="2128"/>
      <c r="AA564" s="2128"/>
      <c r="AB564" s="2128"/>
      <c r="AC564" s="2128"/>
      <c r="AD564" s="2128"/>
    </row>
    <row r="565" spans="1:30" ht="15.75" customHeight="1" x14ac:dyDescent="0.3">
      <c r="A565" s="4433"/>
      <c r="B565" s="4433"/>
      <c r="C565" s="2128"/>
      <c r="D565" s="2128"/>
      <c r="E565" s="2128"/>
      <c r="F565" s="2128"/>
      <c r="G565" s="2128"/>
      <c r="H565" s="2128"/>
      <c r="I565" s="2128"/>
      <c r="J565" s="2128"/>
      <c r="K565" s="2128"/>
      <c r="L565" s="2128"/>
      <c r="M565" s="2128"/>
      <c r="N565" s="2128"/>
      <c r="O565" s="2128"/>
      <c r="P565" s="2128"/>
      <c r="Q565" s="2128"/>
      <c r="R565" s="2128"/>
      <c r="S565" s="2128"/>
      <c r="T565" s="2128"/>
      <c r="U565" s="2128"/>
      <c r="V565" s="2128"/>
      <c r="W565" s="2128"/>
      <c r="X565" s="2128"/>
      <c r="Y565" s="2128"/>
      <c r="Z565" s="2128"/>
      <c r="AA565" s="2128"/>
      <c r="AB565" s="2128"/>
      <c r="AC565" s="2128"/>
      <c r="AD565" s="2128"/>
    </row>
    <row r="566" spans="1:30" ht="15.75" customHeight="1" x14ac:dyDescent="0.3">
      <c r="A566" s="4433"/>
      <c r="B566" s="4433"/>
      <c r="C566" s="2128"/>
      <c r="D566" s="2128"/>
      <c r="E566" s="2128"/>
      <c r="F566" s="2128"/>
      <c r="G566" s="2128"/>
      <c r="H566" s="2128"/>
      <c r="I566" s="2128"/>
      <c r="J566" s="2128"/>
      <c r="K566" s="2128"/>
      <c r="L566" s="2128"/>
      <c r="M566" s="2128"/>
      <c r="N566" s="2128"/>
      <c r="O566" s="2128"/>
      <c r="P566" s="2128"/>
      <c r="Q566" s="2128"/>
      <c r="R566" s="2128"/>
      <c r="S566" s="2128"/>
      <c r="T566" s="2128"/>
      <c r="U566" s="2128"/>
      <c r="V566" s="2128"/>
      <c r="W566" s="2128"/>
      <c r="X566" s="2128"/>
      <c r="Y566" s="2128"/>
      <c r="Z566" s="2128"/>
      <c r="AA566" s="2128"/>
      <c r="AB566" s="2128"/>
      <c r="AC566" s="2128"/>
      <c r="AD566" s="2128"/>
    </row>
    <row r="567" spans="1:30" ht="15.75" customHeight="1" x14ac:dyDescent="0.3">
      <c r="A567" s="4433"/>
      <c r="B567" s="4433"/>
      <c r="C567" s="2128"/>
      <c r="D567" s="2128"/>
      <c r="E567" s="2128"/>
      <c r="F567" s="2128"/>
      <c r="G567" s="2128"/>
      <c r="H567" s="2128"/>
      <c r="I567" s="2128"/>
      <c r="J567" s="2128"/>
      <c r="K567" s="2128"/>
      <c r="L567" s="2128"/>
      <c r="M567" s="2128"/>
      <c r="N567" s="2128"/>
      <c r="O567" s="2128"/>
      <c r="P567" s="2128"/>
      <c r="Q567" s="2128"/>
      <c r="R567" s="2128"/>
      <c r="S567" s="2128"/>
      <c r="T567" s="2128"/>
      <c r="U567" s="2128"/>
      <c r="V567" s="2128"/>
      <c r="W567" s="2128"/>
      <c r="X567" s="2128"/>
      <c r="Y567" s="2128"/>
      <c r="Z567" s="2128"/>
      <c r="AA567" s="2128"/>
      <c r="AB567" s="2128"/>
      <c r="AC567" s="2128"/>
      <c r="AD567" s="2128"/>
    </row>
    <row r="568" spans="1:30" ht="15.75" customHeight="1" x14ac:dyDescent="0.3">
      <c r="A568" s="4433"/>
      <c r="B568" s="4433"/>
      <c r="C568" s="2128"/>
      <c r="D568" s="2128"/>
      <c r="E568" s="2128"/>
      <c r="F568" s="2128"/>
      <c r="G568" s="2128"/>
      <c r="H568" s="2128"/>
      <c r="I568" s="2128"/>
      <c r="J568" s="2128"/>
      <c r="K568" s="2128"/>
      <c r="L568" s="2128"/>
      <c r="M568" s="2128"/>
      <c r="N568" s="2128"/>
      <c r="O568" s="2128"/>
      <c r="P568" s="2128"/>
      <c r="Q568" s="2128"/>
      <c r="R568" s="2128"/>
      <c r="S568" s="2128"/>
      <c r="T568" s="2128"/>
      <c r="U568" s="2128"/>
      <c r="V568" s="2128"/>
      <c r="W568" s="2128"/>
      <c r="X568" s="2128"/>
      <c r="Y568" s="2128"/>
      <c r="Z568" s="2128"/>
      <c r="AA568" s="2128"/>
      <c r="AB568" s="2128"/>
      <c r="AC568" s="2128"/>
      <c r="AD568" s="2128"/>
    </row>
    <row r="569" spans="1:30" ht="15.75" customHeight="1" x14ac:dyDescent="0.3">
      <c r="A569" s="4433"/>
      <c r="B569" s="4433"/>
      <c r="C569" s="2128"/>
      <c r="D569" s="2128"/>
      <c r="E569" s="2128"/>
      <c r="F569" s="2128"/>
      <c r="G569" s="2128"/>
      <c r="H569" s="2128"/>
      <c r="I569" s="2128"/>
      <c r="J569" s="2128"/>
      <c r="K569" s="2128"/>
      <c r="L569" s="2128"/>
      <c r="M569" s="2128"/>
      <c r="N569" s="2128"/>
      <c r="O569" s="2128"/>
      <c r="P569" s="2128"/>
      <c r="Q569" s="2128"/>
      <c r="R569" s="2128"/>
      <c r="S569" s="2128"/>
      <c r="T569" s="2128"/>
      <c r="U569" s="2128"/>
      <c r="V569" s="2128"/>
      <c r="W569" s="2128"/>
      <c r="X569" s="2128"/>
      <c r="Y569" s="2128"/>
      <c r="Z569" s="2128"/>
      <c r="AA569" s="2128"/>
      <c r="AB569" s="2128"/>
      <c r="AC569" s="2128"/>
      <c r="AD569" s="2128"/>
    </row>
    <row r="570" spans="1:30" ht="15.75" customHeight="1" x14ac:dyDescent="0.3">
      <c r="A570" s="4433"/>
      <c r="B570" s="4433"/>
      <c r="C570" s="2128"/>
      <c r="D570" s="2128"/>
      <c r="E570" s="2128"/>
      <c r="F570" s="2128"/>
      <c r="G570" s="2128"/>
      <c r="H570" s="2128"/>
      <c r="I570" s="2128"/>
      <c r="J570" s="2128"/>
      <c r="K570" s="2128"/>
      <c r="L570" s="2128"/>
      <c r="M570" s="2128"/>
      <c r="N570" s="2128"/>
      <c r="O570" s="2128"/>
      <c r="P570" s="2128"/>
      <c r="Q570" s="2128"/>
      <c r="R570" s="2128"/>
      <c r="S570" s="2128"/>
      <c r="T570" s="2128"/>
      <c r="U570" s="2128"/>
      <c r="V570" s="2128"/>
      <c r="W570" s="2128"/>
      <c r="X570" s="2128"/>
      <c r="Y570" s="2128"/>
      <c r="Z570" s="2128"/>
      <c r="AA570" s="2128"/>
      <c r="AB570" s="2128"/>
      <c r="AC570" s="2128"/>
      <c r="AD570" s="2128"/>
    </row>
    <row r="571" spans="1:30" ht="15.75" customHeight="1" x14ac:dyDescent="0.3">
      <c r="A571" s="4433"/>
      <c r="B571" s="4433"/>
      <c r="C571" s="2128"/>
      <c r="D571" s="2128"/>
      <c r="E571" s="2128"/>
      <c r="F571" s="2128"/>
      <c r="G571" s="2128"/>
      <c r="H571" s="2128"/>
      <c r="I571" s="2128"/>
      <c r="J571" s="2128"/>
      <c r="K571" s="2128"/>
      <c r="L571" s="2128"/>
      <c r="M571" s="2128"/>
      <c r="N571" s="2128"/>
      <c r="O571" s="2128"/>
      <c r="P571" s="2128"/>
      <c r="Q571" s="2128"/>
      <c r="R571" s="2128"/>
      <c r="S571" s="2128"/>
      <c r="T571" s="2128"/>
      <c r="U571" s="2128"/>
      <c r="V571" s="2128"/>
      <c r="W571" s="2128"/>
      <c r="X571" s="2128"/>
      <c r="Y571" s="2128"/>
      <c r="Z571" s="2128"/>
      <c r="AA571" s="2128"/>
      <c r="AB571" s="2128"/>
      <c r="AC571" s="2128"/>
      <c r="AD571" s="2128"/>
    </row>
    <row r="572" spans="1:30" ht="15.75" customHeight="1" x14ac:dyDescent="0.3">
      <c r="A572" s="4433"/>
      <c r="B572" s="4433"/>
      <c r="C572" s="2128"/>
      <c r="D572" s="2128"/>
      <c r="E572" s="2128"/>
      <c r="F572" s="2128"/>
      <c r="G572" s="2128"/>
      <c r="H572" s="2128"/>
      <c r="I572" s="2128"/>
      <c r="J572" s="2128"/>
      <c r="K572" s="2128"/>
      <c r="L572" s="2128"/>
      <c r="M572" s="2128"/>
      <c r="N572" s="2128"/>
      <c r="O572" s="2128"/>
      <c r="P572" s="2128"/>
      <c r="Q572" s="2128"/>
      <c r="R572" s="2128"/>
      <c r="S572" s="2128"/>
      <c r="T572" s="2128"/>
      <c r="U572" s="2128"/>
      <c r="V572" s="2128"/>
      <c r="W572" s="2128"/>
      <c r="X572" s="2128"/>
      <c r="Y572" s="2128"/>
      <c r="Z572" s="2128"/>
      <c r="AA572" s="2128"/>
      <c r="AB572" s="2128"/>
      <c r="AC572" s="2128"/>
      <c r="AD572" s="2128"/>
    </row>
    <row r="573" spans="1:30" ht="15.75" customHeight="1" x14ac:dyDescent="0.3">
      <c r="A573" s="4433"/>
      <c r="B573" s="4433"/>
      <c r="C573" s="2128"/>
      <c r="D573" s="2128"/>
      <c r="E573" s="2128"/>
      <c r="F573" s="2128"/>
      <c r="G573" s="2128"/>
      <c r="H573" s="2128"/>
      <c r="I573" s="2128"/>
      <c r="J573" s="2128"/>
      <c r="K573" s="2128"/>
      <c r="L573" s="2128"/>
      <c r="M573" s="2128"/>
      <c r="N573" s="2128"/>
      <c r="O573" s="2128"/>
      <c r="P573" s="2128"/>
      <c r="Q573" s="2128"/>
      <c r="R573" s="2128"/>
      <c r="S573" s="2128"/>
      <c r="T573" s="2128"/>
      <c r="U573" s="2128"/>
      <c r="V573" s="2128"/>
      <c r="W573" s="2128"/>
      <c r="X573" s="2128"/>
      <c r="Y573" s="2128"/>
      <c r="Z573" s="2128"/>
      <c r="AA573" s="2128"/>
      <c r="AB573" s="2128"/>
      <c r="AC573" s="2128"/>
      <c r="AD573" s="2128"/>
    </row>
    <row r="574" spans="1:30" ht="15.75" customHeight="1" x14ac:dyDescent="0.3">
      <c r="A574" s="4433"/>
      <c r="B574" s="4433"/>
      <c r="C574" s="2128"/>
      <c r="D574" s="2128"/>
      <c r="E574" s="2128"/>
      <c r="F574" s="2128"/>
      <c r="G574" s="2128"/>
      <c r="H574" s="2128"/>
      <c r="I574" s="2128"/>
      <c r="J574" s="2128"/>
      <c r="K574" s="2128"/>
      <c r="L574" s="2128"/>
      <c r="M574" s="2128"/>
      <c r="N574" s="2128"/>
      <c r="O574" s="2128"/>
      <c r="P574" s="2128"/>
      <c r="Q574" s="2128"/>
      <c r="R574" s="2128"/>
      <c r="S574" s="2128"/>
      <c r="T574" s="2128"/>
      <c r="U574" s="2128"/>
      <c r="V574" s="2128"/>
      <c r="W574" s="2128"/>
      <c r="X574" s="2128"/>
      <c r="Y574" s="2128"/>
      <c r="Z574" s="2128"/>
      <c r="AA574" s="2128"/>
      <c r="AB574" s="2128"/>
      <c r="AC574" s="2128"/>
      <c r="AD574" s="2128"/>
    </row>
    <row r="575" spans="1:30" ht="15.75" customHeight="1" x14ac:dyDescent="0.3">
      <c r="A575" s="4433"/>
      <c r="B575" s="4433"/>
      <c r="C575" s="2128"/>
      <c r="D575" s="2128"/>
      <c r="E575" s="2128"/>
      <c r="F575" s="2128"/>
      <c r="G575" s="2128"/>
      <c r="H575" s="2128"/>
      <c r="I575" s="2128"/>
      <c r="J575" s="2128"/>
      <c r="K575" s="2128"/>
      <c r="L575" s="2128"/>
      <c r="M575" s="2128"/>
      <c r="N575" s="2128"/>
      <c r="O575" s="2128"/>
      <c r="P575" s="2128"/>
      <c r="Q575" s="2128"/>
      <c r="R575" s="2128"/>
      <c r="S575" s="2128"/>
      <c r="T575" s="2128"/>
      <c r="U575" s="2128"/>
      <c r="V575" s="2128"/>
      <c r="W575" s="2128"/>
      <c r="X575" s="2128"/>
      <c r="Y575" s="2128"/>
      <c r="Z575" s="2128"/>
      <c r="AA575" s="2128"/>
      <c r="AB575" s="2128"/>
      <c r="AC575" s="2128"/>
      <c r="AD575" s="2128"/>
    </row>
    <row r="576" spans="1:30" ht="15.75" customHeight="1" x14ac:dyDescent="0.3">
      <c r="A576" s="4433"/>
      <c r="B576" s="4433"/>
      <c r="C576" s="2128"/>
      <c r="D576" s="2128"/>
      <c r="E576" s="2128"/>
      <c r="F576" s="2128"/>
      <c r="G576" s="2128"/>
      <c r="H576" s="2128"/>
      <c r="I576" s="2128"/>
      <c r="J576" s="2128"/>
      <c r="K576" s="2128"/>
      <c r="L576" s="2128"/>
      <c r="M576" s="2128"/>
      <c r="N576" s="2128"/>
      <c r="O576" s="2128"/>
      <c r="P576" s="2128"/>
      <c r="Q576" s="2128"/>
      <c r="R576" s="2128"/>
      <c r="S576" s="2128"/>
      <c r="T576" s="2128"/>
      <c r="U576" s="2128"/>
      <c r="V576" s="2128"/>
      <c r="W576" s="2128"/>
      <c r="X576" s="2128"/>
      <c r="Y576" s="2128"/>
      <c r="Z576" s="2128"/>
      <c r="AA576" s="2128"/>
      <c r="AB576" s="2128"/>
      <c r="AC576" s="2128"/>
      <c r="AD576" s="2128"/>
    </row>
    <row r="577" spans="1:30" ht="15.75" customHeight="1" x14ac:dyDescent="0.3">
      <c r="A577" s="4433"/>
      <c r="B577" s="4433"/>
      <c r="C577" s="2128"/>
      <c r="D577" s="2128"/>
      <c r="E577" s="2128"/>
      <c r="F577" s="2128"/>
      <c r="G577" s="2128"/>
      <c r="H577" s="2128"/>
      <c r="I577" s="2128"/>
      <c r="J577" s="2128"/>
      <c r="K577" s="2128"/>
      <c r="L577" s="2128"/>
      <c r="M577" s="2128"/>
      <c r="N577" s="2128"/>
      <c r="O577" s="2128"/>
      <c r="P577" s="2128"/>
      <c r="Q577" s="2128"/>
      <c r="R577" s="2128"/>
      <c r="S577" s="2128"/>
      <c r="T577" s="2128"/>
      <c r="U577" s="2128"/>
      <c r="V577" s="2128"/>
      <c r="W577" s="2128"/>
      <c r="X577" s="2128"/>
      <c r="Y577" s="2128"/>
      <c r="Z577" s="2128"/>
      <c r="AA577" s="2128"/>
      <c r="AB577" s="2128"/>
      <c r="AC577" s="2128"/>
      <c r="AD577" s="2128"/>
    </row>
    <row r="578" spans="1:30" ht="15.75" customHeight="1" x14ac:dyDescent="0.3">
      <c r="A578" s="4433"/>
      <c r="B578" s="4433"/>
      <c r="C578" s="2128"/>
      <c r="D578" s="2128"/>
      <c r="E578" s="2128"/>
      <c r="F578" s="2128"/>
      <c r="G578" s="2128"/>
      <c r="H578" s="2128"/>
      <c r="I578" s="2128"/>
      <c r="J578" s="2128"/>
      <c r="K578" s="2128"/>
      <c r="L578" s="2128"/>
      <c r="M578" s="2128"/>
      <c r="N578" s="2128"/>
      <c r="O578" s="2128"/>
      <c r="P578" s="2128"/>
      <c r="Q578" s="2128"/>
      <c r="R578" s="2128"/>
      <c r="S578" s="2128"/>
      <c r="T578" s="2128"/>
      <c r="U578" s="2128"/>
      <c r="V578" s="2128"/>
      <c r="W578" s="2128"/>
      <c r="X578" s="2128"/>
      <c r="Y578" s="2128"/>
      <c r="Z578" s="2128"/>
      <c r="AA578" s="2128"/>
      <c r="AB578" s="2128"/>
      <c r="AC578" s="2128"/>
      <c r="AD578" s="2128"/>
    </row>
    <row r="579" spans="1:30" ht="15.75" customHeight="1" x14ac:dyDescent="0.3">
      <c r="A579" s="4433"/>
      <c r="B579" s="4433"/>
      <c r="C579" s="2128"/>
      <c r="D579" s="2128"/>
      <c r="E579" s="2128"/>
      <c r="F579" s="2128"/>
      <c r="G579" s="2128"/>
      <c r="H579" s="2128"/>
      <c r="I579" s="2128"/>
      <c r="J579" s="2128"/>
      <c r="K579" s="2128"/>
      <c r="L579" s="2128"/>
      <c r="M579" s="2128"/>
      <c r="N579" s="2128"/>
      <c r="O579" s="2128"/>
      <c r="P579" s="2128"/>
      <c r="Q579" s="2128"/>
      <c r="R579" s="2128"/>
      <c r="S579" s="2128"/>
      <c r="T579" s="2128"/>
      <c r="U579" s="2128"/>
      <c r="V579" s="2128"/>
      <c r="W579" s="2128"/>
      <c r="X579" s="2128"/>
      <c r="Y579" s="2128"/>
      <c r="Z579" s="2128"/>
      <c r="AA579" s="2128"/>
      <c r="AB579" s="2128"/>
      <c r="AC579" s="2128"/>
      <c r="AD579" s="2128"/>
    </row>
    <row r="580" spans="1:30" ht="15.75" customHeight="1" x14ac:dyDescent="0.3">
      <c r="A580" s="4433"/>
      <c r="B580" s="4433"/>
      <c r="C580" s="2128"/>
      <c r="D580" s="2128"/>
      <c r="E580" s="2128"/>
      <c r="F580" s="2128"/>
      <c r="G580" s="2128"/>
      <c r="H580" s="2128"/>
      <c r="I580" s="2128"/>
      <c r="J580" s="2128"/>
      <c r="K580" s="2128"/>
      <c r="L580" s="2128"/>
      <c r="M580" s="2128"/>
      <c r="N580" s="2128"/>
      <c r="O580" s="2128"/>
      <c r="P580" s="2128"/>
      <c r="Q580" s="2128"/>
      <c r="R580" s="2128"/>
      <c r="S580" s="2128"/>
      <c r="T580" s="2128"/>
      <c r="U580" s="2128"/>
      <c r="V580" s="2128"/>
      <c r="W580" s="2128"/>
      <c r="X580" s="2128"/>
      <c r="Y580" s="2128"/>
      <c r="Z580" s="2128"/>
      <c r="AA580" s="2128"/>
      <c r="AB580" s="2128"/>
      <c r="AC580" s="2128"/>
      <c r="AD580" s="2128"/>
    </row>
    <row r="581" spans="1:30" ht="15.75" customHeight="1" x14ac:dyDescent="0.3">
      <c r="A581" s="4433"/>
      <c r="B581" s="4433"/>
      <c r="C581" s="2128"/>
      <c r="D581" s="2128"/>
      <c r="E581" s="2128"/>
      <c r="F581" s="2128"/>
      <c r="G581" s="2128"/>
      <c r="H581" s="2128"/>
      <c r="I581" s="2128"/>
      <c r="J581" s="2128"/>
      <c r="K581" s="2128"/>
      <c r="L581" s="2128"/>
      <c r="M581" s="2128"/>
      <c r="N581" s="2128"/>
      <c r="O581" s="2128"/>
      <c r="P581" s="2128"/>
      <c r="Q581" s="2128"/>
      <c r="R581" s="2128"/>
      <c r="S581" s="2128"/>
      <c r="T581" s="2128"/>
      <c r="U581" s="2128"/>
      <c r="V581" s="2128"/>
      <c r="W581" s="2128"/>
      <c r="X581" s="2128"/>
      <c r="Y581" s="2128"/>
      <c r="Z581" s="2128"/>
      <c r="AA581" s="2128"/>
      <c r="AB581" s="2128"/>
      <c r="AC581" s="2128"/>
      <c r="AD581" s="2128"/>
    </row>
    <row r="582" spans="1:30" ht="15.75" customHeight="1" x14ac:dyDescent="0.3">
      <c r="A582" s="4433"/>
      <c r="B582" s="4433"/>
      <c r="C582" s="2128"/>
      <c r="D582" s="2128"/>
      <c r="E582" s="2128"/>
      <c r="F582" s="2128"/>
      <c r="G582" s="2128"/>
      <c r="H582" s="2128"/>
      <c r="I582" s="2128"/>
      <c r="J582" s="2128"/>
      <c r="K582" s="2128"/>
      <c r="L582" s="2128"/>
      <c r="M582" s="2128"/>
      <c r="N582" s="2128"/>
      <c r="O582" s="2128"/>
      <c r="P582" s="2128"/>
      <c r="Q582" s="2128"/>
      <c r="R582" s="2128"/>
      <c r="S582" s="2128"/>
      <c r="T582" s="2128"/>
      <c r="U582" s="2128"/>
      <c r="V582" s="2128"/>
      <c r="W582" s="2128"/>
      <c r="X582" s="2128"/>
      <c r="Y582" s="2128"/>
      <c r="Z582" s="2128"/>
      <c r="AA582" s="2128"/>
      <c r="AB582" s="2128"/>
      <c r="AC582" s="2128"/>
      <c r="AD582" s="2128"/>
    </row>
    <row r="583" spans="1:30" ht="15.75" customHeight="1" x14ac:dyDescent="0.3">
      <c r="A583" s="4433"/>
      <c r="B583" s="4433"/>
      <c r="C583" s="2128"/>
      <c r="D583" s="2128"/>
      <c r="E583" s="2128"/>
      <c r="F583" s="2128"/>
      <c r="G583" s="2128"/>
      <c r="H583" s="2128"/>
      <c r="I583" s="2128"/>
      <c r="J583" s="2128"/>
      <c r="K583" s="2128"/>
      <c r="L583" s="2128"/>
      <c r="M583" s="2128"/>
      <c r="N583" s="2128"/>
      <c r="O583" s="2128"/>
      <c r="P583" s="2128"/>
      <c r="Q583" s="2128"/>
      <c r="R583" s="2128"/>
      <c r="S583" s="2128"/>
      <c r="T583" s="2128"/>
      <c r="U583" s="2128"/>
      <c r="V583" s="2128"/>
      <c r="W583" s="2128"/>
      <c r="X583" s="2128"/>
      <c r="Y583" s="2128"/>
      <c r="Z583" s="2128"/>
      <c r="AA583" s="2128"/>
      <c r="AB583" s="2128"/>
      <c r="AC583" s="2128"/>
      <c r="AD583" s="2128"/>
    </row>
    <row r="584" spans="1:30" ht="15.75" customHeight="1" x14ac:dyDescent="0.3">
      <c r="A584" s="4433"/>
      <c r="B584" s="4433"/>
      <c r="C584" s="2128"/>
      <c r="D584" s="2128"/>
      <c r="E584" s="2128"/>
      <c r="F584" s="2128"/>
      <c r="G584" s="2128"/>
      <c r="H584" s="2128"/>
      <c r="I584" s="2128"/>
      <c r="J584" s="2128"/>
      <c r="K584" s="2128"/>
      <c r="L584" s="2128"/>
      <c r="M584" s="2128"/>
      <c r="N584" s="2128"/>
      <c r="O584" s="2128"/>
      <c r="P584" s="2128"/>
      <c r="Q584" s="2128"/>
      <c r="R584" s="2128"/>
      <c r="S584" s="2128"/>
      <c r="T584" s="2128"/>
      <c r="U584" s="2128"/>
      <c r="V584" s="2128"/>
      <c r="W584" s="2128"/>
      <c r="X584" s="2128"/>
      <c r="Y584" s="2128"/>
      <c r="Z584" s="2128"/>
      <c r="AA584" s="2128"/>
      <c r="AB584" s="2128"/>
      <c r="AC584" s="2128"/>
      <c r="AD584" s="2128"/>
    </row>
    <row r="585" spans="1:30" ht="15.75" customHeight="1" x14ac:dyDescent="0.3">
      <c r="A585" s="4433"/>
      <c r="B585" s="4433"/>
      <c r="C585" s="2128"/>
      <c r="D585" s="2128"/>
      <c r="E585" s="2128"/>
      <c r="F585" s="2128"/>
      <c r="G585" s="2128"/>
      <c r="H585" s="2128"/>
      <c r="I585" s="2128"/>
      <c r="J585" s="2128"/>
      <c r="K585" s="2128"/>
      <c r="L585" s="2128"/>
      <c r="M585" s="2128"/>
      <c r="N585" s="2128"/>
      <c r="O585" s="2128"/>
      <c r="P585" s="2128"/>
      <c r="Q585" s="2128"/>
      <c r="R585" s="2128"/>
      <c r="S585" s="2128"/>
      <c r="T585" s="2128"/>
      <c r="U585" s="2128"/>
      <c r="V585" s="2128"/>
      <c r="W585" s="2128"/>
      <c r="X585" s="2128"/>
      <c r="Y585" s="2128"/>
      <c r="Z585" s="2128"/>
      <c r="AA585" s="2128"/>
      <c r="AB585" s="2128"/>
      <c r="AC585" s="2128"/>
      <c r="AD585" s="2128"/>
    </row>
    <row r="586" spans="1:30" ht="15.75" customHeight="1" x14ac:dyDescent="0.3">
      <c r="A586" s="4433"/>
      <c r="B586" s="4433"/>
      <c r="C586" s="2128"/>
      <c r="D586" s="2128"/>
      <c r="E586" s="2128"/>
      <c r="F586" s="2128"/>
      <c r="G586" s="2128"/>
      <c r="H586" s="2128"/>
      <c r="I586" s="2128"/>
      <c r="J586" s="2128"/>
      <c r="K586" s="2128"/>
      <c r="L586" s="2128"/>
      <c r="M586" s="2128"/>
      <c r="N586" s="2128"/>
      <c r="O586" s="2128"/>
      <c r="P586" s="2128"/>
      <c r="Q586" s="2128"/>
      <c r="R586" s="2128"/>
      <c r="S586" s="2128"/>
      <c r="T586" s="2128"/>
      <c r="U586" s="2128"/>
      <c r="V586" s="2128"/>
      <c r="W586" s="2128"/>
      <c r="X586" s="2128"/>
      <c r="Y586" s="2128"/>
      <c r="Z586" s="2128"/>
      <c r="AA586" s="2128"/>
      <c r="AB586" s="2128"/>
      <c r="AC586" s="2128"/>
      <c r="AD586" s="2128"/>
    </row>
    <row r="587" spans="1:30" ht="15.75" customHeight="1" x14ac:dyDescent="0.3">
      <c r="A587" s="4433"/>
      <c r="B587" s="4433"/>
      <c r="C587" s="2128"/>
      <c r="D587" s="2128"/>
      <c r="E587" s="2128"/>
      <c r="F587" s="2128"/>
      <c r="G587" s="2128"/>
      <c r="H587" s="2128"/>
      <c r="I587" s="2128"/>
      <c r="J587" s="2128"/>
      <c r="K587" s="2128"/>
      <c r="L587" s="2128"/>
      <c r="M587" s="2128"/>
      <c r="N587" s="2128"/>
      <c r="O587" s="2128"/>
      <c r="P587" s="2128"/>
      <c r="Q587" s="2128"/>
      <c r="R587" s="2128"/>
      <c r="S587" s="2128"/>
      <c r="T587" s="2128"/>
      <c r="U587" s="2128"/>
      <c r="V587" s="2128"/>
      <c r="W587" s="2128"/>
      <c r="X587" s="2128"/>
      <c r="Y587" s="2128"/>
      <c r="Z587" s="2128"/>
      <c r="AA587" s="2128"/>
      <c r="AB587" s="2128"/>
      <c r="AC587" s="2128"/>
      <c r="AD587" s="2128"/>
    </row>
    <row r="588" spans="1:30" ht="15.75" customHeight="1" x14ac:dyDescent="0.3">
      <c r="A588" s="4433"/>
      <c r="B588" s="4433"/>
      <c r="C588" s="2128"/>
      <c r="D588" s="2128"/>
      <c r="E588" s="2128"/>
      <c r="F588" s="2128"/>
      <c r="G588" s="2128"/>
      <c r="H588" s="2128"/>
      <c r="I588" s="2128"/>
      <c r="J588" s="2128"/>
      <c r="K588" s="2128"/>
      <c r="L588" s="2128"/>
      <c r="M588" s="2128"/>
      <c r="N588" s="2128"/>
      <c r="O588" s="2128"/>
      <c r="P588" s="2128"/>
      <c r="Q588" s="2128"/>
      <c r="R588" s="2128"/>
      <c r="S588" s="2128"/>
      <c r="T588" s="2128"/>
      <c r="U588" s="2128"/>
      <c r="V588" s="2128"/>
      <c r="W588" s="2128"/>
      <c r="X588" s="2128"/>
      <c r="Y588" s="2128"/>
      <c r="Z588" s="2128"/>
      <c r="AA588" s="2128"/>
      <c r="AB588" s="2128"/>
      <c r="AC588" s="2128"/>
      <c r="AD588" s="2128"/>
    </row>
    <row r="589" spans="1:30" ht="15.75" customHeight="1" x14ac:dyDescent="0.3">
      <c r="A589" s="4433"/>
      <c r="B589" s="4433"/>
      <c r="C589" s="2128"/>
      <c r="D589" s="2128"/>
      <c r="E589" s="2128"/>
      <c r="F589" s="2128"/>
      <c r="G589" s="2128"/>
      <c r="H589" s="2128"/>
      <c r="I589" s="2128"/>
      <c r="J589" s="2128"/>
      <c r="K589" s="2128"/>
      <c r="L589" s="2128"/>
      <c r="M589" s="2128"/>
      <c r="N589" s="2128"/>
      <c r="O589" s="2128"/>
      <c r="P589" s="2128"/>
      <c r="Q589" s="2128"/>
      <c r="R589" s="2128"/>
      <c r="S589" s="2128"/>
      <c r="T589" s="2128"/>
      <c r="U589" s="2128"/>
      <c r="V589" s="2128"/>
      <c r="W589" s="2128"/>
      <c r="X589" s="2128"/>
      <c r="Y589" s="2128"/>
      <c r="Z589" s="2128"/>
      <c r="AA589" s="2128"/>
      <c r="AB589" s="2128"/>
      <c r="AC589" s="2128"/>
      <c r="AD589" s="2128"/>
    </row>
    <row r="590" spans="1:30" ht="15.75" customHeight="1" x14ac:dyDescent="0.3">
      <c r="A590" s="4433"/>
      <c r="B590" s="4433"/>
      <c r="C590" s="2128"/>
      <c r="D590" s="2128"/>
      <c r="E590" s="2128"/>
      <c r="F590" s="2128"/>
      <c r="G590" s="2128"/>
      <c r="H590" s="2128"/>
      <c r="I590" s="2128"/>
      <c r="J590" s="2128"/>
      <c r="K590" s="2128"/>
      <c r="L590" s="2128"/>
      <c r="M590" s="2128"/>
      <c r="N590" s="2128"/>
      <c r="O590" s="2128"/>
      <c r="P590" s="2128"/>
      <c r="Q590" s="2128"/>
      <c r="R590" s="2128"/>
      <c r="S590" s="2128"/>
      <c r="T590" s="2128"/>
      <c r="U590" s="2128"/>
      <c r="V590" s="2128"/>
      <c r="W590" s="2128"/>
      <c r="X590" s="2128"/>
      <c r="Y590" s="2128"/>
      <c r="Z590" s="2128"/>
      <c r="AA590" s="2128"/>
      <c r="AB590" s="2128"/>
      <c r="AC590" s="2128"/>
      <c r="AD590" s="2128"/>
    </row>
    <row r="591" spans="1:30" ht="15.75" customHeight="1" x14ac:dyDescent="0.3">
      <c r="A591" s="4433"/>
      <c r="B591" s="4433"/>
      <c r="C591" s="2128"/>
      <c r="D591" s="2128"/>
      <c r="E591" s="2128"/>
      <c r="F591" s="2128"/>
      <c r="G591" s="2128"/>
      <c r="H591" s="2128"/>
      <c r="I591" s="2128"/>
      <c r="J591" s="2128"/>
      <c r="K591" s="2128"/>
      <c r="L591" s="2128"/>
      <c r="M591" s="2128"/>
      <c r="N591" s="2128"/>
      <c r="O591" s="2128"/>
      <c r="P591" s="2128"/>
      <c r="Q591" s="2128"/>
      <c r="R591" s="2128"/>
      <c r="S591" s="2128"/>
      <c r="T591" s="2128"/>
      <c r="U591" s="2128"/>
      <c r="V591" s="2128"/>
      <c r="W591" s="2128"/>
      <c r="X591" s="2128"/>
      <c r="Y591" s="2128"/>
      <c r="Z591" s="2128"/>
      <c r="AA591" s="2128"/>
      <c r="AB591" s="2128"/>
      <c r="AC591" s="2128"/>
      <c r="AD591" s="2128"/>
    </row>
    <row r="592" spans="1:30" ht="15.75" customHeight="1" x14ac:dyDescent="0.3">
      <c r="A592" s="4433"/>
      <c r="B592" s="4433"/>
      <c r="C592" s="2128"/>
      <c r="D592" s="2128"/>
      <c r="E592" s="2128"/>
      <c r="F592" s="2128"/>
      <c r="G592" s="2128"/>
      <c r="H592" s="2128"/>
      <c r="I592" s="2128"/>
      <c r="J592" s="2128"/>
      <c r="K592" s="2128"/>
      <c r="L592" s="2128"/>
      <c r="M592" s="2128"/>
      <c r="N592" s="2128"/>
      <c r="O592" s="2128"/>
      <c r="P592" s="2128"/>
      <c r="Q592" s="2128"/>
      <c r="R592" s="2128"/>
      <c r="S592" s="2128"/>
      <c r="T592" s="2128"/>
      <c r="U592" s="2128"/>
      <c r="V592" s="2128"/>
      <c r="W592" s="2128"/>
      <c r="X592" s="2128"/>
      <c r="Y592" s="2128"/>
      <c r="Z592" s="2128"/>
      <c r="AA592" s="2128"/>
      <c r="AB592" s="2128"/>
      <c r="AC592" s="2128"/>
      <c r="AD592" s="2128"/>
    </row>
    <row r="593" spans="1:30" ht="15.75" customHeight="1" x14ac:dyDescent="0.3">
      <c r="A593" s="4433"/>
      <c r="B593" s="4433"/>
      <c r="C593" s="2128"/>
      <c r="D593" s="2128"/>
      <c r="E593" s="2128"/>
      <c r="F593" s="2128"/>
      <c r="G593" s="2128"/>
      <c r="H593" s="2128"/>
      <c r="I593" s="2128"/>
      <c r="J593" s="2128"/>
      <c r="K593" s="2128"/>
      <c r="L593" s="2128"/>
      <c r="M593" s="2128"/>
      <c r="N593" s="2128"/>
      <c r="O593" s="2128"/>
      <c r="P593" s="2128"/>
      <c r="Q593" s="2128"/>
      <c r="R593" s="2128"/>
      <c r="S593" s="2128"/>
      <c r="T593" s="2128"/>
      <c r="U593" s="2128"/>
      <c r="V593" s="2128"/>
      <c r="W593" s="2128"/>
      <c r="X593" s="2128"/>
      <c r="Y593" s="2128"/>
      <c r="Z593" s="2128"/>
      <c r="AA593" s="2128"/>
      <c r="AB593" s="2128"/>
      <c r="AC593" s="2128"/>
      <c r="AD593" s="2128"/>
    </row>
    <row r="594" spans="1:30" ht="15.75" customHeight="1" x14ac:dyDescent="0.3">
      <c r="A594" s="4433"/>
      <c r="B594" s="4433"/>
      <c r="C594" s="2128"/>
      <c r="D594" s="2128"/>
      <c r="E594" s="2128"/>
      <c r="F594" s="2128"/>
      <c r="G594" s="2128"/>
      <c r="H594" s="2128"/>
      <c r="I594" s="2128"/>
      <c r="J594" s="2128"/>
      <c r="K594" s="2128"/>
      <c r="L594" s="2128"/>
      <c r="M594" s="2128"/>
      <c r="N594" s="2128"/>
      <c r="O594" s="2128"/>
      <c r="P594" s="2128"/>
      <c r="Q594" s="2128"/>
      <c r="R594" s="2128"/>
      <c r="S594" s="2128"/>
      <c r="T594" s="2128"/>
      <c r="U594" s="2128"/>
      <c r="V594" s="2128"/>
      <c r="W594" s="2128"/>
      <c r="X594" s="2128"/>
      <c r="Y594" s="2128"/>
      <c r="Z594" s="2128"/>
      <c r="AA594" s="2128"/>
      <c r="AB594" s="2128"/>
      <c r="AC594" s="2128"/>
      <c r="AD594" s="2128"/>
    </row>
    <row r="595" spans="1:30" ht="15.75" customHeight="1" x14ac:dyDescent="0.3">
      <c r="A595" s="4433"/>
      <c r="B595" s="4433"/>
      <c r="C595" s="2128"/>
      <c r="D595" s="2128"/>
      <c r="E595" s="2128"/>
      <c r="F595" s="2128"/>
      <c r="G595" s="2128"/>
      <c r="H595" s="2128"/>
      <c r="I595" s="2128"/>
      <c r="J595" s="2128"/>
      <c r="K595" s="2128"/>
      <c r="L595" s="2128"/>
      <c r="M595" s="2128"/>
      <c r="N595" s="2128"/>
      <c r="O595" s="2128"/>
      <c r="P595" s="2128"/>
      <c r="Q595" s="2128"/>
      <c r="R595" s="2128"/>
      <c r="S595" s="2128"/>
      <c r="T595" s="2128"/>
      <c r="U595" s="2128"/>
      <c r="V595" s="2128"/>
      <c r="W595" s="2128"/>
      <c r="X595" s="2128"/>
      <c r="Y595" s="2128"/>
      <c r="Z595" s="2128"/>
      <c r="AA595" s="2128"/>
      <c r="AB595" s="2128"/>
      <c r="AC595" s="2128"/>
      <c r="AD595" s="2128"/>
    </row>
    <row r="596" spans="1:30" ht="15.75" customHeight="1" x14ac:dyDescent="0.3">
      <c r="A596" s="4433"/>
      <c r="B596" s="4433"/>
      <c r="C596" s="2128"/>
      <c r="D596" s="2128"/>
      <c r="E596" s="2128"/>
      <c r="F596" s="2128"/>
      <c r="G596" s="2128"/>
      <c r="H596" s="2128"/>
      <c r="I596" s="2128"/>
      <c r="J596" s="2128"/>
      <c r="K596" s="2128"/>
      <c r="L596" s="2128"/>
      <c r="M596" s="2128"/>
      <c r="N596" s="2128"/>
      <c r="O596" s="2128"/>
      <c r="P596" s="2128"/>
      <c r="Q596" s="2128"/>
      <c r="R596" s="2128"/>
      <c r="S596" s="2128"/>
      <c r="T596" s="2128"/>
      <c r="U596" s="2128"/>
      <c r="V596" s="2128"/>
      <c r="W596" s="2128"/>
      <c r="X596" s="2128"/>
      <c r="Y596" s="2128"/>
      <c r="Z596" s="2128"/>
      <c r="AA596" s="2128"/>
      <c r="AB596" s="2128"/>
      <c r="AC596" s="2128"/>
      <c r="AD596" s="2128"/>
    </row>
    <row r="597" spans="1:30" ht="15.75" customHeight="1" x14ac:dyDescent="0.3">
      <c r="A597" s="4433"/>
      <c r="B597" s="4433"/>
      <c r="C597" s="2128"/>
      <c r="D597" s="2128"/>
      <c r="E597" s="2128"/>
      <c r="F597" s="2128"/>
      <c r="G597" s="2128"/>
      <c r="H597" s="2128"/>
      <c r="I597" s="2128"/>
      <c r="J597" s="2128"/>
      <c r="K597" s="2128"/>
      <c r="L597" s="2128"/>
      <c r="M597" s="2128"/>
      <c r="N597" s="2128"/>
      <c r="O597" s="2128"/>
      <c r="P597" s="2128"/>
      <c r="Q597" s="2128"/>
      <c r="R597" s="2128"/>
      <c r="S597" s="2128"/>
      <c r="T597" s="2128"/>
      <c r="U597" s="2128"/>
      <c r="V597" s="2128"/>
      <c r="W597" s="2128"/>
      <c r="X597" s="2128"/>
      <c r="Y597" s="2128"/>
      <c r="Z597" s="2128"/>
      <c r="AA597" s="2128"/>
      <c r="AB597" s="2128"/>
      <c r="AC597" s="2128"/>
      <c r="AD597" s="2128"/>
    </row>
    <row r="598" spans="1:30" ht="15.75" customHeight="1" x14ac:dyDescent="0.3">
      <c r="A598" s="4433"/>
      <c r="B598" s="4433"/>
      <c r="C598" s="2128"/>
      <c r="D598" s="2128"/>
      <c r="E598" s="2128"/>
      <c r="F598" s="2128"/>
      <c r="G598" s="2128"/>
      <c r="H598" s="2128"/>
      <c r="I598" s="2128"/>
      <c r="J598" s="2128"/>
      <c r="K598" s="2128"/>
      <c r="L598" s="2128"/>
      <c r="M598" s="2128"/>
      <c r="N598" s="2128"/>
      <c r="O598" s="2128"/>
      <c r="P598" s="2128"/>
      <c r="Q598" s="2128"/>
      <c r="R598" s="2128"/>
      <c r="S598" s="2128"/>
      <c r="T598" s="2128"/>
      <c r="U598" s="2128"/>
      <c r="V598" s="2128"/>
      <c r="W598" s="2128"/>
      <c r="X598" s="2128"/>
      <c r="Y598" s="2128"/>
      <c r="Z598" s="2128"/>
      <c r="AA598" s="2128"/>
      <c r="AB598" s="2128"/>
      <c r="AC598" s="2128"/>
      <c r="AD598" s="2128"/>
    </row>
    <row r="599" spans="1:30" ht="15.75" customHeight="1" x14ac:dyDescent="0.3">
      <c r="A599" s="4433"/>
      <c r="B599" s="4433"/>
      <c r="C599" s="2128"/>
      <c r="D599" s="2128"/>
      <c r="E599" s="2128"/>
      <c r="F599" s="2128"/>
      <c r="G599" s="2128"/>
      <c r="H599" s="2128"/>
      <c r="I599" s="2128"/>
      <c r="J599" s="2128"/>
      <c r="K599" s="2128"/>
      <c r="L599" s="2128"/>
      <c r="M599" s="2128"/>
      <c r="N599" s="2128"/>
      <c r="O599" s="2128"/>
      <c r="P599" s="2128"/>
      <c r="Q599" s="2128"/>
      <c r="R599" s="2128"/>
      <c r="S599" s="2128"/>
      <c r="T599" s="2128"/>
      <c r="U599" s="2128"/>
      <c r="V599" s="2128"/>
      <c r="W599" s="2128"/>
      <c r="X599" s="2128"/>
      <c r="Y599" s="2128"/>
      <c r="Z599" s="2128"/>
      <c r="AA599" s="2128"/>
      <c r="AB599" s="2128"/>
      <c r="AC599" s="2128"/>
      <c r="AD599" s="2128"/>
    </row>
    <row r="600" spans="1:30" ht="15.75" customHeight="1" x14ac:dyDescent="0.3">
      <c r="A600" s="4433"/>
      <c r="B600" s="4433"/>
      <c r="C600" s="2128"/>
      <c r="D600" s="2128"/>
      <c r="E600" s="2128"/>
      <c r="F600" s="2128"/>
      <c r="G600" s="2128"/>
      <c r="H600" s="2128"/>
      <c r="I600" s="2128"/>
      <c r="J600" s="2128"/>
      <c r="K600" s="2128"/>
      <c r="L600" s="2128"/>
      <c r="M600" s="2128"/>
      <c r="N600" s="2128"/>
      <c r="O600" s="2128"/>
      <c r="P600" s="2128"/>
      <c r="Q600" s="2128"/>
      <c r="R600" s="2128"/>
      <c r="S600" s="2128"/>
      <c r="T600" s="2128"/>
      <c r="U600" s="2128"/>
      <c r="V600" s="2128"/>
      <c r="W600" s="2128"/>
      <c r="X600" s="2128"/>
      <c r="Y600" s="2128"/>
      <c r="Z600" s="2128"/>
      <c r="AA600" s="2128"/>
      <c r="AB600" s="2128"/>
      <c r="AC600" s="2128"/>
      <c r="AD600" s="2128"/>
    </row>
    <row r="601" spans="1:30" ht="15.75" customHeight="1" x14ac:dyDescent="0.3">
      <c r="A601" s="4433"/>
      <c r="B601" s="4433"/>
      <c r="C601" s="2128"/>
      <c r="D601" s="2128"/>
      <c r="E601" s="2128"/>
      <c r="F601" s="2128"/>
      <c r="G601" s="2128"/>
      <c r="H601" s="2128"/>
      <c r="I601" s="2128"/>
      <c r="J601" s="2128"/>
      <c r="K601" s="2128"/>
      <c r="L601" s="2128"/>
      <c r="M601" s="2128"/>
      <c r="N601" s="2128"/>
      <c r="O601" s="2128"/>
      <c r="P601" s="2128"/>
      <c r="Q601" s="2128"/>
      <c r="R601" s="2128"/>
      <c r="S601" s="2128"/>
      <c r="T601" s="2128"/>
      <c r="U601" s="2128"/>
      <c r="V601" s="2128"/>
      <c r="W601" s="2128"/>
      <c r="X601" s="2128"/>
      <c r="Y601" s="2128"/>
      <c r="Z601" s="2128"/>
      <c r="AA601" s="2128"/>
      <c r="AB601" s="2128"/>
      <c r="AC601" s="2128"/>
      <c r="AD601" s="2128"/>
    </row>
    <row r="602" spans="1:30" ht="15.75" customHeight="1" x14ac:dyDescent="0.3">
      <c r="A602" s="4433"/>
      <c r="B602" s="4433"/>
      <c r="C602" s="2128"/>
      <c r="D602" s="2128"/>
      <c r="E602" s="2128"/>
      <c r="F602" s="2128"/>
      <c r="G602" s="2128"/>
      <c r="H602" s="2128"/>
      <c r="I602" s="2128"/>
      <c r="J602" s="2128"/>
      <c r="K602" s="2128"/>
      <c r="L602" s="2128"/>
      <c r="M602" s="2128"/>
      <c r="N602" s="2128"/>
      <c r="O602" s="2128"/>
      <c r="P602" s="2128"/>
      <c r="Q602" s="2128"/>
      <c r="R602" s="2128"/>
      <c r="S602" s="2128"/>
      <c r="T602" s="2128"/>
      <c r="U602" s="2128"/>
      <c r="V602" s="2128"/>
      <c r="W602" s="2128"/>
      <c r="X602" s="2128"/>
      <c r="Y602" s="2128"/>
      <c r="Z602" s="2128"/>
      <c r="AA602" s="2128"/>
      <c r="AB602" s="2128"/>
      <c r="AC602" s="2128"/>
      <c r="AD602" s="2128"/>
    </row>
    <row r="603" spans="1:30" ht="15.75" customHeight="1" x14ac:dyDescent="0.3">
      <c r="A603" s="4433"/>
      <c r="B603" s="4433"/>
      <c r="C603" s="2128"/>
      <c r="D603" s="2128"/>
      <c r="E603" s="2128"/>
      <c r="F603" s="2128"/>
      <c r="G603" s="2128"/>
      <c r="H603" s="2128"/>
      <c r="I603" s="2128"/>
      <c r="J603" s="2128"/>
      <c r="K603" s="2128"/>
      <c r="L603" s="2128"/>
      <c r="M603" s="2128"/>
      <c r="N603" s="2128"/>
      <c r="O603" s="2128"/>
      <c r="P603" s="2128"/>
      <c r="Q603" s="2128"/>
      <c r="R603" s="2128"/>
      <c r="S603" s="2128"/>
      <c r="T603" s="2128"/>
      <c r="U603" s="2128"/>
      <c r="V603" s="2128"/>
      <c r="W603" s="2128"/>
      <c r="X603" s="2128"/>
      <c r="Y603" s="2128"/>
      <c r="Z603" s="2128"/>
      <c r="AA603" s="2128"/>
      <c r="AB603" s="2128"/>
      <c r="AC603" s="2128"/>
      <c r="AD603" s="2128"/>
    </row>
    <row r="604" spans="1:30" ht="15.75" customHeight="1" x14ac:dyDescent="0.3">
      <c r="A604" s="4433"/>
      <c r="B604" s="4433"/>
      <c r="C604" s="2128"/>
      <c r="D604" s="2128"/>
      <c r="E604" s="2128"/>
      <c r="F604" s="2128"/>
      <c r="G604" s="2128"/>
      <c r="H604" s="2128"/>
      <c r="I604" s="2128"/>
      <c r="J604" s="2128"/>
      <c r="K604" s="2128"/>
      <c r="L604" s="2128"/>
      <c r="M604" s="2128"/>
      <c r="N604" s="2128"/>
      <c r="O604" s="2128"/>
      <c r="P604" s="2128"/>
      <c r="Q604" s="2128"/>
      <c r="R604" s="2128"/>
      <c r="S604" s="2128"/>
      <c r="T604" s="2128"/>
      <c r="U604" s="2128"/>
      <c r="V604" s="2128"/>
      <c r="W604" s="2128"/>
      <c r="X604" s="2128"/>
      <c r="Y604" s="2128"/>
      <c r="Z604" s="2128"/>
      <c r="AA604" s="2128"/>
      <c r="AB604" s="2128"/>
      <c r="AC604" s="2128"/>
      <c r="AD604" s="2128"/>
    </row>
    <row r="605" spans="1:30" ht="15.75" customHeight="1" x14ac:dyDescent="0.3">
      <c r="A605" s="4433"/>
      <c r="B605" s="4433"/>
      <c r="C605" s="2128"/>
      <c r="D605" s="2128"/>
      <c r="E605" s="2128"/>
      <c r="F605" s="2128"/>
      <c r="G605" s="2128"/>
      <c r="H605" s="2128"/>
      <c r="I605" s="2128"/>
      <c r="J605" s="2128"/>
      <c r="K605" s="2128"/>
      <c r="L605" s="2128"/>
      <c r="M605" s="2128"/>
      <c r="N605" s="2128"/>
      <c r="O605" s="2128"/>
      <c r="P605" s="2128"/>
      <c r="Q605" s="2128"/>
      <c r="R605" s="2128"/>
      <c r="S605" s="2128"/>
      <c r="T605" s="2128"/>
      <c r="U605" s="2128"/>
      <c r="V605" s="2128"/>
      <c r="W605" s="2128"/>
      <c r="X605" s="2128"/>
      <c r="Y605" s="2128"/>
      <c r="Z605" s="2128"/>
      <c r="AA605" s="2128"/>
      <c r="AB605" s="2128"/>
      <c r="AC605" s="2128"/>
      <c r="AD605" s="2128"/>
    </row>
    <row r="606" spans="1:30" ht="15.75" customHeight="1" x14ac:dyDescent="0.3">
      <c r="A606" s="4433"/>
      <c r="B606" s="4433"/>
      <c r="C606" s="2128"/>
      <c r="D606" s="2128"/>
      <c r="E606" s="2128"/>
      <c r="F606" s="2128"/>
      <c r="G606" s="2128"/>
      <c r="H606" s="2128"/>
      <c r="I606" s="2128"/>
      <c r="J606" s="2128"/>
      <c r="K606" s="2128"/>
      <c r="L606" s="2128"/>
      <c r="M606" s="2128"/>
      <c r="N606" s="2128"/>
      <c r="O606" s="2128"/>
      <c r="P606" s="2128"/>
      <c r="Q606" s="2128"/>
      <c r="R606" s="2128"/>
      <c r="S606" s="2128"/>
      <c r="T606" s="2128"/>
      <c r="U606" s="2128"/>
      <c r="V606" s="2128"/>
      <c r="W606" s="2128"/>
      <c r="X606" s="2128"/>
      <c r="Y606" s="2128"/>
      <c r="Z606" s="2128"/>
      <c r="AA606" s="2128"/>
      <c r="AB606" s="2128"/>
      <c r="AC606" s="2128"/>
      <c r="AD606" s="2128"/>
    </row>
    <row r="607" spans="1:30" ht="15.75" customHeight="1" x14ac:dyDescent="0.3">
      <c r="A607" s="4433"/>
      <c r="B607" s="4433"/>
      <c r="C607" s="2128"/>
      <c r="D607" s="2128"/>
      <c r="E607" s="2128"/>
      <c r="F607" s="2128"/>
      <c r="G607" s="2128"/>
      <c r="H607" s="2128"/>
      <c r="I607" s="2128"/>
      <c r="J607" s="2128"/>
      <c r="K607" s="2128"/>
      <c r="L607" s="2128"/>
      <c r="M607" s="2128"/>
      <c r="N607" s="2128"/>
      <c r="O607" s="2128"/>
      <c r="P607" s="2128"/>
      <c r="Q607" s="2128"/>
      <c r="R607" s="2128"/>
      <c r="S607" s="2128"/>
      <c r="T607" s="2128"/>
      <c r="U607" s="2128"/>
      <c r="V607" s="2128"/>
      <c r="W607" s="2128"/>
      <c r="X607" s="2128"/>
      <c r="Y607" s="2128"/>
      <c r="Z607" s="2128"/>
      <c r="AA607" s="2128"/>
      <c r="AB607" s="2128"/>
      <c r="AC607" s="2128"/>
      <c r="AD607" s="2128"/>
    </row>
    <row r="608" spans="1:30" ht="15.75" customHeight="1" x14ac:dyDescent="0.3">
      <c r="A608" s="4433"/>
      <c r="B608" s="4433"/>
      <c r="C608" s="2128"/>
      <c r="D608" s="2128"/>
      <c r="E608" s="2128"/>
      <c r="F608" s="2128"/>
      <c r="G608" s="2128"/>
      <c r="H608" s="2128"/>
      <c r="I608" s="2128"/>
      <c r="J608" s="2128"/>
      <c r="K608" s="2128"/>
      <c r="L608" s="2128"/>
      <c r="M608" s="2128"/>
      <c r="N608" s="2128"/>
      <c r="O608" s="2128"/>
      <c r="P608" s="2128"/>
      <c r="Q608" s="2128"/>
      <c r="R608" s="2128"/>
      <c r="S608" s="2128"/>
      <c r="T608" s="2128"/>
      <c r="U608" s="2128"/>
      <c r="V608" s="2128"/>
      <c r="W608" s="2128"/>
      <c r="X608" s="2128"/>
      <c r="Y608" s="2128"/>
      <c r="Z608" s="2128"/>
      <c r="AA608" s="2128"/>
      <c r="AB608" s="2128"/>
      <c r="AC608" s="2128"/>
      <c r="AD608" s="2128"/>
    </row>
    <row r="609" spans="1:30" ht="15.75" customHeight="1" x14ac:dyDescent="0.3">
      <c r="A609" s="4433"/>
      <c r="B609" s="4433"/>
      <c r="C609" s="2128"/>
      <c r="D609" s="2128"/>
      <c r="E609" s="2128"/>
      <c r="F609" s="2128"/>
      <c r="G609" s="2128"/>
      <c r="H609" s="2128"/>
      <c r="I609" s="2128"/>
      <c r="J609" s="2128"/>
      <c r="K609" s="2128"/>
      <c r="L609" s="2128"/>
      <c r="M609" s="2128"/>
      <c r="N609" s="2128"/>
      <c r="O609" s="2128"/>
      <c r="P609" s="2128"/>
      <c r="Q609" s="2128"/>
      <c r="R609" s="2128"/>
      <c r="S609" s="2128"/>
      <c r="T609" s="2128"/>
      <c r="U609" s="2128"/>
      <c r="V609" s="2128"/>
      <c r="W609" s="2128"/>
      <c r="X609" s="2128"/>
      <c r="Y609" s="2128"/>
      <c r="Z609" s="2128"/>
      <c r="AA609" s="2128"/>
      <c r="AB609" s="2128"/>
      <c r="AC609" s="2128"/>
      <c r="AD609" s="2128"/>
    </row>
    <row r="610" spans="1:30" ht="15.75" customHeight="1" x14ac:dyDescent="0.3">
      <c r="A610" s="4433"/>
      <c r="B610" s="4433"/>
      <c r="C610" s="2128"/>
      <c r="D610" s="2128"/>
      <c r="E610" s="2128"/>
      <c r="F610" s="2128"/>
      <c r="G610" s="2128"/>
      <c r="H610" s="2128"/>
      <c r="I610" s="2128"/>
      <c r="J610" s="2128"/>
      <c r="K610" s="2128"/>
      <c r="L610" s="2128"/>
      <c r="M610" s="2128"/>
      <c r="N610" s="2128"/>
      <c r="O610" s="2128"/>
      <c r="P610" s="2128"/>
      <c r="Q610" s="2128"/>
      <c r="R610" s="2128"/>
      <c r="S610" s="2128"/>
      <c r="T610" s="2128"/>
      <c r="U610" s="2128"/>
      <c r="V610" s="2128"/>
      <c r="W610" s="2128"/>
      <c r="X610" s="2128"/>
      <c r="Y610" s="2128"/>
      <c r="Z610" s="2128"/>
      <c r="AA610" s="2128"/>
      <c r="AB610" s="2128"/>
      <c r="AC610" s="2128"/>
      <c r="AD610" s="2128"/>
    </row>
    <row r="611" spans="1:30" ht="15.75" customHeight="1" x14ac:dyDescent="0.3">
      <c r="A611" s="4433"/>
      <c r="B611" s="4433"/>
      <c r="C611" s="2128"/>
      <c r="D611" s="2128"/>
      <c r="E611" s="2128"/>
      <c r="F611" s="2128"/>
      <c r="G611" s="2128"/>
      <c r="H611" s="2128"/>
      <c r="I611" s="2128"/>
      <c r="J611" s="2128"/>
      <c r="K611" s="2128"/>
      <c r="L611" s="2128"/>
      <c r="M611" s="2128"/>
      <c r="N611" s="2128"/>
      <c r="O611" s="2128"/>
      <c r="P611" s="2128"/>
      <c r="Q611" s="2128"/>
      <c r="R611" s="2128"/>
      <c r="S611" s="2128"/>
      <c r="T611" s="2128"/>
      <c r="U611" s="2128"/>
      <c r="V611" s="2128"/>
      <c r="W611" s="2128"/>
      <c r="X611" s="2128"/>
      <c r="Y611" s="2128"/>
      <c r="Z611" s="2128"/>
      <c r="AA611" s="2128"/>
      <c r="AB611" s="2128"/>
      <c r="AC611" s="2128"/>
      <c r="AD611" s="2128"/>
    </row>
    <row r="612" spans="1:30" ht="15.75" customHeight="1" x14ac:dyDescent="0.3">
      <c r="A612" s="4433"/>
      <c r="B612" s="4433"/>
      <c r="C612" s="2128"/>
      <c r="D612" s="2128"/>
      <c r="E612" s="2128"/>
      <c r="F612" s="2128"/>
      <c r="G612" s="2128"/>
      <c r="H612" s="2128"/>
      <c r="I612" s="2128"/>
      <c r="J612" s="2128"/>
      <c r="K612" s="2128"/>
      <c r="L612" s="2128"/>
      <c r="M612" s="2128"/>
      <c r="N612" s="2128"/>
      <c r="O612" s="2128"/>
      <c r="P612" s="2128"/>
      <c r="Q612" s="2128"/>
      <c r="R612" s="2128"/>
      <c r="S612" s="2128"/>
      <c r="T612" s="2128"/>
      <c r="U612" s="2128"/>
      <c r="V612" s="2128"/>
      <c r="W612" s="2128"/>
      <c r="X612" s="2128"/>
      <c r="Y612" s="2128"/>
      <c r="Z612" s="2128"/>
      <c r="AA612" s="2128"/>
      <c r="AB612" s="2128"/>
      <c r="AC612" s="2128"/>
      <c r="AD612" s="2128"/>
    </row>
    <row r="613" spans="1:30" ht="15.75" customHeight="1" x14ac:dyDescent="0.3">
      <c r="A613" s="4433"/>
      <c r="B613" s="4433"/>
      <c r="C613" s="2128"/>
      <c r="D613" s="2128"/>
      <c r="E613" s="2128"/>
      <c r="F613" s="2128"/>
      <c r="G613" s="2128"/>
      <c r="H613" s="2128"/>
      <c r="I613" s="2128"/>
      <c r="J613" s="2128"/>
      <c r="K613" s="2128"/>
      <c r="L613" s="2128"/>
      <c r="M613" s="2128"/>
      <c r="N613" s="2128"/>
      <c r="O613" s="2128"/>
      <c r="P613" s="2128"/>
      <c r="Q613" s="2128"/>
      <c r="R613" s="2128"/>
      <c r="S613" s="2128"/>
      <c r="T613" s="2128"/>
      <c r="U613" s="2128"/>
      <c r="V613" s="2128"/>
      <c r="W613" s="2128"/>
      <c r="X613" s="2128"/>
      <c r="Y613" s="2128"/>
      <c r="Z613" s="2128"/>
      <c r="AA613" s="2128"/>
      <c r="AB613" s="2128"/>
      <c r="AC613" s="2128"/>
      <c r="AD613" s="2128"/>
    </row>
    <row r="614" spans="1:30" ht="15.75" customHeight="1" x14ac:dyDescent="0.3">
      <c r="A614" s="4433"/>
      <c r="B614" s="4433"/>
      <c r="C614" s="2128"/>
      <c r="D614" s="2128"/>
      <c r="E614" s="2128"/>
      <c r="F614" s="2128"/>
      <c r="G614" s="2128"/>
      <c r="H614" s="2128"/>
      <c r="I614" s="2128"/>
      <c r="J614" s="2128"/>
      <c r="K614" s="2128"/>
      <c r="L614" s="2128"/>
      <c r="M614" s="2128"/>
      <c r="N614" s="2128"/>
      <c r="O614" s="2128"/>
      <c r="P614" s="2128"/>
      <c r="Q614" s="2128"/>
      <c r="R614" s="2128"/>
      <c r="S614" s="2128"/>
      <c r="T614" s="2128"/>
      <c r="U614" s="2128"/>
      <c r="V614" s="2128"/>
      <c r="W614" s="2128"/>
      <c r="X614" s="2128"/>
      <c r="Y614" s="2128"/>
      <c r="Z614" s="2128"/>
      <c r="AA614" s="2128"/>
      <c r="AB614" s="2128"/>
      <c r="AC614" s="2128"/>
      <c r="AD614" s="2128"/>
    </row>
    <row r="615" spans="1:30" ht="15.75" customHeight="1" x14ac:dyDescent="0.3">
      <c r="A615" s="4433"/>
      <c r="B615" s="4433"/>
      <c r="C615" s="2128"/>
      <c r="D615" s="2128"/>
      <c r="E615" s="2128"/>
      <c r="F615" s="2128"/>
      <c r="G615" s="2128"/>
      <c r="H615" s="2128"/>
      <c r="I615" s="2128"/>
      <c r="J615" s="2128"/>
      <c r="K615" s="2128"/>
      <c r="L615" s="2128"/>
      <c r="M615" s="2128"/>
      <c r="N615" s="2128"/>
      <c r="O615" s="2128"/>
      <c r="P615" s="2128"/>
      <c r="Q615" s="2128"/>
      <c r="R615" s="2128"/>
      <c r="S615" s="2128"/>
      <c r="T615" s="2128"/>
      <c r="U615" s="2128"/>
      <c r="V615" s="2128"/>
      <c r="W615" s="2128"/>
      <c r="X615" s="2128"/>
      <c r="Y615" s="2128"/>
      <c r="Z615" s="2128"/>
      <c r="AA615" s="2128"/>
      <c r="AB615" s="2128"/>
      <c r="AC615" s="2128"/>
      <c r="AD615" s="2128"/>
    </row>
    <row r="616" spans="1:30" ht="15.75" customHeight="1" x14ac:dyDescent="0.3">
      <c r="A616" s="4433"/>
      <c r="B616" s="4433"/>
      <c r="C616" s="2128"/>
      <c r="D616" s="2128"/>
      <c r="E616" s="2128"/>
      <c r="F616" s="2128"/>
      <c r="G616" s="2128"/>
      <c r="H616" s="2128"/>
      <c r="I616" s="2128"/>
      <c r="J616" s="2128"/>
      <c r="K616" s="2128"/>
      <c r="L616" s="2128"/>
      <c r="M616" s="2128"/>
      <c r="N616" s="2128"/>
      <c r="O616" s="2128"/>
      <c r="P616" s="2128"/>
      <c r="Q616" s="2128"/>
      <c r="R616" s="2128"/>
      <c r="S616" s="2128"/>
      <c r="T616" s="2128"/>
      <c r="U616" s="2128"/>
      <c r="V616" s="2128"/>
      <c r="W616" s="2128"/>
      <c r="X616" s="2128"/>
      <c r="Y616" s="2128"/>
      <c r="Z616" s="2128"/>
      <c r="AA616" s="2128"/>
      <c r="AB616" s="2128"/>
      <c r="AC616" s="2128"/>
      <c r="AD616" s="2128"/>
    </row>
    <row r="617" spans="1:30" ht="15.75" customHeight="1" x14ac:dyDescent="0.3">
      <c r="A617" s="4433"/>
      <c r="B617" s="4433"/>
      <c r="C617" s="2128"/>
      <c r="D617" s="2128"/>
      <c r="E617" s="2128"/>
      <c r="F617" s="2128"/>
      <c r="G617" s="2128"/>
      <c r="H617" s="2128"/>
      <c r="I617" s="2128"/>
      <c r="J617" s="2128"/>
      <c r="K617" s="2128"/>
      <c r="L617" s="2128"/>
      <c r="M617" s="2128"/>
      <c r="N617" s="2128"/>
      <c r="O617" s="2128"/>
      <c r="P617" s="2128"/>
      <c r="Q617" s="2128"/>
      <c r="R617" s="2128"/>
      <c r="S617" s="2128"/>
      <c r="T617" s="2128"/>
      <c r="U617" s="2128"/>
      <c r="V617" s="2128"/>
      <c r="W617" s="2128"/>
      <c r="X617" s="2128"/>
      <c r="Y617" s="2128"/>
      <c r="Z617" s="2128"/>
      <c r="AA617" s="2128"/>
      <c r="AB617" s="2128"/>
      <c r="AC617" s="2128"/>
      <c r="AD617" s="2128"/>
    </row>
    <row r="618" spans="1:30" ht="15.75" customHeight="1" x14ac:dyDescent="0.3">
      <c r="A618" s="4433"/>
      <c r="B618" s="4433"/>
      <c r="C618" s="2128"/>
      <c r="D618" s="2128"/>
      <c r="E618" s="2128"/>
      <c r="F618" s="2128"/>
      <c r="G618" s="2128"/>
      <c r="H618" s="2128"/>
      <c r="I618" s="2128"/>
      <c r="J618" s="2128"/>
      <c r="K618" s="2128"/>
      <c r="L618" s="2128"/>
      <c r="M618" s="2128"/>
      <c r="N618" s="2128"/>
      <c r="O618" s="2128"/>
      <c r="P618" s="2128"/>
      <c r="Q618" s="2128"/>
      <c r="R618" s="2128"/>
      <c r="S618" s="2128"/>
      <c r="T618" s="2128"/>
      <c r="U618" s="2128"/>
      <c r="V618" s="2128"/>
      <c r="W618" s="2128"/>
      <c r="X618" s="2128"/>
      <c r="Y618" s="2128"/>
      <c r="Z618" s="2128"/>
      <c r="AA618" s="2128"/>
      <c r="AB618" s="2128"/>
      <c r="AC618" s="2128"/>
      <c r="AD618" s="2128"/>
    </row>
    <row r="619" spans="1:30" ht="15.75" customHeight="1" x14ac:dyDescent="0.3">
      <c r="A619" s="4433"/>
      <c r="B619" s="4433"/>
      <c r="C619" s="2128"/>
      <c r="D619" s="2128"/>
      <c r="E619" s="2128"/>
      <c r="F619" s="2128"/>
      <c r="G619" s="2128"/>
      <c r="H619" s="2128"/>
      <c r="I619" s="2128"/>
      <c r="J619" s="2128"/>
      <c r="K619" s="2128"/>
      <c r="L619" s="2128"/>
      <c r="M619" s="2128"/>
      <c r="N619" s="2128"/>
      <c r="O619" s="2128"/>
      <c r="P619" s="2128"/>
      <c r="Q619" s="2128"/>
      <c r="R619" s="2128"/>
      <c r="S619" s="2128"/>
      <c r="T619" s="2128"/>
      <c r="U619" s="2128"/>
      <c r="V619" s="2128"/>
      <c r="W619" s="2128"/>
      <c r="X619" s="2128"/>
      <c r="Y619" s="2128"/>
      <c r="Z619" s="2128"/>
      <c r="AA619" s="2128"/>
      <c r="AB619" s="2128"/>
      <c r="AC619" s="2128"/>
      <c r="AD619" s="2128"/>
    </row>
    <row r="620" spans="1:30" ht="15.75" customHeight="1" x14ac:dyDescent="0.3">
      <c r="A620" s="4433"/>
      <c r="B620" s="4433"/>
      <c r="C620" s="2128"/>
      <c r="D620" s="2128"/>
      <c r="E620" s="2128"/>
      <c r="F620" s="2128"/>
      <c r="G620" s="2128"/>
      <c r="H620" s="2128"/>
      <c r="I620" s="2128"/>
      <c r="J620" s="2128"/>
      <c r="K620" s="2128"/>
      <c r="L620" s="2128"/>
      <c r="M620" s="2128"/>
      <c r="N620" s="2128"/>
      <c r="O620" s="2128"/>
      <c r="P620" s="2128"/>
      <c r="Q620" s="2128"/>
      <c r="R620" s="2128"/>
      <c r="S620" s="2128"/>
      <c r="T620" s="2128"/>
      <c r="U620" s="2128"/>
      <c r="V620" s="2128"/>
      <c r="W620" s="2128"/>
      <c r="X620" s="2128"/>
      <c r="Y620" s="2128"/>
      <c r="Z620" s="2128"/>
      <c r="AA620" s="2128"/>
      <c r="AB620" s="2128"/>
      <c r="AC620" s="2128"/>
      <c r="AD620" s="2128"/>
    </row>
    <row r="621" spans="1:30" ht="15.75" customHeight="1" x14ac:dyDescent="0.3">
      <c r="A621" s="4433"/>
      <c r="B621" s="4433"/>
      <c r="C621" s="2128"/>
      <c r="D621" s="2128"/>
      <c r="E621" s="2128"/>
      <c r="F621" s="2128"/>
      <c r="G621" s="2128"/>
      <c r="H621" s="2128"/>
      <c r="I621" s="2128"/>
      <c r="J621" s="2128"/>
      <c r="K621" s="2128"/>
      <c r="L621" s="2128"/>
      <c r="M621" s="2128"/>
      <c r="N621" s="2128"/>
      <c r="O621" s="2128"/>
      <c r="P621" s="2128"/>
      <c r="Q621" s="2128"/>
      <c r="R621" s="2128"/>
      <c r="S621" s="2128"/>
      <c r="T621" s="2128"/>
      <c r="U621" s="2128"/>
      <c r="V621" s="2128"/>
      <c r="W621" s="2128"/>
      <c r="X621" s="2128"/>
      <c r="Y621" s="2128"/>
      <c r="Z621" s="2128"/>
      <c r="AA621" s="2128"/>
      <c r="AB621" s="2128"/>
      <c r="AC621" s="2128"/>
      <c r="AD621" s="2128"/>
    </row>
    <row r="622" spans="1:30" ht="15.75" customHeight="1" x14ac:dyDescent="0.3">
      <c r="A622" s="4433"/>
      <c r="B622" s="4433"/>
      <c r="C622" s="2128"/>
      <c r="D622" s="2128"/>
      <c r="E622" s="2128"/>
      <c r="F622" s="2128"/>
      <c r="G622" s="2128"/>
      <c r="H622" s="2128"/>
      <c r="I622" s="2128"/>
      <c r="J622" s="2128"/>
      <c r="K622" s="2128"/>
      <c r="L622" s="2128"/>
      <c r="M622" s="2128"/>
      <c r="N622" s="2128"/>
      <c r="O622" s="2128"/>
      <c r="P622" s="2128"/>
      <c r="Q622" s="2128"/>
      <c r="R622" s="2128"/>
      <c r="S622" s="2128"/>
      <c r="T622" s="2128"/>
      <c r="U622" s="2128"/>
      <c r="V622" s="2128"/>
      <c r="W622" s="2128"/>
      <c r="X622" s="2128"/>
      <c r="Y622" s="2128"/>
      <c r="Z622" s="2128"/>
      <c r="AA622" s="2128"/>
      <c r="AB622" s="2128"/>
      <c r="AC622" s="2128"/>
      <c r="AD622" s="2128"/>
    </row>
    <row r="623" spans="1:30" ht="15.75" customHeight="1" x14ac:dyDescent="0.3">
      <c r="A623" s="4433"/>
      <c r="B623" s="4433"/>
      <c r="C623" s="2128"/>
      <c r="D623" s="2128"/>
      <c r="E623" s="2128"/>
      <c r="F623" s="2128"/>
      <c r="G623" s="2128"/>
      <c r="H623" s="2128"/>
      <c r="I623" s="2128"/>
      <c r="J623" s="2128"/>
      <c r="K623" s="2128"/>
      <c r="L623" s="2128"/>
      <c r="M623" s="2128"/>
      <c r="N623" s="2128"/>
      <c r="O623" s="2128"/>
      <c r="P623" s="2128"/>
      <c r="Q623" s="2128"/>
      <c r="R623" s="2128"/>
      <c r="S623" s="2128"/>
      <c r="T623" s="2128"/>
      <c r="U623" s="2128"/>
      <c r="V623" s="2128"/>
      <c r="W623" s="2128"/>
      <c r="X623" s="2128"/>
      <c r="Y623" s="2128"/>
      <c r="Z623" s="2128"/>
      <c r="AA623" s="2128"/>
      <c r="AB623" s="2128"/>
      <c r="AC623" s="2128"/>
      <c r="AD623" s="2128"/>
    </row>
    <row r="624" spans="1:30" ht="15.75" customHeight="1" x14ac:dyDescent="0.3">
      <c r="A624" s="4433"/>
      <c r="B624" s="4433"/>
      <c r="C624" s="2128"/>
      <c r="D624" s="2128"/>
      <c r="E624" s="2128"/>
      <c r="F624" s="2128"/>
      <c r="G624" s="2128"/>
      <c r="H624" s="2128"/>
      <c r="I624" s="2128"/>
      <c r="J624" s="2128"/>
      <c r="K624" s="2128"/>
      <c r="L624" s="2128"/>
      <c r="M624" s="2128"/>
      <c r="N624" s="2128"/>
      <c r="O624" s="2128"/>
      <c r="P624" s="2128"/>
      <c r="Q624" s="2128"/>
      <c r="R624" s="2128"/>
      <c r="S624" s="2128"/>
      <c r="T624" s="2128"/>
      <c r="U624" s="2128"/>
      <c r="V624" s="2128"/>
      <c r="W624" s="2128"/>
      <c r="X624" s="2128"/>
      <c r="Y624" s="2128"/>
      <c r="Z624" s="2128"/>
      <c r="AA624" s="2128"/>
      <c r="AB624" s="2128"/>
      <c r="AC624" s="2128"/>
      <c r="AD624" s="2128"/>
    </row>
    <row r="625" spans="1:30" ht="15.75" customHeight="1" x14ac:dyDescent="0.3">
      <c r="A625" s="4433"/>
      <c r="B625" s="4433"/>
      <c r="C625" s="2128"/>
      <c r="D625" s="2128"/>
      <c r="E625" s="2128"/>
      <c r="F625" s="2128"/>
      <c r="G625" s="2128"/>
      <c r="H625" s="2128"/>
      <c r="I625" s="2128"/>
      <c r="J625" s="2128"/>
      <c r="K625" s="2128"/>
      <c r="L625" s="2128"/>
      <c r="M625" s="2128"/>
      <c r="N625" s="2128"/>
      <c r="O625" s="2128"/>
      <c r="P625" s="2128"/>
      <c r="Q625" s="2128"/>
      <c r="R625" s="2128"/>
      <c r="S625" s="2128"/>
      <c r="T625" s="2128"/>
      <c r="U625" s="2128"/>
      <c r="V625" s="2128"/>
      <c r="W625" s="2128"/>
      <c r="X625" s="2128"/>
      <c r="Y625" s="2128"/>
      <c r="Z625" s="2128"/>
      <c r="AA625" s="2128"/>
      <c r="AB625" s="2128"/>
      <c r="AC625" s="2128"/>
      <c r="AD625" s="2128"/>
    </row>
    <row r="626" spans="1:30" ht="15.75" customHeight="1" x14ac:dyDescent="0.3">
      <c r="A626" s="4433"/>
      <c r="B626" s="4433"/>
      <c r="C626" s="2128"/>
      <c r="D626" s="2128"/>
      <c r="E626" s="2128"/>
      <c r="F626" s="2128"/>
      <c r="G626" s="2128"/>
      <c r="H626" s="2128"/>
      <c r="I626" s="2128"/>
      <c r="J626" s="2128"/>
      <c r="K626" s="2128"/>
      <c r="L626" s="2128"/>
      <c r="M626" s="2128"/>
      <c r="N626" s="2128"/>
      <c r="O626" s="2128"/>
      <c r="P626" s="2128"/>
      <c r="Q626" s="2128"/>
      <c r="R626" s="2128"/>
      <c r="S626" s="2128"/>
      <c r="T626" s="2128"/>
      <c r="U626" s="2128"/>
      <c r="V626" s="2128"/>
      <c r="W626" s="2128"/>
      <c r="X626" s="2128"/>
      <c r="Y626" s="2128"/>
      <c r="Z626" s="2128"/>
      <c r="AA626" s="2128"/>
      <c r="AB626" s="2128"/>
      <c r="AC626" s="2128"/>
      <c r="AD626" s="2128"/>
    </row>
    <row r="627" spans="1:30" ht="15.75" customHeight="1" x14ac:dyDescent="0.3">
      <c r="A627" s="4433"/>
      <c r="B627" s="4433"/>
      <c r="C627" s="2128"/>
      <c r="D627" s="2128"/>
      <c r="E627" s="2128"/>
      <c r="F627" s="2128"/>
      <c r="G627" s="2128"/>
      <c r="H627" s="2128"/>
      <c r="I627" s="2128"/>
      <c r="J627" s="2128"/>
      <c r="K627" s="2128"/>
      <c r="L627" s="2128"/>
      <c r="M627" s="2128"/>
      <c r="N627" s="2128"/>
      <c r="O627" s="2128"/>
      <c r="P627" s="2128"/>
      <c r="Q627" s="2128"/>
      <c r="R627" s="2128"/>
      <c r="S627" s="2128"/>
      <c r="T627" s="2128"/>
      <c r="U627" s="2128"/>
      <c r="V627" s="2128"/>
      <c r="W627" s="2128"/>
      <c r="X627" s="2128"/>
      <c r="Y627" s="2128"/>
      <c r="Z627" s="2128"/>
      <c r="AA627" s="2128"/>
      <c r="AB627" s="2128"/>
      <c r="AC627" s="2128"/>
      <c r="AD627" s="2128"/>
    </row>
    <row r="628" spans="1:30" ht="15.75" customHeight="1" x14ac:dyDescent="0.3">
      <c r="A628" s="4433"/>
      <c r="B628" s="4433"/>
      <c r="C628" s="2128"/>
      <c r="D628" s="2128"/>
      <c r="E628" s="2128"/>
      <c r="F628" s="2128"/>
      <c r="G628" s="2128"/>
      <c r="H628" s="2128"/>
      <c r="I628" s="2128"/>
      <c r="J628" s="2128"/>
      <c r="K628" s="2128"/>
      <c r="L628" s="2128"/>
      <c r="M628" s="2128"/>
      <c r="N628" s="2128"/>
      <c r="O628" s="2128"/>
      <c r="P628" s="2128"/>
      <c r="Q628" s="2128"/>
      <c r="R628" s="2128"/>
      <c r="S628" s="2128"/>
      <c r="T628" s="2128"/>
      <c r="U628" s="2128"/>
      <c r="V628" s="2128"/>
      <c r="W628" s="2128"/>
      <c r="X628" s="2128"/>
      <c r="Y628" s="2128"/>
      <c r="Z628" s="2128"/>
      <c r="AA628" s="2128"/>
      <c r="AB628" s="2128"/>
      <c r="AC628" s="2128"/>
      <c r="AD628" s="2128"/>
    </row>
    <row r="629" spans="1:30" ht="15.75" customHeight="1" x14ac:dyDescent="0.3">
      <c r="A629" s="4433"/>
      <c r="B629" s="4433"/>
      <c r="C629" s="2128"/>
      <c r="D629" s="2128"/>
      <c r="E629" s="2128"/>
      <c r="F629" s="2128"/>
      <c r="G629" s="2128"/>
      <c r="H629" s="2128"/>
      <c r="I629" s="2128"/>
      <c r="J629" s="2128"/>
      <c r="K629" s="2128"/>
      <c r="L629" s="2128"/>
      <c r="M629" s="2128"/>
      <c r="N629" s="2128"/>
      <c r="O629" s="2128"/>
      <c r="P629" s="2128"/>
      <c r="Q629" s="2128"/>
      <c r="R629" s="2128"/>
      <c r="S629" s="2128"/>
      <c r="T629" s="2128"/>
      <c r="U629" s="2128"/>
      <c r="V629" s="2128"/>
      <c r="W629" s="2128"/>
      <c r="X629" s="2128"/>
      <c r="Y629" s="2128"/>
      <c r="Z629" s="2128"/>
      <c r="AA629" s="2128"/>
      <c r="AB629" s="2128"/>
      <c r="AC629" s="2128"/>
      <c r="AD629" s="2128"/>
    </row>
    <row r="630" spans="1:30" ht="15.75" customHeight="1" x14ac:dyDescent="0.3">
      <c r="A630" s="4433"/>
      <c r="B630" s="4433"/>
      <c r="C630" s="2128"/>
      <c r="D630" s="2128"/>
      <c r="E630" s="2128"/>
      <c r="F630" s="2128"/>
      <c r="G630" s="2128"/>
      <c r="H630" s="2128"/>
      <c r="I630" s="2128"/>
      <c r="J630" s="2128"/>
      <c r="K630" s="2128"/>
      <c r="L630" s="2128"/>
      <c r="M630" s="2128"/>
      <c r="N630" s="2128"/>
      <c r="O630" s="2128"/>
      <c r="P630" s="2128"/>
      <c r="Q630" s="2128"/>
      <c r="R630" s="2128"/>
      <c r="S630" s="2128"/>
      <c r="T630" s="2128"/>
      <c r="U630" s="2128"/>
      <c r="V630" s="2128"/>
      <c r="W630" s="2128"/>
      <c r="X630" s="2128"/>
      <c r="Y630" s="2128"/>
      <c r="Z630" s="2128"/>
      <c r="AA630" s="2128"/>
      <c r="AB630" s="2128"/>
      <c r="AC630" s="2128"/>
      <c r="AD630" s="2128"/>
    </row>
    <row r="631" spans="1:30" ht="15.75" customHeight="1" x14ac:dyDescent="0.3">
      <c r="A631" s="4433"/>
      <c r="B631" s="4433"/>
      <c r="C631" s="2128"/>
      <c r="D631" s="2128"/>
      <c r="E631" s="2128"/>
      <c r="F631" s="2128"/>
      <c r="G631" s="2128"/>
      <c r="H631" s="2128"/>
      <c r="I631" s="2128"/>
      <c r="J631" s="2128"/>
      <c r="K631" s="2128"/>
      <c r="L631" s="2128"/>
      <c r="M631" s="2128"/>
      <c r="N631" s="2128"/>
      <c r="O631" s="2128"/>
      <c r="P631" s="2128"/>
      <c r="Q631" s="2128"/>
      <c r="R631" s="2128"/>
      <c r="S631" s="2128"/>
      <c r="T631" s="2128"/>
      <c r="U631" s="2128"/>
      <c r="V631" s="2128"/>
      <c r="W631" s="2128"/>
      <c r="X631" s="2128"/>
      <c r="Y631" s="2128"/>
      <c r="Z631" s="2128"/>
      <c r="AA631" s="2128"/>
      <c r="AB631" s="2128"/>
      <c r="AC631" s="2128"/>
      <c r="AD631" s="2128"/>
    </row>
    <row r="632" spans="1:30" ht="15.75" customHeight="1" x14ac:dyDescent="0.3">
      <c r="A632" s="4433"/>
      <c r="B632" s="4433"/>
      <c r="C632" s="2128"/>
      <c r="D632" s="2128"/>
      <c r="E632" s="2128"/>
      <c r="F632" s="2128"/>
      <c r="G632" s="2128"/>
      <c r="H632" s="2128"/>
      <c r="I632" s="2128"/>
      <c r="J632" s="2128"/>
      <c r="K632" s="2128"/>
      <c r="L632" s="2128"/>
      <c r="M632" s="2128"/>
      <c r="N632" s="2128"/>
      <c r="O632" s="2128"/>
      <c r="P632" s="2128"/>
      <c r="Q632" s="2128"/>
      <c r="R632" s="2128"/>
      <c r="S632" s="2128"/>
      <c r="T632" s="2128"/>
      <c r="U632" s="2128"/>
      <c r="V632" s="2128"/>
      <c r="W632" s="2128"/>
      <c r="X632" s="2128"/>
      <c r="Y632" s="2128"/>
      <c r="Z632" s="2128"/>
      <c r="AA632" s="2128"/>
      <c r="AB632" s="2128"/>
      <c r="AC632" s="2128"/>
      <c r="AD632" s="2128"/>
    </row>
    <row r="633" spans="1:30" ht="15.75" customHeight="1" x14ac:dyDescent="0.3">
      <c r="A633" s="4433"/>
      <c r="B633" s="4433"/>
      <c r="C633" s="2128"/>
      <c r="D633" s="2128"/>
      <c r="E633" s="2128"/>
      <c r="F633" s="2128"/>
      <c r="G633" s="2128"/>
      <c r="H633" s="2128"/>
      <c r="I633" s="2128"/>
      <c r="J633" s="2128"/>
      <c r="K633" s="2128"/>
      <c r="L633" s="2128"/>
      <c r="M633" s="2128"/>
      <c r="N633" s="2128"/>
      <c r="O633" s="2128"/>
      <c r="P633" s="2128"/>
      <c r="Q633" s="2128"/>
      <c r="R633" s="2128"/>
      <c r="S633" s="2128"/>
      <c r="T633" s="2128"/>
      <c r="U633" s="2128"/>
      <c r="V633" s="2128"/>
      <c r="W633" s="2128"/>
      <c r="X633" s="2128"/>
      <c r="Y633" s="2128"/>
      <c r="Z633" s="2128"/>
      <c r="AA633" s="2128"/>
      <c r="AB633" s="2128"/>
      <c r="AC633" s="2128"/>
      <c r="AD633" s="2128"/>
    </row>
    <row r="634" spans="1:30" ht="15.75" customHeight="1" x14ac:dyDescent="0.3">
      <c r="A634" s="4433"/>
      <c r="B634" s="4433"/>
      <c r="C634" s="2128"/>
      <c r="D634" s="2128"/>
      <c r="E634" s="2128"/>
      <c r="F634" s="2128"/>
      <c r="G634" s="2128"/>
      <c r="H634" s="2128"/>
      <c r="I634" s="2128"/>
      <c r="J634" s="2128"/>
      <c r="K634" s="2128"/>
      <c r="L634" s="2128"/>
      <c r="M634" s="2128"/>
      <c r="N634" s="2128"/>
      <c r="O634" s="2128"/>
      <c r="P634" s="2128"/>
      <c r="Q634" s="2128"/>
      <c r="R634" s="2128"/>
      <c r="S634" s="2128"/>
      <c r="T634" s="2128"/>
      <c r="U634" s="2128"/>
      <c r="V634" s="2128"/>
      <c r="W634" s="2128"/>
      <c r="X634" s="2128"/>
      <c r="Y634" s="2128"/>
      <c r="Z634" s="2128"/>
      <c r="AA634" s="2128"/>
      <c r="AB634" s="2128"/>
      <c r="AC634" s="2128"/>
      <c r="AD634" s="2128"/>
    </row>
    <row r="635" spans="1:30" ht="15.75" customHeight="1" x14ac:dyDescent="0.3">
      <c r="A635" s="4433"/>
      <c r="B635" s="4433"/>
      <c r="C635" s="2128"/>
      <c r="D635" s="2128"/>
      <c r="E635" s="2128"/>
      <c r="F635" s="2128"/>
      <c r="G635" s="2128"/>
      <c r="H635" s="2128"/>
      <c r="I635" s="2128"/>
      <c r="J635" s="2128"/>
      <c r="K635" s="2128"/>
      <c r="L635" s="2128"/>
      <c r="M635" s="2128"/>
      <c r="N635" s="2128"/>
      <c r="O635" s="2128"/>
      <c r="P635" s="2128"/>
      <c r="Q635" s="2128"/>
      <c r="R635" s="2128"/>
      <c r="S635" s="2128"/>
      <c r="T635" s="2128"/>
      <c r="U635" s="2128"/>
      <c r="V635" s="2128"/>
      <c r="W635" s="2128"/>
      <c r="X635" s="2128"/>
      <c r="Y635" s="2128"/>
      <c r="Z635" s="2128"/>
      <c r="AA635" s="2128"/>
      <c r="AB635" s="2128"/>
      <c r="AC635" s="2128"/>
      <c r="AD635" s="2128"/>
    </row>
    <row r="636" spans="1:30" ht="15.75" customHeight="1" x14ac:dyDescent="0.3">
      <c r="A636" s="4433"/>
      <c r="B636" s="4433"/>
      <c r="C636" s="2128"/>
      <c r="D636" s="2128"/>
      <c r="E636" s="2128"/>
      <c r="F636" s="2128"/>
      <c r="G636" s="2128"/>
      <c r="H636" s="2128"/>
      <c r="I636" s="2128"/>
      <c r="J636" s="2128"/>
      <c r="K636" s="2128"/>
      <c r="L636" s="2128"/>
      <c r="M636" s="2128"/>
      <c r="N636" s="2128"/>
      <c r="O636" s="2128"/>
      <c r="P636" s="2128"/>
      <c r="Q636" s="2128"/>
      <c r="R636" s="2128"/>
      <c r="S636" s="2128"/>
      <c r="T636" s="2128"/>
      <c r="U636" s="2128"/>
      <c r="V636" s="2128"/>
      <c r="W636" s="2128"/>
      <c r="X636" s="2128"/>
      <c r="Y636" s="2128"/>
      <c r="Z636" s="2128"/>
      <c r="AA636" s="2128"/>
      <c r="AB636" s="2128"/>
      <c r="AC636" s="2128"/>
      <c r="AD636" s="2128"/>
    </row>
    <row r="637" spans="1:30" ht="15.75" customHeight="1" x14ac:dyDescent="0.3">
      <c r="A637" s="4433"/>
      <c r="B637" s="4433"/>
      <c r="C637" s="2128"/>
      <c r="D637" s="2128"/>
      <c r="E637" s="2128"/>
      <c r="F637" s="2128"/>
      <c r="G637" s="2128"/>
      <c r="H637" s="2128"/>
      <c r="I637" s="2128"/>
      <c r="J637" s="2128"/>
      <c r="K637" s="2128"/>
      <c r="L637" s="2128"/>
      <c r="M637" s="2128"/>
      <c r="N637" s="2128"/>
      <c r="O637" s="2128"/>
      <c r="P637" s="2128"/>
      <c r="Q637" s="2128"/>
      <c r="R637" s="2128"/>
      <c r="S637" s="2128"/>
      <c r="T637" s="2128"/>
      <c r="U637" s="2128"/>
      <c r="V637" s="2128"/>
      <c r="W637" s="2128"/>
      <c r="X637" s="2128"/>
      <c r="Y637" s="2128"/>
      <c r="Z637" s="2128"/>
      <c r="AA637" s="2128"/>
      <c r="AB637" s="2128"/>
      <c r="AC637" s="2128"/>
      <c r="AD637" s="2128"/>
    </row>
    <row r="638" spans="1:30" ht="15.75" customHeight="1" x14ac:dyDescent="0.3">
      <c r="A638" s="4433"/>
      <c r="B638" s="4433"/>
      <c r="C638" s="2128"/>
      <c r="D638" s="2128"/>
      <c r="E638" s="2128"/>
      <c r="F638" s="2128"/>
      <c r="G638" s="2128"/>
      <c r="H638" s="2128"/>
      <c r="I638" s="2128"/>
      <c r="J638" s="2128"/>
      <c r="K638" s="2128"/>
      <c r="L638" s="2128"/>
      <c r="M638" s="2128"/>
      <c r="N638" s="2128"/>
      <c r="O638" s="2128"/>
      <c r="P638" s="2128"/>
      <c r="Q638" s="2128"/>
      <c r="R638" s="2128"/>
      <c r="S638" s="2128"/>
      <c r="T638" s="2128"/>
      <c r="U638" s="2128"/>
      <c r="V638" s="2128"/>
      <c r="W638" s="2128"/>
      <c r="X638" s="2128"/>
      <c r="Y638" s="2128"/>
      <c r="Z638" s="2128"/>
      <c r="AA638" s="2128"/>
      <c r="AB638" s="2128"/>
      <c r="AC638" s="2128"/>
      <c r="AD638" s="2128"/>
    </row>
    <row r="639" spans="1:30" ht="15.75" customHeight="1" x14ac:dyDescent="0.3">
      <c r="A639" s="4433"/>
      <c r="B639" s="4433"/>
      <c r="C639" s="2128"/>
      <c r="D639" s="2128"/>
      <c r="E639" s="2128"/>
      <c r="F639" s="2128"/>
      <c r="G639" s="2128"/>
      <c r="H639" s="2128"/>
      <c r="I639" s="2128"/>
      <c r="J639" s="2128"/>
      <c r="K639" s="2128"/>
      <c r="L639" s="2128"/>
      <c r="M639" s="2128"/>
      <c r="N639" s="2128"/>
      <c r="O639" s="2128"/>
      <c r="P639" s="2128"/>
      <c r="Q639" s="2128"/>
      <c r="R639" s="2128"/>
      <c r="S639" s="2128"/>
      <c r="T639" s="2128"/>
      <c r="U639" s="2128"/>
      <c r="V639" s="2128"/>
      <c r="W639" s="2128"/>
      <c r="X639" s="2128"/>
      <c r="Y639" s="2128"/>
      <c r="Z639" s="2128"/>
      <c r="AA639" s="2128"/>
      <c r="AB639" s="2128"/>
      <c r="AC639" s="2128"/>
      <c r="AD639" s="2128"/>
    </row>
    <row r="640" spans="1:30" ht="15.75" customHeight="1" x14ac:dyDescent="0.3">
      <c r="A640" s="4433"/>
      <c r="B640" s="4433"/>
      <c r="C640" s="2128"/>
      <c r="D640" s="2128"/>
      <c r="E640" s="2128"/>
      <c r="F640" s="2128"/>
      <c r="G640" s="2128"/>
      <c r="H640" s="2128"/>
      <c r="I640" s="2128"/>
      <c r="J640" s="2128"/>
      <c r="K640" s="2128"/>
      <c r="L640" s="2128"/>
      <c r="M640" s="2128"/>
      <c r="N640" s="2128"/>
      <c r="O640" s="2128"/>
      <c r="P640" s="2128"/>
      <c r="Q640" s="2128"/>
      <c r="R640" s="2128"/>
      <c r="S640" s="2128"/>
      <c r="T640" s="2128"/>
      <c r="U640" s="2128"/>
      <c r="V640" s="2128"/>
      <c r="W640" s="2128"/>
      <c r="X640" s="2128"/>
      <c r="Y640" s="2128"/>
      <c r="Z640" s="2128"/>
      <c r="AA640" s="2128"/>
      <c r="AB640" s="2128"/>
      <c r="AC640" s="2128"/>
      <c r="AD640" s="2128"/>
    </row>
    <row r="641" spans="1:30" ht="15.75" customHeight="1" x14ac:dyDescent="0.3">
      <c r="A641" s="4433"/>
      <c r="B641" s="4433"/>
      <c r="C641" s="2128"/>
      <c r="D641" s="2128"/>
      <c r="E641" s="2128"/>
      <c r="F641" s="2128"/>
      <c r="G641" s="2128"/>
      <c r="H641" s="2128"/>
      <c r="I641" s="2128"/>
      <c r="J641" s="2128"/>
      <c r="K641" s="2128"/>
      <c r="L641" s="2128"/>
      <c r="M641" s="2128"/>
      <c r="N641" s="2128"/>
      <c r="O641" s="2128"/>
      <c r="P641" s="2128"/>
      <c r="Q641" s="2128"/>
      <c r="R641" s="2128"/>
      <c r="S641" s="2128"/>
      <c r="T641" s="2128"/>
      <c r="U641" s="2128"/>
      <c r="V641" s="2128"/>
      <c r="W641" s="2128"/>
      <c r="X641" s="2128"/>
      <c r="Y641" s="2128"/>
      <c r="Z641" s="2128"/>
      <c r="AA641" s="2128"/>
      <c r="AB641" s="2128"/>
      <c r="AC641" s="2128"/>
      <c r="AD641" s="2128"/>
    </row>
    <row r="642" spans="1:30" ht="15.75" customHeight="1" x14ac:dyDescent="0.3">
      <c r="A642" s="4433"/>
      <c r="B642" s="4433"/>
      <c r="C642" s="2128"/>
      <c r="D642" s="2128"/>
      <c r="E642" s="2128"/>
      <c r="F642" s="2128"/>
      <c r="G642" s="2128"/>
      <c r="H642" s="2128"/>
      <c r="I642" s="2128"/>
      <c r="J642" s="2128"/>
      <c r="K642" s="2128"/>
      <c r="L642" s="2128"/>
      <c r="M642" s="2128"/>
      <c r="N642" s="2128"/>
      <c r="O642" s="2128"/>
      <c r="P642" s="2128"/>
      <c r="Q642" s="2128"/>
      <c r="R642" s="2128"/>
      <c r="S642" s="2128"/>
      <c r="T642" s="2128"/>
      <c r="U642" s="2128"/>
      <c r="V642" s="2128"/>
      <c r="W642" s="2128"/>
      <c r="X642" s="2128"/>
      <c r="Y642" s="2128"/>
      <c r="Z642" s="2128"/>
      <c r="AA642" s="2128"/>
      <c r="AB642" s="2128"/>
      <c r="AC642" s="2128"/>
      <c r="AD642" s="2128"/>
    </row>
    <row r="643" spans="1:30" ht="15.75" customHeight="1" x14ac:dyDescent="0.3">
      <c r="A643" s="4433"/>
      <c r="B643" s="4433"/>
      <c r="C643" s="2128"/>
      <c r="D643" s="2128"/>
      <c r="E643" s="2128"/>
      <c r="F643" s="2128"/>
      <c r="G643" s="2128"/>
      <c r="H643" s="2128"/>
      <c r="I643" s="2128"/>
      <c r="J643" s="2128"/>
      <c r="K643" s="2128"/>
      <c r="L643" s="2128"/>
      <c r="M643" s="2128"/>
      <c r="N643" s="2128"/>
      <c r="O643" s="2128"/>
      <c r="P643" s="2128"/>
      <c r="Q643" s="2128"/>
      <c r="R643" s="2128"/>
      <c r="S643" s="2128"/>
      <c r="T643" s="2128"/>
      <c r="U643" s="2128"/>
      <c r="V643" s="2128"/>
      <c r="W643" s="2128"/>
      <c r="X643" s="2128"/>
      <c r="Y643" s="2128"/>
      <c r="Z643" s="2128"/>
      <c r="AA643" s="2128"/>
      <c r="AB643" s="2128"/>
      <c r="AC643" s="2128"/>
      <c r="AD643" s="2128"/>
    </row>
    <row r="644" spans="1:30" ht="15.75" customHeight="1" x14ac:dyDescent="0.3">
      <c r="A644" s="4433"/>
      <c r="B644" s="4433"/>
      <c r="C644" s="2128"/>
      <c r="D644" s="2128"/>
      <c r="E644" s="2128"/>
      <c r="F644" s="2128"/>
      <c r="G644" s="2128"/>
      <c r="H644" s="2128"/>
      <c r="I644" s="2128"/>
      <c r="J644" s="2128"/>
      <c r="K644" s="2128"/>
      <c r="L644" s="2128"/>
      <c r="M644" s="2128"/>
      <c r="N644" s="2128"/>
      <c r="O644" s="2128"/>
      <c r="P644" s="2128"/>
      <c r="Q644" s="2128"/>
      <c r="R644" s="2128"/>
      <c r="S644" s="2128"/>
      <c r="T644" s="2128"/>
      <c r="U644" s="2128"/>
      <c r="V644" s="2128"/>
      <c r="W644" s="2128"/>
      <c r="X644" s="2128"/>
      <c r="Y644" s="2128"/>
      <c r="Z644" s="2128"/>
      <c r="AA644" s="2128"/>
      <c r="AB644" s="2128"/>
      <c r="AC644" s="2128"/>
      <c r="AD644" s="2128"/>
    </row>
    <row r="645" spans="1:30" ht="15.75" customHeight="1" x14ac:dyDescent="0.3">
      <c r="A645" s="4433"/>
      <c r="B645" s="4433"/>
      <c r="C645" s="2128"/>
      <c r="D645" s="2128"/>
      <c r="E645" s="2128"/>
      <c r="F645" s="2128"/>
      <c r="G645" s="2128"/>
      <c r="H645" s="2128"/>
      <c r="I645" s="2128"/>
      <c r="J645" s="2128"/>
      <c r="K645" s="2128"/>
      <c r="L645" s="2128"/>
      <c r="M645" s="2128"/>
      <c r="N645" s="2128"/>
      <c r="O645" s="2128"/>
      <c r="P645" s="2128"/>
      <c r="Q645" s="2128"/>
      <c r="R645" s="2128"/>
      <c r="S645" s="2128"/>
      <c r="T645" s="2128"/>
      <c r="U645" s="2128"/>
      <c r="V645" s="2128"/>
      <c r="W645" s="2128"/>
      <c r="X645" s="2128"/>
      <c r="Y645" s="2128"/>
      <c r="Z645" s="2128"/>
      <c r="AA645" s="2128"/>
      <c r="AB645" s="2128"/>
      <c r="AC645" s="2128"/>
      <c r="AD645" s="2128"/>
    </row>
    <row r="646" spans="1:30" ht="15.75" customHeight="1" x14ac:dyDescent="0.3">
      <c r="A646" s="4433"/>
      <c r="B646" s="4433"/>
      <c r="C646" s="2128"/>
      <c r="D646" s="2128"/>
      <c r="E646" s="2128"/>
      <c r="F646" s="2128"/>
      <c r="G646" s="2128"/>
      <c r="H646" s="2128"/>
      <c r="I646" s="2128"/>
      <c r="J646" s="2128"/>
      <c r="K646" s="2128"/>
      <c r="L646" s="2128"/>
      <c r="M646" s="2128"/>
      <c r="N646" s="2128"/>
      <c r="O646" s="2128"/>
      <c r="P646" s="2128"/>
      <c r="Q646" s="2128"/>
      <c r="R646" s="2128"/>
      <c r="S646" s="2128"/>
      <c r="T646" s="2128"/>
      <c r="U646" s="2128"/>
      <c r="V646" s="2128"/>
      <c r="W646" s="2128"/>
      <c r="X646" s="2128"/>
      <c r="Y646" s="2128"/>
      <c r="Z646" s="2128"/>
      <c r="AA646" s="2128"/>
      <c r="AB646" s="2128"/>
      <c r="AC646" s="2128"/>
      <c r="AD646" s="2128"/>
    </row>
    <row r="647" spans="1:30" ht="15.75" customHeight="1" x14ac:dyDescent="0.3">
      <c r="A647" s="4433"/>
      <c r="B647" s="4433"/>
      <c r="C647" s="2128"/>
      <c r="D647" s="2128"/>
      <c r="E647" s="2128"/>
      <c r="F647" s="2128"/>
      <c r="G647" s="2128"/>
      <c r="H647" s="2128"/>
      <c r="I647" s="2128"/>
      <c r="J647" s="2128"/>
      <c r="K647" s="2128"/>
      <c r="L647" s="2128"/>
      <c r="M647" s="2128"/>
      <c r="N647" s="2128"/>
      <c r="O647" s="2128"/>
      <c r="P647" s="2128"/>
      <c r="Q647" s="2128"/>
      <c r="R647" s="2128"/>
      <c r="S647" s="2128"/>
      <c r="T647" s="2128"/>
      <c r="U647" s="2128"/>
      <c r="V647" s="2128"/>
      <c r="W647" s="2128"/>
      <c r="X647" s="2128"/>
      <c r="Y647" s="2128"/>
      <c r="Z647" s="2128"/>
      <c r="AA647" s="2128"/>
      <c r="AB647" s="2128"/>
      <c r="AC647" s="2128"/>
      <c r="AD647" s="2128"/>
    </row>
    <row r="648" spans="1:30" ht="15.75" customHeight="1" x14ac:dyDescent="0.3">
      <c r="A648" s="4433"/>
      <c r="B648" s="4433"/>
      <c r="C648" s="2128"/>
      <c r="D648" s="2128"/>
      <c r="E648" s="2128"/>
      <c r="F648" s="2128"/>
      <c r="G648" s="2128"/>
      <c r="H648" s="2128"/>
      <c r="I648" s="2128"/>
      <c r="J648" s="2128"/>
      <c r="K648" s="2128"/>
      <c r="L648" s="2128"/>
      <c r="M648" s="2128"/>
      <c r="N648" s="2128"/>
      <c r="O648" s="2128"/>
      <c r="P648" s="2128"/>
      <c r="Q648" s="2128"/>
      <c r="R648" s="2128"/>
      <c r="S648" s="2128"/>
      <c r="T648" s="2128"/>
      <c r="U648" s="2128"/>
      <c r="V648" s="2128"/>
      <c r="W648" s="2128"/>
      <c r="X648" s="2128"/>
      <c r="Y648" s="2128"/>
      <c r="Z648" s="2128"/>
      <c r="AA648" s="2128"/>
      <c r="AB648" s="2128"/>
      <c r="AC648" s="2128"/>
      <c r="AD648" s="2128"/>
    </row>
    <row r="649" spans="1:30" ht="15.75" customHeight="1" x14ac:dyDescent="0.3">
      <c r="A649" s="4433"/>
      <c r="B649" s="4433"/>
      <c r="C649" s="2128"/>
      <c r="D649" s="2128"/>
      <c r="E649" s="2128"/>
      <c r="F649" s="2128"/>
      <c r="G649" s="2128"/>
      <c r="H649" s="2128"/>
      <c r="I649" s="2128"/>
      <c r="J649" s="2128"/>
      <c r="K649" s="2128"/>
      <c r="L649" s="2128"/>
      <c r="M649" s="2128"/>
      <c r="N649" s="2128"/>
      <c r="O649" s="2128"/>
      <c r="P649" s="2128"/>
      <c r="Q649" s="2128"/>
      <c r="R649" s="2128"/>
      <c r="S649" s="2128"/>
      <c r="T649" s="2128"/>
      <c r="U649" s="2128"/>
      <c r="V649" s="2128"/>
      <c r="W649" s="2128"/>
      <c r="X649" s="2128"/>
      <c r="Y649" s="2128"/>
      <c r="Z649" s="2128"/>
      <c r="AA649" s="2128"/>
      <c r="AB649" s="2128"/>
      <c r="AC649" s="2128"/>
      <c r="AD649" s="2128"/>
    </row>
    <row r="650" spans="1:30" ht="15.75" customHeight="1" x14ac:dyDescent="0.3">
      <c r="A650" s="4433"/>
      <c r="B650" s="4433"/>
      <c r="C650" s="2128"/>
      <c r="D650" s="2128"/>
      <c r="E650" s="2128"/>
      <c r="F650" s="2128"/>
      <c r="G650" s="2128"/>
      <c r="H650" s="2128"/>
      <c r="I650" s="2128"/>
      <c r="J650" s="2128"/>
      <c r="K650" s="2128"/>
      <c r="L650" s="2128"/>
      <c r="M650" s="2128"/>
      <c r="N650" s="2128"/>
      <c r="O650" s="2128"/>
      <c r="P650" s="2128"/>
      <c r="Q650" s="2128"/>
      <c r="R650" s="2128"/>
      <c r="S650" s="2128"/>
      <c r="T650" s="2128"/>
      <c r="U650" s="2128"/>
      <c r="V650" s="2128"/>
      <c r="W650" s="2128"/>
      <c r="X650" s="2128"/>
      <c r="Y650" s="2128"/>
      <c r="Z650" s="2128"/>
      <c r="AA650" s="2128"/>
      <c r="AB650" s="2128"/>
      <c r="AC650" s="2128"/>
      <c r="AD650" s="2128"/>
    </row>
    <row r="651" spans="1:30" ht="15.75" customHeight="1" x14ac:dyDescent="0.3">
      <c r="A651" s="4433"/>
      <c r="B651" s="4433"/>
      <c r="C651" s="2128"/>
      <c r="D651" s="2128"/>
      <c r="E651" s="2128"/>
      <c r="F651" s="2128"/>
      <c r="G651" s="2128"/>
      <c r="H651" s="2128"/>
      <c r="I651" s="2128"/>
      <c r="J651" s="2128"/>
      <c r="K651" s="2128"/>
      <c r="L651" s="2128"/>
      <c r="M651" s="2128"/>
      <c r="N651" s="2128"/>
      <c r="O651" s="2128"/>
      <c r="P651" s="2128"/>
      <c r="Q651" s="2128"/>
      <c r="R651" s="2128"/>
      <c r="S651" s="2128"/>
      <c r="T651" s="2128"/>
      <c r="U651" s="2128"/>
      <c r="V651" s="2128"/>
      <c r="W651" s="2128"/>
      <c r="X651" s="2128"/>
      <c r="Y651" s="2128"/>
      <c r="Z651" s="2128"/>
      <c r="AA651" s="2128"/>
      <c r="AB651" s="2128"/>
      <c r="AC651" s="2128"/>
      <c r="AD651" s="2128"/>
    </row>
    <row r="652" spans="1:30" ht="15.75" customHeight="1" x14ac:dyDescent="0.3">
      <c r="A652" s="4433"/>
      <c r="B652" s="4433"/>
      <c r="C652" s="2128"/>
      <c r="D652" s="2128"/>
      <c r="E652" s="2128"/>
      <c r="F652" s="2128"/>
      <c r="G652" s="2128"/>
      <c r="H652" s="2128"/>
      <c r="I652" s="2128"/>
      <c r="J652" s="2128"/>
      <c r="K652" s="2128"/>
      <c r="L652" s="2128"/>
      <c r="M652" s="2128"/>
      <c r="N652" s="2128"/>
      <c r="O652" s="2128"/>
      <c r="P652" s="2128"/>
      <c r="Q652" s="2128"/>
      <c r="R652" s="2128"/>
      <c r="S652" s="2128"/>
      <c r="T652" s="2128"/>
      <c r="U652" s="2128"/>
      <c r="V652" s="2128"/>
      <c r="W652" s="2128"/>
      <c r="X652" s="2128"/>
      <c r="Y652" s="2128"/>
      <c r="Z652" s="2128"/>
      <c r="AA652" s="2128"/>
      <c r="AB652" s="2128"/>
      <c r="AC652" s="2128"/>
      <c r="AD652" s="2128"/>
    </row>
    <row r="653" spans="1:30" ht="15.75" customHeight="1" x14ac:dyDescent="0.3">
      <c r="A653" s="4433"/>
      <c r="B653" s="4433"/>
      <c r="C653" s="2128"/>
      <c r="D653" s="2128"/>
      <c r="E653" s="2128"/>
      <c r="F653" s="2128"/>
      <c r="G653" s="2128"/>
      <c r="H653" s="2128"/>
      <c r="I653" s="2128"/>
      <c r="J653" s="2128"/>
      <c r="K653" s="2128"/>
      <c r="L653" s="2128"/>
      <c r="M653" s="2128"/>
      <c r="N653" s="2128"/>
      <c r="O653" s="2128"/>
      <c r="P653" s="2128"/>
      <c r="Q653" s="2128"/>
      <c r="R653" s="2128"/>
      <c r="S653" s="2128"/>
      <c r="T653" s="2128"/>
      <c r="U653" s="2128"/>
      <c r="V653" s="2128"/>
      <c r="W653" s="2128"/>
      <c r="X653" s="2128"/>
      <c r="Y653" s="2128"/>
      <c r="Z653" s="2128"/>
      <c r="AA653" s="2128"/>
      <c r="AB653" s="2128"/>
      <c r="AC653" s="2128"/>
      <c r="AD653" s="2128"/>
    </row>
    <row r="654" spans="1:30" ht="15.75" customHeight="1" x14ac:dyDescent="0.3">
      <c r="A654" s="4433"/>
      <c r="B654" s="4433"/>
      <c r="C654" s="2128"/>
      <c r="D654" s="2128"/>
      <c r="E654" s="2128"/>
      <c r="F654" s="2128"/>
      <c r="G654" s="2128"/>
      <c r="H654" s="2128"/>
      <c r="I654" s="2128"/>
      <c r="J654" s="2128"/>
      <c r="K654" s="2128"/>
      <c r="L654" s="2128"/>
      <c r="M654" s="2128"/>
      <c r="N654" s="2128"/>
      <c r="O654" s="2128"/>
      <c r="P654" s="2128"/>
      <c r="Q654" s="2128"/>
      <c r="R654" s="2128"/>
      <c r="S654" s="2128"/>
      <c r="T654" s="2128"/>
      <c r="U654" s="2128"/>
      <c r="V654" s="2128"/>
      <c r="W654" s="2128"/>
      <c r="X654" s="2128"/>
      <c r="Y654" s="2128"/>
      <c r="Z654" s="2128"/>
      <c r="AA654" s="2128"/>
      <c r="AB654" s="2128"/>
      <c r="AC654" s="2128"/>
      <c r="AD654" s="2128"/>
    </row>
    <row r="655" spans="1:30" ht="15.75" customHeight="1" x14ac:dyDescent="0.3">
      <c r="A655" s="4433"/>
      <c r="B655" s="4433"/>
      <c r="C655" s="2128"/>
      <c r="D655" s="2128"/>
      <c r="E655" s="2128"/>
      <c r="F655" s="2128"/>
      <c r="G655" s="2128"/>
      <c r="H655" s="2128"/>
      <c r="I655" s="2128"/>
      <c r="J655" s="2128"/>
      <c r="K655" s="2128"/>
      <c r="L655" s="2128"/>
      <c r="M655" s="2128"/>
      <c r="N655" s="2128"/>
      <c r="O655" s="2128"/>
      <c r="P655" s="2128"/>
      <c r="Q655" s="2128"/>
      <c r="R655" s="2128"/>
      <c r="S655" s="2128"/>
      <c r="T655" s="2128"/>
      <c r="U655" s="2128"/>
      <c r="V655" s="2128"/>
      <c r="W655" s="2128"/>
      <c r="X655" s="2128"/>
      <c r="Y655" s="2128"/>
      <c r="Z655" s="2128"/>
      <c r="AA655" s="2128"/>
      <c r="AB655" s="2128"/>
      <c r="AC655" s="2128"/>
      <c r="AD655" s="2128"/>
    </row>
    <row r="656" spans="1:30" ht="15.75" customHeight="1" x14ac:dyDescent="0.3">
      <c r="A656" s="4433"/>
      <c r="B656" s="4433"/>
      <c r="C656" s="2128"/>
      <c r="D656" s="2128"/>
      <c r="E656" s="2128"/>
      <c r="F656" s="2128"/>
      <c r="G656" s="2128"/>
      <c r="H656" s="2128"/>
      <c r="I656" s="2128"/>
      <c r="J656" s="2128"/>
      <c r="K656" s="2128"/>
      <c r="L656" s="2128"/>
      <c r="M656" s="2128"/>
      <c r="N656" s="2128"/>
      <c r="O656" s="2128"/>
      <c r="P656" s="2128"/>
      <c r="Q656" s="2128"/>
      <c r="R656" s="2128"/>
      <c r="S656" s="2128"/>
      <c r="T656" s="2128"/>
      <c r="U656" s="2128"/>
      <c r="V656" s="2128"/>
      <c r="W656" s="2128"/>
      <c r="X656" s="2128"/>
      <c r="Y656" s="2128"/>
      <c r="Z656" s="2128"/>
      <c r="AA656" s="2128"/>
      <c r="AB656" s="2128"/>
      <c r="AC656" s="2128"/>
      <c r="AD656" s="2128"/>
    </row>
    <row r="657" spans="1:30" ht="15.75" customHeight="1" x14ac:dyDescent="0.3">
      <c r="A657" s="4433"/>
      <c r="B657" s="4433"/>
      <c r="C657" s="2128"/>
      <c r="D657" s="2128"/>
      <c r="E657" s="2128"/>
      <c r="F657" s="2128"/>
      <c r="G657" s="2128"/>
      <c r="H657" s="2128"/>
      <c r="I657" s="2128"/>
      <c r="J657" s="2128"/>
      <c r="K657" s="2128"/>
      <c r="L657" s="2128"/>
      <c r="M657" s="2128"/>
      <c r="N657" s="2128"/>
      <c r="O657" s="2128"/>
      <c r="P657" s="2128"/>
      <c r="Q657" s="2128"/>
      <c r="R657" s="2128"/>
      <c r="S657" s="2128"/>
      <c r="T657" s="2128"/>
      <c r="U657" s="2128"/>
      <c r="V657" s="2128"/>
      <c r="W657" s="2128"/>
      <c r="X657" s="2128"/>
      <c r="Y657" s="2128"/>
      <c r="Z657" s="2128"/>
      <c r="AA657" s="2128"/>
      <c r="AB657" s="2128"/>
      <c r="AC657" s="2128"/>
      <c r="AD657" s="2128"/>
    </row>
    <row r="658" spans="1:30" ht="15.75" customHeight="1" x14ac:dyDescent="0.3">
      <c r="A658" s="4433"/>
      <c r="B658" s="4433"/>
      <c r="C658" s="2128"/>
      <c r="D658" s="2128"/>
      <c r="E658" s="2128"/>
      <c r="F658" s="2128"/>
      <c r="G658" s="2128"/>
      <c r="H658" s="2128"/>
      <c r="I658" s="2128"/>
      <c r="J658" s="2128"/>
      <c r="K658" s="2128"/>
      <c r="L658" s="2128"/>
      <c r="M658" s="2128"/>
      <c r="N658" s="2128"/>
      <c r="O658" s="2128"/>
      <c r="P658" s="2128"/>
      <c r="Q658" s="2128"/>
      <c r="R658" s="2128"/>
      <c r="S658" s="2128"/>
      <c r="T658" s="2128"/>
      <c r="U658" s="2128"/>
      <c r="V658" s="2128"/>
      <c r="W658" s="2128"/>
      <c r="X658" s="2128"/>
      <c r="Y658" s="2128"/>
      <c r="Z658" s="2128"/>
      <c r="AA658" s="2128"/>
      <c r="AB658" s="2128"/>
      <c r="AC658" s="2128"/>
      <c r="AD658" s="2128"/>
    </row>
    <row r="659" spans="1:30" ht="15.75" customHeight="1" x14ac:dyDescent="0.3">
      <c r="A659" s="4433"/>
      <c r="B659" s="4433"/>
      <c r="C659" s="2128"/>
      <c r="D659" s="2128"/>
      <c r="E659" s="2128"/>
      <c r="F659" s="2128"/>
      <c r="G659" s="2128"/>
      <c r="H659" s="2128"/>
      <c r="I659" s="2128"/>
      <c r="J659" s="2128"/>
      <c r="K659" s="2128"/>
      <c r="L659" s="2128"/>
      <c r="M659" s="2128"/>
      <c r="N659" s="2128"/>
      <c r="O659" s="2128"/>
      <c r="P659" s="2128"/>
      <c r="Q659" s="2128"/>
      <c r="R659" s="2128"/>
      <c r="S659" s="2128"/>
      <c r="T659" s="2128"/>
      <c r="U659" s="2128"/>
      <c r="V659" s="2128"/>
      <c r="W659" s="2128"/>
      <c r="X659" s="2128"/>
      <c r="Y659" s="2128"/>
      <c r="Z659" s="2128"/>
      <c r="AA659" s="2128"/>
      <c r="AB659" s="2128"/>
      <c r="AC659" s="2128"/>
      <c r="AD659" s="2128"/>
    </row>
    <row r="660" spans="1:30" ht="15.75" customHeight="1" x14ac:dyDescent="0.3">
      <c r="A660" s="4433"/>
      <c r="B660" s="4433"/>
      <c r="C660" s="2128"/>
      <c r="D660" s="2128"/>
      <c r="E660" s="2128"/>
      <c r="F660" s="2128"/>
      <c r="G660" s="2128"/>
      <c r="H660" s="2128"/>
      <c r="I660" s="2128"/>
      <c r="J660" s="2128"/>
      <c r="K660" s="2128"/>
      <c r="L660" s="2128"/>
      <c r="M660" s="2128"/>
      <c r="N660" s="2128"/>
      <c r="O660" s="2128"/>
      <c r="P660" s="2128"/>
      <c r="Q660" s="2128"/>
      <c r="R660" s="2128"/>
      <c r="S660" s="2128"/>
      <c r="T660" s="2128"/>
      <c r="U660" s="2128"/>
      <c r="V660" s="2128"/>
      <c r="W660" s="2128"/>
      <c r="X660" s="2128"/>
      <c r="Y660" s="2128"/>
      <c r="Z660" s="2128"/>
      <c r="AA660" s="2128"/>
      <c r="AB660" s="2128"/>
      <c r="AC660" s="2128"/>
      <c r="AD660" s="2128"/>
    </row>
    <row r="661" spans="1:30" ht="15.75" customHeight="1" x14ac:dyDescent="0.3">
      <c r="A661" s="4433"/>
      <c r="B661" s="4433"/>
      <c r="C661" s="2128"/>
      <c r="D661" s="2128"/>
      <c r="E661" s="2128"/>
      <c r="F661" s="2128"/>
      <c r="G661" s="2128"/>
      <c r="H661" s="2128"/>
      <c r="I661" s="2128"/>
      <c r="J661" s="2128"/>
      <c r="K661" s="2128"/>
      <c r="L661" s="2128"/>
      <c r="M661" s="2128"/>
      <c r="N661" s="2128"/>
      <c r="O661" s="2128"/>
      <c r="P661" s="2128"/>
      <c r="Q661" s="2128"/>
      <c r="R661" s="2128"/>
      <c r="S661" s="2128"/>
      <c r="T661" s="2128"/>
      <c r="U661" s="2128"/>
      <c r="V661" s="2128"/>
      <c r="W661" s="2128"/>
      <c r="X661" s="2128"/>
      <c r="Y661" s="2128"/>
      <c r="Z661" s="2128"/>
      <c r="AA661" s="2128"/>
      <c r="AB661" s="2128"/>
      <c r="AC661" s="2128"/>
      <c r="AD661" s="2128"/>
    </row>
    <row r="662" spans="1:30" ht="15.75" customHeight="1" x14ac:dyDescent="0.3">
      <c r="A662" s="4433"/>
      <c r="B662" s="4433"/>
      <c r="C662" s="2128"/>
      <c r="D662" s="2128"/>
      <c r="E662" s="2128"/>
      <c r="F662" s="2128"/>
      <c r="G662" s="2128"/>
      <c r="H662" s="2128"/>
      <c r="I662" s="2128"/>
      <c r="J662" s="2128"/>
      <c r="K662" s="2128"/>
      <c r="L662" s="2128"/>
      <c r="M662" s="2128"/>
      <c r="N662" s="2128"/>
      <c r="O662" s="2128"/>
      <c r="P662" s="2128"/>
      <c r="Q662" s="2128"/>
      <c r="R662" s="2128"/>
      <c r="S662" s="2128"/>
      <c r="T662" s="2128"/>
      <c r="U662" s="2128"/>
      <c r="V662" s="2128"/>
      <c r="W662" s="2128"/>
      <c r="X662" s="2128"/>
      <c r="Y662" s="2128"/>
      <c r="Z662" s="2128"/>
      <c r="AA662" s="2128"/>
      <c r="AB662" s="2128"/>
      <c r="AC662" s="2128"/>
      <c r="AD662" s="2128"/>
    </row>
    <row r="663" spans="1:30" ht="15.75" customHeight="1" x14ac:dyDescent="0.3">
      <c r="A663" s="4433"/>
      <c r="B663" s="4433"/>
      <c r="C663" s="2128"/>
      <c r="D663" s="2128"/>
      <c r="E663" s="2128"/>
      <c r="F663" s="2128"/>
      <c r="G663" s="2128"/>
      <c r="H663" s="2128"/>
      <c r="I663" s="2128"/>
      <c r="J663" s="2128"/>
      <c r="K663" s="2128"/>
      <c r="L663" s="2128"/>
      <c r="M663" s="2128"/>
      <c r="N663" s="2128"/>
      <c r="O663" s="2128"/>
      <c r="P663" s="2128"/>
      <c r="Q663" s="2128"/>
      <c r="R663" s="2128"/>
      <c r="S663" s="2128"/>
      <c r="T663" s="2128"/>
      <c r="U663" s="2128"/>
      <c r="V663" s="2128"/>
      <c r="W663" s="2128"/>
      <c r="X663" s="2128"/>
      <c r="Y663" s="2128"/>
      <c r="Z663" s="2128"/>
      <c r="AA663" s="2128"/>
      <c r="AB663" s="2128"/>
      <c r="AC663" s="2128"/>
      <c r="AD663" s="2128"/>
    </row>
    <row r="664" spans="1:30" ht="15.75" customHeight="1" x14ac:dyDescent="0.3">
      <c r="A664" s="4433"/>
      <c r="B664" s="4433"/>
      <c r="C664" s="2128"/>
      <c r="D664" s="2128"/>
      <c r="E664" s="2128"/>
      <c r="F664" s="2128"/>
      <c r="G664" s="2128"/>
      <c r="H664" s="2128"/>
      <c r="I664" s="2128"/>
      <c r="J664" s="2128"/>
      <c r="K664" s="2128"/>
      <c r="L664" s="2128"/>
      <c r="M664" s="2128"/>
      <c r="N664" s="2128"/>
      <c r="O664" s="2128"/>
      <c r="P664" s="2128"/>
      <c r="Q664" s="2128"/>
      <c r="R664" s="2128"/>
      <c r="S664" s="2128"/>
      <c r="T664" s="2128"/>
      <c r="U664" s="2128"/>
      <c r="V664" s="2128"/>
      <c r="W664" s="2128"/>
      <c r="X664" s="2128"/>
      <c r="Y664" s="2128"/>
      <c r="Z664" s="2128"/>
      <c r="AA664" s="2128"/>
      <c r="AB664" s="2128"/>
      <c r="AC664" s="2128"/>
      <c r="AD664" s="2128"/>
    </row>
    <row r="665" spans="1:30" ht="15.75" customHeight="1" x14ac:dyDescent="0.3">
      <c r="A665" s="4433"/>
      <c r="B665" s="4433"/>
      <c r="C665" s="2128"/>
      <c r="D665" s="2128"/>
      <c r="E665" s="2128"/>
      <c r="F665" s="2128"/>
      <c r="G665" s="2128"/>
      <c r="H665" s="2128"/>
      <c r="I665" s="2128"/>
      <c r="J665" s="2128"/>
      <c r="K665" s="2128"/>
      <c r="L665" s="2128"/>
      <c r="M665" s="2128"/>
      <c r="N665" s="2128"/>
      <c r="O665" s="2128"/>
      <c r="P665" s="2128"/>
      <c r="Q665" s="2128"/>
      <c r="R665" s="2128"/>
      <c r="S665" s="2128"/>
      <c r="T665" s="2128"/>
      <c r="U665" s="2128"/>
      <c r="V665" s="2128"/>
      <c r="W665" s="2128"/>
      <c r="X665" s="2128"/>
      <c r="Y665" s="2128"/>
      <c r="Z665" s="2128"/>
      <c r="AA665" s="2128"/>
      <c r="AB665" s="2128"/>
      <c r="AC665" s="2128"/>
      <c r="AD665" s="2128"/>
    </row>
    <row r="666" spans="1:30" ht="15.75" customHeight="1" x14ac:dyDescent="0.3">
      <c r="A666" s="4433"/>
      <c r="B666" s="4433"/>
      <c r="C666" s="2128"/>
      <c r="D666" s="2128"/>
      <c r="E666" s="2128"/>
      <c r="F666" s="2128"/>
      <c r="G666" s="2128"/>
      <c r="H666" s="2128"/>
      <c r="I666" s="2128"/>
      <c r="J666" s="2128"/>
      <c r="K666" s="2128"/>
      <c r="L666" s="2128"/>
      <c r="M666" s="2128"/>
      <c r="N666" s="2128"/>
      <c r="O666" s="2128"/>
      <c r="P666" s="2128"/>
      <c r="Q666" s="2128"/>
      <c r="R666" s="2128"/>
      <c r="S666" s="2128"/>
      <c r="T666" s="2128"/>
      <c r="U666" s="2128"/>
      <c r="V666" s="2128"/>
      <c r="W666" s="2128"/>
      <c r="X666" s="2128"/>
      <c r="Y666" s="2128"/>
      <c r="Z666" s="2128"/>
      <c r="AA666" s="2128"/>
      <c r="AB666" s="2128"/>
      <c r="AC666" s="2128"/>
      <c r="AD666" s="2128"/>
    </row>
    <row r="667" spans="1:30" ht="15.75" customHeight="1" x14ac:dyDescent="0.3">
      <c r="A667" s="4433"/>
      <c r="B667" s="4433"/>
      <c r="C667" s="2128"/>
      <c r="D667" s="2128"/>
      <c r="E667" s="2128"/>
      <c r="F667" s="2128"/>
      <c r="G667" s="2128"/>
      <c r="H667" s="2128"/>
      <c r="I667" s="2128"/>
      <c r="J667" s="2128"/>
      <c r="K667" s="2128"/>
      <c r="L667" s="2128"/>
      <c r="M667" s="2128"/>
      <c r="N667" s="2128"/>
      <c r="O667" s="2128"/>
      <c r="P667" s="2128"/>
      <c r="Q667" s="2128"/>
      <c r="R667" s="2128"/>
      <c r="S667" s="2128"/>
      <c r="T667" s="2128"/>
      <c r="U667" s="2128"/>
      <c r="V667" s="2128"/>
      <c r="W667" s="2128"/>
      <c r="X667" s="2128"/>
      <c r="Y667" s="2128"/>
      <c r="Z667" s="2128"/>
      <c r="AA667" s="2128"/>
      <c r="AB667" s="2128"/>
      <c r="AC667" s="2128"/>
      <c r="AD667" s="2128"/>
    </row>
    <row r="668" spans="1:30" ht="15.75" customHeight="1" x14ac:dyDescent="0.3">
      <c r="A668" s="4433"/>
      <c r="B668" s="4433"/>
      <c r="C668" s="2128"/>
      <c r="D668" s="2128"/>
      <c r="E668" s="2128"/>
      <c r="F668" s="2128"/>
      <c r="G668" s="2128"/>
      <c r="H668" s="2128"/>
      <c r="I668" s="2128"/>
      <c r="J668" s="2128"/>
      <c r="K668" s="2128"/>
      <c r="L668" s="2128"/>
      <c r="M668" s="2128"/>
      <c r="N668" s="2128"/>
      <c r="O668" s="2128"/>
      <c r="P668" s="2128"/>
      <c r="Q668" s="2128"/>
      <c r="R668" s="2128"/>
      <c r="S668" s="2128"/>
      <c r="T668" s="2128"/>
      <c r="U668" s="2128"/>
      <c r="V668" s="2128"/>
      <c r="W668" s="2128"/>
      <c r="X668" s="2128"/>
      <c r="Y668" s="2128"/>
      <c r="Z668" s="2128"/>
      <c r="AA668" s="2128"/>
      <c r="AB668" s="2128"/>
      <c r="AC668" s="2128"/>
      <c r="AD668" s="2128"/>
    </row>
    <row r="669" spans="1:30" ht="15.75" customHeight="1" x14ac:dyDescent="0.3">
      <c r="A669" s="4433"/>
      <c r="B669" s="4433"/>
      <c r="C669" s="2128"/>
      <c r="D669" s="2128"/>
      <c r="E669" s="2128"/>
      <c r="F669" s="2128"/>
      <c r="G669" s="2128"/>
      <c r="H669" s="2128"/>
      <c r="I669" s="2128"/>
      <c r="J669" s="2128"/>
      <c r="K669" s="2128"/>
      <c r="L669" s="2128"/>
      <c r="M669" s="2128"/>
      <c r="N669" s="2128"/>
      <c r="O669" s="2128"/>
      <c r="P669" s="2128"/>
      <c r="Q669" s="2128"/>
      <c r="R669" s="2128"/>
      <c r="S669" s="2128"/>
      <c r="T669" s="2128"/>
      <c r="U669" s="2128"/>
      <c r="V669" s="2128"/>
      <c r="W669" s="2128"/>
      <c r="X669" s="2128"/>
      <c r="Y669" s="2128"/>
      <c r="Z669" s="2128"/>
      <c r="AA669" s="2128"/>
      <c r="AB669" s="2128"/>
      <c r="AC669" s="2128"/>
      <c r="AD669" s="2128"/>
    </row>
    <row r="670" spans="1:30" ht="15.75" customHeight="1" x14ac:dyDescent="0.3">
      <c r="A670" s="4433"/>
      <c r="B670" s="4433"/>
      <c r="C670" s="2128"/>
      <c r="D670" s="2128"/>
      <c r="E670" s="2128"/>
      <c r="F670" s="2128"/>
      <c r="G670" s="2128"/>
      <c r="H670" s="2128"/>
      <c r="I670" s="2128"/>
      <c r="J670" s="2128"/>
      <c r="K670" s="2128"/>
      <c r="L670" s="2128"/>
      <c r="M670" s="2128"/>
      <c r="N670" s="2128"/>
      <c r="O670" s="2128"/>
      <c r="P670" s="2128"/>
      <c r="Q670" s="2128"/>
      <c r="R670" s="2128"/>
      <c r="S670" s="2128"/>
      <c r="T670" s="2128"/>
      <c r="U670" s="2128"/>
      <c r="V670" s="2128"/>
      <c r="W670" s="2128"/>
      <c r="X670" s="2128"/>
      <c r="Y670" s="2128"/>
      <c r="Z670" s="2128"/>
      <c r="AA670" s="2128"/>
      <c r="AB670" s="2128"/>
      <c r="AC670" s="2128"/>
      <c r="AD670" s="2128"/>
    </row>
    <row r="671" spans="1:30" ht="15.75" customHeight="1" x14ac:dyDescent="0.3">
      <c r="A671" s="4433"/>
      <c r="B671" s="4433"/>
      <c r="C671" s="2128"/>
      <c r="D671" s="2128"/>
      <c r="E671" s="2128"/>
      <c r="F671" s="2128"/>
      <c r="G671" s="2128"/>
      <c r="H671" s="2128"/>
      <c r="I671" s="2128"/>
      <c r="J671" s="2128"/>
      <c r="K671" s="2128"/>
      <c r="L671" s="2128"/>
      <c r="M671" s="2128"/>
      <c r="N671" s="2128"/>
      <c r="O671" s="2128"/>
      <c r="P671" s="2128"/>
      <c r="Q671" s="2128"/>
      <c r="R671" s="2128"/>
      <c r="S671" s="2128"/>
      <c r="T671" s="2128"/>
      <c r="U671" s="2128"/>
      <c r="V671" s="2128"/>
      <c r="W671" s="2128"/>
      <c r="X671" s="2128"/>
      <c r="Y671" s="2128"/>
      <c r="Z671" s="2128"/>
      <c r="AA671" s="2128"/>
      <c r="AB671" s="2128"/>
      <c r="AC671" s="2128"/>
      <c r="AD671" s="2128"/>
    </row>
    <row r="672" spans="1:30" ht="15.75" customHeight="1" x14ac:dyDescent="0.3">
      <c r="A672" s="4433"/>
      <c r="B672" s="4433"/>
      <c r="C672" s="2128"/>
      <c r="D672" s="2128"/>
      <c r="E672" s="2128"/>
      <c r="F672" s="2128"/>
      <c r="G672" s="2128"/>
      <c r="H672" s="2128"/>
      <c r="I672" s="2128"/>
      <c r="J672" s="2128"/>
      <c r="K672" s="2128"/>
      <c r="L672" s="2128"/>
      <c r="M672" s="2128"/>
      <c r="N672" s="2128"/>
      <c r="O672" s="2128"/>
      <c r="P672" s="2128"/>
      <c r="Q672" s="2128"/>
      <c r="R672" s="2128"/>
      <c r="S672" s="2128"/>
      <c r="T672" s="2128"/>
      <c r="U672" s="2128"/>
      <c r="V672" s="2128"/>
      <c r="W672" s="2128"/>
      <c r="X672" s="2128"/>
      <c r="Y672" s="2128"/>
      <c r="Z672" s="2128"/>
      <c r="AA672" s="2128"/>
      <c r="AB672" s="2128"/>
      <c r="AC672" s="2128"/>
      <c r="AD672" s="2128"/>
    </row>
    <row r="673" spans="1:30" ht="15.75" customHeight="1" x14ac:dyDescent="0.3">
      <c r="A673" s="4433"/>
      <c r="B673" s="4433"/>
      <c r="C673" s="2128"/>
      <c r="D673" s="2128"/>
      <c r="E673" s="2128"/>
      <c r="F673" s="2128"/>
      <c r="G673" s="2128"/>
      <c r="H673" s="2128"/>
      <c r="I673" s="2128"/>
      <c r="J673" s="2128"/>
      <c r="K673" s="2128"/>
      <c r="L673" s="2128"/>
      <c r="M673" s="2128"/>
      <c r="N673" s="2128"/>
      <c r="O673" s="2128"/>
      <c r="P673" s="2128"/>
      <c r="Q673" s="2128"/>
      <c r="R673" s="2128"/>
      <c r="S673" s="2128"/>
      <c r="T673" s="2128"/>
      <c r="U673" s="2128"/>
      <c r="V673" s="2128"/>
      <c r="W673" s="2128"/>
      <c r="X673" s="2128"/>
      <c r="Y673" s="2128"/>
      <c r="Z673" s="2128"/>
      <c r="AA673" s="2128"/>
      <c r="AB673" s="2128"/>
      <c r="AC673" s="2128"/>
      <c r="AD673" s="2128"/>
    </row>
    <row r="674" spans="1:30" ht="15.75" customHeight="1" x14ac:dyDescent="0.3">
      <c r="A674" s="4433"/>
      <c r="B674" s="4433"/>
      <c r="C674" s="2128"/>
      <c r="D674" s="2128"/>
      <c r="E674" s="2128"/>
      <c r="F674" s="2128"/>
      <c r="G674" s="2128"/>
      <c r="H674" s="2128"/>
      <c r="I674" s="2128"/>
      <c r="J674" s="2128"/>
      <c r="K674" s="2128"/>
      <c r="L674" s="2128"/>
      <c r="M674" s="2128"/>
      <c r="N674" s="2128"/>
      <c r="O674" s="2128"/>
      <c r="P674" s="2128"/>
      <c r="Q674" s="2128"/>
      <c r="R674" s="2128"/>
      <c r="S674" s="2128"/>
      <c r="T674" s="2128"/>
      <c r="U674" s="2128"/>
      <c r="V674" s="2128"/>
      <c r="W674" s="2128"/>
      <c r="X674" s="2128"/>
      <c r="Y674" s="2128"/>
      <c r="Z674" s="2128"/>
      <c r="AA674" s="2128"/>
      <c r="AB674" s="2128"/>
      <c r="AC674" s="2128"/>
      <c r="AD674" s="2128"/>
    </row>
    <row r="675" spans="1:30" ht="15.75" customHeight="1" x14ac:dyDescent="0.3">
      <c r="A675" s="4433"/>
      <c r="B675" s="4433"/>
      <c r="C675" s="2128"/>
      <c r="D675" s="2128"/>
      <c r="E675" s="2128"/>
      <c r="F675" s="2128"/>
      <c r="G675" s="2128"/>
      <c r="H675" s="2128"/>
      <c r="I675" s="2128"/>
      <c r="J675" s="2128"/>
      <c r="K675" s="2128"/>
      <c r="L675" s="2128"/>
      <c r="M675" s="2128"/>
      <c r="N675" s="2128"/>
      <c r="O675" s="2128"/>
      <c r="P675" s="2128"/>
      <c r="Q675" s="2128"/>
      <c r="R675" s="2128"/>
      <c r="S675" s="2128"/>
      <c r="T675" s="2128"/>
      <c r="U675" s="2128"/>
      <c r="V675" s="2128"/>
      <c r="W675" s="2128"/>
      <c r="X675" s="2128"/>
      <c r="Y675" s="2128"/>
      <c r="Z675" s="2128"/>
      <c r="AA675" s="2128"/>
      <c r="AB675" s="2128"/>
      <c r="AC675" s="2128"/>
      <c r="AD675" s="2128"/>
    </row>
    <row r="676" spans="1:30" ht="15.75" customHeight="1" x14ac:dyDescent="0.3">
      <c r="A676" s="4433"/>
      <c r="B676" s="4433"/>
      <c r="C676" s="2128"/>
      <c r="D676" s="2128"/>
      <c r="E676" s="2128"/>
      <c r="F676" s="2128"/>
      <c r="G676" s="2128"/>
      <c r="H676" s="2128"/>
      <c r="I676" s="2128"/>
      <c r="J676" s="2128"/>
      <c r="K676" s="2128"/>
      <c r="L676" s="2128"/>
      <c r="M676" s="2128"/>
      <c r="N676" s="2128"/>
      <c r="O676" s="2128"/>
      <c r="P676" s="2128"/>
      <c r="Q676" s="2128"/>
      <c r="R676" s="2128"/>
      <c r="S676" s="2128"/>
      <c r="T676" s="2128"/>
      <c r="U676" s="2128"/>
      <c r="V676" s="2128"/>
      <c r="W676" s="2128"/>
      <c r="X676" s="2128"/>
      <c r="Y676" s="2128"/>
      <c r="Z676" s="2128"/>
      <c r="AA676" s="2128"/>
      <c r="AB676" s="2128"/>
      <c r="AC676" s="2128"/>
      <c r="AD676" s="2128"/>
    </row>
    <row r="677" spans="1:30" ht="15.75" customHeight="1" x14ac:dyDescent="0.3">
      <c r="A677" s="4433"/>
      <c r="B677" s="4433"/>
      <c r="C677" s="2128"/>
      <c r="D677" s="2128"/>
      <c r="E677" s="2128"/>
      <c r="F677" s="2128"/>
      <c r="G677" s="2128"/>
      <c r="H677" s="2128"/>
      <c r="I677" s="2128"/>
      <c r="J677" s="2128"/>
      <c r="K677" s="2128"/>
      <c r="L677" s="2128"/>
      <c r="M677" s="2128"/>
      <c r="N677" s="2128"/>
      <c r="O677" s="2128"/>
      <c r="P677" s="2128"/>
      <c r="Q677" s="2128"/>
      <c r="R677" s="2128"/>
      <c r="S677" s="2128"/>
      <c r="T677" s="2128"/>
      <c r="U677" s="2128"/>
      <c r="V677" s="2128"/>
      <c r="W677" s="2128"/>
      <c r="X677" s="2128"/>
      <c r="Y677" s="2128"/>
      <c r="Z677" s="2128"/>
      <c r="AA677" s="2128"/>
      <c r="AB677" s="2128"/>
      <c r="AC677" s="2128"/>
      <c r="AD677" s="2128"/>
    </row>
    <row r="678" spans="1:30" ht="15.75" customHeight="1" x14ac:dyDescent="0.3">
      <c r="A678" s="4433"/>
      <c r="B678" s="4433"/>
      <c r="C678" s="2128"/>
      <c r="D678" s="2128"/>
      <c r="E678" s="2128"/>
      <c r="F678" s="2128"/>
      <c r="G678" s="2128"/>
      <c r="H678" s="2128"/>
      <c r="I678" s="2128"/>
      <c r="J678" s="2128"/>
      <c r="K678" s="2128"/>
      <c r="L678" s="2128"/>
      <c r="M678" s="2128"/>
      <c r="N678" s="2128"/>
      <c r="O678" s="2128"/>
      <c r="P678" s="2128"/>
      <c r="Q678" s="2128"/>
      <c r="R678" s="2128"/>
      <c r="S678" s="2128"/>
      <c r="T678" s="2128"/>
      <c r="U678" s="2128"/>
      <c r="V678" s="2128"/>
      <c r="W678" s="2128"/>
      <c r="X678" s="2128"/>
      <c r="Y678" s="2128"/>
      <c r="Z678" s="2128"/>
      <c r="AA678" s="2128"/>
      <c r="AB678" s="2128"/>
      <c r="AC678" s="2128"/>
      <c r="AD678" s="2128"/>
    </row>
    <row r="679" spans="1:30" ht="15.75" customHeight="1" x14ac:dyDescent="0.3">
      <c r="A679" s="4433"/>
      <c r="B679" s="4433"/>
      <c r="C679" s="2128"/>
      <c r="D679" s="2128"/>
      <c r="E679" s="2128"/>
      <c r="F679" s="2128"/>
      <c r="G679" s="2128"/>
      <c r="H679" s="2128"/>
      <c r="I679" s="2128"/>
      <c r="J679" s="2128"/>
      <c r="K679" s="2128"/>
      <c r="L679" s="2128"/>
      <c r="M679" s="2128"/>
      <c r="N679" s="2128"/>
      <c r="O679" s="2128"/>
      <c r="P679" s="2128"/>
      <c r="Q679" s="2128"/>
      <c r="R679" s="2128"/>
      <c r="S679" s="2128"/>
      <c r="T679" s="2128"/>
      <c r="U679" s="2128"/>
      <c r="V679" s="2128"/>
      <c r="W679" s="2128"/>
      <c r="X679" s="2128"/>
      <c r="Y679" s="2128"/>
      <c r="Z679" s="2128"/>
      <c r="AA679" s="2128"/>
      <c r="AB679" s="2128"/>
      <c r="AC679" s="2128"/>
      <c r="AD679" s="2128"/>
    </row>
    <row r="680" spans="1:30" ht="15.75" customHeight="1" x14ac:dyDescent="0.3">
      <c r="A680" s="4433"/>
      <c r="B680" s="4433"/>
      <c r="C680" s="2128"/>
      <c r="D680" s="2128"/>
      <c r="E680" s="2128"/>
      <c r="F680" s="2128"/>
      <c r="G680" s="2128"/>
      <c r="H680" s="2128"/>
      <c r="I680" s="2128"/>
      <c r="J680" s="2128"/>
      <c r="K680" s="2128"/>
      <c r="L680" s="2128"/>
      <c r="M680" s="2128"/>
      <c r="N680" s="2128"/>
      <c r="O680" s="2128"/>
      <c r="P680" s="2128"/>
      <c r="Q680" s="2128"/>
      <c r="R680" s="2128"/>
      <c r="S680" s="2128"/>
      <c r="T680" s="2128"/>
      <c r="U680" s="2128"/>
      <c r="V680" s="2128"/>
      <c r="W680" s="2128"/>
      <c r="X680" s="2128"/>
      <c r="Y680" s="2128"/>
      <c r="Z680" s="2128"/>
      <c r="AA680" s="2128"/>
      <c r="AB680" s="2128"/>
      <c r="AC680" s="2128"/>
      <c r="AD680" s="2128"/>
    </row>
    <row r="681" spans="1:30" ht="15.75" customHeight="1" x14ac:dyDescent="0.3">
      <c r="A681" s="4433"/>
      <c r="B681" s="4433"/>
      <c r="C681" s="2128"/>
      <c r="D681" s="2128"/>
      <c r="E681" s="2128"/>
      <c r="F681" s="2128"/>
      <c r="G681" s="2128"/>
      <c r="H681" s="2128"/>
      <c r="I681" s="2128"/>
      <c r="J681" s="2128"/>
      <c r="K681" s="2128"/>
      <c r="L681" s="2128"/>
      <c r="M681" s="2128"/>
      <c r="N681" s="2128"/>
      <c r="O681" s="2128"/>
      <c r="P681" s="2128"/>
      <c r="Q681" s="2128"/>
      <c r="R681" s="2128"/>
      <c r="S681" s="2128"/>
      <c r="T681" s="2128"/>
      <c r="U681" s="2128"/>
      <c r="V681" s="2128"/>
      <c r="W681" s="2128"/>
      <c r="X681" s="2128"/>
      <c r="Y681" s="2128"/>
      <c r="Z681" s="2128"/>
      <c r="AA681" s="2128"/>
      <c r="AB681" s="2128"/>
      <c r="AC681" s="2128"/>
      <c r="AD681" s="2128"/>
    </row>
    <row r="682" spans="1:30" ht="15.75" customHeight="1" x14ac:dyDescent="0.3">
      <c r="A682" s="4433"/>
      <c r="B682" s="4433"/>
      <c r="C682" s="2128"/>
      <c r="D682" s="2128"/>
      <c r="E682" s="2128"/>
      <c r="F682" s="2128"/>
      <c r="G682" s="2128"/>
      <c r="H682" s="2128"/>
      <c r="I682" s="2128"/>
      <c r="J682" s="2128"/>
      <c r="K682" s="2128"/>
      <c r="L682" s="2128"/>
      <c r="M682" s="2128"/>
      <c r="N682" s="2128"/>
      <c r="O682" s="2128"/>
      <c r="P682" s="2128"/>
      <c r="Q682" s="2128"/>
      <c r="R682" s="2128"/>
      <c r="S682" s="2128"/>
      <c r="T682" s="2128"/>
      <c r="U682" s="2128"/>
      <c r="V682" s="2128"/>
      <c r="W682" s="2128"/>
      <c r="X682" s="2128"/>
      <c r="Y682" s="2128"/>
      <c r="Z682" s="2128"/>
      <c r="AA682" s="2128"/>
      <c r="AB682" s="2128"/>
      <c r="AC682" s="2128"/>
      <c r="AD682" s="2128"/>
    </row>
    <row r="683" spans="1:30" ht="15.75" customHeight="1" x14ac:dyDescent="0.3">
      <c r="A683" s="4433"/>
      <c r="B683" s="4433"/>
      <c r="C683" s="2128"/>
      <c r="D683" s="2128"/>
      <c r="E683" s="2128"/>
      <c r="F683" s="2128"/>
      <c r="G683" s="2128"/>
      <c r="H683" s="2128"/>
      <c r="I683" s="2128"/>
      <c r="J683" s="2128"/>
      <c r="K683" s="2128"/>
      <c r="L683" s="2128"/>
      <c r="M683" s="2128"/>
      <c r="N683" s="2128"/>
      <c r="O683" s="2128"/>
      <c r="P683" s="2128"/>
      <c r="Q683" s="2128"/>
      <c r="R683" s="2128"/>
      <c r="S683" s="2128"/>
      <c r="T683" s="2128"/>
      <c r="U683" s="2128"/>
      <c r="V683" s="2128"/>
      <c r="W683" s="2128"/>
      <c r="X683" s="2128"/>
      <c r="Y683" s="2128"/>
      <c r="Z683" s="2128"/>
      <c r="AA683" s="2128"/>
      <c r="AB683" s="2128"/>
      <c r="AC683" s="2128"/>
      <c r="AD683" s="2128"/>
    </row>
    <row r="684" spans="1:30" ht="15.75" customHeight="1" x14ac:dyDescent="0.3">
      <c r="A684" s="4433"/>
      <c r="B684" s="4433"/>
      <c r="C684" s="2128"/>
      <c r="D684" s="2128"/>
      <c r="E684" s="2128"/>
      <c r="F684" s="2128"/>
      <c r="G684" s="2128"/>
      <c r="H684" s="2128"/>
      <c r="I684" s="2128"/>
      <c r="J684" s="2128"/>
      <c r="K684" s="2128"/>
      <c r="L684" s="2128"/>
      <c r="M684" s="2128"/>
      <c r="N684" s="2128"/>
      <c r="O684" s="2128"/>
      <c r="P684" s="2128"/>
      <c r="Q684" s="2128"/>
      <c r="R684" s="2128"/>
      <c r="S684" s="2128"/>
      <c r="T684" s="2128"/>
      <c r="U684" s="2128"/>
      <c r="V684" s="2128"/>
      <c r="W684" s="2128"/>
      <c r="X684" s="2128"/>
      <c r="Y684" s="2128"/>
      <c r="Z684" s="2128"/>
      <c r="AA684" s="2128"/>
      <c r="AB684" s="2128"/>
      <c r="AC684" s="2128"/>
      <c r="AD684" s="2128"/>
    </row>
    <row r="685" spans="1:30" ht="15.75" customHeight="1" x14ac:dyDescent="0.3">
      <c r="A685" s="4433"/>
      <c r="B685" s="4433"/>
      <c r="C685" s="2128"/>
      <c r="D685" s="2128"/>
      <c r="E685" s="2128"/>
      <c r="F685" s="2128"/>
      <c r="G685" s="2128"/>
      <c r="H685" s="2128"/>
      <c r="I685" s="2128"/>
      <c r="J685" s="2128"/>
      <c r="K685" s="2128"/>
      <c r="L685" s="2128"/>
      <c r="M685" s="2128"/>
      <c r="N685" s="2128"/>
      <c r="O685" s="2128"/>
      <c r="P685" s="2128"/>
      <c r="Q685" s="2128"/>
      <c r="R685" s="2128"/>
      <c r="S685" s="2128"/>
      <c r="T685" s="2128"/>
      <c r="U685" s="2128"/>
      <c r="V685" s="2128"/>
      <c r="W685" s="2128"/>
      <c r="X685" s="2128"/>
      <c r="Y685" s="2128"/>
      <c r="Z685" s="2128"/>
      <c r="AA685" s="2128"/>
      <c r="AB685" s="2128"/>
      <c r="AC685" s="2128"/>
      <c r="AD685" s="2128"/>
    </row>
    <row r="686" spans="1:30" ht="15.75" customHeight="1" x14ac:dyDescent="0.3">
      <c r="A686" s="4433"/>
      <c r="B686" s="4433"/>
      <c r="C686" s="2128"/>
      <c r="D686" s="2128"/>
      <c r="E686" s="2128"/>
      <c r="F686" s="2128"/>
      <c r="G686" s="2128"/>
      <c r="H686" s="2128"/>
      <c r="I686" s="2128"/>
      <c r="J686" s="2128"/>
      <c r="K686" s="2128"/>
      <c r="L686" s="2128"/>
      <c r="M686" s="2128"/>
      <c r="N686" s="2128"/>
      <c r="O686" s="2128"/>
      <c r="P686" s="2128"/>
      <c r="Q686" s="2128"/>
      <c r="R686" s="2128"/>
      <c r="S686" s="2128"/>
      <c r="T686" s="2128"/>
      <c r="U686" s="2128"/>
      <c r="V686" s="2128"/>
      <c r="W686" s="2128"/>
      <c r="X686" s="2128"/>
      <c r="Y686" s="2128"/>
      <c r="Z686" s="2128"/>
      <c r="AA686" s="2128"/>
      <c r="AB686" s="2128"/>
      <c r="AC686" s="2128"/>
      <c r="AD686" s="2128"/>
    </row>
    <row r="687" spans="1:30" ht="15.75" customHeight="1" x14ac:dyDescent="0.3">
      <c r="A687" s="4433"/>
      <c r="B687" s="4433"/>
      <c r="C687" s="2128"/>
      <c r="D687" s="2128"/>
      <c r="E687" s="2128"/>
      <c r="F687" s="2128"/>
      <c r="G687" s="2128"/>
      <c r="H687" s="2128"/>
      <c r="I687" s="2128"/>
      <c r="J687" s="2128"/>
      <c r="K687" s="2128"/>
      <c r="L687" s="2128"/>
      <c r="M687" s="2128"/>
      <c r="N687" s="2128"/>
      <c r="O687" s="2128"/>
      <c r="P687" s="2128"/>
      <c r="Q687" s="2128"/>
      <c r="R687" s="2128"/>
      <c r="S687" s="2128"/>
      <c r="T687" s="2128"/>
      <c r="U687" s="2128"/>
      <c r="V687" s="2128"/>
      <c r="W687" s="2128"/>
      <c r="X687" s="2128"/>
      <c r="Y687" s="2128"/>
      <c r="Z687" s="2128"/>
      <c r="AA687" s="2128"/>
      <c r="AB687" s="2128"/>
      <c r="AC687" s="2128"/>
      <c r="AD687" s="2128"/>
    </row>
    <row r="688" spans="1:30" ht="15.75" customHeight="1" x14ac:dyDescent="0.3">
      <c r="A688" s="4433"/>
      <c r="B688" s="4433"/>
      <c r="C688" s="2128"/>
      <c r="D688" s="2128"/>
      <c r="E688" s="2128"/>
      <c r="F688" s="2128"/>
      <c r="G688" s="2128"/>
      <c r="H688" s="2128"/>
      <c r="I688" s="2128"/>
      <c r="J688" s="2128"/>
      <c r="K688" s="2128"/>
      <c r="L688" s="2128"/>
      <c r="M688" s="2128"/>
      <c r="N688" s="2128"/>
      <c r="O688" s="2128"/>
      <c r="P688" s="2128"/>
      <c r="Q688" s="2128"/>
      <c r="R688" s="2128"/>
      <c r="S688" s="2128"/>
      <c r="T688" s="2128"/>
      <c r="U688" s="2128"/>
      <c r="V688" s="2128"/>
      <c r="W688" s="2128"/>
      <c r="X688" s="2128"/>
      <c r="Y688" s="2128"/>
      <c r="Z688" s="2128"/>
      <c r="AA688" s="2128"/>
      <c r="AB688" s="2128"/>
      <c r="AC688" s="2128"/>
      <c r="AD688" s="2128"/>
    </row>
    <row r="689" spans="1:30" ht="15.75" customHeight="1" x14ac:dyDescent="0.3">
      <c r="A689" s="4433"/>
      <c r="B689" s="4433"/>
      <c r="C689" s="2128"/>
      <c r="D689" s="2128"/>
      <c r="E689" s="2128"/>
      <c r="F689" s="2128"/>
      <c r="G689" s="2128"/>
      <c r="H689" s="2128"/>
      <c r="I689" s="2128"/>
      <c r="J689" s="2128"/>
      <c r="K689" s="2128"/>
      <c r="L689" s="2128"/>
      <c r="M689" s="2128"/>
      <c r="N689" s="2128"/>
      <c r="O689" s="2128"/>
      <c r="P689" s="2128"/>
      <c r="Q689" s="2128"/>
      <c r="R689" s="2128"/>
      <c r="S689" s="2128"/>
      <c r="T689" s="2128"/>
      <c r="U689" s="2128"/>
      <c r="V689" s="2128"/>
      <c r="W689" s="2128"/>
      <c r="X689" s="2128"/>
      <c r="Y689" s="2128"/>
      <c r="Z689" s="2128"/>
      <c r="AA689" s="2128"/>
      <c r="AB689" s="2128"/>
      <c r="AC689" s="2128"/>
      <c r="AD689" s="2128"/>
    </row>
    <row r="690" spans="1:30" ht="15.75" customHeight="1" x14ac:dyDescent="0.3">
      <c r="A690" s="4433"/>
      <c r="B690" s="4433"/>
      <c r="C690" s="2128"/>
      <c r="D690" s="2128"/>
      <c r="E690" s="2128"/>
      <c r="F690" s="2128"/>
      <c r="G690" s="2128"/>
      <c r="H690" s="2128"/>
      <c r="I690" s="2128"/>
      <c r="J690" s="2128"/>
      <c r="K690" s="2128"/>
      <c r="L690" s="2128"/>
      <c r="M690" s="2128"/>
      <c r="N690" s="2128"/>
      <c r="O690" s="2128"/>
      <c r="P690" s="2128"/>
      <c r="Q690" s="2128"/>
      <c r="R690" s="2128"/>
      <c r="S690" s="2128"/>
      <c r="T690" s="2128"/>
      <c r="U690" s="2128"/>
      <c r="V690" s="2128"/>
      <c r="W690" s="2128"/>
      <c r="X690" s="2128"/>
      <c r="Y690" s="2128"/>
      <c r="Z690" s="2128"/>
      <c r="AA690" s="2128"/>
      <c r="AB690" s="2128"/>
      <c r="AC690" s="2128"/>
      <c r="AD690" s="2128"/>
    </row>
    <row r="691" spans="1:30" ht="15.75" customHeight="1" x14ac:dyDescent="0.3">
      <c r="A691" s="4433"/>
      <c r="B691" s="4433"/>
      <c r="C691" s="2128"/>
      <c r="D691" s="2128"/>
      <c r="E691" s="2128"/>
      <c r="F691" s="2128"/>
      <c r="G691" s="2128"/>
      <c r="H691" s="2128"/>
      <c r="I691" s="2128"/>
      <c r="J691" s="2128"/>
      <c r="K691" s="2128"/>
      <c r="L691" s="2128"/>
      <c r="M691" s="2128"/>
      <c r="N691" s="2128"/>
      <c r="O691" s="2128"/>
      <c r="P691" s="2128"/>
      <c r="Q691" s="2128"/>
      <c r="R691" s="2128"/>
      <c r="S691" s="2128"/>
      <c r="T691" s="2128"/>
      <c r="U691" s="2128"/>
      <c r="V691" s="2128"/>
      <c r="W691" s="2128"/>
      <c r="X691" s="2128"/>
      <c r="Y691" s="2128"/>
      <c r="Z691" s="2128"/>
      <c r="AA691" s="2128"/>
      <c r="AB691" s="2128"/>
      <c r="AC691" s="2128"/>
      <c r="AD691" s="2128"/>
    </row>
    <row r="692" spans="1:30" ht="15.75" customHeight="1" x14ac:dyDescent="0.3">
      <c r="A692" s="4433"/>
      <c r="B692" s="4433"/>
      <c r="C692" s="2128"/>
      <c r="D692" s="2128"/>
      <c r="E692" s="2128"/>
      <c r="F692" s="2128"/>
      <c r="G692" s="2128"/>
      <c r="H692" s="2128"/>
      <c r="I692" s="2128"/>
      <c r="J692" s="2128"/>
      <c r="K692" s="2128"/>
      <c r="L692" s="2128"/>
      <c r="M692" s="2128"/>
      <c r="N692" s="2128"/>
      <c r="O692" s="2128"/>
      <c r="P692" s="2128"/>
      <c r="Q692" s="2128"/>
      <c r="R692" s="2128"/>
      <c r="S692" s="2128"/>
      <c r="T692" s="2128"/>
      <c r="U692" s="2128"/>
      <c r="V692" s="2128"/>
      <c r="W692" s="2128"/>
      <c r="X692" s="2128"/>
      <c r="Y692" s="2128"/>
      <c r="Z692" s="2128"/>
      <c r="AA692" s="2128"/>
      <c r="AB692" s="2128"/>
      <c r="AC692" s="2128"/>
      <c r="AD692" s="2128"/>
    </row>
    <row r="693" spans="1:30" ht="15.75" customHeight="1" x14ac:dyDescent="0.3">
      <c r="A693" s="4433"/>
      <c r="B693" s="4433"/>
      <c r="C693" s="2128"/>
      <c r="D693" s="2128"/>
      <c r="E693" s="2128"/>
      <c r="F693" s="2128"/>
      <c r="G693" s="2128"/>
      <c r="H693" s="2128"/>
      <c r="I693" s="2128"/>
      <c r="J693" s="2128"/>
      <c r="K693" s="2128"/>
      <c r="L693" s="2128"/>
      <c r="M693" s="2128"/>
      <c r="N693" s="2128"/>
      <c r="O693" s="2128"/>
      <c r="P693" s="2128"/>
      <c r="Q693" s="2128"/>
      <c r="R693" s="2128"/>
      <c r="S693" s="2128"/>
      <c r="T693" s="2128"/>
      <c r="U693" s="2128"/>
      <c r="V693" s="2128"/>
      <c r="W693" s="2128"/>
      <c r="X693" s="2128"/>
      <c r="Y693" s="2128"/>
      <c r="Z693" s="2128"/>
      <c r="AA693" s="2128"/>
      <c r="AB693" s="2128"/>
      <c r="AC693" s="2128"/>
      <c r="AD693" s="2128"/>
    </row>
    <row r="694" spans="1:30" ht="15.75" customHeight="1" x14ac:dyDescent="0.3">
      <c r="A694" s="4433"/>
      <c r="B694" s="4433"/>
      <c r="C694" s="2128"/>
      <c r="D694" s="2128"/>
      <c r="E694" s="2128"/>
      <c r="F694" s="2128"/>
      <c r="G694" s="2128"/>
      <c r="H694" s="2128"/>
      <c r="I694" s="2128"/>
      <c r="J694" s="2128"/>
      <c r="K694" s="2128"/>
      <c r="L694" s="2128"/>
      <c r="M694" s="2128"/>
      <c r="N694" s="2128"/>
      <c r="O694" s="2128"/>
      <c r="P694" s="2128"/>
      <c r="Q694" s="2128"/>
      <c r="R694" s="2128"/>
      <c r="S694" s="2128"/>
      <c r="T694" s="2128"/>
      <c r="U694" s="2128"/>
      <c r="V694" s="2128"/>
      <c r="W694" s="2128"/>
      <c r="X694" s="2128"/>
      <c r="Y694" s="2128"/>
      <c r="Z694" s="2128"/>
      <c r="AA694" s="2128"/>
      <c r="AB694" s="2128"/>
      <c r="AC694" s="2128"/>
      <c r="AD694" s="2128"/>
    </row>
    <row r="695" spans="1:30" ht="15.75" customHeight="1" x14ac:dyDescent="0.3">
      <c r="A695" s="4433"/>
      <c r="B695" s="4433"/>
      <c r="C695" s="2128"/>
      <c r="D695" s="2128"/>
      <c r="E695" s="2128"/>
      <c r="F695" s="2128"/>
      <c r="G695" s="2128"/>
      <c r="H695" s="2128"/>
      <c r="I695" s="2128"/>
      <c r="J695" s="2128"/>
      <c r="K695" s="2128"/>
      <c r="L695" s="2128"/>
      <c r="M695" s="2128"/>
      <c r="N695" s="2128"/>
      <c r="O695" s="2128"/>
      <c r="P695" s="2128"/>
      <c r="Q695" s="2128"/>
      <c r="R695" s="2128"/>
      <c r="S695" s="2128"/>
      <c r="T695" s="2128"/>
      <c r="U695" s="2128"/>
      <c r="V695" s="2128"/>
      <c r="W695" s="2128"/>
      <c r="X695" s="2128"/>
      <c r="Y695" s="2128"/>
      <c r="Z695" s="2128"/>
      <c r="AA695" s="2128"/>
      <c r="AB695" s="2128"/>
      <c r="AC695" s="2128"/>
      <c r="AD695" s="2128"/>
    </row>
    <row r="696" spans="1:30" ht="15.75" customHeight="1" x14ac:dyDescent="0.3">
      <c r="A696" s="4433"/>
      <c r="B696" s="4433"/>
      <c r="C696" s="2128"/>
      <c r="D696" s="2128"/>
      <c r="E696" s="2128"/>
      <c r="F696" s="2128"/>
      <c r="G696" s="2128"/>
      <c r="H696" s="2128"/>
      <c r="I696" s="2128"/>
      <c r="J696" s="2128"/>
      <c r="K696" s="2128"/>
      <c r="L696" s="2128"/>
      <c r="M696" s="2128"/>
      <c r="N696" s="2128"/>
      <c r="O696" s="2128"/>
      <c r="P696" s="2128"/>
      <c r="Q696" s="2128"/>
      <c r="R696" s="2128"/>
      <c r="S696" s="2128"/>
      <c r="T696" s="2128"/>
      <c r="U696" s="2128"/>
      <c r="V696" s="2128"/>
      <c r="W696" s="2128"/>
      <c r="X696" s="2128"/>
      <c r="Y696" s="2128"/>
      <c r="Z696" s="2128"/>
      <c r="AA696" s="2128"/>
      <c r="AB696" s="2128"/>
      <c r="AC696" s="2128"/>
      <c r="AD696" s="2128"/>
    </row>
    <row r="697" spans="1:30" ht="15.75" customHeight="1" x14ac:dyDescent="0.3">
      <c r="A697" s="4433"/>
      <c r="B697" s="4433"/>
      <c r="C697" s="2128"/>
      <c r="D697" s="2128"/>
      <c r="E697" s="2128"/>
      <c r="F697" s="2128"/>
      <c r="G697" s="2128"/>
      <c r="H697" s="2128"/>
      <c r="I697" s="2128"/>
      <c r="J697" s="2128"/>
      <c r="K697" s="2128"/>
      <c r="L697" s="2128"/>
      <c r="M697" s="2128"/>
      <c r="N697" s="2128"/>
      <c r="O697" s="2128"/>
      <c r="P697" s="2128"/>
      <c r="Q697" s="2128"/>
      <c r="R697" s="2128"/>
      <c r="S697" s="2128"/>
      <c r="T697" s="2128"/>
      <c r="U697" s="2128"/>
      <c r="V697" s="2128"/>
      <c r="W697" s="2128"/>
      <c r="X697" s="2128"/>
      <c r="Y697" s="2128"/>
      <c r="Z697" s="2128"/>
      <c r="AA697" s="2128"/>
      <c r="AB697" s="2128"/>
      <c r="AC697" s="2128"/>
      <c r="AD697" s="2128"/>
    </row>
    <row r="698" spans="1:30" ht="15.75" customHeight="1" x14ac:dyDescent="0.3">
      <c r="A698" s="4433"/>
      <c r="B698" s="4433"/>
      <c r="C698" s="2128"/>
      <c r="D698" s="2128"/>
      <c r="E698" s="2128"/>
      <c r="F698" s="2128"/>
      <c r="G698" s="2128"/>
      <c r="H698" s="2128"/>
      <c r="I698" s="2128"/>
      <c r="J698" s="2128"/>
      <c r="K698" s="2128"/>
      <c r="L698" s="2128"/>
      <c r="M698" s="2128"/>
      <c r="N698" s="2128"/>
      <c r="O698" s="2128"/>
      <c r="P698" s="2128"/>
      <c r="Q698" s="2128"/>
      <c r="R698" s="2128"/>
      <c r="S698" s="2128"/>
      <c r="T698" s="2128"/>
      <c r="U698" s="2128"/>
      <c r="V698" s="2128"/>
      <c r="W698" s="2128"/>
      <c r="X698" s="2128"/>
      <c r="Y698" s="2128"/>
      <c r="Z698" s="2128"/>
      <c r="AA698" s="2128"/>
      <c r="AB698" s="2128"/>
      <c r="AC698" s="2128"/>
      <c r="AD698" s="2128"/>
    </row>
    <row r="699" spans="1:30" ht="15.75" customHeight="1" x14ac:dyDescent="0.3">
      <c r="A699" s="4433"/>
      <c r="B699" s="4433"/>
      <c r="C699" s="2128"/>
      <c r="D699" s="2128"/>
      <c r="E699" s="2128"/>
      <c r="F699" s="2128"/>
      <c r="G699" s="2128"/>
      <c r="H699" s="2128"/>
      <c r="I699" s="2128"/>
      <c r="J699" s="2128"/>
      <c r="K699" s="2128"/>
      <c r="L699" s="2128"/>
      <c r="M699" s="2128"/>
      <c r="N699" s="2128"/>
      <c r="O699" s="2128"/>
      <c r="P699" s="2128"/>
      <c r="Q699" s="2128"/>
      <c r="R699" s="2128"/>
      <c r="S699" s="2128"/>
      <c r="T699" s="2128"/>
      <c r="U699" s="2128"/>
      <c r="V699" s="2128"/>
      <c r="W699" s="2128"/>
      <c r="X699" s="2128"/>
      <c r="Y699" s="2128"/>
      <c r="Z699" s="2128"/>
      <c r="AA699" s="2128"/>
      <c r="AB699" s="2128"/>
      <c r="AC699" s="2128"/>
      <c r="AD699" s="2128"/>
    </row>
    <row r="700" spans="1:30" ht="15.75" customHeight="1" x14ac:dyDescent="0.3">
      <c r="A700" s="4433"/>
      <c r="B700" s="4433"/>
      <c r="C700" s="2128"/>
      <c r="D700" s="2128"/>
      <c r="E700" s="2128"/>
      <c r="F700" s="2128"/>
      <c r="G700" s="2128"/>
      <c r="H700" s="2128"/>
      <c r="I700" s="2128"/>
      <c r="J700" s="2128"/>
      <c r="K700" s="2128"/>
      <c r="L700" s="2128"/>
      <c r="M700" s="2128"/>
      <c r="N700" s="2128"/>
      <c r="O700" s="2128"/>
      <c r="P700" s="2128"/>
      <c r="Q700" s="2128"/>
      <c r="R700" s="2128"/>
      <c r="S700" s="2128"/>
      <c r="T700" s="2128"/>
      <c r="U700" s="2128"/>
      <c r="V700" s="2128"/>
      <c r="W700" s="2128"/>
      <c r="X700" s="2128"/>
      <c r="Y700" s="2128"/>
      <c r="Z700" s="2128"/>
      <c r="AA700" s="2128"/>
      <c r="AB700" s="2128"/>
      <c r="AC700" s="2128"/>
      <c r="AD700" s="2128"/>
    </row>
    <row r="701" spans="1:30" ht="15.75" customHeight="1" x14ac:dyDescent="0.3">
      <c r="A701" s="4433"/>
      <c r="B701" s="4433"/>
      <c r="C701" s="2128"/>
      <c r="D701" s="2128"/>
      <c r="E701" s="2128"/>
      <c r="F701" s="2128"/>
      <c r="G701" s="2128"/>
      <c r="H701" s="2128"/>
      <c r="I701" s="2128"/>
      <c r="J701" s="2128"/>
      <c r="K701" s="2128"/>
      <c r="L701" s="2128"/>
      <c r="M701" s="2128"/>
      <c r="N701" s="2128"/>
      <c r="O701" s="2128"/>
      <c r="P701" s="2128"/>
      <c r="Q701" s="2128"/>
      <c r="R701" s="2128"/>
      <c r="S701" s="2128"/>
      <c r="T701" s="2128"/>
      <c r="U701" s="2128"/>
      <c r="V701" s="2128"/>
      <c r="W701" s="2128"/>
      <c r="X701" s="2128"/>
      <c r="Y701" s="2128"/>
      <c r="Z701" s="2128"/>
      <c r="AA701" s="2128"/>
      <c r="AB701" s="2128"/>
      <c r="AC701" s="2128"/>
      <c r="AD701" s="2128"/>
    </row>
    <row r="702" spans="1:30" ht="15.75" customHeight="1" x14ac:dyDescent="0.3">
      <c r="A702" s="4433"/>
      <c r="B702" s="4433"/>
      <c r="C702" s="2128"/>
      <c r="D702" s="2128"/>
      <c r="E702" s="2128"/>
      <c r="F702" s="2128"/>
      <c r="G702" s="2128"/>
      <c r="H702" s="2128"/>
      <c r="I702" s="2128"/>
      <c r="J702" s="2128"/>
      <c r="K702" s="2128"/>
      <c r="L702" s="2128"/>
      <c r="M702" s="2128"/>
      <c r="N702" s="2128"/>
      <c r="O702" s="2128"/>
      <c r="P702" s="2128"/>
      <c r="Q702" s="2128"/>
      <c r="R702" s="2128"/>
      <c r="S702" s="2128"/>
      <c r="T702" s="2128"/>
      <c r="U702" s="2128"/>
      <c r="V702" s="2128"/>
      <c r="W702" s="2128"/>
      <c r="X702" s="2128"/>
      <c r="Y702" s="2128"/>
      <c r="Z702" s="2128"/>
      <c r="AA702" s="2128"/>
      <c r="AB702" s="2128"/>
      <c r="AC702" s="2128"/>
      <c r="AD702" s="2128"/>
    </row>
    <row r="703" spans="1:30" ht="15.75" customHeight="1" x14ac:dyDescent="0.3">
      <c r="A703" s="4433"/>
      <c r="B703" s="4433"/>
      <c r="C703" s="2128"/>
      <c r="D703" s="2128"/>
      <c r="E703" s="2128"/>
      <c r="F703" s="2128"/>
      <c r="G703" s="2128"/>
      <c r="H703" s="2128"/>
      <c r="I703" s="2128"/>
      <c r="J703" s="2128"/>
      <c r="K703" s="2128"/>
      <c r="L703" s="2128"/>
      <c r="M703" s="2128"/>
      <c r="N703" s="2128"/>
      <c r="O703" s="2128"/>
      <c r="P703" s="2128"/>
      <c r="Q703" s="2128"/>
      <c r="R703" s="2128"/>
      <c r="S703" s="2128"/>
      <c r="T703" s="2128"/>
      <c r="U703" s="2128"/>
      <c r="V703" s="2128"/>
      <c r="W703" s="2128"/>
      <c r="X703" s="2128"/>
      <c r="Y703" s="2128"/>
      <c r="Z703" s="2128"/>
      <c r="AA703" s="2128"/>
      <c r="AB703" s="2128"/>
      <c r="AC703" s="2128"/>
      <c r="AD703" s="2128"/>
    </row>
    <row r="704" spans="1:30" ht="15.75" customHeight="1" x14ac:dyDescent="0.3">
      <c r="A704" s="4433"/>
      <c r="B704" s="4433"/>
      <c r="C704" s="2128"/>
      <c r="D704" s="2128"/>
      <c r="E704" s="2128"/>
      <c r="F704" s="2128"/>
      <c r="G704" s="2128"/>
      <c r="H704" s="2128"/>
      <c r="I704" s="2128"/>
      <c r="J704" s="2128"/>
      <c r="K704" s="2128"/>
      <c r="L704" s="2128"/>
      <c r="M704" s="2128"/>
      <c r="N704" s="2128"/>
      <c r="O704" s="2128"/>
      <c r="P704" s="2128"/>
      <c r="Q704" s="2128"/>
      <c r="R704" s="2128"/>
      <c r="S704" s="2128"/>
      <c r="T704" s="2128"/>
      <c r="U704" s="2128"/>
      <c r="V704" s="2128"/>
      <c r="W704" s="2128"/>
      <c r="X704" s="2128"/>
      <c r="Y704" s="2128"/>
      <c r="Z704" s="2128"/>
      <c r="AA704" s="2128"/>
      <c r="AB704" s="2128"/>
      <c r="AC704" s="2128"/>
      <c r="AD704" s="2128"/>
    </row>
    <row r="705" spans="1:30" ht="15.75" customHeight="1" x14ac:dyDescent="0.3">
      <c r="A705" s="4433"/>
      <c r="B705" s="4433"/>
      <c r="C705" s="2128"/>
      <c r="D705" s="2128"/>
      <c r="E705" s="2128"/>
      <c r="F705" s="2128"/>
      <c r="G705" s="2128"/>
      <c r="H705" s="2128"/>
      <c r="I705" s="2128"/>
      <c r="J705" s="2128"/>
      <c r="K705" s="2128"/>
      <c r="L705" s="2128"/>
      <c r="M705" s="2128"/>
      <c r="N705" s="2128"/>
      <c r="O705" s="2128"/>
      <c r="P705" s="2128"/>
      <c r="Q705" s="2128"/>
      <c r="R705" s="2128"/>
      <c r="S705" s="2128"/>
      <c r="T705" s="2128"/>
      <c r="U705" s="2128"/>
      <c r="V705" s="2128"/>
      <c r="W705" s="2128"/>
      <c r="X705" s="2128"/>
      <c r="Y705" s="2128"/>
      <c r="Z705" s="2128"/>
      <c r="AA705" s="2128"/>
      <c r="AB705" s="2128"/>
      <c r="AC705" s="2128"/>
      <c r="AD705" s="2128"/>
    </row>
    <row r="706" spans="1:30" ht="15.75" customHeight="1" x14ac:dyDescent="0.3">
      <c r="A706" s="4433"/>
      <c r="B706" s="4433"/>
      <c r="C706" s="2128"/>
      <c r="D706" s="2128"/>
      <c r="E706" s="2128"/>
      <c r="F706" s="2128"/>
      <c r="G706" s="2128"/>
      <c r="H706" s="2128"/>
      <c r="I706" s="2128"/>
      <c r="J706" s="2128"/>
      <c r="K706" s="2128"/>
      <c r="L706" s="2128"/>
      <c r="M706" s="2128"/>
      <c r="N706" s="2128"/>
      <c r="O706" s="2128"/>
      <c r="P706" s="2128"/>
      <c r="Q706" s="2128"/>
      <c r="R706" s="2128"/>
      <c r="S706" s="2128"/>
      <c r="T706" s="2128"/>
      <c r="U706" s="2128"/>
      <c r="V706" s="2128"/>
      <c r="W706" s="2128"/>
      <c r="X706" s="2128"/>
      <c r="Y706" s="2128"/>
      <c r="Z706" s="2128"/>
      <c r="AA706" s="2128"/>
      <c r="AB706" s="2128"/>
      <c r="AC706" s="2128"/>
      <c r="AD706" s="2128"/>
    </row>
    <row r="707" spans="1:30" ht="15.75" customHeight="1" x14ac:dyDescent="0.3">
      <c r="A707" s="4433"/>
      <c r="B707" s="4433"/>
      <c r="C707" s="2128"/>
      <c r="D707" s="2128"/>
      <c r="E707" s="2128"/>
      <c r="F707" s="2128"/>
      <c r="G707" s="2128"/>
      <c r="H707" s="2128"/>
      <c r="I707" s="2128"/>
      <c r="J707" s="2128"/>
      <c r="K707" s="2128"/>
      <c r="L707" s="2128"/>
      <c r="M707" s="2128"/>
      <c r="N707" s="2128"/>
      <c r="O707" s="2128"/>
      <c r="P707" s="2128"/>
      <c r="Q707" s="2128"/>
      <c r="R707" s="2128"/>
      <c r="S707" s="2128"/>
      <c r="T707" s="2128"/>
      <c r="U707" s="2128"/>
      <c r="V707" s="2128"/>
      <c r="W707" s="2128"/>
      <c r="X707" s="2128"/>
      <c r="Y707" s="2128"/>
      <c r="Z707" s="2128"/>
      <c r="AA707" s="2128"/>
      <c r="AB707" s="2128"/>
      <c r="AC707" s="2128"/>
      <c r="AD707" s="2128"/>
    </row>
    <row r="708" spans="1:30" ht="15.75" customHeight="1" x14ac:dyDescent="0.3">
      <c r="A708" s="4433"/>
      <c r="B708" s="4433"/>
      <c r="C708" s="2128"/>
      <c r="D708" s="2128"/>
      <c r="E708" s="2128"/>
      <c r="F708" s="2128"/>
      <c r="G708" s="2128"/>
      <c r="H708" s="2128"/>
      <c r="I708" s="2128"/>
      <c r="J708" s="2128"/>
      <c r="K708" s="2128"/>
      <c r="L708" s="2128"/>
      <c r="M708" s="2128"/>
      <c r="N708" s="2128"/>
      <c r="O708" s="2128"/>
      <c r="P708" s="2128"/>
      <c r="Q708" s="2128"/>
      <c r="R708" s="2128"/>
      <c r="S708" s="2128"/>
      <c r="T708" s="2128"/>
      <c r="U708" s="2128"/>
      <c r="V708" s="2128"/>
      <c r="W708" s="2128"/>
      <c r="X708" s="2128"/>
      <c r="Y708" s="2128"/>
      <c r="Z708" s="2128"/>
      <c r="AA708" s="2128"/>
      <c r="AB708" s="2128"/>
      <c r="AC708" s="2128"/>
      <c r="AD708" s="2128"/>
    </row>
    <row r="709" spans="1:30" ht="15.75" customHeight="1" x14ac:dyDescent="0.3">
      <c r="A709" s="4433"/>
      <c r="B709" s="4433"/>
      <c r="C709" s="2128"/>
      <c r="D709" s="2128"/>
      <c r="E709" s="2128"/>
      <c r="F709" s="2128"/>
      <c r="G709" s="2128"/>
      <c r="H709" s="2128"/>
      <c r="I709" s="2128"/>
      <c r="J709" s="2128"/>
      <c r="K709" s="2128"/>
      <c r="L709" s="2128"/>
      <c r="M709" s="2128"/>
      <c r="N709" s="2128"/>
      <c r="O709" s="2128"/>
      <c r="P709" s="2128"/>
      <c r="Q709" s="2128"/>
      <c r="R709" s="2128"/>
      <c r="S709" s="2128"/>
      <c r="T709" s="2128"/>
      <c r="U709" s="2128"/>
      <c r="V709" s="2128"/>
      <c r="W709" s="2128"/>
      <c r="X709" s="2128"/>
      <c r="Y709" s="2128"/>
      <c r="Z709" s="2128"/>
      <c r="AA709" s="2128"/>
      <c r="AB709" s="2128"/>
      <c r="AC709" s="2128"/>
      <c r="AD709" s="2128"/>
    </row>
    <row r="710" spans="1:30" ht="15.75" customHeight="1" x14ac:dyDescent="0.3">
      <c r="A710" s="4433"/>
      <c r="B710" s="4433"/>
      <c r="C710" s="2128"/>
      <c r="D710" s="2128"/>
      <c r="E710" s="2128"/>
      <c r="F710" s="2128"/>
      <c r="G710" s="2128"/>
      <c r="H710" s="2128"/>
      <c r="I710" s="2128"/>
      <c r="J710" s="2128"/>
      <c r="K710" s="2128"/>
      <c r="L710" s="2128"/>
      <c r="M710" s="2128"/>
      <c r="N710" s="2128"/>
      <c r="O710" s="2128"/>
      <c r="P710" s="2128"/>
      <c r="Q710" s="2128"/>
      <c r="R710" s="2128"/>
      <c r="S710" s="2128"/>
      <c r="T710" s="2128"/>
      <c r="U710" s="2128"/>
      <c r="V710" s="2128"/>
      <c r="W710" s="2128"/>
      <c r="X710" s="2128"/>
      <c r="Y710" s="2128"/>
      <c r="Z710" s="2128"/>
      <c r="AA710" s="2128"/>
      <c r="AB710" s="2128"/>
      <c r="AC710" s="2128"/>
      <c r="AD710" s="2128"/>
    </row>
    <row r="711" spans="1:30" ht="15.75" customHeight="1" x14ac:dyDescent="0.3">
      <c r="A711" s="4433"/>
      <c r="B711" s="4433"/>
      <c r="C711" s="2128"/>
      <c r="D711" s="2128"/>
      <c r="E711" s="2128"/>
      <c r="F711" s="2128"/>
      <c r="G711" s="2128"/>
      <c r="H711" s="2128"/>
      <c r="I711" s="2128"/>
      <c r="J711" s="2128"/>
      <c r="K711" s="2128"/>
      <c r="L711" s="2128"/>
      <c r="M711" s="2128"/>
      <c r="N711" s="2128"/>
      <c r="O711" s="2128"/>
      <c r="P711" s="2128"/>
      <c r="Q711" s="2128"/>
      <c r="R711" s="2128"/>
      <c r="S711" s="2128"/>
      <c r="T711" s="2128"/>
      <c r="U711" s="2128"/>
      <c r="V711" s="2128"/>
      <c r="W711" s="2128"/>
      <c r="X711" s="2128"/>
      <c r="Y711" s="2128"/>
      <c r="Z711" s="2128"/>
      <c r="AA711" s="2128"/>
      <c r="AB711" s="2128"/>
      <c r="AC711" s="2128"/>
      <c r="AD711" s="2128"/>
    </row>
    <row r="712" spans="1:30" ht="15.75" customHeight="1" x14ac:dyDescent="0.3">
      <c r="A712" s="4433"/>
      <c r="B712" s="4433"/>
      <c r="C712" s="2128"/>
      <c r="D712" s="2128"/>
      <c r="E712" s="2128"/>
      <c r="F712" s="2128"/>
      <c r="G712" s="2128"/>
      <c r="H712" s="2128"/>
      <c r="I712" s="2128"/>
      <c r="J712" s="2128"/>
      <c r="K712" s="2128"/>
      <c r="L712" s="2128"/>
      <c r="M712" s="2128"/>
      <c r="N712" s="2128"/>
      <c r="O712" s="2128"/>
      <c r="P712" s="2128"/>
      <c r="Q712" s="2128"/>
      <c r="R712" s="2128"/>
      <c r="S712" s="2128"/>
      <c r="T712" s="2128"/>
      <c r="U712" s="2128"/>
      <c r="V712" s="2128"/>
      <c r="W712" s="2128"/>
      <c r="X712" s="2128"/>
      <c r="Y712" s="2128"/>
      <c r="Z712" s="2128"/>
      <c r="AA712" s="2128"/>
      <c r="AB712" s="2128"/>
      <c r="AC712" s="2128"/>
      <c r="AD712" s="2128"/>
    </row>
    <row r="713" spans="1:30" ht="15.75" customHeight="1" x14ac:dyDescent="0.3">
      <c r="A713" s="4433"/>
      <c r="B713" s="4433"/>
      <c r="C713" s="2128"/>
      <c r="D713" s="2128"/>
      <c r="E713" s="2128"/>
      <c r="F713" s="2128"/>
      <c r="G713" s="2128"/>
      <c r="H713" s="2128"/>
      <c r="I713" s="2128"/>
      <c r="J713" s="2128"/>
      <c r="K713" s="2128"/>
      <c r="L713" s="2128"/>
      <c r="M713" s="2128"/>
      <c r="N713" s="2128"/>
      <c r="O713" s="2128"/>
      <c r="P713" s="2128"/>
      <c r="Q713" s="2128"/>
      <c r="R713" s="2128"/>
      <c r="S713" s="2128"/>
      <c r="T713" s="2128"/>
      <c r="U713" s="2128"/>
      <c r="V713" s="2128"/>
      <c r="W713" s="2128"/>
      <c r="X713" s="2128"/>
      <c r="Y713" s="2128"/>
      <c r="Z713" s="2128"/>
      <c r="AA713" s="2128"/>
      <c r="AB713" s="2128"/>
      <c r="AC713" s="2128"/>
      <c r="AD713" s="2128"/>
    </row>
    <row r="714" spans="1:30" ht="15.75" customHeight="1" x14ac:dyDescent="0.3">
      <c r="A714" s="4433"/>
      <c r="B714" s="4433"/>
      <c r="C714" s="2128"/>
      <c r="D714" s="2128"/>
      <c r="E714" s="2128"/>
      <c r="F714" s="2128"/>
      <c r="G714" s="2128"/>
      <c r="H714" s="2128"/>
      <c r="I714" s="2128"/>
      <c r="J714" s="2128"/>
      <c r="K714" s="2128"/>
      <c r="L714" s="2128"/>
      <c r="M714" s="2128"/>
      <c r="N714" s="2128"/>
      <c r="O714" s="2128"/>
      <c r="P714" s="2128"/>
      <c r="Q714" s="2128"/>
      <c r="R714" s="2128"/>
      <c r="S714" s="2128"/>
      <c r="T714" s="2128"/>
      <c r="U714" s="2128"/>
      <c r="V714" s="2128"/>
      <c r="W714" s="2128"/>
      <c r="X714" s="2128"/>
      <c r="Y714" s="2128"/>
      <c r="Z714" s="2128"/>
      <c r="AA714" s="2128"/>
      <c r="AB714" s="2128"/>
      <c r="AC714" s="2128"/>
      <c r="AD714" s="2128"/>
    </row>
    <row r="715" spans="1:30" ht="15.75" customHeight="1" x14ac:dyDescent="0.3">
      <c r="A715" s="4433"/>
      <c r="B715" s="4433"/>
      <c r="C715" s="2128"/>
      <c r="D715" s="2128"/>
      <c r="E715" s="2128"/>
      <c r="F715" s="2128"/>
      <c r="G715" s="2128"/>
      <c r="H715" s="2128"/>
      <c r="I715" s="2128"/>
      <c r="J715" s="2128"/>
      <c r="K715" s="2128"/>
      <c r="L715" s="2128"/>
      <c r="M715" s="2128"/>
      <c r="N715" s="2128"/>
      <c r="O715" s="2128"/>
      <c r="P715" s="2128"/>
      <c r="Q715" s="2128"/>
      <c r="R715" s="2128"/>
      <c r="S715" s="2128"/>
      <c r="T715" s="2128"/>
      <c r="U715" s="2128"/>
      <c r="V715" s="2128"/>
      <c r="W715" s="2128"/>
      <c r="X715" s="2128"/>
      <c r="Y715" s="2128"/>
      <c r="Z715" s="2128"/>
      <c r="AA715" s="2128"/>
      <c r="AB715" s="2128"/>
      <c r="AC715" s="2128"/>
      <c r="AD715" s="2128"/>
    </row>
    <row r="716" spans="1:30" ht="15.75" customHeight="1" x14ac:dyDescent="0.3">
      <c r="A716" s="4433"/>
      <c r="B716" s="4433"/>
      <c r="C716" s="2128"/>
      <c r="D716" s="2128"/>
      <c r="E716" s="2128"/>
      <c r="F716" s="2128"/>
      <c r="G716" s="2128"/>
      <c r="H716" s="2128"/>
      <c r="I716" s="2128"/>
      <c r="J716" s="2128"/>
      <c r="K716" s="2128"/>
      <c r="L716" s="2128"/>
      <c r="M716" s="2128"/>
      <c r="N716" s="2128"/>
      <c r="O716" s="2128"/>
      <c r="P716" s="2128"/>
      <c r="Q716" s="2128"/>
      <c r="R716" s="2128"/>
      <c r="S716" s="2128"/>
      <c r="T716" s="2128"/>
      <c r="U716" s="2128"/>
      <c r="V716" s="2128"/>
      <c r="W716" s="2128"/>
      <c r="X716" s="2128"/>
      <c r="Y716" s="2128"/>
      <c r="Z716" s="2128"/>
      <c r="AA716" s="2128"/>
      <c r="AB716" s="2128"/>
      <c r="AC716" s="2128"/>
      <c r="AD716" s="2128"/>
    </row>
    <row r="717" spans="1:30" ht="15.75" customHeight="1" x14ac:dyDescent="0.3">
      <c r="A717" s="4433"/>
      <c r="B717" s="4433"/>
      <c r="C717" s="2128"/>
      <c r="D717" s="2128"/>
      <c r="E717" s="2128"/>
      <c r="F717" s="2128"/>
      <c r="G717" s="2128"/>
      <c r="H717" s="2128"/>
      <c r="I717" s="2128"/>
      <c r="J717" s="2128"/>
      <c r="K717" s="2128"/>
      <c r="L717" s="2128"/>
      <c r="M717" s="2128"/>
      <c r="N717" s="2128"/>
      <c r="O717" s="2128"/>
      <c r="P717" s="2128"/>
      <c r="Q717" s="2128"/>
      <c r="R717" s="2128"/>
      <c r="S717" s="2128"/>
      <c r="T717" s="2128"/>
      <c r="U717" s="2128"/>
      <c r="V717" s="2128"/>
      <c r="W717" s="2128"/>
      <c r="X717" s="2128"/>
      <c r="Y717" s="2128"/>
      <c r="Z717" s="2128"/>
      <c r="AA717" s="2128"/>
      <c r="AB717" s="2128"/>
      <c r="AC717" s="2128"/>
      <c r="AD717" s="2128"/>
    </row>
    <row r="718" spans="1:30" ht="15.75" customHeight="1" x14ac:dyDescent="0.3">
      <c r="A718" s="4433"/>
      <c r="B718" s="4433"/>
      <c r="C718" s="2128"/>
      <c r="D718" s="2128"/>
      <c r="E718" s="2128"/>
      <c r="F718" s="2128"/>
      <c r="G718" s="2128"/>
      <c r="H718" s="2128"/>
      <c r="I718" s="2128"/>
      <c r="J718" s="2128"/>
      <c r="K718" s="2128"/>
      <c r="L718" s="2128"/>
      <c r="M718" s="2128"/>
      <c r="N718" s="2128"/>
      <c r="O718" s="2128"/>
      <c r="P718" s="2128"/>
      <c r="Q718" s="2128"/>
      <c r="R718" s="2128"/>
      <c r="S718" s="2128"/>
      <c r="T718" s="2128"/>
      <c r="U718" s="2128"/>
      <c r="V718" s="2128"/>
      <c r="W718" s="2128"/>
      <c r="X718" s="2128"/>
      <c r="Y718" s="2128"/>
      <c r="Z718" s="2128"/>
      <c r="AA718" s="2128"/>
      <c r="AB718" s="2128"/>
      <c r="AC718" s="2128"/>
      <c r="AD718" s="2128"/>
    </row>
    <row r="719" spans="1:30" ht="15.75" customHeight="1" x14ac:dyDescent="0.3">
      <c r="A719" s="4433"/>
      <c r="B719" s="4433"/>
      <c r="C719" s="2128"/>
      <c r="D719" s="2128"/>
      <c r="E719" s="2128"/>
      <c r="F719" s="2128"/>
      <c r="G719" s="2128"/>
      <c r="H719" s="2128"/>
      <c r="I719" s="2128"/>
      <c r="J719" s="2128"/>
      <c r="K719" s="2128"/>
      <c r="L719" s="2128"/>
      <c r="M719" s="2128"/>
      <c r="N719" s="2128"/>
      <c r="O719" s="2128"/>
      <c r="P719" s="2128"/>
      <c r="Q719" s="2128"/>
      <c r="R719" s="2128"/>
      <c r="S719" s="2128"/>
      <c r="T719" s="2128"/>
      <c r="U719" s="2128"/>
      <c r="V719" s="2128"/>
      <c r="W719" s="2128"/>
      <c r="X719" s="2128"/>
      <c r="Y719" s="2128"/>
      <c r="Z719" s="2128"/>
      <c r="AA719" s="2128"/>
      <c r="AB719" s="2128"/>
      <c r="AC719" s="2128"/>
      <c r="AD719" s="2128"/>
    </row>
    <row r="720" spans="1:30" ht="15.75" customHeight="1" x14ac:dyDescent="0.3">
      <c r="A720" s="4433"/>
      <c r="B720" s="4433"/>
      <c r="C720" s="2128"/>
      <c r="D720" s="2128"/>
      <c r="E720" s="2128"/>
      <c r="F720" s="2128"/>
      <c r="G720" s="2128"/>
      <c r="H720" s="2128"/>
      <c r="I720" s="2128"/>
      <c r="J720" s="2128"/>
      <c r="K720" s="2128"/>
      <c r="L720" s="2128"/>
      <c r="M720" s="2128"/>
      <c r="N720" s="2128"/>
      <c r="O720" s="2128"/>
      <c r="P720" s="2128"/>
      <c r="Q720" s="2128"/>
      <c r="R720" s="2128"/>
      <c r="S720" s="2128"/>
      <c r="T720" s="2128"/>
      <c r="U720" s="2128"/>
      <c r="V720" s="2128"/>
      <c r="W720" s="2128"/>
      <c r="X720" s="2128"/>
      <c r="Y720" s="2128"/>
      <c r="Z720" s="2128"/>
      <c r="AA720" s="2128"/>
      <c r="AB720" s="2128"/>
      <c r="AC720" s="2128"/>
      <c r="AD720" s="2128"/>
    </row>
    <row r="721" spans="1:30" ht="15.75" customHeight="1" x14ac:dyDescent="0.3">
      <c r="A721" s="4433"/>
      <c r="B721" s="4433"/>
      <c r="C721" s="2128"/>
      <c r="D721" s="2128"/>
      <c r="E721" s="2128"/>
      <c r="F721" s="2128"/>
      <c r="G721" s="2128"/>
      <c r="H721" s="2128"/>
      <c r="I721" s="2128"/>
      <c r="J721" s="2128"/>
      <c r="K721" s="2128"/>
      <c r="L721" s="2128"/>
      <c r="M721" s="2128"/>
      <c r="N721" s="2128"/>
      <c r="O721" s="2128"/>
      <c r="P721" s="2128"/>
      <c r="Q721" s="2128"/>
      <c r="R721" s="2128"/>
      <c r="S721" s="2128"/>
      <c r="T721" s="2128"/>
      <c r="U721" s="2128"/>
      <c r="V721" s="2128"/>
      <c r="W721" s="2128"/>
      <c r="X721" s="2128"/>
      <c r="Y721" s="2128"/>
      <c r="Z721" s="2128"/>
      <c r="AA721" s="2128"/>
      <c r="AB721" s="2128"/>
      <c r="AC721" s="2128"/>
      <c r="AD721" s="2128"/>
    </row>
    <row r="722" spans="1:30" ht="15.75" customHeight="1" x14ac:dyDescent="0.3">
      <c r="A722" s="4433"/>
      <c r="B722" s="4433"/>
      <c r="C722" s="2128"/>
      <c r="D722" s="2128"/>
      <c r="E722" s="2128"/>
      <c r="F722" s="2128"/>
      <c r="G722" s="2128"/>
      <c r="H722" s="2128"/>
      <c r="I722" s="2128"/>
      <c r="J722" s="2128"/>
      <c r="K722" s="2128"/>
      <c r="L722" s="2128"/>
      <c r="M722" s="2128"/>
      <c r="N722" s="2128"/>
      <c r="O722" s="2128"/>
      <c r="P722" s="2128"/>
      <c r="Q722" s="2128"/>
      <c r="R722" s="2128"/>
      <c r="S722" s="2128"/>
      <c r="T722" s="2128"/>
      <c r="U722" s="2128"/>
      <c r="V722" s="2128"/>
      <c r="W722" s="2128"/>
      <c r="X722" s="2128"/>
      <c r="Y722" s="2128"/>
      <c r="Z722" s="2128"/>
      <c r="AA722" s="2128"/>
      <c r="AB722" s="2128"/>
      <c r="AC722" s="2128"/>
      <c r="AD722" s="2128"/>
    </row>
    <row r="723" spans="1:30" ht="15.75" customHeight="1" x14ac:dyDescent="0.3">
      <c r="A723" s="4433"/>
      <c r="B723" s="4433"/>
      <c r="C723" s="2128"/>
      <c r="D723" s="2128"/>
      <c r="E723" s="2128"/>
      <c r="F723" s="2128"/>
      <c r="G723" s="2128"/>
      <c r="H723" s="2128"/>
      <c r="I723" s="2128"/>
      <c r="J723" s="2128"/>
      <c r="K723" s="2128"/>
      <c r="L723" s="2128"/>
      <c r="M723" s="2128"/>
      <c r="N723" s="2128"/>
      <c r="O723" s="2128"/>
      <c r="P723" s="2128"/>
      <c r="Q723" s="2128"/>
      <c r="R723" s="2128"/>
      <c r="S723" s="2128"/>
      <c r="T723" s="2128"/>
      <c r="U723" s="2128"/>
      <c r="V723" s="2128"/>
      <c r="W723" s="2128"/>
      <c r="X723" s="2128"/>
      <c r="Y723" s="2128"/>
      <c r="Z723" s="2128"/>
      <c r="AA723" s="2128"/>
      <c r="AB723" s="2128"/>
      <c r="AC723" s="2128"/>
      <c r="AD723" s="2128"/>
    </row>
    <row r="724" spans="1:30" ht="15.75" customHeight="1" x14ac:dyDescent="0.3">
      <c r="A724" s="4433"/>
      <c r="B724" s="4433"/>
      <c r="C724" s="2128"/>
      <c r="D724" s="2128"/>
      <c r="E724" s="2128"/>
      <c r="F724" s="2128"/>
      <c r="G724" s="2128"/>
      <c r="H724" s="2128"/>
      <c r="I724" s="2128"/>
      <c r="J724" s="2128"/>
      <c r="K724" s="2128"/>
      <c r="L724" s="2128"/>
      <c r="M724" s="2128"/>
      <c r="N724" s="2128"/>
      <c r="O724" s="2128"/>
      <c r="P724" s="2128"/>
      <c r="Q724" s="2128"/>
      <c r="R724" s="2128"/>
      <c r="S724" s="2128"/>
      <c r="T724" s="2128"/>
      <c r="U724" s="2128"/>
      <c r="V724" s="2128"/>
      <c r="W724" s="2128"/>
      <c r="X724" s="2128"/>
      <c r="Y724" s="2128"/>
      <c r="Z724" s="2128"/>
      <c r="AA724" s="2128"/>
      <c r="AB724" s="2128"/>
      <c r="AC724" s="2128"/>
      <c r="AD724" s="2128"/>
    </row>
    <row r="725" spans="1:30" ht="15.75" customHeight="1" x14ac:dyDescent="0.3">
      <c r="A725" s="4433"/>
      <c r="B725" s="4433"/>
      <c r="C725" s="2128"/>
      <c r="D725" s="2128"/>
      <c r="E725" s="2128"/>
      <c r="F725" s="2128"/>
      <c r="G725" s="2128"/>
      <c r="H725" s="2128"/>
      <c r="I725" s="2128"/>
      <c r="J725" s="2128"/>
      <c r="K725" s="2128"/>
      <c r="L725" s="2128"/>
      <c r="M725" s="2128"/>
      <c r="N725" s="2128"/>
      <c r="O725" s="2128"/>
      <c r="P725" s="2128"/>
      <c r="Q725" s="2128"/>
      <c r="R725" s="2128"/>
      <c r="S725" s="2128"/>
      <c r="T725" s="2128"/>
      <c r="U725" s="2128"/>
      <c r="V725" s="2128"/>
      <c r="W725" s="2128"/>
      <c r="X725" s="2128"/>
      <c r="Y725" s="2128"/>
      <c r="Z725" s="2128"/>
      <c r="AA725" s="2128"/>
      <c r="AB725" s="2128"/>
      <c r="AC725" s="2128"/>
      <c r="AD725" s="2128"/>
    </row>
    <row r="726" spans="1:30" ht="15.75" customHeight="1" x14ac:dyDescent="0.3">
      <c r="A726" s="4433"/>
      <c r="B726" s="4433"/>
      <c r="C726" s="2128"/>
      <c r="D726" s="2128"/>
      <c r="E726" s="2128"/>
      <c r="F726" s="2128"/>
      <c r="G726" s="2128"/>
      <c r="H726" s="2128"/>
      <c r="I726" s="2128"/>
      <c r="J726" s="2128"/>
      <c r="K726" s="2128"/>
      <c r="L726" s="2128"/>
      <c r="M726" s="2128"/>
      <c r="N726" s="2128"/>
      <c r="O726" s="2128"/>
      <c r="P726" s="2128"/>
      <c r="Q726" s="2128"/>
      <c r="R726" s="2128"/>
      <c r="S726" s="2128"/>
      <c r="T726" s="2128"/>
      <c r="U726" s="2128"/>
      <c r="V726" s="2128"/>
      <c r="W726" s="2128"/>
      <c r="X726" s="2128"/>
      <c r="Y726" s="2128"/>
      <c r="Z726" s="2128"/>
      <c r="AA726" s="2128"/>
      <c r="AB726" s="2128"/>
      <c r="AC726" s="2128"/>
      <c r="AD726" s="2128"/>
    </row>
    <row r="727" spans="1:30" ht="15.75" customHeight="1" x14ac:dyDescent="0.3">
      <c r="A727" s="4433"/>
      <c r="B727" s="4433"/>
      <c r="C727" s="2128"/>
      <c r="D727" s="2128"/>
      <c r="E727" s="2128"/>
      <c r="F727" s="2128"/>
      <c r="G727" s="2128"/>
      <c r="H727" s="2128"/>
      <c r="I727" s="2128"/>
      <c r="J727" s="2128"/>
      <c r="K727" s="2128"/>
      <c r="L727" s="2128"/>
      <c r="M727" s="2128"/>
      <c r="N727" s="2128"/>
      <c r="O727" s="2128"/>
      <c r="P727" s="2128"/>
      <c r="Q727" s="2128"/>
      <c r="R727" s="2128"/>
      <c r="S727" s="2128"/>
      <c r="T727" s="2128"/>
      <c r="U727" s="2128"/>
      <c r="V727" s="2128"/>
      <c r="W727" s="2128"/>
      <c r="X727" s="2128"/>
      <c r="Y727" s="2128"/>
      <c r="Z727" s="2128"/>
      <c r="AA727" s="2128"/>
      <c r="AB727" s="2128"/>
      <c r="AC727" s="2128"/>
      <c r="AD727" s="2128"/>
    </row>
    <row r="728" spans="1:30" ht="15.75" customHeight="1" x14ac:dyDescent="0.3">
      <c r="A728" s="4433"/>
      <c r="B728" s="4433"/>
      <c r="C728" s="2128"/>
      <c r="D728" s="2128"/>
      <c r="E728" s="2128"/>
      <c r="F728" s="2128"/>
      <c r="G728" s="2128"/>
      <c r="H728" s="2128"/>
      <c r="I728" s="2128"/>
      <c r="J728" s="2128"/>
      <c r="K728" s="2128"/>
      <c r="L728" s="2128"/>
      <c r="M728" s="2128"/>
      <c r="N728" s="2128"/>
      <c r="O728" s="2128"/>
      <c r="P728" s="2128"/>
      <c r="Q728" s="2128"/>
      <c r="R728" s="2128"/>
      <c r="S728" s="2128"/>
      <c r="T728" s="2128"/>
      <c r="U728" s="2128"/>
      <c r="V728" s="2128"/>
      <c r="W728" s="2128"/>
      <c r="X728" s="2128"/>
      <c r="Y728" s="2128"/>
      <c r="Z728" s="2128"/>
      <c r="AA728" s="2128"/>
      <c r="AB728" s="2128"/>
      <c r="AC728" s="2128"/>
      <c r="AD728" s="2128"/>
    </row>
    <row r="729" spans="1:30" ht="15.75" customHeight="1" x14ac:dyDescent="0.3">
      <c r="A729" s="4433"/>
      <c r="B729" s="4433"/>
      <c r="C729" s="2128"/>
      <c r="D729" s="2128"/>
      <c r="E729" s="2128"/>
      <c r="F729" s="2128"/>
      <c r="G729" s="2128"/>
      <c r="H729" s="2128"/>
      <c r="I729" s="2128"/>
      <c r="J729" s="2128"/>
      <c r="K729" s="2128"/>
      <c r="L729" s="2128"/>
      <c r="M729" s="2128"/>
      <c r="N729" s="2128"/>
      <c r="O729" s="2128"/>
      <c r="P729" s="2128"/>
      <c r="Q729" s="2128"/>
      <c r="R729" s="2128"/>
      <c r="S729" s="2128"/>
      <c r="T729" s="2128"/>
      <c r="U729" s="2128"/>
      <c r="V729" s="2128"/>
      <c r="W729" s="2128"/>
      <c r="X729" s="2128"/>
      <c r="Y729" s="2128"/>
      <c r="Z729" s="2128"/>
      <c r="AA729" s="2128"/>
      <c r="AB729" s="2128"/>
      <c r="AC729" s="2128"/>
      <c r="AD729" s="2128"/>
    </row>
    <row r="730" spans="1:30" ht="15.75" customHeight="1" x14ac:dyDescent="0.3">
      <c r="A730" s="4433"/>
      <c r="B730" s="4433"/>
      <c r="C730" s="2128"/>
      <c r="D730" s="2128"/>
      <c r="E730" s="2128"/>
      <c r="F730" s="2128"/>
      <c r="G730" s="2128"/>
      <c r="H730" s="2128"/>
      <c r="I730" s="2128"/>
      <c r="J730" s="2128"/>
      <c r="K730" s="2128"/>
      <c r="L730" s="2128"/>
      <c r="M730" s="2128"/>
      <c r="N730" s="2128"/>
      <c r="O730" s="2128"/>
      <c r="P730" s="2128"/>
      <c r="Q730" s="2128"/>
      <c r="R730" s="2128"/>
      <c r="S730" s="2128"/>
      <c r="T730" s="2128"/>
      <c r="U730" s="2128"/>
      <c r="V730" s="2128"/>
      <c r="W730" s="2128"/>
      <c r="X730" s="2128"/>
      <c r="Y730" s="2128"/>
      <c r="Z730" s="2128"/>
      <c r="AA730" s="2128"/>
      <c r="AB730" s="2128"/>
      <c r="AC730" s="2128"/>
      <c r="AD730" s="2128"/>
    </row>
    <row r="731" spans="1:30" ht="15.75" customHeight="1" x14ac:dyDescent="0.3">
      <c r="A731" s="4433"/>
      <c r="B731" s="4433"/>
      <c r="C731" s="2128"/>
      <c r="D731" s="2128"/>
      <c r="E731" s="2128"/>
      <c r="F731" s="2128"/>
      <c r="G731" s="2128"/>
      <c r="H731" s="2128"/>
      <c r="I731" s="2128"/>
      <c r="J731" s="2128"/>
      <c r="K731" s="2128"/>
      <c r="L731" s="2128"/>
      <c r="M731" s="2128"/>
      <c r="N731" s="2128"/>
      <c r="O731" s="2128"/>
      <c r="P731" s="2128"/>
      <c r="Q731" s="2128"/>
      <c r="R731" s="2128"/>
      <c r="S731" s="2128"/>
      <c r="T731" s="2128"/>
      <c r="U731" s="2128"/>
      <c r="V731" s="2128"/>
      <c r="W731" s="2128"/>
      <c r="X731" s="2128"/>
      <c r="Y731" s="2128"/>
      <c r="Z731" s="2128"/>
      <c r="AA731" s="2128"/>
      <c r="AB731" s="2128"/>
      <c r="AC731" s="2128"/>
      <c r="AD731" s="2128"/>
    </row>
    <row r="732" spans="1:30" ht="15.75" customHeight="1" x14ac:dyDescent="0.3">
      <c r="A732" s="4433"/>
      <c r="B732" s="4433"/>
      <c r="C732" s="2128"/>
      <c r="D732" s="2128"/>
      <c r="E732" s="2128"/>
      <c r="F732" s="2128"/>
      <c r="G732" s="2128"/>
      <c r="H732" s="2128"/>
      <c r="I732" s="2128"/>
      <c r="J732" s="2128"/>
      <c r="K732" s="2128"/>
      <c r="L732" s="2128"/>
      <c r="M732" s="2128"/>
      <c r="N732" s="2128"/>
      <c r="O732" s="2128"/>
      <c r="P732" s="2128"/>
      <c r="Q732" s="2128"/>
      <c r="R732" s="2128"/>
      <c r="S732" s="2128"/>
      <c r="T732" s="2128"/>
      <c r="U732" s="2128"/>
      <c r="V732" s="2128"/>
      <c r="W732" s="2128"/>
      <c r="X732" s="2128"/>
      <c r="Y732" s="2128"/>
      <c r="Z732" s="2128"/>
      <c r="AA732" s="2128"/>
      <c r="AB732" s="2128"/>
      <c r="AC732" s="2128"/>
      <c r="AD732" s="2128"/>
    </row>
    <row r="733" spans="1:30" ht="15.75" customHeight="1" x14ac:dyDescent="0.3">
      <c r="A733" s="4433"/>
      <c r="B733" s="4433"/>
      <c r="C733" s="2128"/>
      <c r="D733" s="2128"/>
      <c r="E733" s="2128"/>
      <c r="F733" s="2128"/>
      <c r="G733" s="2128"/>
      <c r="H733" s="2128"/>
      <c r="I733" s="2128"/>
      <c r="J733" s="2128"/>
      <c r="K733" s="2128"/>
      <c r="L733" s="2128"/>
      <c r="M733" s="2128"/>
      <c r="N733" s="2128"/>
      <c r="O733" s="2128"/>
      <c r="P733" s="2128"/>
      <c r="Q733" s="2128"/>
      <c r="R733" s="2128"/>
      <c r="S733" s="2128"/>
      <c r="T733" s="2128"/>
      <c r="U733" s="2128"/>
      <c r="V733" s="2128"/>
      <c r="W733" s="2128"/>
      <c r="X733" s="2128"/>
      <c r="Y733" s="2128"/>
      <c r="Z733" s="2128"/>
      <c r="AA733" s="2128"/>
      <c r="AB733" s="2128"/>
      <c r="AC733" s="2128"/>
      <c r="AD733" s="2128"/>
    </row>
    <row r="734" spans="1:30" ht="15.75" customHeight="1" x14ac:dyDescent="0.3">
      <c r="A734" s="4433"/>
      <c r="B734" s="4433"/>
      <c r="C734" s="2128"/>
      <c r="D734" s="2128"/>
      <c r="E734" s="2128"/>
      <c r="F734" s="2128"/>
      <c r="G734" s="2128"/>
      <c r="H734" s="2128"/>
      <c r="I734" s="2128"/>
      <c r="J734" s="2128"/>
      <c r="K734" s="2128"/>
      <c r="L734" s="2128"/>
      <c r="M734" s="2128"/>
      <c r="N734" s="2128"/>
      <c r="O734" s="2128"/>
      <c r="P734" s="2128"/>
      <c r="Q734" s="2128"/>
      <c r="R734" s="2128"/>
      <c r="S734" s="2128"/>
      <c r="T734" s="2128"/>
      <c r="U734" s="2128"/>
      <c r="V734" s="2128"/>
      <c r="W734" s="2128"/>
      <c r="X734" s="2128"/>
      <c r="Y734" s="2128"/>
      <c r="Z734" s="2128"/>
      <c r="AA734" s="2128"/>
      <c r="AB734" s="2128"/>
      <c r="AC734" s="2128"/>
      <c r="AD734" s="2128"/>
    </row>
    <row r="735" spans="1:30" ht="15.75" customHeight="1" x14ac:dyDescent="0.3">
      <c r="A735" s="4433"/>
      <c r="B735" s="4433"/>
      <c r="C735" s="2128"/>
      <c r="D735" s="2128"/>
      <c r="E735" s="2128"/>
      <c r="F735" s="2128"/>
      <c r="G735" s="2128"/>
      <c r="H735" s="2128"/>
      <c r="I735" s="2128"/>
      <c r="J735" s="2128"/>
      <c r="K735" s="2128"/>
      <c r="L735" s="2128"/>
      <c r="M735" s="2128"/>
      <c r="N735" s="2128"/>
      <c r="O735" s="2128"/>
      <c r="P735" s="2128"/>
      <c r="Q735" s="2128"/>
      <c r="R735" s="2128"/>
      <c r="S735" s="2128"/>
      <c r="T735" s="2128"/>
      <c r="U735" s="2128"/>
      <c r="V735" s="2128"/>
      <c r="W735" s="2128"/>
      <c r="X735" s="2128"/>
      <c r="Y735" s="2128"/>
      <c r="Z735" s="2128"/>
      <c r="AA735" s="2128"/>
      <c r="AB735" s="2128"/>
      <c r="AC735" s="2128"/>
      <c r="AD735" s="2128"/>
    </row>
    <row r="736" spans="1:30" ht="15.75" customHeight="1" x14ac:dyDescent="0.3">
      <c r="A736" s="4433"/>
      <c r="B736" s="4433"/>
      <c r="C736" s="2128"/>
      <c r="D736" s="2128"/>
      <c r="E736" s="2128"/>
      <c r="F736" s="2128"/>
      <c r="G736" s="2128"/>
      <c r="H736" s="2128"/>
      <c r="I736" s="2128"/>
      <c r="J736" s="2128"/>
      <c r="K736" s="2128"/>
      <c r="L736" s="2128"/>
      <c r="M736" s="2128"/>
      <c r="N736" s="2128"/>
      <c r="O736" s="2128"/>
      <c r="P736" s="2128"/>
      <c r="Q736" s="2128"/>
      <c r="R736" s="2128"/>
      <c r="S736" s="2128"/>
      <c r="T736" s="2128"/>
      <c r="U736" s="2128"/>
      <c r="V736" s="2128"/>
      <c r="W736" s="2128"/>
      <c r="X736" s="2128"/>
      <c r="Y736" s="2128"/>
      <c r="Z736" s="2128"/>
      <c r="AA736" s="2128"/>
      <c r="AB736" s="2128"/>
      <c r="AC736" s="2128"/>
      <c r="AD736" s="2128"/>
    </row>
    <row r="737" spans="1:30" ht="15.75" customHeight="1" x14ac:dyDescent="0.3">
      <c r="A737" s="4433"/>
      <c r="B737" s="4433"/>
      <c r="C737" s="2128"/>
      <c r="D737" s="2128"/>
      <c r="E737" s="2128"/>
      <c r="F737" s="2128"/>
      <c r="G737" s="2128"/>
      <c r="H737" s="2128"/>
      <c r="I737" s="2128"/>
      <c r="J737" s="2128"/>
      <c r="K737" s="2128"/>
      <c r="L737" s="2128"/>
      <c r="M737" s="2128"/>
      <c r="N737" s="2128"/>
      <c r="O737" s="2128"/>
      <c r="P737" s="2128"/>
      <c r="Q737" s="2128"/>
      <c r="R737" s="2128"/>
      <c r="S737" s="2128"/>
      <c r="T737" s="2128"/>
      <c r="U737" s="2128"/>
      <c r="V737" s="2128"/>
      <c r="W737" s="2128"/>
      <c r="X737" s="2128"/>
      <c r="Y737" s="2128"/>
      <c r="Z737" s="2128"/>
      <c r="AA737" s="2128"/>
      <c r="AB737" s="2128"/>
      <c r="AC737" s="2128"/>
      <c r="AD737" s="2128"/>
    </row>
    <row r="738" spans="1:30" ht="15.75" customHeight="1" x14ac:dyDescent="0.3">
      <c r="A738" s="4433"/>
      <c r="B738" s="4433"/>
      <c r="C738" s="2128"/>
      <c r="D738" s="2128"/>
      <c r="E738" s="2128"/>
      <c r="F738" s="2128"/>
      <c r="G738" s="2128"/>
      <c r="H738" s="2128"/>
      <c r="I738" s="2128"/>
      <c r="J738" s="2128"/>
      <c r="K738" s="2128"/>
      <c r="L738" s="2128"/>
      <c r="M738" s="2128"/>
      <c r="N738" s="2128"/>
      <c r="O738" s="2128"/>
      <c r="P738" s="2128"/>
      <c r="Q738" s="2128"/>
      <c r="R738" s="2128"/>
      <c r="S738" s="2128"/>
      <c r="T738" s="2128"/>
      <c r="U738" s="2128"/>
      <c r="V738" s="2128"/>
      <c r="W738" s="2128"/>
      <c r="X738" s="2128"/>
      <c r="Y738" s="2128"/>
      <c r="Z738" s="2128"/>
      <c r="AA738" s="2128"/>
      <c r="AB738" s="2128"/>
      <c r="AC738" s="2128"/>
      <c r="AD738" s="2128"/>
    </row>
    <row r="739" spans="1:30" ht="15.75" customHeight="1" x14ac:dyDescent="0.3">
      <c r="A739" s="4433"/>
      <c r="B739" s="4433"/>
      <c r="C739" s="2128"/>
      <c r="D739" s="2128"/>
      <c r="E739" s="2128"/>
      <c r="F739" s="2128"/>
      <c r="G739" s="2128"/>
      <c r="H739" s="2128"/>
      <c r="I739" s="2128"/>
      <c r="J739" s="2128"/>
      <c r="K739" s="2128"/>
      <c r="L739" s="2128"/>
      <c r="M739" s="2128"/>
      <c r="N739" s="2128"/>
      <c r="O739" s="2128"/>
      <c r="P739" s="2128"/>
      <c r="Q739" s="2128"/>
      <c r="R739" s="2128"/>
      <c r="S739" s="2128"/>
      <c r="T739" s="2128"/>
      <c r="U739" s="2128"/>
      <c r="V739" s="2128"/>
      <c r="W739" s="2128"/>
      <c r="X739" s="2128"/>
      <c r="Y739" s="2128"/>
      <c r="Z739" s="2128"/>
      <c r="AA739" s="2128"/>
      <c r="AB739" s="2128"/>
      <c r="AC739" s="2128"/>
      <c r="AD739" s="2128"/>
    </row>
    <row r="740" spans="1:30" ht="15.75" customHeight="1" x14ac:dyDescent="0.3">
      <c r="A740" s="4433"/>
      <c r="B740" s="4433"/>
      <c r="C740" s="2128"/>
      <c r="D740" s="2128"/>
      <c r="E740" s="2128"/>
      <c r="F740" s="2128"/>
      <c r="G740" s="2128"/>
      <c r="H740" s="2128"/>
      <c r="I740" s="2128"/>
      <c r="J740" s="2128"/>
      <c r="K740" s="2128"/>
      <c r="L740" s="2128"/>
      <c r="M740" s="2128"/>
      <c r="N740" s="2128"/>
      <c r="O740" s="2128"/>
      <c r="P740" s="2128"/>
      <c r="Q740" s="2128"/>
      <c r="R740" s="2128"/>
      <c r="S740" s="2128"/>
      <c r="T740" s="2128"/>
      <c r="U740" s="2128"/>
      <c r="V740" s="2128"/>
      <c r="W740" s="2128"/>
      <c r="X740" s="2128"/>
      <c r="Y740" s="2128"/>
      <c r="Z740" s="2128"/>
      <c r="AA740" s="2128"/>
      <c r="AB740" s="2128"/>
      <c r="AC740" s="2128"/>
      <c r="AD740" s="2128"/>
    </row>
    <row r="741" spans="1:30" ht="15.75" customHeight="1" x14ac:dyDescent="0.3">
      <c r="A741" s="4433"/>
      <c r="B741" s="4433"/>
      <c r="C741" s="2128"/>
      <c r="D741" s="2128"/>
      <c r="E741" s="2128"/>
      <c r="F741" s="2128"/>
      <c r="G741" s="2128"/>
      <c r="H741" s="2128"/>
      <c r="I741" s="2128"/>
      <c r="J741" s="2128"/>
      <c r="K741" s="2128"/>
      <c r="L741" s="2128"/>
      <c r="M741" s="2128"/>
      <c r="N741" s="2128"/>
      <c r="O741" s="2128"/>
      <c r="P741" s="2128"/>
      <c r="Q741" s="2128"/>
      <c r="R741" s="2128"/>
      <c r="S741" s="2128"/>
      <c r="T741" s="2128"/>
      <c r="U741" s="2128"/>
      <c r="V741" s="2128"/>
      <c r="W741" s="2128"/>
      <c r="X741" s="2128"/>
      <c r="Y741" s="2128"/>
      <c r="Z741" s="2128"/>
      <c r="AA741" s="2128"/>
      <c r="AB741" s="2128"/>
      <c r="AC741" s="2128"/>
      <c r="AD741" s="2128"/>
    </row>
    <row r="742" spans="1:30" ht="15.75" customHeight="1" x14ac:dyDescent="0.3">
      <c r="A742" s="4433"/>
      <c r="B742" s="4433"/>
      <c r="C742" s="2128"/>
      <c r="D742" s="2128"/>
      <c r="E742" s="2128"/>
      <c r="F742" s="2128"/>
      <c r="G742" s="2128"/>
      <c r="H742" s="2128"/>
      <c r="I742" s="2128"/>
      <c r="J742" s="2128"/>
      <c r="K742" s="2128"/>
      <c r="L742" s="2128"/>
      <c r="M742" s="2128"/>
      <c r="N742" s="2128"/>
      <c r="O742" s="2128"/>
      <c r="P742" s="2128"/>
      <c r="Q742" s="2128"/>
      <c r="R742" s="2128"/>
      <c r="S742" s="2128"/>
      <c r="T742" s="2128"/>
      <c r="U742" s="2128"/>
      <c r="V742" s="2128"/>
      <c r="W742" s="2128"/>
      <c r="X742" s="2128"/>
      <c r="Y742" s="2128"/>
      <c r="Z742" s="2128"/>
      <c r="AA742" s="2128"/>
      <c r="AB742" s="2128"/>
      <c r="AC742" s="2128"/>
      <c r="AD742" s="2128"/>
    </row>
    <row r="743" spans="1:30" ht="15.75" customHeight="1" x14ac:dyDescent="0.3">
      <c r="A743" s="4433"/>
      <c r="B743" s="4433"/>
      <c r="C743" s="2128"/>
      <c r="D743" s="2128"/>
      <c r="E743" s="2128"/>
      <c r="F743" s="2128"/>
      <c r="G743" s="2128"/>
      <c r="H743" s="2128"/>
      <c r="I743" s="2128"/>
      <c r="J743" s="2128"/>
      <c r="K743" s="2128"/>
      <c r="L743" s="2128"/>
      <c r="M743" s="2128"/>
      <c r="N743" s="2128"/>
      <c r="O743" s="2128"/>
      <c r="P743" s="2128"/>
      <c r="Q743" s="2128"/>
      <c r="R743" s="2128"/>
      <c r="S743" s="2128"/>
      <c r="T743" s="2128"/>
      <c r="U743" s="2128"/>
      <c r="V743" s="2128"/>
      <c r="W743" s="2128"/>
      <c r="X743" s="2128"/>
      <c r="Y743" s="2128"/>
      <c r="Z743" s="2128"/>
      <c r="AA743" s="2128"/>
      <c r="AB743" s="2128"/>
      <c r="AC743" s="2128"/>
      <c r="AD743" s="2128"/>
    </row>
    <row r="744" spans="1:30" ht="15.75" customHeight="1" x14ac:dyDescent="0.3">
      <c r="A744" s="4433"/>
      <c r="B744" s="4433"/>
      <c r="C744" s="2128"/>
      <c r="D744" s="2128"/>
      <c r="E744" s="2128"/>
      <c r="F744" s="2128"/>
      <c r="G744" s="2128"/>
      <c r="H744" s="2128"/>
      <c r="I744" s="2128"/>
      <c r="J744" s="2128"/>
      <c r="K744" s="2128"/>
      <c r="L744" s="2128"/>
      <c r="M744" s="2128"/>
      <c r="N744" s="2128"/>
      <c r="O744" s="2128"/>
      <c r="P744" s="2128"/>
      <c r="Q744" s="2128"/>
      <c r="R744" s="2128"/>
      <c r="S744" s="2128"/>
      <c r="T744" s="2128"/>
      <c r="U744" s="2128"/>
      <c r="V744" s="2128"/>
      <c r="W744" s="2128"/>
      <c r="X744" s="2128"/>
      <c r="Y744" s="2128"/>
      <c r="Z744" s="2128"/>
      <c r="AA744" s="2128"/>
      <c r="AB744" s="2128"/>
      <c r="AC744" s="2128"/>
      <c r="AD744" s="2128"/>
    </row>
    <row r="745" spans="1:30" ht="15.75" customHeight="1" x14ac:dyDescent="0.3">
      <c r="A745" s="4433"/>
      <c r="B745" s="4433"/>
      <c r="C745" s="2128"/>
      <c r="D745" s="2128"/>
      <c r="E745" s="2128"/>
      <c r="F745" s="2128"/>
      <c r="G745" s="2128"/>
      <c r="H745" s="2128"/>
      <c r="I745" s="2128"/>
      <c r="J745" s="2128"/>
      <c r="K745" s="2128"/>
      <c r="L745" s="2128"/>
      <c r="M745" s="2128"/>
      <c r="N745" s="2128"/>
      <c r="O745" s="2128"/>
      <c r="P745" s="2128"/>
      <c r="Q745" s="2128"/>
      <c r="R745" s="2128"/>
      <c r="S745" s="2128"/>
      <c r="T745" s="2128"/>
      <c r="U745" s="2128"/>
      <c r="V745" s="2128"/>
      <c r="W745" s="2128"/>
      <c r="X745" s="2128"/>
      <c r="Y745" s="2128"/>
      <c r="Z745" s="2128"/>
      <c r="AA745" s="2128"/>
      <c r="AB745" s="2128"/>
      <c r="AC745" s="2128"/>
      <c r="AD745" s="2128"/>
    </row>
    <row r="746" spans="1:30" ht="15.75" customHeight="1" x14ac:dyDescent="0.3">
      <c r="A746" s="4433"/>
      <c r="B746" s="4433"/>
      <c r="C746" s="2128"/>
      <c r="D746" s="2128"/>
      <c r="E746" s="2128"/>
      <c r="F746" s="2128"/>
      <c r="G746" s="2128"/>
      <c r="H746" s="2128"/>
      <c r="I746" s="2128"/>
      <c r="J746" s="2128"/>
      <c r="K746" s="2128"/>
      <c r="L746" s="2128"/>
      <c r="M746" s="2128"/>
      <c r="N746" s="2128"/>
      <c r="O746" s="2128"/>
      <c r="P746" s="2128"/>
      <c r="Q746" s="2128"/>
      <c r="R746" s="2128"/>
      <c r="S746" s="2128"/>
      <c r="T746" s="2128"/>
      <c r="U746" s="2128"/>
      <c r="V746" s="2128"/>
      <c r="W746" s="2128"/>
      <c r="X746" s="2128"/>
      <c r="Y746" s="2128"/>
      <c r="Z746" s="2128"/>
      <c r="AA746" s="2128"/>
      <c r="AB746" s="2128"/>
      <c r="AC746" s="2128"/>
      <c r="AD746" s="2128"/>
    </row>
    <row r="747" spans="1:30" ht="15.75" customHeight="1" x14ac:dyDescent="0.3">
      <c r="A747" s="4433"/>
      <c r="B747" s="4433"/>
      <c r="C747" s="2128"/>
      <c r="D747" s="2128"/>
      <c r="E747" s="2128"/>
      <c r="F747" s="2128"/>
      <c r="G747" s="2128"/>
      <c r="H747" s="2128"/>
      <c r="I747" s="2128"/>
      <c r="J747" s="2128"/>
      <c r="K747" s="2128"/>
      <c r="L747" s="2128"/>
      <c r="M747" s="2128"/>
      <c r="N747" s="2128"/>
      <c r="O747" s="2128"/>
      <c r="P747" s="2128"/>
      <c r="Q747" s="2128"/>
      <c r="R747" s="2128"/>
      <c r="S747" s="2128"/>
      <c r="T747" s="2128"/>
      <c r="U747" s="2128"/>
      <c r="V747" s="2128"/>
      <c r="W747" s="2128"/>
      <c r="X747" s="2128"/>
      <c r="Y747" s="2128"/>
      <c r="Z747" s="2128"/>
      <c r="AA747" s="2128"/>
      <c r="AB747" s="2128"/>
      <c r="AC747" s="2128"/>
      <c r="AD747" s="2128"/>
    </row>
    <row r="748" spans="1:30" ht="15.75" customHeight="1" x14ac:dyDescent="0.3">
      <c r="A748" s="4433"/>
      <c r="B748" s="4433"/>
      <c r="C748" s="2128"/>
      <c r="D748" s="2128"/>
      <c r="E748" s="2128"/>
      <c r="F748" s="2128"/>
      <c r="G748" s="2128"/>
      <c r="H748" s="2128"/>
      <c r="I748" s="2128"/>
      <c r="J748" s="2128"/>
      <c r="K748" s="2128"/>
      <c r="L748" s="2128"/>
      <c r="M748" s="2128"/>
      <c r="N748" s="2128"/>
      <c r="O748" s="2128"/>
      <c r="P748" s="2128"/>
      <c r="Q748" s="2128"/>
      <c r="R748" s="2128"/>
      <c r="S748" s="2128"/>
      <c r="T748" s="2128"/>
      <c r="U748" s="2128"/>
      <c r="V748" s="2128"/>
      <c r="W748" s="2128"/>
      <c r="X748" s="2128"/>
      <c r="Y748" s="2128"/>
      <c r="Z748" s="2128"/>
      <c r="AA748" s="2128"/>
      <c r="AB748" s="2128"/>
      <c r="AC748" s="2128"/>
      <c r="AD748" s="2128"/>
    </row>
    <row r="749" spans="1:30" ht="15.75" customHeight="1" x14ac:dyDescent="0.3">
      <c r="A749" s="4433"/>
      <c r="B749" s="4433"/>
      <c r="C749" s="2128"/>
      <c r="D749" s="2128"/>
      <c r="E749" s="2128"/>
      <c r="F749" s="2128"/>
      <c r="G749" s="2128"/>
      <c r="H749" s="2128"/>
      <c r="I749" s="2128"/>
      <c r="J749" s="2128"/>
      <c r="K749" s="2128"/>
      <c r="L749" s="2128"/>
      <c r="M749" s="2128"/>
      <c r="N749" s="2128"/>
      <c r="O749" s="2128"/>
      <c r="P749" s="2128"/>
      <c r="Q749" s="2128"/>
      <c r="R749" s="2128"/>
      <c r="S749" s="2128"/>
      <c r="T749" s="2128"/>
      <c r="U749" s="2128"/>
      <c r="V749" s="2128"/>
      <c r="W749" s="2128"/>
      <c r="X749" s="2128"/>
      <c r="Y749" s="2128"/>
      <c r="Z749" s="2128"/>
      <c r="AA749" s="2128"/>
      <c r="AB749" s="2128"/>
      <c r="AC749" s="2128"/>
      <c r="AD749" s="2128"/>
    </row>
    <row r="750" spans="1:30" ht="15.75" customHeight="1" x14ac:dyDescent="0.3">
      <c r="A750" s="4433"/>
      <c r="B750" s="4433"/>
      <c r="C750" s="2128"/>
      <c r="D750" s="2128"/>
      <c r="E750" s="2128"/>
      <c r="F750" s="2128"/>
      <c r="G750" s="2128"/>
      <c r="H750" s="2128"/>
      <c r="I750" s="2128"/>
      <c r="J750" s="2128"/>
      <c r="K750" s="2128"/>
      <c r="L750" s="2128"/>
      <c r="M750" s="2128"/>
      <c r="N750" s="2128"/>
      <c r="O750" s="2128"/>
      <c r="P750" s="2128"/>
      <c r="Q750" s="2128"/>
      <c r="R750" s="2128"/>
      <c r="S750" s="2128"/>
      <c r="T750" s="2128"/>
      <c r="U750" s="2128"/>
      <c r="V750" s="2128"/>
      <c r="W750" s="2128"/>
      <c r="X750" s="2128"/>
      <c r="Y750" s="2128"/>
      <c r="Z750" s="2128"/>
      <c r="AA750" s="2128"/>
      <c r="AB750" s="2128"/>
      <c r="AC750" s="2128"/>
      <c r="AD750" s="2128"/>
    </row>
    <row r="751" spans="1:30" ht="15.75" customHeight="1" x14ac:dyDescent="0.3">
      <c r="A751" s="4433"/>
      <c r="B751" s="4433"/>
      <c r="C751" s="2128"/>
      <c r="D751" s="2128"/>
      <c r="E751" s="2128"/>
      <c r="F751" s="2128"/>
      <c r="G751" s="2128"/>
      <c r="H751" s="2128"/>
      <c r="I751" s="2128"/>
      <c r="J751" s="2128"/>
      <c r="K751" s="2128"/>
      <c r="L751" s="2128"/>
      <c r="M751" s="2128"/>
      <c r="N751" s="2128"/>
      <c r="O751" s="2128"/>
      <c r="P751" s="2128"/>
      <c r="Q751" s="2128"/>
      <c r="R751" s="2128"/>
      <c r="S751" s="2128"/>
      <c r="T751" s="2128"/>
      <c r="U751" s="2128"/>
      <c r="V751" s="2128"/>
      <c r="W751" s="2128"/>
      <c r="X751" s="2128"/>
      <c r="Y751" s="2128"/>
      <c r="Z751" s="2128"/>
      <c r="AA751" s="2128"/>
      <c r="AB751" s="2128"/>
      <c r="AC751" s="2128"/>
      <c r="AD751" s="2128"/>
    </row>
    <row r="752" spans="1:30" ht="15.75" customHeight="1" x14ac:dyDescent="0.3">
      <c r="A752" s="4433"/>
      <c r="B752" s="4433"/>
      <c r="C752" s="2128"/>
      <c r="D752" s="2128"/>
      <c r="E752" s="2128"/>
      <c r="F752" s="2128"/>
      <c r="G752" s="2128"/>
      <c r="H752" s="2128"/>
      <c r="I752" s="2128"/>
      <c r="J752" s="2128"/>
      <c r="K752" s="2128"/>
      <c r="L752" s="2128"/>
      <c r="M752" s="2128"/>
      <c r="N752" s="2128"/>
      <c r="O752" s="2128"/>
      <c r="P752" s="2128"/>
      <c r="Q752" s="2128"/>
      <c r="R752" s="2128"/>
      <c r="S752" s="2128"/>
      <c r="T752" s="2128"/>
      <c r="U752" s="2128"/>
      <c r="V752" s="2128"/>
      <c r="W752" s="2128"/>
      <c r="X752" s="2128"/>
      <c r="Y752" s="2128"/>
      <c r="Z752" s="2128"/>
      <c r="AA752" s="2128"/>
      <c r="AB752" s="2128"/>
      <c r="AC752" s="2128"/>
      <c r="AD752" s="2128"/>
    </row>
    <row r="753" spans="1:30" ht="15.75" customHeight="1" x14ac:dyDescent="0.3">
      <c r="A753" s="4433"/>
      <c r="B753" s="4433"/>
      <c r="C753" s="2128"/>
      <c r="D753" s="2128"/>
      <c r="E753" s="2128"/>
      <c r="F753" s="2128"/>
      <c r="G753" s="2128"/>
      <c r="H753" s="2128"/>
      <c r="I753" s="2128"/>
      <c r="J753" s="2128"/>
      <c r="K753" s="2128"/>
      <c r="L753" s="2128"/>
      <c r="M753" s="2128"/>
      <c r="N753" s="2128"/>
      <c r="O753" s="2128"/>
      <c r="P753" s="2128"/>
      <c r="Q753" s="2128"/>
      <c r="R753" s="2128"/>
      <c r="S753" s="2128"/>
      <c r="T753" s="2128"/>
      <c r="U753" s="2128"/>
      <c r="V753" s="2128"/>
      <c r="W753" s="2128"/>
      <c r="X753" s="2128"/>
      <c r="Y753" s="2128"/>
      <c r="Z753" s="2128"/>
      <c r="AA753" s="2128"/>
      <c r="AB753" s="2128"/>
      <c r="AC753" s="2128"/>
      <c r="AD753" s="2128"/>
    </row>
    <row r="754" spans="1:30" ht="15.75" customHeight="1" x14ac:dyDescent="0.3">
      <c r="A754" s="4433"/>
      <c r="B754" s="4433"/>
      <c r="C754" s="2128"/>
      <c r="D754" s="2128"/>
      <c r="E754" s="2128"/>
      <c r="F754" s="2128"/>
      <c r="G754" s="2128"/>
      <c r="H754" s="2128"/>
      <c r="I754" s="2128"/>
      <c r="J754" s="2128"/>
      <c r="K754" s="2128"/>
      <c r="L754" s="2128"/>
      <c r="M754" s="2128"/>
      <c r="N754" s="2128"/>
      <c r="O754" s="2128"/>
      <c r="P754" s="2128"/>
      <c r="Q754" s="2128"/>
      <c r="R754" s="2128"/>
      <c r="S754" s="2128"/>
      <c r="T754" s="2128"/>
      <c r="U754" s="2128"/>
      <c r="V754" s="2128"/>
      <c r="W754" s="2128"/>
      <c r="X754" s="2128"/>
      <c r="Y754" s="2128"/>
      <c r="Z754" s="2128"/>
      <c r="AA754" s="2128"/>
      <c r="AB754" s="2128"/>
      <c r="AC754" s="2128"/>
      <c r="AD754" s="2128"/>
    </row>
    <row r="755" spans="1:30" ht="15.75" customHeight="1" x14ac:dyDescent="0.3">
      <c r="A755" s="4433"/>
      <c r="B755" s="4433"/>
      <c r="C755" s="2128"/>
      <c r="D755" s="2128"/>
      <c r="E755" s="2128"/>
      <c r="F755" s="2128"/>
      <c r="G755" s="2128"/>
      <c r="H755" s="2128"/>
      <c r="I755" s="2128"/>
      <c r="J755" s="2128"/>
      <c r="K755" s="2128"/>
      <c r="L755" s="2128"/>
      <c r="M755" s="2128"/>
      <c r="N755" s="2128"/>
      <c r="O755" s="2128"/>
      <c r="P755" s="2128"/>
      <c r="Q755" s="2128"/>
      <c r="R755" s="2128"/>
      <c r="S755" s="2128"/>
      <c r="T755" s="2128"/>
      <c r="U755" s="2128"/>
      <c r="V755" s="2128"/>
      <c r="W755" s="2128"/>
      <c r="X755" s="2128"/>
      <c r="Y755" s="2128"/>
      <c r="Z755" s="2128"/>
      <c r="AA755" s="2128"/>
      <c r="AB755" s="2128"/>
      <c r="AC755" s="2128"/>
      <c r="AD755" s="2128"/>
    </row>
    <row r="756" spans="1:30" ht="15.75" customHeight="1" x14ac:dyDescent="0.3">
      <c r="A756" s="4433"/>
      <c r="B756" s="4433"/>
      <c r="C756" s="2128"/>
      <c r="D756" s="2128"/>
      <c r="E756" s="2128"/>
      <c r="F756" s="2128"/>
      <c r="G756" s="2128"/>
      <c r="H756" s="2128"/>
      <c r="I756" s="2128"/>
      <c r="J756" s="2128"/>
      <c r="K756" s="2128"/>
      <c r="L756" s="2128"/>
      <c r="M756" s="2128"/>
      <c r="N756" s="2128"/>
      <c r="O756" s="2128"/>
      <c r="P756" s="2128"/>
      <c r="Q756" s="2128"/>
      <c r="R756" s="2128"/>
      <c r="S756" s="2128"/>
      <c r="T756" s="2128"/>
      <c r="U756" s="2128"/>
      <c r="V756" s="2128"/>
      <c r="W756" s="2128"/>
      <c r="X756" s="2128"/>
      <c r="Y756" s="2128"/>
      <c r="Z756" s="2128"/>
      <c r="AA756" s="2128"/>
      <c r="AB756" s="2128"/>
      <c r="AC756" s="2128"/>
      <c r="AD756" s="2128"/>
    </row>
    <row r="757" spans="1:30" ht="15.75" customHeight="1" x14ac:dyDescent="0.3">
      <c r="A757" s="4433"/>
      <c r="B757" s="4433"/>
      <c r="C757" s="2128"/>
      <c r="D757" s="2128"/>
      <c r="E757" s="2128"/>
      <c r="F757" s="2128"/>
      <c r="G757" s="2128"/>
      <c r="H757" s="2128"/>
      <c r="I757" s="2128"/>
      <c r="J757" s="2128"/>
      <c r="K757" s="2128"/>
      <c r="L757" s="2128"/>
      <c r="M757" s="2128"/>
      <c r="N757" s="2128"/>
      <c r="O757" s="2128"/>
      <c r="P757" s="2128"/>
      <c r="Q757" s="2128"/>
      <c r="R757" s="2128"/>
      <c r="S757" s="2128"/>
      <c r="T757" s="2128"/>
      <c r="U757" s="2128"/>
      <c r="V757" s="2128"/>
      <c r="W757" s="2128"/>
      <c r="X757" s="2128"/>
      <c r="Y757" s="2128"/>
      <c r="Z757" s="2128"/>
      <c r="AA757" s="2128"/>
      <c r="AB757" s="2128"/>
      <c r="AC757" s="2128"/>
      <c r="AD757" s="2128"/>
    </row>
    <row r="758" spans="1:30" ht="15.75" customHeight="1" x14ac:dyDescent="0.3">
      <c r="A758" s="4433"/>
      <c r="B758" s="4433"/>
      <c r="C758" s="2128"/>
      <c r="D758" s="2128"/>
      <c r="E758" s="2128"/>
      <c r="F758" s="2128"/>
      <c r="G758" s="2128"/>
      <c r="H758" s="2128"/>
      <c r="I758" s="2128"/>
      <c r="J758" s="2128"/>
      <c r="K758" s="2128"/>
      <c r="L758" s="2128"/>
      <c r="M758" s="2128"/>
      <c r="N758" s="2128"/>
      <c r="O758" s="2128"/>
      <c r="P758" s="2128"/>
      <c r="Q758" s="2128"/>
      <c r="R758" s="2128"/>
      <c r="S758" s="2128"/>
      <c r="T758" s="2128"/>
      <c r="U758" s="2128"/>
      <c r="V758" s="2128"/>
      <c r="W758" s="2128"/>
      <c r="X758" s="2128"/>
      <c r="Y758" s="2128"/>
      <c r="Z758" s="2128"/>
      <c r="AA758" s="2128"/>
      <c r="AB758" s="2128"/>
      <c r="AC758" s="2128"/>
      <c r="AD758" s="2128"/>
    </row>
    <row r="759" spans="1:30" ht="15.75" customHeight="1" x14ac:dyDescent="0.3">
      <c r="A759" s="4433"/>
      <c r="B759" s="4433"/>
      <c r="C759" s="2128"/>
      <c r="D759" s="2128"/>
      <c r="E759" s="2128"/>
      <c r="F759" s="2128"/>
      <c r="G759" s="2128"/>
      <c r="H759" s="2128"/>
      <c r="I759" s="2128"/>
      <c r="J759" s="2128"/>
      <c r="K759" s="2128"/>
      <c r="L759" s="2128"/>
      <c r="M759" s="2128"/>
      <c r="N759" s="2128"/>
      <c r="O759" s="2128"/>
      <c r="P759" s="2128"/>
      <c r="Q759" s="2128"/>
      <c r="R759" s="2128"/>
      <c r="S759" s="2128"/>
      <c r="T759" s="2128"/>
      <c r="U759" s="2128"/>
      <c r="V759" s="2128"/>
      <c r="W759" s="2128"/>
      <c r="X759" s="2128"/>
      <c r="Y759" s="2128"/>
      <c r="Z759" s="2128"/>
      <c r="AA759" s="2128"/>
      <c r="AB759" s="2128"/>
      <c r="AC759" s="2128"/>
      <c r="AD759" s="2128"/>
    </row>
    <row r="760" spans="1:30" ht="15.75" customHeight="1" x14ac:dyDescent="0.3">
      <c r="A760" s="4433"/>
      <c r="B760" s="4433"/>
      <c r="C760" s="2128"/>
      <c r="D760" s="2128"/>
      <c r="E760" s="2128"/>
      <c r="F760" s="2128"/>
      <c r="G760" s="2128"/>
      <c r="H760" s="2128"/>
      <c r="I760" s="2128"/>
      <c r="J760" s="2128"/>
      <c r="K760" s="2128"/>
      <c r="L760" s="2128"/>
      <c r="M760" s="2128"/>
      <c r="N760" s="2128"/>
      <c r="O760" s="2128"/>
      <c r="P760" s="2128"/>
      <c r="Q760" s="2128"/>
      <c r="R760" s="2128"/>
      <c r="S760" s="2128"/>
      <c r="T760" s="2128"/>
      <c r="U760" s="2128"/>
      <c r="V760" s="2128"/>
      <c r="W760" s="2128"/>
      <c r="X760" s="2128"/>
      <c r="Y760" s="2128"/>
      <c r="Z760" s="2128"/>
      <c r="AA760" s="2128"/>
      <c r="AB760" s="2128"/>
      <c r="AC760" s="2128"/>
      <c r="AD760" s="2128"/>
    </row>
    <row r="761" spans="1:30" ht="15.75" customHeight="1" x14ac:dyDescent="0.3">
      <c r="A761" s="4433"/>
      <c r="B761" s="4433"/>
      <c r="C761" s="2128"/>
      <c r="D761" s="2128"/>
      <c r="E761" s="2128"/>
      <c r="F761" s="2128"/>
      <c r="G761" s="2128"/>
      <c r="H761" s="2128"/>
      <c r="I761" s="2128"/>
      <c r="J761" s="2128"/>
      <c r="K761" s="2128"/>
      <c r="L761" s="2128"/>
      <c r="M761" s="2128"/>
      <c r="N761" s="2128"/>
      <c r="O761" s="2128"/>
      <c r="P761" s="2128"/>
      <c r="Q761" s="2128"/>
      <c r="R761" s="2128"/>
      <c r="S761" s="2128"/>
      <c r="T761" s="2128"/>
      <c r="U761" s="2128"/>
      <c r="V761" s="2128"/>
      <c r="W761" s="2128"/>
      <c r="X761" s="2128"/>
      <c r="Y761" s="2128"/>
      <c r="Z761" s="2128"/>
      <c r="AA761" s="2128"/>
      <c r="AB761" s="2128"/>
      <c r="AC761" s="2128"/>
      <c r="AD761" s="2128"/>
    </row>
    <row r="762" spans="1:30" ht="15.75" customHeight="1" x14ac:dyDescent="0.3">
      <c r="A762" s="4433"/>
      <c r="B762" s="4433"/>
      <c r="C762" s="2128"/>
      <c r="D762" s="2128"/>
      <c r="E762" s="2128"/>
      <c r="F762" s="2128"/>
      <c r="G762" s="2128"/>
      <c r="H762" s="2128"/>
      <c r="I762" s="2128"/>
      <c r="J762" s="2128"/>
      <c r="K762" s="2128"/>
      <c r="L762" s="2128"/>
      <c r="M762" s="2128"/>
      <c r="N762" s="2128"/>
      <c r="O762" s="2128"/>
      <c r="P762" s="2128"/>
      <c r="Q762" s="2128"/>
      <c r="R762" s="2128"/>
      <c r="S762" s="2128"/>
      <c r="T762" s="2128"/>
      <c r="U762" s="2128"/>
      <c r="V762" s="2128"/>
      <c r="W762" s="2128"/>
      <c r="X762" s="2128"/>
      <c r="Y762" s="2128"/>
      <c r="Z762" s="2128"/>
      <c r="AA762" s="2128"/>
      <c r="AB762" s="2128"/>
      <c r="AC762" s="2128"/>
      <c r="AD762" s="2128"/>
    </row>
    <row r="763" spans="1:30" ht="15.75" customHeight="1" x14ac:dyDescent="0.3">
      <c r="A763" s="4433"/>
      <c r="B763" s="4433"/>
      <c r="C763" s="2128"/>
      <c r="D763" s="2128"/>
      <c r="E763" s="2128"/>
      <c r="F763" s="2128"/>
      <c r="G763" s="2128"/>
      <c r="H763" s="2128"/>
      <c r="I763" s="2128"/>
      <c r="J763" s="2128"/>
      <c r="K763" s="2128"/>
      <c r="L763" s="2128"/>
      <c r="M763" s="2128"/>
      <c r="N763" s="2128"/>
      <c r="O763" s="2128"/>
      <c r="P763" s="2128"/>
      <c r="Q763" s="2128"/>
      <c r="R763" s="2128"/>
      <c r="S763" s="2128"/>
      <c r="T763" s="2128"/>
      <c r="U763" s="2128"/>
      <c r="V763" s="2128"/>
      <c r="W763" s="2128"/>
      <c r="X763" s="2128"/>
      <c r="Y763" s="2128"/>
      <c r="Z763" s="2128"/>
      <c r="AA763" s="2128"/>
      <c r="AB763" s="2128"/>
      <c r="AC763" s="2128"/>
      <c r="AD763" s="2128"/>
    </row>
    <row r="764" spans="1:30" ht="15.75" customHeight="1" x14ac:dyDescent="0.3">
      <c r="A764" s="4433"/>
      <c r="B764" s="4433"/>
      <c r="C764" s="2128"/>
      <c r="D764" s="2128"/>
      <c r="E764" s="2128"/>
      <c r="F764" s="2128"/>
      <c r="G764" s="2128"/>
      <c r="H764" s="2128"/>
      <c r="I764" s="2128"/>
      <c r="J764" s="2128"/>
      <c r="K764" s="2128"/>
      <c r="L764" s="2128"/>
      <c r="M764" s="2128"/>
      <c r="N764" s="2128"/>
      <c r="O764" s="2128"/>
      <c r="P764" s="2128"/>
      <c r="Q764" s="2128"/>
      <c r="R764" s="2128"/>
      <c r="S764" s="2128"/>
      <c r="T764" s="2128"/>
      <c r="U764" s="2128"/>
      <c r="V764" s="2128"/>
      <c r="W764" s="2128"/>
      <c r="X764" s="2128"/>
      <c r="Y764" s="2128"/>
      <c r="Z764" s="2128"/>
      <c r="AA764" s="2128"/>
      <c r="AB764" s="2128"/>
      <c r="AC764" s="2128"/>
      <c r="AD764" s="2128"/>
    </row>
    <row r="765" spans="1:30" ht="15.75" customHeight="1" x14ac:dyDescent="0.3">
      <c r="A765" s="4433"/>
      <c r="B765" s="4433"/>
      <c r="C765" s="2128"/>
      <c r="D765" s="2128"/>
      <c r="E765" s="2128"/>
      <c r="F765" s="2128"/>
      <c r="G765" s="2128"/>
      <c r="H765" s="2128"/>
      <c r="I765" s="2128"/>
      <c r="J765" s="2128"/>
      <c r="K765" s="2128"/>
      <c r="L765" s="2128"/>
      <c r="M765" s="2128"/>
      <c r="N765" s="2128"/>
      <c r="O765" s="2128"/>
      <c r="P765" s="2128"/>
      <c r="Q765" s="2128"/>
      <c r="R765" s="2128"/>
      <c r="S765" s="2128"/>
      <c r="T765" s="2128"/>
      <c r="U765" s="2128"/>
      <c r="V765" s="2128"/>
      <c r="W765" s="2128"/>
      <c r="X765" s="2128"/>
      <c r="Y765" s="2128"/>
      <c r="Z765" s="2128"/>
      <c r="AA765" s="2128"/>
      <c r="AB765" s="2128"/>
      <c r="AC765" s="2128"/>
      <c r="AD765" s="2128"/>
    </row>
    <row r="766" spans="1:30" ht="15.75" customHeight="1" x14ac:dyDescent="0.3">
      <c r="A766" s="4433"/>
      <c r="B766" s="4433"/>
      <c r="C766" s="2128"/>
      <c r="D766" s="2128"/>
      <c r="E766" s="2128"/>
      <c r="F766" s="2128"/>
      <c r="G766" s="2128"/>
      <c r="H766" s="2128"/>
      <c r="I766" s="2128"/>
      <c r="J766" s="2128"/>
      <c r="K766" s="2128"/>
      <c r="L766" s="2128"/>
      <c r="M766" s="2128"/>
      <c r="N766" s="2128"/>
      <c r="O766" s="2128"/>
      <c r="P766" s="2128"/>
      <c r="Q766" s="2128"/>
      <c r="R766" s="2128"/>
      <c r="S766" s="2128"/>
      <c r="T766" s="2128"/>
      <c r="U766" s="2128"/>
      <c r="V766" s="2128"/>
      <c r="W766" s="2128"/>
      <c r="X766" s="2128"/>
      <c r="Y766" s="2128"/>
      <c r="Z766" s="2128"/>
      <c r="AA766" s="2128"/>
      <c r="AB766" s="2128"/>
      <c r="AC766" s="2128"/>
      <c r="AD766" s="2128"/>
    </row>
    <row r="767" spans="1:30" ht="15.75" customHeight="1" x14ac:dyDescent="0.3">
      <c r="A767" s="4433"/>
      <c r="B767" s="4433"/>
      <c r="C767" s="2128"/>
      <c r="D767" s="2128"/>
      <c r="E767" s="2128"/>
      <c r="F767" s="2128"/>
      <c r="G767" s="2128"/>
      <c r="H767" s="2128"/>
      <c r="I767" s="2128"/>
      <c r="J767" s="2128"/>
      <c r="K767" s="2128"/>
      <c r="L767" s="2128"/>
      <c r="M767" s="2128"/>
      <c r="N767" s="2128"/>
      <c r="O767" s="2128"/>
      <c r="P767" s="2128"/>
      <c r="Q767" s="2128"/>
      <c r="R767" s="2128"/>
      <c r="S767" s="2128"/>
      <c r="T767" s="2128"/>
      <c r="U767" s="2128"/>
      <c r="V767" s="2128"/>
      <c r="W767" s="2128"/>
      <c r="X767" s="2128"/>
      <c r="Y767" s="2128"/>
      <c r="Z767" s="2128"/>
      <c r="AA767" s="2128"/>
      <c r="AB767" s="2128"/>
      <c r="AC767" s="2128"/>
      <c r="AD767" s="2128"/>
    </row>
    <row r="768" spans="1:30" ht="15.75" customHeight="1" x14ac:dyDescent="0.3">
      <c r="A768" s="4433"/>
      <c r="B768" s="4433"/>
      <c r="C768" s="2128"/>
      <c r="D768" s="2128"/>
      <c r="E768" s="2128"/>
      <c r="F768" s="2128"/>
      <c r="G768" s="2128"/>
      <c r="H768" s="2128"/>
      <c r="I768" s="2128"/>
      <c r="J768" s="2128"/>
      <c r="K768" s="2128"/>
      <c r="L768" s="2128"/>
      <c r="M768" s="2128"/>
      <c r="N768" s="2128"/>
      <c r="O768" s="2128"/>
      <c r="P768" s="2128"/>
      <c r="Q768" s="2128"/>
      <c r="R768" s="2128"/>
      <c r="S768" s="2128"/>
      <c r="T768" s="2128"/>
      <c r="U768" s="2128"/>
      <c r="V768" s="2128"/>
      <c r="W768" s="2128"/>
      <c r="X768" s="2128"/>
      <c r="Y768" s="2128"/>
      <c r="Z768" s="2128"/>
      <c r="AA768" s="2128"/>
      <c r="AB768" s="2128"/>
      <c r="AC768" s="2128"/>
      <c r="AD768" s="2128"/>
    </row>
    <row r="769" spans="1:30" ht="15.75" customHeight="1" x14ac:dyDescent="0.3">
      <c r="A769" s="4433"/>
      <c r="B769" s="4433"/>
      <c r="C769" s="2128"/>
      <c r="D769" s="2128"/>
      <c r="E769" s="2128"/>
      <c r="F769" s="2128"/>
      <c r="G769" s="2128"/>
      <c r="H769" s="2128"/>
      <c r="I769" s="2128"/>
      <c r="J769" s="2128"/>
      <c r="K769" s="2128"/>
      <c r="L769" s="2128"/>
      <c r="M769" s="2128"/>
      <c r="N769" s="2128"/>
      <c r="O769" s="2128"/>
      <c r="P769" s="2128"/>
      <c r="Q769" s="2128"/>
      <c r="R769" s="2128"/>
      <c r="S769" s="2128"/>
      <c r="T769" s="2128"/>
      <c r="U769" s="2128"/>
      <c r="V769" s="2128"/>
      <c r="W769" s="2128"/>
      <c r="X769" s="2128"/>
      <c r="Y769" s="2128"/>
      <c r="Z769" s="2128"/>
      <c r="AA769" s="2128"/>
      <c r="AB769" s="2128"/>
      <c r="AC769" s="2128"/>
      <c r="AD769" s="2128"/>
    </row>
    <row r="770" spans="1:30" ht="15.75" customHeight="1" x14ac:dyDescent="0.3">
      <c r="A770" s="4433"/>
      <c r="B770" s="4433"/>
      <c r="C770" s="2128"/>
      <c r="D770" s="2128"/>
      <c r="E770" s="2128"/>
      <c r="F770" s="2128"/>
      <c r="G770" s="2128"/>
      <c r="H770" s="2128"/>
      <c r="I770" s="2128"/>
      <c r="J770" s="2128"/>
      <c r="K770" s="2128"/>
      <c r="L770" s="2128"/>
      <c r="M770" s="2128"/>
      <c r="N770" s="2128"/>
      <c r="O770" s="2128"/>
      <c r="P770" s="2128"/>
      <c r="Q770" s="2128"/>
      <c r="R770" s="2128"/>
      <c r="S770" s="2128"/>
      <c r="T770" s="2128"/>
      <c r="U770" s="2128"/>
      <c r="V770" s="2128"/>
      <c r="W770" s="2128"/>
      <c r="X770" s="2128"/>
      <c r="Y770" s="2128"/>
      <c r="Z770" s="2128"/>
      <c r="AA770" s="2128"/>
      <c r="AB770" s="2128"/>
      <c r="AC770" s="2128"/>
      <c r="AD770" s="2128"/>
    </row>
    <row r="771" spans="1:30" ht="15.75" customHeight="1" x14ac:dyDescent="0.3">
      <c r="A771" s="4433"/>
      <c r="B771" s="4433"/>
      <c r="C771" s="2128"/>
      <c r="D771" s="2128"/>
      <c r="E771" s="2128"/>
      <c r="F771" s="2128"/>
      <c r="G771" s="2128"/>
      <c r="H771" s="2128"/>
      <c r="I771" s="2128"/>
      <c r="J771" s="2128"/>
      <c r="K771" s="2128"/>
      <c r="L771" s="2128"/>
      <c r="M771" s="2128"/>
      <c r="N771" s="2128"/>
      <c r="O771" s="2128"/>
      <c r="P771" s="2128"/>
      <c r="Q771" s="2128"/>
      <c r="R771" s="2128"/>
      <c r="S771" s="2128"/>
      <c r="T771" s="2128"/>
      <c r="U771" s="2128"/>
      <c r="V771" s="2128"/>
      <c r="W771" s="2128"/>
      <c r="X771" s="2128"/>
      <c r="Y771" s="2128"/>
      <c r="Z771" s="2128"/>
      <c r="AA771" s="2128"/>
      <c r="AB771" s="2128"/>
      <c r="AC771" s="2128"/>
      <c r="AD771" s="2128"/>
    </row>
    <row r="772" spans="1:30" ht="15.75" customHeight="1" x14ac:dyDescent="0.3">
      <c r="A772" s="4433"/>
      <c r="B772" s="4433"/>
      <c r="C772" s="2128"/>
      <c r="D772" s="2128"/>
      <c r="E772" s="2128"/>
      <c r="F772" s="2128"/>
      <c r="G772" s="2128"/>
      <c r="H772" s="2128"/>
      <c r="I772" s="2128"/>
      <c r="J772" s="2128"/>
      <c r="K772" s="2128"/>
      <c r="L772" s="2128"/>
      <c r="M772" s="2128"/>
      <c r="N772" s="2128"/>
      <c r="O772" s="2128"/>
      <c r="P772" s="2128"/>
      <c r="Q772" s="2128"/>
      <c r="R772" s="2128"/>
      <c r="S772" s="2128"/>
      <c r="T772" s="2128"/>
      <c r="U772" s="2128"/>
      <c r="V772" s="2128"/>
      <c r="W772" s="2128"/>
      <c r="X772" s="2128"/>
      <c r="Y772" s="2128"/>
      <c r="Z772" s="2128"/>
      <c r="AA772" s="2128"/>
      <c r="AB772" s="2128"/>
      <c r="AC772" s="2128"/>
      <c r="AD772" s="2128"/>
    </row>
    <row r="773" spans="1:30" ht="15.75" customHeight="1" x14ac:dyDescent="0.3">
      <c r="A773" s="4433"/>
      <c r="B773" s="4433"/>
      <c r="C773" s="2128"/>
      <c r="D773" s="2128"/>
      <c r="E773" s="2128"/>
      <c r="F773" s="2128"/>
      <c r="G773" s="2128"/>
      <c r="H773" s="2128"/>
      <c r="I773" s="2128"/>
      <c r="J773" s="2128"/>
      <c r="K773" s="2128"/>
      <c r="L773" s="2128"/>
      <c r="M773" s="2128"/>
      <c r="N773" s="2128"/>
      <c r="O773" s="2128"/>
      <c r="P773" s="2128"/>
      <c r="Q773" s="2128"/>
      <c r="R773" s="2128"/>
      <c r="S773" s="2128"/>
      <c r="T773" s="2128"/>
      <c r="U773" s="2128"/>
      <c r="V773" s="2128"/>
      <c r="W773" s="2128"/>
      <c r="X773" s="2128"/>
      <c r="Y773" s="2128"/>
      <c r="Z773" s="2128"/>
      <c r="AA773" s="2128"/>
      <c r="AB773" s="2128"/>
      <c r="AC773" s="2128"/>
      <c r="AD773" s="2128"/>
    </row>
    <row r="774" spans="1:30" ht="15.75" customHeight="1" x14ac:dyDescent="0.3">
      <c r="A774" s="4433"/>
      <c r="B774" s="4433"/>
      <c r="C774" s="2128"/>
      <c r="D774" s="2128"/>
      <c r="E774" s="2128"/>
      <c r="F774" s="2128"/>
      <c r="G774" s="2128"/>
      <c r="H774" s="2128"/>
      <c r="I774" s="2128"/>
      <c r="J774" s="2128"/>
      <c r="K774" s="2128"/>
      <c r="L774" s="2128"/>
      <c r="M774" s="2128"/>
      <c r="N774" s="2128"/>
      <c r="O774" s="2128"/>
      <c r="P774" s="2128"/>
      <c r="Q774" s="2128"/>
      <c r="R774" s="2128"/>
      <c r="S774" s="2128"/>
      <c r="T774" s="2128"/>
      <c r="U774" s="2128"/>
      <c r="V774" s="2128"/>
      <c r="W774" s="2128"/>
      <c r="X774" s="2128"/>
      <c r="Y774" s="2128"/>
      <c r="Z774" s="2128"/>
      <c r="AA774" s="2128"/>
      <c r="AB774" s="2128"/>
      <c r="AC774" s="2128"/>
      <c r="AD774" s="2128"/>
    </row>
    <row r="775" spans="1:30" ht="15.75" customHeight="1" x14ac:dyDescent="0.3">
      <c r="A775" s="4433"/>
      <c r="B775" s="4433"/>
      <c r="C775" s="2128"/>
      <c r="D775" s="2128"/>
      <c r="E775" s="2128"/>
      <c r="F775" s="2128"/>
      <c r="G775" s="2128"/>
      <c r="H775" s="2128"/>
      <c r="I775" s="2128"/>
      <c r="J775" s="2128"/>
      <c r="K775" s="2128"/>
      <c r="L775" s="2128"/>
      <c r="M775" s="2128"/>
      <c r="N775" s="2128"/>
      <c r="O775" s="2128"/>
      <c r="P775" s="2128"/>
      <c r="Q775" s="2128"/>
      <c r="R775" s="2128"/>
      <c r="S775" s="2128"/>
      <c r="T775" s="2128"/>
      <c r="U775" s="2128"/>
      <c r="V775" s="2128"/>
      <c r="W775" s="2128"/>
      <c r="X775" s="2128"/>
      <c r="Y775" s="2128"/>
      <c r="Z775" s="2128"/>
      <c r="AA775" s="2128"/>
      <c r="AB775" s="2128"/>
      <c r="AC775" s="2128"/>
      <c r="AD775" s="2128"/>
    </row>
    <row r="776" spans="1:30" ht="15.75" customHeight="1" x14ac:dyDescent="0.3">
      <c r="A776" s="4433"/>
      <c r="B776" s="4433"/>
      <c r="C776" s="2128"/>
      <c r="D776" s="2128"/>
      <c r="E776" s="2128"/>
      <c r="F776" s="2128"/>
      <c r="G776" s="2128"/>
      <c r="H776" s="2128"/>
      <c r="I776" s="2128"/>
      <c r="J776" s="2128"/>
      <c r="K776" s="2128"/>
      <c r="L776" s="2128"/>
      <c r="M776" s="2128"/>
      <c r="N776" s="2128"/>
      <c r="O776" s="2128"/>
      <c r="P776" s="2128"/>
      <c r="Q776" s="2128"/>
      <c r="R776" s="2128"/>
      <c r="S776" s="2128"/>
      <c r="T776" s="2128"/>
      <c r="U776" s="2128"/>
      <c r="V776" s="2128"/>
      <c r="W776" s="2128"/>
      <c r="X776" s="2128"/>
      <c r="Y776" s="2128"/>
      <c r="Z776" s="2128"/>
      <c r="AA776" s="2128"/>
      <c r="AB776" s="2128"/>
      <c r="AC776" s="2128"/>
      <c r="AD776" s="2128"/>
    </row>
    <row r="777" spans="1:30" ht="15.75" customHeight="1" x14ac:dyDescent="0.3">
      <c r="A777" s="4433"/>
      <c r="B777" s="4433"/>
      <c r="C777" s="2128"/>
      <c r="D777" s="2128"/>
      <c r="E777" s="2128"/>
      <c r="F777" s="2128"/>
      <c r="G777" s="2128"/>
      <c r="H777" s="2128"/>
      <c r="I777" s="2128"/>
      <c r="J777" s="2128"/>
      <c r="K777" s="2128"/>
      <c r="L777" s="2128"/>
      <c r="M777" s="2128"/>
      <c r="N777" s="2128"/>
      <c r="O777" s="2128"/>
      <c r="P777" s="2128"/>
      <c r="Q777" s="2128"/>
      <c r="R777" s="2128"/>
      <c r="S777" s="2128"/>
      <c r="T777" s="2128"/>
      <c r="U777" s="2128"/>
      <c r="V777" s="2128"/>
      <c r="W777" s="2128"/>
      <c r="X777" s="2128"/>
      <c r="Y777" s="2128"/>
      <c r="Z777" s="2128"/>
      <c r="AA777" s="2128"/>
      <c r="AB777" s="2128"/>
      <c r="AC777" s="2128"/>
      <c r="AD777" s="2128"/>
    </row>
    <row r="778" spans="1:30" ht="15.75" customHeight="1" x14ac:dyDescent="0.3">
      <c r="A778" s="4433"/>
      <c r="B778" s="4433"/>
      <c r="C778" s="2128"/>
      <c r="D778" s="2128"/>
      <c r="E778" s="2128"/>
      <c r="F778" s="2128"/>
      <c r="G778" s="2128"/>
      <c r="H778" s="2128"/>
      <c r="I778" s="2128"/>
      <c r="J778" s="2128"/>
      <c r="K778" s="2128"/>
      <c r="L778" s="2128"/>
      <c r="M778" s="2128"/>
      <c r="N778" s="2128"/>
      <c r="O778" s="2128"/>
      <c r="P778" s="2128"/>
      <c r="Q778" s="2128"/>
      <c r="R778" s="2128"/>
      <c r="S778" s="2128"/>
      <c r="T778" s="2128"/>
      <c r="U778" s="2128"/>
      <c r="V778" s="2128"/>
      <c r="W778" s="2128"/>
      <c r="X778" s="2128"/>
      <c r="Y778" s="2128"/>
      <c r="Z778" s="2128"/>
      <c r="AA778" s="2128"/>
      <c r="AB778" s="2128"/>
      <c r="AC778" s="2128"/>
      <c r="AD778" s="2128"/>
    </row>
    <row r="779" spans="1:30" ht="15.75" customHeight="1" x14ac:dyDescent="0.3">
      <c r="A779" s="4433"/>
      <c r="B779" s="4433"/>
      <c r="C779" s="2128"/>
      <c r="D779" s="2128"/>
      <c r="E779" s="2128"/>
      <c r="F779" s="2128"/>
      <c r="G779" s="2128"/>
      <c r="H779" s="2128"/>
      <c r="I779" s="2128"/>
      <c r="J779" s="2128"/>
      <c r="K779" s="2128"/>
      <c r="L779" s="2128"/>
      <c r="M779" s="2128"/>
      <c r="N779" s="2128"/>
      <c r="O779" s="2128"/>
      <c r="P779" s="2128"/>
      <c r="Q779" s="2128"/>
      <c r="R779" s="2128"/>
      <c r="S779" s="2128"/>
      <c r="T779" s="2128"/>
      <c r="U779" s="2128"/>
      <c r="V779" s="2128"/>
      <c r="W779" s="2128"/>
      <c r="X779" s="2128"/>
      <c r="Y779" s="2128"/>
      <c r="Z779" s="2128"/>
      <c r="AA779" s="2128"/>
      <c r="AB779" s="2128"/>
      <c r="AC779" s="2128"/>
      <c r="AD779" s="2128"/>
    </row>
    <row r="780" spans="1:30" ht="15.75" customHeight="1" x14ac:dyDescent="0.3">
      <c r="A780" s="4433"/>
      <c r="B780" s="4433"/>
      <c r="C780" s="2128"/>
      <c r="D780" s="2128"/>
      <c r="E780" s="2128"/>
      <c r="F780" s="2128"/>
      <c r="G780" s="2128"/>
      <c r="H780" s="2128"/>
      <c r="I780" s="2128"/>
      <c r="J780" s="2128"/>
      <c r="K780" s="2128"/>
      <c r="L780" s="2128"/>
      <c r="M780" s="2128"/>
      <c r="N780" s="2128"/>
      <c r="O780" s="2128"/>
      <c r="P780" s="2128"/>
      <c r="Q780" s="2128"/>
      <c r="R780" s="2128"/>
      <c r="S780" s="2128"/>
      <c r="T780" s="2128"/>
      <c r="U780" s="2128"/>
      <c r="V780" s="2128"/>
      <c r="W780" s="2128"/>
      <c r="X780" s="2128"/>
      <c r="Y780" s="2128"/>
      <c r="Z780" s="2128"/>
      <c r="AA780" s="2128"/>
      <c r="AB780" s="2128"/>
      <c r="AC780" s="2128"/>
      <c r="AD780" s="2128"/>
    </row>
    <row r="781" spans="1:30" ht="15.75" customHeight="1" x14ac:dyDescent="0.3">
      <c r="A781" s="4433"/>
      <c r="B781" s="4433"/>
      <c r="C781" s="2128"/>
      <c r="D781" s="2128"/>
      <c r="E781" s="2128"/>
      <c r="F781" s="2128"/>
      <c r="G781" s="2128"/>
      <c r="H781" s="2128"/>
      <c r="I781" s="2128"/>
      <c r="J781" s="2128"/>
      <c r="K781" s="2128"/>
      <c r="L781" s="2128"/>
      <c r="M781" s="2128"/>
      <c r="N781" s="2128"/>
      <c r="O781" s="2128"/>
      <c r="P781" s="2128"/>
      <c r="Q781" s="2128"/>
      <c r="R781" s="2128"/>
      <c r="S781" s="2128"/>
      <c r="T781" s="2128"/>
      <c r="U781" s="2128"/>
      <c r="V781" s="2128"/>
      <c r="W781" s="2128"/>
      <c r="X781" s="2128"/>
      <c r="Y781" s="2128"/>
      <c r="Z781" s="2128"/>
      <c r="AA781" s="2128"/>
      <c r="AB781" s="2128"/>
      <c r="AC781" s="2128"/>
      <c r="AD781" s="2128"/>
    </row>
    <row r="782" spans="1:30" ht="15.75" customHeight="1" x14ac:dyDescent="0.3">
      <c r="A782" s="4433"/>
      <c r="B782" s="4433"/>
      <c r="C782" s="2128"/>
      <c r="D782" s="2128"/>
      <c r="E782" s="2128"/>
      <c r="F782" s="2128"/>
      <c r="G782" s="2128"/>
      <c r="H782" s="2128"/>
      <c r="I782" s="2128"/>
      <c r="J782" s="2128"/>
      <c r="K782" s="2128"/>
      <c r="L782" s="2128"/>
      <c r="M782" s="2128"/>
      <c r="N782" s="2128"/>
      <c r="O782" s="2128"/>
      <c r="P782" s="2128"/>
      <c r="Q782" s="2128"/>
      <c r="R782" s="2128"/>
      <c r="S782" s="2128"/>
      <c r="T782" s="2128"/>
      <c r="U782" s="2128"/>
      <c r="V782" s="2128"/>
      <c r="W782" s="2128"/>
      <c r="X782" s="2128"/>
      <c r="Y782" s="2128"/>
      <c r="Z782" s="2128"/>
      <c r="AA782" s="2128"/>
      <c r="AB782" s="2128"/>
      <c r="AC782" s="2128"/>
      <c r="AD782" s="2128"/>
    </row>
    <row r="783" spans="1:30" ht="15.75" customHeight="1" x14ac:dyDescent="0.3">
      <c r="A783" s="4433"/>
      <c r="B783" s="4433"/>
      <c r="C783" s="2128"/>
      <c r="D783" s="2128"/>
      <c r="E783" s="2128"/>
      <c r="F783" s="2128"/>
      <c r="G783" s="2128"/>
      <c r="H783" s="2128"/>
      <c r="I783" s="2128"/>
      <c r="J783" s="2128"/>
      <c r="K783" s="2128"/>
      <c r="L783" s="2128"/>
      <c r="M783" s="2128"/>
      <c r="N783" s="2128"/>
      <c r="O783" s="2128"/>
      <c r="P783" s="2128"/>
      <c r="Q783" s="2128"/>
      <c r="R783" s="2128"/>
      <c r="S783" s="2128"/>
      <c r="T783" s="2128"/>
      <c r="U783" s="2128"/>
      <c r="V783" s="2128"/>
      <c r="W783" s="2128"/>
      <c r="X783" s="2128"/>
      <c r="Y783" s="2128"/>
      <c r="Z783" s="2128"/>
      <c r="AA783" s="2128"/>
      <c r="AB783" s="2128"/>
      <c r="AC783" s="2128"/>
      <c r="AD783" s="2128"/>
    </row>
    <row r="784" spans="1:30" ht="15.75" customHeight="1" x14ac:dyDescent="0.3">
      <c r="A784" s="4433"/>
      <c r="B784" s="4433"/>
      <c r="C784" s="2128"/>
      <c r="D784" s="2128"/>
      <c r="E784" s="2128"/>
      <c r="F784" s="2128"/>
      <c r="G784" s="2128"/>
      <c r="H784" s="2128"/>
      <c r="I784" s="2128"/>
      <c r="J784" s="2128"/>
      <c r="K784" s="2128"/>
      <c r="L784" s="2128"/>
      <c r="M784" s="2128"/>
      <c r="N784" s="2128"/>
      <c r="O784" s="2128"/>
      <c r="P784" s="2128"/>
      <c r="Q784" s="2128"/>
      <c r="R784" s="2128"/>
      <c r="S784" s="2128"/>
      <c r="T784" s="2128"/>
      <c r="U784" s="2128"/>
      <c r="V784" s="2128"/>
      <c r="W784" s="2128"/>
      <c r="X784" s="2128"/>
      <c r="Y784" s="2128"/>
      <c r="Z784" s="2128"/>
      <c r="AA784" s="2128"/>
      <c r="AB784" s="2128"/>
      <c r="AC784" s="2128"/>
      <c r="AD784" s="2128"/>
    </row>
    <row r="785" spans="1:30" ht="15.75" customHeight="1" x14ac:dyDescent="0.3">
      <c r="A785" s="4433"/>
      <c r="B785" s="4433"/>
      <c r="C785" s="2128"/>
      <c r="D785" s="2128"/>
      <c r="E785" s="2128"/>
      <c r="F785" s="2128"/>
      <c r="G785" s="2128"/>
      <c r="H785" s="2128"/>
      <c r="I785" s="2128"/>
      <c r="J785" s="2128"/>
      <c r="K785" s="2128"/>
      <c r="L785" s="2128"/>
      <c r="M785" s="2128"/>
      <c r="N785" s="2128"/>
      <c r="O785" s="2128"/>
      <c r="P785" s="2128"/>
      <c r="Q785" s="2128"/>
      <c r="R785" s="2128"/>
      <c r="S785" s="2128"/>
      <c r="T785" s="2128"/>
      <c r="U785" s="2128"/>
      <c r="V785" s="2128"/>
      <c r="W785" s="2128"/>
      <c r="X785" s="2128"/>
      <c r="Y785" s="2128"/>
      <c r="Z785" s="2128"/>
      <c r="AA785" s="2128"/>
      <c r="AB785" s="2128"/>
      <c r="AC785" s="2128"/>
      <c r="AD785" s="2128"/>
    </row>
    <row r="786" spans="1:30" ht="15.75" customHeight="1" x14ac:dyDescent="0.3">
      <c r="A786" s="4433"/>
      <c r="B786" s="4433"/>
      <c r="C786" s="2128"/>
      <c r="D786" s="2128"/>
      <c r="E786" s="2128"/>
      <c r="F786" s="2128"/>
      <c r="G786" s="2128"/>
      <c r="H786" s="2128"/>
      <c r="I786" s="2128"/>
      <c r="J786" s="2128"/>
      <c r="K786" s="2128"/>
      <c r="L786" s="2128"/>
      <c r="M786" s="2128"/>
      <c r="N786" s="2128"/>
      <c r="O786" s="2128"/>
      <c r="P786" s="2128"/>
      <c r="Q786" s="2128"/>
      <c r="R786" s="2128"/>
      <c r="S786" s="2128"/>
      <c r="T786" s="2128"/>
      <c r="U786" s="2128"/>
      <c r="V786" s="2128"/>
      <c r="W786" s="2128"/>
      <c r="X786" s="2128"/>
      <c r="Y786" s="2128"/>
      <c r="Z786" s="2128"/>
      <c r="AA786" s="2128"/>
      <c r="AB786" s="2128"/>
      <c r="AC786" s="2128"/>
      <c r="AD786" s="2128"/>
    </row>
    <row r="787" spans="1:30" ht="15.75" customHeight="1" x14ac:dyDescent="0.3">
      <c r="A787" s="4433"/>
      <c r="B787" s="4433"/>
      <c r="C787" s="2128"/>
      <c r="D787" s="2128"/>
      <c r="E787" s="2128"/>
      <c r="F787" s="2128"/>
      <c r="G787" s="2128"/>
      <c r="H787" s="2128"/>
      <c r="I787" s="2128"/>
      <c r="J787" s="2128"/>
      <c r="K787" s="2128"/>
      <c r="L787" s="2128"/>
      <c r="M787" s="2128"/>
      <c r="N787" s="2128"/>
      <c r="O787" s="2128"/>
      <c r="P787" s="2128"/>
      <c r="Q787" s="2128"/>
      <c r="R787" s="2128"/>
      <c r="S787" s="2128"/>
      <c r="T787" s="2128"/>
      <c r="U787" s="2128"/>
      <c r="V787" s="2128"/>
      <c r="W787" s="2128"/>
      <c r="X787" s="2128"/>
      <c r="Y787" s="2128"/>
      <c r="Z787" s="2128"/>
      <c r="AA787" s="2128"/>
      <c r="AB787" s="2128"/>
      <c r="AC787" s="2128"/>
      <c r="AD787" s="2128"/>
    </row>
    <row r="788" spans="1:30" ht="15.75" customHeight="1" x14ac:dyDescent="0.3">
      <c r="A788" s="4433"/>
      <c r="B788" s="4433"/>
      <c r="C788" s="2128"/>
      <c r="D788" s="2128"/>
      <c r="E788" s="2128"/>
      <c r="F788" s="2128"/>
      <c r="G788" s="2128"/>
      <c r="H788" s="2128"/>
      <c r="I788" s="2128"/>
      <c r="J788" s="2128"/>
      <c r="K788" s="2128"/>
      <c r="L788" s="2128"/>
      <c r="M788" s="2128"/>
      <c r="N788" s="2128"/>
      <c r="O788" s="2128"/>
      <c r="P788" s="2128"/>
      <c r="Q788" s="2128"/>
      <c r="R788" s="2128"/>
      <c r="S788" s="2128"/>
      <c r="T788" s="2128"/>
      <c r="U788" s="2128"/>
      <c r="V788" s="2128"/>
      <c r="W788" s="2128"/>
      <c r="X788" s="2128"/>
      <c r="Y788" s="2128"/>
      <c r="Z788" s="2128"/>
      <c r="AA788" s="2128"/>
      <c r="AB788" s="2128"/>
      <c r="AC788" s="2128"/>
      <c r="AD788" s="2128"/>
    </row>
    <row r="789" spans="1:30" ht="15.75" customHeight="1" x14ac:dyDescent="0.3">
      <c r="A789" s="4433"/>
      <c r="B789" s="4433"/>
      <c r="C789" s="2128"/>
      <c r="D789" s="2128"/>
      <c r="E789" s="2128"/>
      <c r="F789" s="2128"/>
      <c r="G789" s="2128"/>
      <c r="H789" s="2128"/>
      <c r="I789" s="2128"/>
      <c r="J789" s="2128"/>
      <c r="K789" s="2128"/>
      <c r="L789" s="2128"/>
      <c r="M789" s="2128"/>
      <c r="N789" s="2128"/>
      <c r="O789" s="2128"/>
      <c r="P789" s="2128"/>
      <c r="Q789" s="2128"/>
      <c r="R789" s="2128"/>
      <c r="S789" s="2128"/>
      <c r="T789" s="2128"/>
      <c r="U789" s="2128"/>
      <c r="V789" s="2128"/>
      <c r="W789" s="2128"/>
      <c r="X789" s="2128"/>
      <c r="Y789" s="2128"/>
      <c r="Z789" s="2128"/>
      <c r="AA789" s="2128"/>
      <c r="AB789" s="2128"/>
      <c r="AC789" s="2128"/>
      <c r="AD789" s="2128"/>
    </row>
    <row r="790" spans="1:30" ht="15.75" customHeight="1" x14ac:dyDescent="0.3">
      <c r="A790" s="4433"/>
      <c r="B790" s="4433"/>
      <c r="C790" s="2128"/>
      <c r="D790" s="2128"/>
      <c r="E790" s="2128"/>
      <c r="F790" s="2128"/>
      <c r="G790" s="2128"/>
      <c r="H790" s="2128"/>
      <c r="I790" s="2128"/>
      <c r="J790" s="2128"/>
      <c r="K790" s="2128"/>
      <c r="L790" s="2128"/>
      <c r="M790" s="2128"/>
      <c r="N790" s="2128"/>
      <c r="O790" s="2128"/>
      <c r="P790" s="2128"/>
      <c r="Q790" s="2128"/>
      <c r="R790" s="2128"/>
      <c r="S790" s="2128"/>
      <c r="T790" s="2128"/>
      <c r="U790" s="2128"/>
      <c r="V790" s="2128"/>
      <c r="W790" s="2128"/>
      <c r="X790" s="2128"/>
      <c r="Y790" s="2128"/>
      <c r="Z790" s="2128"/>
      <c r="AA790" s="2128"/>
      <c r="AB790" s="2128"/>
      <c r="AC790" s="2128"/>
      <c r="AD790" s="2128"/>
    </row>
    <row r="791" spans="1:30" ht="15.75" customHeight="1" x14ac:dyDescent="0.3">
      <c r="A791" s="4433"/>
      <c r="B791" s="4433"/>
      <c r="C791" s="2128"/>
      <c r="D791" s="2128"/>
      <c r="E791" s="2128"/>
      <c r="F791" s="2128"/>
      <c r="G791" s="2128"/>
      <c r="H791" s="2128"/>
      <c r="I791" s="2128"/>
      <c r="J791" s="2128"/>
      <c r="K791" s="2128"/>
      <c r="L791" s="2128"/>
      <c r="M791" s="2128"/>
      <c r="N791" s="2128"/>
      <c r="O791" s="2128"/>
      <c r="P791" s="2128"/>
      <c r="Q791" s="2128"/>
      <c r="R791" s="2128"/>
      <c r="S791" s="2128"/>
      <c r="T791" s="2128"/>
      <c r="U791" s="2128"/>
      <c r="V791" s="2128"/>
      <c r="W791" s="2128"/>
      <c r="X791" s="2128"/>
      <c r="Y791" s="2128"/>
      <c r="Z791" s="2128"/>
      <c r="AA791" s="2128"/>
      <c r="AB791" s="2128"/>
      <c r="AC791" s="2128"/>
      <c r="AD791" s="2128"/>
    </row>
    <row r="792" spans="1:30" ht="15.75" customHeight="1" x14ac:dyDescent="0.3">
      <c r="A792" s="4433"/>
      <c r="B792" s="4433"/>
      <c r="C792" s="2128"/>
      <c r="D792" s="2128"/>
      <c r="E792" s="2128"/>
      <c r="F792" s="2128"/>
      <c r="G792" s="2128"/>
      <c r="H792" s="2128"/>
      <c r="I792" s="2128"/>
      <c r="J792" s="2128"/>
      <c r="K792" s="2128"/>
      <c r="L792" s="2128"/>
      <c r="M792" s="2128"/>
      <c r="N792" s="2128"/>
      <c r="O792" s="2128"/>
      <c r="P792" s="2128"/>
      <c r="Q792" s="2128"/>
      <c r="R792" s="2128"/>
      <c r="S792" s="2128"/>
      <c r="T792" s="2128"/>
      <c r="U792" s="2128"/>
      <c r="V792" s="2128"/>
      <c r="W792" s="2128"/>
      <c r="X792" s="2128"/>
      <c r="Y792" s="2128"/>
      <c r="Z792" s="2128"/>
      <c r="AA792" s="2128"/>
      <c r="AB792" s="2128"/>
      <c r="AC792" s="2128"/>
      <c r="AD792" s="2128"/>
    </row>
    <row r="793" spans="1:30" ht="15.75" customHeight="1" x14ac:dyDescent="0.3">
      <c r="A793" s="4433"/>
      <c r="B793" s="4433"/>
      <c r="C793" s="2128"/>
      <c r="D793" s="2128"/>
      <c r="E793" s="2128"/>
      <c r="F793" s="2128"/>
      <c r="G793" s="2128"/>
      <c r="H793" s="2128"/>
      <c r="I793" s="2128"/>
      <c r="J793" s="2128"/>
      <c r="K793" s="2128"/>
      <c r="L793" s="2128"/>
      <c r="M793" s="2128"/>
      <c r="N793" s="2128"/>
      <c r="O793" s="2128"/>
      <c r="P793" s="2128"/>
      <c r="Q793" s="2128"/>
      <c r="R793" s="2128"/>
      <c r="S793" s="2128"/>
      <c r="T793" s="2128"/>
      <c r="U793" s="2128"/>
      <c r="V793" s="2128"/>
      <c r="W793" s="2128"/>
      <c r="X793" s="2128"/>
      <c r="Y793" s="2128"/>
      <c r="Z793" s="2128"/>
      <c r="AA793" s="2128"/>
      <c r="AB793" s="2128"/>
      <c r="AC793" s="2128"/>
      <c r="AD793" s="2128"/>
    </row>
    <row r="794" spans="1:30" ht="15.75" customHeight="1" x14ac:dyDescent="0.3">
      <c r="A794" s="4433"/>
      <c r="B794" s="4433"/>
      <c r="C794" s="2128"/>
      <c r="D794" s="2128"/>
      <c r="E794" s="2128"/>
      <c r="F794" s="2128"/>
      <c r="G794" s="2128"/>
      <c r="H794" s="2128"/>
      <c r="I794" s="2128"/>
      <c r="J794" s="2128"/>
      <c r="K794" s="2128"/>
      <c r="L794" s="2128"/>
      <c r="M794" s="2128"/>
      <c r="N794" s="2128"/>
      <c r="O794" s="2128"/>
      <c r="P794" s="2128"/>
      <c r="Q794" s="2128"/>
      <c r="R794" s="2128"/>
      <c r="S794" s="2128"/>
      <c r="T794" s="2128"/>
      <c r="U794" s="2128"/>
      <c r="V794" s="2128"/>
      <c r="W794" s="2128"/>
      <c r="X794" s="2128"/>
      <c r="Y794" s="2128"/>
      <c r="Z794" s="2128"/>
      <c r="AA794" s="2128"/>
      <c r="AB794" s="2128"/>
      <c r="AC794" s="2128"/>
      <c r="AD794" s="2128"/>
    </row>
    <row r="795" spans="1:30" ht="15.75" customHeight="1" x14ac:dyDescent="0.3">
      <c r="A795" s="4433"/>
      <c r="B795" s="4433"/>
      <c r="C795" s="2128"/>
      <c r="D795" s="2128"/>
      <c r="E795" s="2128"/>
      <c r="F795" s="2128"/>
      <c r="G795" s="2128"/>
      <c r="H795" s="2128"/>
      <c r="I795" s="2128"/>
      <c r="J795" s="2128"/>
      <c r="K795" s="2128"/>
      <c r="L795" s="2128"/>
      <c r="M795" s="2128"/>
      <c r="N795" s="2128"/>
      <c r="O795" s="2128"/>
      <c r="P795" s="2128"/>
      <c r="Q795" s="2128"/>
      <c r="R795" s="2128"/>
      <c r="S795" s="2128"/>
      <c r="T795" s="2128"/>
      <c r="U795" s="2128"/>
      <c r="V795" s="2128"/>
      <c r="W795" s="2128"/>
      <c r="X795" s="2128"/>
      <c r="Y795" s="2128"/>
      <c r="Z795" s="2128"/>
      <c r="AA795" s="2128"/>
      <c r="AB795" s="2128"/>
      <c r="AC795" s="2128"/>
      <c r="AD795" s="2128"/>
    </row>
    <row r="796" spans="1:30" ht="15.75" customHeight="1" x14ac:dyDescent="0.3">
      <c r="A796" s="4433"/>
      <c r="B796" s="4433"/>
      <c r="C796" s="2128"/>
      <c r="D796" s="2128"/>
      <c r="E796" s="2128"/>
      <c r="F796" s="2128"/>
      <c r="G796" s="2128"/>
      <c r="H796" s="2128"/>
      <c r="I796" s="2128"/>
      <c r="J796" s="2128"/>
      <c r="K796" s="2128"/>
      <c r="L796" s="2128"/>
      <c r="M796" s="2128"/>
      <c r="N796" s="2128"/>
      <c r="O796" s="2128"/>
      <c r="P796" s="2128"/>
      <c r="Q796" s="2128"/>
      <c r="R796" s="2128"/>
      <c r="S796" s="2128"/>
      <c r="T796" s="2128"/>
      <c r="U796" s="2128"/>
      <c r="V796" s="2128"/>
      <c r="W796" s="2128"/>
      <c r="X796" s="2128"/>
      <c r="Y796" s="2128"/>
      <c r="Z796" s="2128"/>
      <c r="AA796" s="2128"/>
      <c r="AB796" s="2128"/>
      <c r="AC796" s="2128"/>
      <c r="AD796" s="2128"/>
    </row>
    <row r="797" spans="1:30" ht="15.75" customHeight="1" x14ac:dyDescent="0.3">
      <c r="A797" s="4433"/>
      <c r="B797" s="4433"/>
      <c r="C797" s="2128"/>
      <c r="D797" s="2128"/>
      <c r="E797" s="2128"/>
      <c r="F797" s="2128"/>
      <c r="G797" s="2128"/>
      <c r="H797" s="2128"/>
      <c r="I797" s="2128"/>
      <c r="J797" s="2128"/>
      <c r="K797" s="2128"/>
      <c r="L797" s="2128"/>
      <c r="M797" s="2128"/>
      <c r="N797" s="2128"/>
      <c r="O797" s="2128"/>
      <c r="P797" s="2128"/>
      <c r="Q797" s="2128"/>
      <c r="R797" s="2128"/>
      <c r="S797" s="2128"/>
      <c r="T797" s="2128"/>
      <c r="U797" s="2128"/>
      <c r="V797" s="2128"/>
      <c r="W797" s="2128"/>
      <c r="X797" s="2128"/>
      <c r="Y797" s="2128"/>
      <c r="Z797" s="2128"/>
      <c r="AA797" s="2128"/>
      <c r="AB797" s="2128"/>
      <c r="AC797" s="2128"/>
      <c r="AD797" s="2128"/>
    </row>
    <row r="798" spans="1:30" ht="15.75" customHeight="1" x14ac:dyDescent="0.3">
      <c r="A798" s="4433"/>
      <c r="B798" s="4433"/>
      <c r="C798" s="2128"/>
      <c r="D798" s="2128"/>
      <c r="E798" s="2128"/>
      <c r="F798" s="2128"/>
      <c r="G798" s="2128"/>
      <c r="H798" s="2128"/>
      <c r="I798" s="2128"/>
      <c r="J798" s="2128"/>
      <c r="K798" s="2128"/>
      <c r="L798" s="2128"/>
      <c r="M798" s="2128"/>
      <c r="N798" s="2128"/>
      <c r="O798" s="2128"/>
      <c r="P798" s="2128"/>
      <c r="Q798" s="2128"/>
      <c r="R798" s="2128"/>
      <c r="S798" s="2128"/>
      <c r="T798" s="2128"/>
      <c r="U798" s="2128"/>
      <c r="V798" s="2128"/>
      <c r="W798" s="2128"/>
      <c r="X798" s="2128"/>
      <c r="Y798" s="2128"/>
      <c r="Z798" s="2128"/>
      <c r="AA798" s="2128"/>
      <c r="AB798" s="2128"/>
      <c r="AC798" s="2128"/>
      <c r="AD798" s="2128"/>
    </row>
    <row r="799" spans="1:30" ht="15.75" customHeight="1" x14ac:dyDescent="0.3">
      <c r="A799" s="4433"/>
      <c r="B799" s="4433"/>
      <c r="C799" s="2128"/>
      <c r="D799" s="2128"/>
      <c r="E799" s="2128"/>
      <c r="F799" s="2128"/>
      <c r="G799" s="2128"/>
      <c r="H799" s="2128"/>
      <c r="I799" s="2128"/>
      <c r="J799" s="2128"/>
      <c r="K799" s="2128"/>
      <c r="L799" s="2128"/>
      <c r="M799" s="2128"/>
      <c r="N799" s="2128"/>
      <c r="O799" s="2128"/>
      <c r="P799" s="2128"/>
      <c r="Q799" s="2128"/>
      <c r="R799" s="2128"/>
      <c r="S799" s="2128"/>
      <c r="T799" s="2128"/>
      <c r="U799" s="2128"/>
      <c r="V799" s="2128"/>
      <c r="W799" s="2128"/>
      <c r="X799" s="2128"/>
      <c r="Y799" s="2128"/>
      <c r="Z799" s="2128"/>
      <c r="AA799" s="2128"/>
      <c r="AB799" s="2128"/>
      <c r="AC799" s="2128"/>
      <c r="AD799" s="2128"/>
    </row>
    <row r="800" spans="1:30" ht="15.75" customHeight="1" x14ac:dyDescent="0.3">
      <c r="A800" s="4433"/>
      <c r="B800" s="4433"/>
      <c r="C800" s="2128"/>
      <c r="D800" s="2128"/>
      <c r="E800" s="2128"/>
      <c r="F800" s="2128"/>
      <c r="G800" s="2128"/>
      <c r="H800" s="2128"/>
      <c r="I800" s="2128"/>
      <c r="J800" s="2128"/>
      <c r="K800" s="2128"/>
      <c r="L800" s="2128"/>
      <c r="M800" s="2128"/>
      <c r="N800" s="2128"/>
      <c r="O800" s="2128"/>
      <c r="P800" s="2128"/>
      <c r="Q800" s="2128"/>
      <c r="R800" s="2128"/>
      <c r="S800" s="2128"/>
      <c r="T800" s="2128"/>
      <c r="U800" s="2128"/>
      <c r="V800" s="2128"/>
      <c r="W800" s="2128"/>
      <c r="X800" s="2128"/>
      <c r="Y800" s="2128"/>
      <c r="Z800" s="2128"/>
      <c r="AA800" s="2128"/>
      <c r="AB800" s="2128"/>
      <c r="AC800" s="2128"/>
      <c r="AD800" s="2128"/>
    </row>
    <row r="801" spans="1:30" ht="15.75" customHeight="1" x14ac:dyDescent="0.3">
      <c r="A801" s="4433"/>
      <c r="B801" s="4433"/>
      <c r="C801" s="2128"/>
      <c r="D801" s="2128"/>
      <c r="E801" s="2128"/>
      <c r="F801" s="2128"/>
      <c r="G801" s="2128"/>
      <c r="H801" s="2128"/>
      <c r="I801" s="2128"/>
      <c r="J801" s="2128"/>
      <c r="K801" s="2128"/>
      <c r="L801" s="2128"/>
      <c r="M801" s="2128"/>
      <c r="N801" s="2128"/>
      <c r="O801" s="2128"/>
      <c r="P801" s="2128"/>
      <c r="Q801" s="2128"/>
      <c r="R801" s="2128"/>
      <c r="S801" s="2128"/>
      <c r="T801" s="2128"/>
      <c r="U801" s="2128"/>
      <c r="V801" s="2128"/>
      <c r="W801" s="2128"/>
      <c r="X801" s="2128"/>
      <c r="Y801" s="2128"/>
      <c r="Z801" s="2128"/>
      <c r="AA801" s="2128"/>
      <c r="AB801" s="2128"/>
      <c r="AC801" s="2128"/>
      <c r="AD801" s="2128"/>
    </row>
    <row r="802" spans="1:30" ht="15.75" customHeight="1" x14ac:dyDescent="0.3">
      <c r="A802" s="4433"/>
      <c r="B802" s="4433"/>
      <c r="C802" s="2128"/>
      <c r="D802" s="2128"/>
      <c r="E802" s="2128"/>
      <c r="F802" s="2128"/>
      <c r="G802" s="2128"/>
      <c r="H802" s="2128"/>
      <c r="I802" s="2128"/>
      <c r="J802" s="2128"/>
      <c r="K802" s="2128"/>
      <c r="L802" s="2128"/>
      <c r="M802" s="2128"/>
      <c r="N802" s="2128"/>
      <c r="O802" s="2128"/>
      <c r="P802" s="2128"/>
      <c r="Q802" s="2128"/>
      <c r="R802" s="2128"/>
      <c r="S802" s="2128"/>
      <c r="T802" s="2128"/>
      <c r="U802" s="2128"/>
      <c r="V802" s="2128"/>
      <c r="W802" s="2128"/>
      <c r="X802" s="2128"/>
      <c r="Y802" s="2128"/>
      <c r="Z802" s="2128"/>
      <c r="AA802" s="2128"/>
      <c r="AB802" s="2128"/>
      <c r="AC802" s="2128"/>
      <c r="AD802" s="2128"/>
    </row>
    <row r="803" spans="1:30" ht="15.75" customHeight="1" x14ac:dyDescent="0.3">
      <c r="A803" s="4433"/>
      <c r="B803" s="4433"/>
      <c r="C803" s="2128"/>
      <c r="D803" s="2128"/>
      <c r="E803" s="2128"/>
      <c r="F803" s="2128"/>
      <c r="G803" s="2128"/>
      <c r="H803" s="2128"/>
      <c r="I803" s="2128"/>
      <c r="J803" s="2128"/>
      <c r="K803" s="2128"/>
      <c r="L803" s="2128"/>
      <c r="M803" s="2128"/>
      <c r="N803" s="2128"/>
      <c r="O803" s="2128"/>
      <c r="P803" s="2128"/>
      <c r="Q803" s="2128"/>
      <c r="R803" s="2128"/>
      <c r="S803" s="2128"/>
      <c r="T803" s="2128"/>
      <c r="U803" s="2128"/>
      <c r="V803" s="2128"/>
      <c r="W803" s="2128"/>
      <c r="X803" s="2128"/>
      <c r="Y803" s="2128"/>
      <c r="Z803" s="2128"/>
      <c r="AA803" s="2128"/>
      <c r="AB803" s="2128"/>
      <c r="AC803" s="2128"/>
      <c r="AD803" s="2128"/>
    </row>
    <row r="804" spans="1:30" ht="15.75" customHeight="1" x14ac:dyDescent="0.3">
      <c r="A804" s="4433"/>
      <c r="B804" s="4433"/>
      <c r="C804" s="2128"/>
      <c r="D804" s="2128"/>
      <c r="E804" s="2128"/>
      <c r="F804" s="2128"/>
      <c r="G804" s="2128"/>
      <c r="H804" s="2128"/>
      <c r="I804" s="2128"/>
      <c r="J804" s="2128"/>
      <c r="K804" s="2128"/>
      <c r="L804" s="2128"/>
      <c r="M804" s="2128"/>
      <c r="N804" s="2128"/>
      <c r="O804" s="2128"/>
      <c r="P804" s="2128"/>
      <c r="Q804" s="2128"/>
      <c r="R804" s="2128"/>
      <c r="S804" s="2128"/>
      <c r="T804" s="2128"/>
      <c r="U804" s="2128"/>
      <c r="V804" s="2128"/>
      <c r="W804" s="2128"/>
      <c r="X804" s="2128"/>
      <c r="Y804" s="2128"/>
      <c r="Z804" s="2128"/>
      <c r="AA804" s="2128"/>
      <c r="AB804" s="2128"/>
      <c r="AC804" s="2128"/>
      <c r="AD804" s="2128"/>
    </row>
    <row r="805" spans="1:30" ht="15.75" customHeight="1" x14ac:dyDescent="0.3">
      <c r="A805" s="4433"/>
      <c r="B805" s="4433"/>
      <c r="C805" s="2128"/>
      <c r="D805" s="2128"/>
      <c r="E805" s="2128"/>
      <c r="F805" s="2128"/>
      <c r="G805" s="2128"/>
      <c r="H805" s="2128"/>
      <c r="I805" s="2128"/>
      <c r="J805" s="2128"/>
      <c r="K805" s="2128"/>
      <c r="L805" s="2128"/>
      <c r="M805" s="2128"/>
      <c r="N805" s="2128"/>
      <c r="O805" s="2128"/>
      <c r="P805" s="2128"/>
      <c r="Q805" s="2128"/>
      <c r="R805" s="2128"/>
      <c r="S805" s="2128"/>
      <c r="T805" s="2128"/>
      <c r="U805" s="2128"/>
      <c r="V805" s="2128"/>
      <c r="W805" s="2128"/>
      <c r="X805" s="2128"/>
      <c r="Y805" s="2128"/>
      <c r="Z805" s="2128"/>
      <c r="AA805" s="2128"/>
      <c r="AB805" s="2128"/>
      <c r="AC805" s="2128"/>
      <c r="AD805" s="2128"/>
    </row>
    <row r="806" spans="1:30" ht="15.75" customHeight="1" x14ac:dyDescent="0.3">
      <c r="A806" s="4433"/>
      <c r="B806" s="4433"/>
      <c r="C806" s="2128"/>
      <c r="D806" s="2128"/>
      <c r="E806" s="2128"/>
      <c r="F806" s="2128"/>
      <c r="G806" s="2128"/>
      <c r="H806" s="2128"/>
      <c r="I806" s="2128"/>
      <c r="J806" s="2128"/>
      <c r="K806" s="2128"/>
      <c r="L806" s="2128"/>
      <c r="M806" s="2128"/>
      <c r="N806" s="2128"/>
      <c r="O806" s="2128"/>
      <c r="P806" s="2128"/>
      <c r="Q806" s="2128"/>
      <c r="R806" s="2128"/>
      <c r="S806" s="2128"/>
      <c r="T806" s="2128"/>
      <c r="U806" s="2128"/>
      <c r="V806" s="2128"/>
      <c r="W806" s="2128"/>
      <c r="X806" s="2128"/>
      <c r="Y806" s="2128"/>
      <c r="Z806" s="2128"/>
      <c r="AA806" s="2128"/>
      <c r="AB806" s="2128"/>
      <c r="AC806" s="2128"/>
      <c r="AD806" s="2128"/>
    </row>
    <row r="807" spans="1:30" ht="15.75" customHeight="1" x14ac:dyDescent="0.3">
      <c r="A807" s="4433"/>
      <c r="B807" s="4433"/>
      <c r="C807" s="2128"/>
      <c r="D807" s="2128"/>
      <c r="E807" s="2128"/>
      <c r="F807" s="2128"/>
      <c r="G807" s="2128"/>
      <c r="H807" s="2128"/>
      <c r="I807" s="2128"/>
      <c r="J807" s="2128"/>
      <c r="K807" s="2128"/>
      <c r="L807" s="2128"/>
      <c r="M807" s="2128"/>
      <c r="N807" s="2128"/>
      <c r="O807" s="2128"/>
      <c r="P807" s="2128"/>
      <c r="Q807" s="2128"/>
      <c r="R807" s="2128"/>
      <c r="S807" s="2128"/>
      <c r="T807" s="2128"/>
      <c r="U807" s="2128"/>
      <c r="V807" s="2128"/>
      <c r="W807" s="2128"/>
      <c r="X807" s="2128"/>
      <c r="Y807" s="2128"/>
      <c r="Z807" s="2128"/>
      <c r="AA807" s="2128"/>
      <c r="AB807" s="2128"/>
      <c r="AC807" s="2128"/>
      <c r="AD807" s="2128"/>
    </row>
    <row r="808" spans="1:30" ht="15.75" customHeight="1" x14ac:dyDescent="0.3">
      <c r="A808" s="4433"/>
      <c r="B808" s="4433"/>
      <c r="C808" s="2128"/>
      <c r="D808" s="2128"/>
      <c r="E808" s="2128"/>
      <c r="F808" s="2128"/>
      <c r="G808" s="2128"/>
      <c r="H808" s="2128"/>
      <c r="I808" s="2128"/>
      <c r="J808" s="2128"/>
      <c r="K808" s="2128"/>
      <c r="L808" s="2128"/>
      <c r="M808" s="2128"/>
      <c r="N808" s="2128"/>
      <c r="O808" s="2128"/>
      <c r="P808" s="2128"/>
      <c r="Q808" s="2128"/>
      <c r="R808" s="2128"/>
      <c r="S808" s="2128"/>
      <c r="T808" s="2128"/>
      <c r="U808" s="2128"/>
      <c r="V808" s="2128"/>
      <c r="W808" s="2128"/>
      <c r="X808" s="2128"/>
      <c r="Y808" s="2128"/>
      <c r="Z808" s="2128"/>
      <c r="AA808" s="2128"/>
      <c r="AB808" s="2128"/>
      <c r="AC808" s="2128"/>
      <c r="AD808" s="2128"/>
    </row>
    <row r="809" spans="1:30" ht="15.75" customHeight="1" x14ac:dyDescent="0.3">
      <c r="A809" s="4433"/>
      <c r="B809" s="4433"/>
      <c r="C809" s="2128"/>
      <c r="D809" s="2128"/>
      <c r="E809" s="2128"/>
      <c r="F809" s="2128"/>
      <c r="G809" s="2128"/>
      <c r="H809" s="2128"/>
      <c r="I809" s="2128"/>
      <c r="J809" s="2128"/>
      <c r="K809" s="2128"/>
      <c r="L809" s="2128"/>
      <c r="M809" s="2128"/>
      <c r="N809" s="2128"/>
      <c r="O809" s="2128"/>
      <c r="P809" s="2128"/>
      <c r="Q809" s="2128"/>
      <c r="R809" s="2128"/>
      <c r="S809" s="2128"/>
      <c r="T809" s="2128"/>
      <c r="U809" s="2128"/>
      <c r="V809" s="2128"/>
      <c r="W809" s="2128"/>
      <c r="X809" s="2128"/>
      <c r="Y809" s="2128"/>
      <c r="Z809" s="2128"/>
      <c r="AA809" s="2128"/>
      <c r="AB809" s="2128"/>
      <c r="AC809" s="2128"/>
      <c r="AD809" s="2128"/>
    </row>
    <row r="810" spans="1:30" ht="15.75" customHeight="1" x14ac:dyDescent="0.3">
      <c r="A810" s="4433"/>
      <c r="B810" s="4433"/>
      <c r="C810" s="2128"/>
      <c r="D810" s="2128"/>
      <c r="E810" s="2128"/>
      <c r="F810" s="2128"/>
      <c r="G810" s="2128"/>
      <c r="H810" s="2128"/>
      <c r="I810" s="2128"/>
      <c r="J810" s="2128"/>
      <c r="K810" s="2128"/>
      <c r="L810" s="2128"/>
      <c r="M810" s="2128"/>
      <c r="N810" s="2128"/>
      <c r="O810" s="2128"/>
      <c r="P810" s="2128"/>
      <c r="Q810" s="2128"/>
      <c r="R810" s="2128"/>
      <c r="S810" s="2128"/>
      <c r="T810" s="2128"/>
      <c r="U810" s="2128"/>
      <c r="V810" s="2128"/>
      <c r="W810" s="2128"/>
      <c r="X810" s="2128"/>
      <c r="Y810" s="2128"/>
      <c r="Z810" s="2128"/>
      <c r="AA810" s="2128"/>
      <c r="AB810" s="2128"/>
      <c r="AC810" s="2128"/>
      <c r="AD810" s="2128"/>
    </row>
    <row r="811" spans="1:30" ht="15.75" customHeight="1" x14ac:dyDescent="0.3">
      <c r="A811" s="4433"/>
      <c r="B811" s="4433"/>
      <c r="C811" s="2128"/>
      <c r="D811" s="2128"/>
      <c r="E811" s="2128"/>
      <c r="F811" s="2128"/>
      <c r="G811" s="2128"/>
      <c r="H811" s="2128"/>
      <c r="I811" s="2128"/>
      <c r="J811" s="2128"/>
      <c r="K811" s="2128"/>
      <c r="L811" s="2128"/>
      <c r="M811" s="2128"/>
      <c r="N811" s="2128"/>
      <c r="O811" s="2128"/>
      <c r="P811" s="2128"/>
      <c r="Q811" s="2128"/>
      <c r="R811" s="2128"/>
      <c r="S811" s="2128"/>
      <c r="T811" s="2128"/>
      <c r="U811" s="2128"/>
      <c r="V811" s="2128"/>
      <c r="W811" s="2128"/>
      <c r="X811" s="2128"/>
      <c r="Y811" s="2128"/>
      <c r="Z811" s="2128"/>
      <c r="AA811" s="2128"/>
      <c r="AB811" s="2128"/>
      <c r="AC811" s="2128"/>
      <c r="AD811" s="2128"/>
    </row>
    <row r="812" spans="1:30" ht="15.75" customHeight="1" x14ac:dyDescent="0.3">
      <c r="A812" s="4433"/>
      <c r="B812" s="4433"/>
      <c r="C812" s="2128"/>
      <c r="D812" s="2128"/>
      <c r="E812" s="2128"/>
      <c r="F812" s="2128"/>
      <c r="G812" s="2128"/>
      <c r="H812" s="2128"/>
      <c r="I812" s="2128"/>
      <c r="J812" s="2128"/>
      <c r="K812" s="2128"/>
      <c r="L812" s="2128"/>
      <c r="M812" s="2128"/>
      <c r="N812" s="2128"/>
      <c r="O812" s="2128"/>
      <c r="P812" s="2128"/>
      <c r="Q812" s="2128"/>
      <c r="R812" s="2128"/>
      <c r="S812" s="2128"/>
      <c r="T812" s="2128"/>
      <c r="U812" s="2128"/>
      <c r="V812" s="2128"/>
      <c r="W812" s="2128"/>
      <c r="X812" s="2128"/>
      <c r="Y812" s="2128"/>
      <c r="Z812" s="2128"/>
      <c r="AA812" s="2128"/>
      <c r="AB812" s="2128"/>
      <c r="AC812" s="2128"/>
      <c r="AD812" s="2128"/>
    </row>
    <row r="813" spans="1:30" ht="15.75" customHeight="1" x14ac:dyDescent="0.3">
      <c r="A813" s="4433"/>
      <c r="B813" s="4433"/>
      <c r="C813" s="2128"/>
      <c r="D813" s="2128"/>
      <c r="E813" s="2128"/>
      <c r="F813" s="2128"/>
      <c r="G813" s="2128"/>
      <c r="H813" s="2128"/>
      <c r="I813" s="2128"/>
      <c r="J813" s="2128"/>
      <c r="K813" s="2128"/>
      <c r="L813" s="2128"/>
      <c r="M813" s="2128"/>
      <c r="N813" s="2128"/>
      <c r="O813" s="2128"/>
      <c r="P813" s="2128"/>
      <c r="Q813" s="2128"/>
      <c r="R813" s="2128"/>
      <c r="S813" s="2128"/>
      <c r="T813" s="2128"/>
      <c r="U813" s="2128"/>
      <c r="V813" s="2128"/>
      <c r="W813" s="2128"/>
      <c r="X813" s="2128"/>
      <c r="Y813" s="2128"/>
      <c r="Z813" s="2128"/>
      <c r="AA813" s="2128"/>
      <c r="AB813" s="2128"/>
      <c r="AC813" s="2128"/>
      <c r="AD813" s="2128"/>
    </row>
    <row r="814" spans="1:30" ht="15.75" customHeight="1" x14ac:dyDescent="0.3">
      <c r="A814" s="4433"/>
      <c r="B814" s="4433"/>
      <c r="C814" s="2128"/>
      <c r="D814" s="2128"/>
      <c r="E814" s="2128"/>
      <c r="F814" s="2128"/>
      <c r="G814" s="2128"/>
      <c r="H814" s="2128"/>
      <c r="I814" s="2128"/>
      <c r="J814" s="2128"/>
      <c r="K814" s="2128"/>
      <c r="L814" s="2128"/>
      <c r="M814" s="2128"/>
      <c r="N814" s="2128"/>
      <c r="O814" s="2128"/>
      <c r="P814" s="2128"/>
      <c r="Q814" s="2128"/>
      <c r="R814" s="2128"/>
      <c r="S814" s="2128"/>
      <c r="T814" s="2128"/>
      <c r="U814" s="2128"/>
      <c r="V814" s="2128"/>
      <c r="W814" s="2128"/>
      <c r="X814" s="2128"/>
      <c r="Y814" s="2128"/>
      <c r="Z814" s="2128"/>
      <c r="AA814" s="2128"/>
      <c r="AB814" s="2128"/>
      <c r="AC814" s="2128"/>
      <c r="AD814" s="2128"/>
    </row>
    <row r="815" spans="1:30" ht="15.75" customHeight="1" x14ac:dyDescent="0.3">
      <c r="A815" s="4433"/>
      <c r="B815" s="4433"/>
      <c r="C815" s="2128"/>
      <c r="D815" s="2128"/>
      <c r="E815" s="2128"/>
      <c r="F815" s="2128"/>
      <c r="G815" s="2128"/>
      <c r="H815" s="2128"/>
      <c r="I815" s="2128"/>
      <c r="J815" s="2128"/>
      <c r="K815" s="2128"/>
      <c r="L815" s="2128"/>
      <c r="M815" s="2128"/>
      <c r="N815" s="2128"/>
      <c r="O815" s="2128"/>
      <c r="P815" s="2128"/>
      <c r="Q815" s="2128"/>
      <c r="R815" s="2128"/>
      <c r="S815" s="2128"/>
      <c r="T815" s="2128"/>
      <c r="U815" s="2128"/>
      <c r="V815" s="2128"/>
      <c r="W815" s="2128"/>
      <c r="X815" s="2128"/>
      <c r="Y815" s="2128"/>
      <c r="Z815" s="2128"/>
      <c r="AA815" s="2128"/>
      <c r="AB815" s="2128"/>
      <c r="AC815" s="2128"/>
      <c r="AD815" s="2128"/>
    </row>
    <row r="816" spans="1:30" ht="15.75" customHeight="1" x14ac:dyDescent="0.3">
      <c r="A816" s="4433"/>
      <c r="B816" s="4433"/>
      <c r="C816" s="2128"/>
      <c r="D816" s="2128"/>
      <c r="E816" s="2128"/>
      <c r="F816" s="2128"/>
      <c r="G816" s="2128"/>
      <c r="H816" s="2128"/>
      <c r="I816" s="2128"/>
      <c r="J816" s="2128"/>
      <c r="K816" s="2128"/>
      <c r="L816" s="2128"/>
      <c r="M816" s="2128"/>
      <c r="N816" s="2128"/>
      <c r="O816" s="2128"/>
      <c r="P816" s="2128"/>
      <c r="Q816" s="2128"/>
      <c r="R816" s="2128"/>
      <c r="S816" s="2128"/>
      <c r="T816" s="2128"/>
      <c r="U816" s="2128"/>
      <c r="V816" s="2128"/>
      <c r="W816" s="2128"/>
      <c r="X816" s="2128"/>
      <c r="Y816" s="2128"/>
      <c r="Z816" s="2128"/>
      <c r="AA816" s="2128"/>
      <c r="AB816" s="2128"/>
      <c r="AC816" s="2128"/>
      <c r="AD816" s="2128"/>
    </row>
    <row r="817" spans="1:30" ht="15.75" customHeight="1" x14ac:dyDescent="0.3">
      <c r="A817" s="4433"/>
      <c r="B817" s="4433"/>
      <c r="C817" s="2128"/>
      <c r="D817" s="2128"/>
      <c r="E817" s="2128"/>
      <c r="F817" s="2128"/>
      <c r="G817" s="2128"/>
      <c r="H817" s="2128"/>
      <c r="I817" s="2128"/>
      <c r="J817" s="2128"/>
      <c r="K817" s="2128"/>
      <c r="L817" s="2128"/>
      <c r="M817" s="2128"/>
      <c r="N817" s="2128"/>
      <c r="O817" s="2128"/>
      <c r="P817" s="2128"/>
      <c r="Q817" s="2128"/>
      <c r="R817" s="2128"/>
      <c r="S817" s="2128"/>
      <c r="T817" s="2128"/>
      <c r="U817" s="2128"/>
      <c r="V817" s="2128"/>
      <c r="W817" s="2128"/>
      <c r="X817" s="2128"/>
      <c r="Y817" s="2128"/>
      <c r="Z817" s="2128"/>
      <c r="AA817" s="2128"/>
      <c r="AB817" s="2128"/>
      <c r="AC817" s="2128"/>
      <c r="AD817" s="2128"/>
    </row>
    <row r="818" spans="1:30" ht="15.75" customHeight="1" x14ac:dyDescent="0.3">
      <c r="A818" s="4433"/>
      <c r="B818" s="4433"/>
      <c r="C818" s="2128"/>
      <c r="D818" s="2128"/>
      <c r="E818" s="2128"/>
      <c r="F818" s="2128"/>
      <c r="G818" s="2128"/>
      <c r="H818" s="2128"/>
      <c r="I818" s="2128"/>
      <c r="J818" s="2128"/>
      <c r="K818" s="2128"/>
      <c r="L818" s="2128"/>
      <c r="M818" s="2128"/>
      <c r="N818" s="2128"/>
      <c r="O818" s="2128"/>
      <c r="P818" s="2128"/>
      <c r="Q818" s="2128"/>
      <c r="R818" s="2128"/>
      <c r="S818" s="2128"/>
      <c r="T818" s="2128"/>
      <c r="U818" s="2128"/>
      <c r="V818" s="2128"/>
      <c r="W818" s="2128"/>
      <c r="X818" s="2128"/>
      <c r="Y818" s="2128"/>
      <c r="Z818" s="2128"/>
      <c r="AA818" s="2128"/>
      <c r="AB818" s="2128"/>
      <c r="AC818" s="2128"/>
      <c r="AD818" s="2128"/>
    </row>
    <row r="819" spans="1:30" ht="15.75" customHeight="1" x14ac:dyDescent="0.3">
      <c r="A819" s="4433"/>
      <c r="B819" s="4433"/>
      <c r="C819" s="2128"/>
      <c r="D819" s="2128"/>
      <c r="E819" s="2128"/>
      <c r="F819" s="2128"/>
      <c r="G819" s="2128"/>
      <c r="H819" s="2128"/>
      <c r="I819" s="2128"/>
      <c r="J819" s="2128"/>
      <c r="K819" s="2128"/>
      <c r="L819" s="2128"/>
      <c r="M819" s="2128"/>
      <c r="N819" s="2128"/>
      <c r="O819" s="2128"/>
      <c r="P819" s="2128"/>
      <c r="Q819" s="2128"/>
      <c r="R819" s="2128"/>
      <c r="S819" s="2128"/>
      <c r="T819" s="2128"/>
      <c r="U819" s="2128"/>
      <c r="V819" s="2128"/>
      <c r="W819" s="2128"/>
      <c r="X819" s="2128"/>
      <c r="Y819" s="2128"/>
      <c r="Z819" s="2128"/>
      <c r="AA819" s="2128"/>
      <c r="AB819" s="2128"/>
      <c r="AC819" s="2128"/>
      <c r="AD819" s="2128"/>
    </row>
    <row r="820" spans="1:30" ht="15.75" customHeight="1" x14ac:dyDescent="0.3">
      <c r="A820" s="4433"/>
      <c r="B820" s="4433"/>
      <c r="C820" s="2128"/>
      <c r="D820" s="2128"/>
      <c r="E820" s="2128"/>
      <c r="F820" s="2128"/>
      <c r="G820" s="2128"/>
      <c r="H820" s="2128"/>
      <c r="I820" s="2128"/>
      <c r="J820" s="2128"/>
      <c r="K820" s="2128"/>
      <c r="L820" s="2128"/>
      <c r="M820" s="2128"/>
      <c r="N820" s="2128"/>
      <c r="O820" s="2128"/>
      <c r="P820" s="2128"/>
      <c r="Q820" s="2128"/>
      <c r="R820" s="2128"/>
      <c r="S820" s="2128"/>
      <c r="T820" s="2128"/>
      <c r="U820" s="2128"/>
      <c r="V820" s="2128"/>
      <c r="W820" s="2128"/>
      <c r="X820" s="2128"/>
      <c r="Y820" s="2128"/>
      <c r="Z820" s="2128"/>
      <c r="AA820" s="2128"/>
      <c r="AB820" s="2128"/>
      <c r="AC820" s="2128"/>
      <c r="AD820" s="2128"/>
    </row>
    <row r="821" spans="1:30" ht="15.75" customHeight="1" x14ac:dyDescent="0.3">
      <c r="A821" s="4433"/>
      <c r="B821" s="4433"/>
      <c r="C821" s="2128"/>
      <c r="D821" s="2128"/>
      <c r="E821" s="2128"/>
      <c r="F821" s="2128"/>
      <c r="G821" s="2128"/>
      <c r="H821" s="2128"/>
      <c r="I821" s="2128"/>
      <c r="J821" s="2128"/>
      <c r="K821" s="2128"/>
      <c r="L821" s="2128"/>
      <c r="M821" s="2128"/>
      <c r="N821" s="2128"/>
      <c r="O821" s="2128"/>
      <c r="P821" s="2128"/>
      <c r="Q821" s="2128"/>
      <c r="R821" s="2128"/>
      <c r="S821" s="2128"/>
      <c r="T821" s="2128"/>
      <c r="U821" s="2128"/>
      <c r="V821" s="2128"/>
      <c r="W821" s="2128"/>
      <c r="X821" s="2128"/>
      <c r="Y821" s="2128"/>
      <c r="Z821" s="2128"/>
      <c r="AA821" s="2128"/>
      <c r="AB821" s="2128"/>
      <c r="AC821" s="2128"/>
      <c r="AD821" s="2128"/>
    </row>
    <row r="822" spans="1:30" ht="15.75" customHeight="1" x14ac:dyDescent="0.3">
      <c r="A822" s="4433"/>
      <c r="B822" s="4433"/>
      <c r="C822" s="2128"/>
      <c r="D822" s="2128"/>
      <c r="E822" s="2128"/>
      <c r="F822" s="2128"/>
      <c r="G822" s="2128"/>
      <c r="H822" s="2128"/>
      <c r="I822" s="2128"/>
      <c r="J822" s="2128"/>
      <c r="K822" s="2128"/>
      <c r="L822" s="2128"/>
      <c r="M822" s="2128"/>
      <c r="N822" s="2128"/>
      <c r="O822" s="2128"/>
      <c r="P822" s="2128"/>
      <c r="Q822" s="2128"/>
      <c r="R822" s="2128"/>
      <c r="S822" s="2128"/>
      <c r="T822" s="2128"/>
      <c r="U822" s="2128"/>
      <c r="V822" s="2128"/>
      <c r="W822" s="2128"/>
      <c r="X822" s="2128"/>
      <c r="Y822" s="2128"/>
      <c r="Z822" s="2128"/>
      <c r="AA822" s="2128"/>
      <c r="AB822" s="2128"/>
      <c r="AC822" s="2128"/>
      <c r="AD822" s="2128"/>
    </row>
    <row r="823" spans="1:30" ht="15.75" customHeight="1" x14ac:dyDescent="0.3">
      <c r="A823" s="4433"/>
      <c r="B823" s="4433"/>
      <c r="C823" s="2128"/>
      <c r="D823" s="2128"/>
      <c r="E823" s="2128"/>
      <c r="F823" s="2128"/>
      <c r="G823" s="2128"/>
      <c r="H823" s="2128"/>
      <c r="I823" s="2128"/>
      <c r="J823" s="2128"/>
      <c r="K823" s="2128"/>
      <c r="L823" s="2128"/>
      <c r="M823" s="2128"/>
      <c r="N823" s="2128"/>
      <c r="O823" s="2128"/>
      <c r="P823" s="2128"/>
      <c r="Q823" s="2128"/>
      <c r="R823" s="2128"/>
      <c r="S823" s="2128"/>
      <c r="T823" s="2128"/>
      <c r="U823" s="2128"/>
      <c r="V823" s="2128"/>
      <c r="W823" s="2128"/>
      <c r="X823" s="2128"/>
      <c r="Y823" s="2128"/>
      <c r="Z823" s="2128"/>
      <c r="AA823" s="2128"/>
      <c r="AB823" s="2128"/>
      <c r="AC823" s="2128"/>
      <c r="AD823" s="2128"/>
    </row>
    <row r="824" spans="1:30" ht="15.75" customHeight="1" x14ac:dyDescent="0.3">
      <c r="A824" s="4433"/>
      <c r="B824" s="4433"/>
      <c r="C824" s="2128"/>
      <c r="D824" s="2128"/>
      <c r="E824" s="2128"/>
      <c r="F824" s="2128"/>
      <c r="G824" s="2128"/>
      <c r="H824" s="2128"/>
      <c r="I824" s="2128"/>
      <c r="J824" s="2128"/>
      <c r="K824" s="2128"/>
      <c r="L824" s="2128"/>
      <c r="M824" s="2128"/>
      <c r="N824" s="2128"/>
      <c r="O824" s="2128"/>
      <c r="P824" s="2128"/>
      <c r="Q824" s="2128"/>
      <c r="R824" s="2128"/>
      <c r="S824" s="2128"/>
      <c r="T824" s="2128"/>
      <c r="U824" s="2128"/>
      <c r="V824" s="2128"/>
      <c r="W824" s="2128"/>
      <c r="X824" s="2128"/>
      <c r="Y824" s="2128"/>
      <c r="Z824" s="2128"/>
      <c r="AA824" s="2128"/>
      <c r="AB824" s="2128"/>
      <c r="AC824" s="2128"/>
      <c r="AD824" s="2128"/>
    </row>
    <row r="825" spans="1:30" ht="15.75" customHeight="1" x14ac:dyDescent="0.3">
      <c r="A825" s="4433"/>
      <c r="B825" s="4433"/>
      <c r="C825" s="2128"/>
      <c r="D825" s="2128"/>
      <c r="E825" s="2128"/>
      <c r="F825" s="2128"/>
      <c r="G825" s="2128"/>
      <c r="H825" s="2128"/>
      <c r="I825" s="2128"/>
      <c r="J825" s="2128"/>
      <c r="K825" s="2128"/>
      <c r="L825" s="2128"/>
      <c r="M825" s="2128"/>
      <c r="N825" s="2128"/>
      <c r="O825" s="2128"/>
      <c r="P825" s="2128"/>
      <c r="Q825" s="2128"/>
      <c r="R825" s="2128"/>
      <c r="S825" s="2128"/>
      <c r="T825" s="2128"/>
      <c r="U825" s="2128"/>
      <c r="V825" s="2128"/>
      <c r="W825" s="2128"/>
      <c r="X825" s="2128"/>
      <c r="Y825" s="2128"/>
      <c r="Z825" s="2128"/>
      <c r="AA825" s="2128"/>
      <c r="AB825" s="2128"/>
      <c r="AC825" s="2128"/>
      <c r="AD825" s="2128"/>
    </row>
    <row r="826" spans="1:30" ht="15.75" customHeight="1" x14ac:dyDescent="0.3">
      <c r="A826" s="4433"/>
      <c r="B826" s="4433"/>
      <c r="C826" s="2128"/>
      <c r="D826" s="2128"/>
      <c r="E826" s="2128"/>
      <c r="F826" s="2128"/>
      <c r="G826" s="2128"/>
      <c r="H826" s="2128"/>
      <c r="I826" s="2128"/>
      <c r="J826" s="2128"/>
      <c r="K826" s="2128"/>
      <c r="L826" s="2128"/>
      <c r="M826" s="2128"/>
      <c r="N826" s="2128"/>
      <c r="O826" s="2128"/>
      <c r="P826" s="2128"/>
      <c r="Q826" s="2128"/>
      <c r="R826" s="2128"/>
      <c r="S826" s="2128"/>
      <c r="T826" s="2128"/>
      <c r="U826" s="2128"/>
      <c r="V826" s="2128"/>
      <c r="W826" s="2128"/>
      <c r="X826" s="2128"/>
      <c r="Y826" s="2128"/>
      <c r="Z826" s="2128"/>
      <c r="AA826" s="2128"/>
      <c r="AB826" s="2128"/>
      <c r="AC826" s="2128"/>
      <c r="AD826" s="2128"/>
    </row>
    <row r="827" spans="1:30" ht="15.75" customHeight="1" x14ac:dyDescent="0.3">
      <c r="A827" s="4433"/>
      <c r="B827" s="4433"/>
      <c r="C827" s="2128"/>
      <c r="D827" s="2128"/>
      <c r="E827" s="2128"/>
      <c r="F827" s="2128"/>
      <c r="G827" s="2128"/>
      <c r="H827" s="2128"/>
      <c r="I827" s="2128"/>
      <c r="J827" s="2128"/>
      <c r="K827" s="2128"/>
      <c r="L827" s="2128"/>
      <c r="M827" s="2128"/>
      <c r="N827" s="2128"/>
      <c r="O827" s="2128"/>
      <c r="P827" s="2128"/>
      <c r="Q827" s="2128"/>
      <c r="R827" s="2128"/>
      <c r="S827" s="2128"/>
      <c r="T827" s="2128"/>
      <c r="U827" s="2128"/>
      <c r="V827" s="2128"/>
      <c r="W827" s="2128"/>
      <c r="X827" s="2128"/>
      <c r="Y827" s="2128"/>
      <c r="Z827" s="2128"/>
      <c r="AA827" s="2128"/>
      <c r="AB827" s="2128"/>
      <c r="AC827" s="2128"/>
      <c r="AD827" s="2128"/>
    </row>
    <row r="828" spans="1:30" ht="15.75" customHeight="1" x14ac:dyDescent="0.3">
      <c r="A828" s="4433"/>
      <c r="B828" s="4433"/>
      <c r="C828" s="2128"/>
      <c r="D828" s="2128"/>
      <c r="E828" s="2128"/>
      <c r="F828" s="2128"/>
      <c r="G828" s="2128"/>
      <c r="H828" s="2128"/>
      <c r="I828" s="2128"/>
      <c r="J828" s="2128"/>
      <c r="K828" s="2128"/>
      <c r="L828" s="2128"/>
      <c r="M828" s="2128"/>
      <c r="N828" s="2128"/>
      <c r="O828" s="2128"/>
      <c r="P828" s="2128"/>
      <c r="Q828" s="2128"/>
      <c r="R828" s="2128"/>
      <c r="S828" s="2128"/>
      <c r="T828" s="2128"/>
      <c r="U828" s="2128"/>
      <c r="V828" s="2128"/>
      <c r="W828" s="2128"/>
      <c r="X828" s="2128"/>
      <c r="Y828" s="2128"/>
      <c r="Z828" s="2128"/>
      <c r="AA828" s="2128"/>
      <c r="AB828" s="2128"/>
      <c r="AC828" s="2128"/>
      <c r="AD828" s="2128"/>
    </row>
    <row r="829" spans="1:30" ht="15.75" customHeight="1" x14ac:dyDescent="0.3">
      <c r="A829" s="4433"/>
      <c r="B829" s="4433"/>
      <c r="C829" s="2128"/>
      <c r="D829" s="2128"/>
      <c r="E829" s="2128"/>
      <c r="F829" s="2128"/>
      <c r="G829" s="2128"/>
      <c r="H829" s="2128"/>
      <c r="I829" s="2128"/>
      <c r="J829" s="2128"/>
      <c r="K829" s="2128"/>
      <c r="L829" s="2128"/>
      <c r="M829" s="2128"/>
      <c r="N829" s="2128"/>
      <c r="O829" s="2128"/>
      <c r="P829" s="2128"/>
      <c r="Q829" s="2128"/>
      <c r="R829" s="2128"/>
      <c r="S829" s="2128"/>
      <c r="T829" s="2128"/>
      <c r="U829" s="2128"/>
      <c r="V829" s="2128"/>
      <c r="W829" s="2128"/>
      <c r="X829" s="2128"/>
      <c r="Y829" s="2128"/>
      <c r="Z829" s="2128"/>
      <c r="AA829" s="2128"/>
      <c r="AB829" s="2128"/>
      <c r="AC829" s="2128"/>
      <c r="AD829" s="2128"/>
    </row>
    <row r="830" spans="1:30" ht="15.75" customHeight="1" x14ac:dyDescent="0.3">
      <c r="A830" s="4433"/>
      <c r="B830" s="4433"/>
      <c r="C830" s="2128"/>
      <c r="D830" s="2128"/>
      <c r="E830" s="2128"/>
      <c r="F830" s="2128"/>
      <c r="G830" s="2128"/>
      <c r="H830" s="2128"/>
      <c r="I830" s="2128"/>
      <c r="J830" s="2128"/>
      <c r="K830" s="2128"/>
      <c r="L830" s="2128"/>
      <c r="M830" s="2128"/>
      <c r="N830" s="2128"/>
      <c r="O830" s="2128"/>
      <c r="P830" s="2128"/>
      <c r="Q830" s="2128"/>
      <c r="R830" s="2128"/>
      <c r="S830" s="2128"/>
      <c r="T830" s="2128"/>
      <c r="U830" s="2128"/>
      <c r="V830" s="2128"/>
      <c r="W830" s="2128"/>
      <c r="X830" s="2128"/>
      <c r="Y830" s="2128"/>
      <c r="Z830" s="2128"/>
      <c r="AA830" s="2128"/>
      <c r="AB830" s="2128"/>
      <c r="AC830" s="2128"/>
      <c r="AD830" s="2128"/>
    </row>
    <row r="831" spans="1:30" ht="15.75" customHeight="1" x14ac:dyDescent="0.3">
      <c r="A831" s="4433"/>
      <c r="B831" s="4433"/>
      <c r="C831" s="2128"/>
      <c r="D831" s="2128"/>
      <c r="E831" s="2128"/>
      <c r="F831" s="2128"/>
      <c r="G831" s="2128"/>
      <c r="H831" s="2128"/>
      <c r="I831" s="2128"/>
      <c r="J831" s="2128"/>
      <c r="K831" s="2128"/>
      <c r="L831" s="2128"/>
      <c r="M831" s="2128"/>
      <c r="N831" s="2128"/>
      <c r="O831" s="2128"/>
      <c r="P831" s="2128"/>
      <c r="Q831" s="2128"/>
      <c r="R831" s="2128"/>
      <c r="S831" s="2128"/>
      <c r="T831" s="2128"/>
      <c r="U831" s="2128"/>
      <c r="V831" s="2128"/>
      <c r="W831" s="2128"/>
      <c r="X831" s="2128"/>
      <c r="Y831" s="2128"/>
      <c r="Z831" s="2128"/>
      <c r="AA831" s="2128"/>
      <c r="AB831" s="2128"/>
      <c r="AC831" s="2128"/>
      <c r="AD831" s="2128"/>
    </row>
    <row r="832" spans="1:30" ht="15.75" customHeight="1" x14ac:dyDescent="0.3">
      <c r="A832" s="4433"/>
      <c r="B832" s="4433"/>
      <c r="C832" s="2128"/>
      <c r="D832" s="2128"/>
      <c r="E832" s="2128"/>
      <c r="F832" s="2128"/>
      <c r="G832" s="2128"/>
      <c r="H832" s="2128"/>
      <c r="I832" s="2128"/>
      <c r="J832" s="2128"/>
      <c r="K832" s="2128"/>
      <c r="L832" s="2128"/>
      <c r="M832" s="2128"/>
      <c r="N832" s="2128"/>
      <c r="O832" s="2128"/>
      <c r="P832" s="2128"/>
      <c r="Q832" s="2128"/>
      <c r="R832" s="2128"/>
      <c r="S832" s="2128"/>
      <c r="T832" s="2128"/>
      <c r="U832" s="2128"/>
      <c r="V832" s="2128"/>
      <c r="W832" s="2128"/>
      <c r="X832" s="2128"/>
      <c r="Y832" s="2128"/>
      <c r="Z832" s="2128"/>
      <c r="AA832" s="2128"/>
      <c r="AB832" s="2128"/>
      <c r="AC832" s="2128"/>
      <c r="AD832" s="2128"/>
    </row>
    <row r="833" spans="1:30" ht="15.75" customHeight="1" x14ac:dyDescent="0.3">
      <c r="A833" s="4433"/>
      <c r="B833" s="4433"/>
      <c r="C833" s="2128"/>
      <c r="D833" s="2128"/>
      <c r="E833" s="2128"/>
      <c r="F833" s="2128"/>
      <c r="G833" s="2128"/>
      <c r="H833" s="2128"/>
      <c r="I833" s="2128"/>
      <c r="J833" s="2128"/>
      <c r="K833" s="2128"/>
      <c r="L833" s="2128"/>
      <c r="M833" s="2128"/>
      <c r="N833" s="2128"/>
      <c r="O833" s="2128"/>
      <c r="P833" s="2128"/>
      <c r="Q833" s="2128"/>
      <c r="R833" s="2128"/>
      <c r="S833" s="2128"/>
      <c r="T833" s="2128"/>
      <c r="U833" s="2128"/>
      <c r="V833" s="2128"/>
      <c r="W833" s="2128"/>
      <c r="X833" s="2128"/>
      <c r="Y833" s="2128"/>
      <c r="Z833" s="2128"/>
      <c r="AA833" s="2128"/>
      <c r="AB833" s="2128"/>
      <c r="AC833" s="2128"/>
      <c r="AD833" s="2128"/>
    </row>
    <row r="834" spans="1:30" ht="15.75" customHeight="1" x14ac:dyDescent="0.3">
      <c r="A834" s="4433"/>
      <c r="B834" s="4433"/>
      <c r="C834" s="2128"/>
      <c r="D834" s="2128"/>
      <c r="E834" s="2128"/>
      <c r="F834" s="2128"/>
      <c r="G834" s="2128"/>
      <c r="H834" s="2128"/>
      <c r="I834" s="2128"/>
      <c r="J834" s="2128"/>
      <c r="K834" s="2128"/>
      <c r="L834" s="2128"/>
      <c r="M834" s="2128"/>
      <c r="N834" s="2128"/>
      <c r="O834" s="2128"/>
      <c r="P834" s="2128"/>
      <c r="Q834" s="2128"/>
      <c r="R834" s="2128"/>
      <c r="S834" s="2128"/>
      <c r="T834" s="2128"/>
      <c r="U834" s="2128"/>
      <c r="V834" s="2128"/>
      <c r="W834" s="2128"/>
      <c r="X834" s="2128"/>
      <c r="Y834" s="2128"/>
      <c r="Z834" s="2128"/>
      <c r="AA834" s="2128"/>
      <c r="AB834" s="2128"/>
      <c r="AC834" s="2128"/>
      <c r="AD834" s="2128"/>
    </row>
    <row r="835" spans="1:30" ht="15.75" customHeight="1" x14ac:dyDescent="0.3">
      <c r="A835" s="4433"/>
      <c r="B835" s="4433"/>
      <c r="C835" s="2128"/>
      <c r="D835" s="2128"/>
      <c r="E835" s="2128"/>
      <c r="F835" s="2128"/>
      <c r="G835" s="2128"/>
      <c r="H835" s="2128"/>
      <c r="I835" s="2128"/>
      <c r="J835" s="2128"/>
      <c r="K835" s="2128"/>
      <c r="L835" s="2128"/>
      <c r="M835" s="2128"/>
      <c r="N835" s="2128"/>
      <c r="O835" s="2128"/>
      <c r="P835" s="2128"/>
      <c r="Q835" s="2128"/>
      <c r="R835" s="2128"/>
      <c r="S835" s="2128"/>
      <c r="T835" s="2128"/>
      <c r="U835" s="2128"/>
      <c r="V835" s="2128"/>
      <c r="W835" s="2128"/>
      <c r="X835" s="2128"/>
      <c r="Y835" s="2128"/>
      <c r="Z835" s="2128"/>
      <c r="AA835" s="2128"/>
      <c r="AB835" s="2128"/>
      <c r="AC835" s="2128"/>
      <c r="AD835" s="2128"/>
    </row>
    <row r="836" spans="1:30" ht="15.75" customHeight="1" x14ac:dyDescent="0.3">
      <c r="A836" s="4433"/>
      <c r="B836" s="4433"/>
      <c r="C836" s="2128"/>
      <c r="D836" s="2128"/>
      <c r="E836" s="2128"/>
      <c r="F836" s="2128"/>
      <c r="G836" s="2128"/>
      <c r="H836" s="2128"/>
      <c r="I836" s="2128"/>
      <c r="J836" s="2128"/>
      <c r="K836" s="2128"/>
      <c r="L836" s="2128"/>
      <c r="M836" s="2128"/>
      <c r="N836" s="2128"/>
      <c r="O836" s="2128"/>
      <c r="P836" s="2128"/>
      <c r="Q836" s="2128"/>
      <c r="R836" s="2128"/>
      <c r="S836" s="2128"/>
      <c r="T836" s="2128"/>
      <c r="U836" s="2128"/>
      <c r="V836" s="2128"/>
      <c r="W836" s="2128"/>
      <c r="X836" s="2128"/>
      <c r="Y836" s="2128"/>
      <c r="Z836" s="2128"/>
      <c r="AA836" s="2128"/>
      <c r="AB836" s="2128"/>
      <c r="AC836" s="2128"/>
      <c r="AD836" s="2128"/>
    </row>
    <row r="837" spans="1:30" ht="15.75" customHeight="1" x14ac:dyDescent="0.3">
      <c r="A837" s="4433"/>
      <c r="B837" s="4433"/>
      <c r="C837" s="2128"/>
      <c r="D837" s="2128"/>
      <c r="E837" s="2128"/>
      <c r="F837" s="2128"/>
      <c r="G837" s="2128"/>
      <c r="H837" s="2128"/>
      <c r="I837" s="2128"/>
      <c r="J837" s="2128"/>
      <c r="K837" s="2128"/>
      <c r="L837" s="2128"/>
      <c r="M837" s="2128"/>
      <c r="N837" s="2128"/>
      <c r="O837" s="2128"/>
      <c r="P837" s="2128"/>
      <c r="Q837" s="2128"/>
      <c r="R837" s="2128"/>
      <c r="S837" s="2128"/>
      <c r="T837" s="2128"/>
      <c r="U837" s="2128"/>
      <c r="V837" s="2128"/>
      <c r="W837" s="2128"/>
      <c r="X837" s="2128"/>
      <c r="Y837" s="2128"/>
      <c r="Z837" s="2128"/>
      <c r="AA837" s="2128"/>
      <c r="AB837" s="2128"/>
      <c r="AC837" s="2128"/>
      <c r="AD837" s="2128"/>
    </row>
    <row r="838" spans="1:30" ht="15.75" customHeight="1" x14ac:dyDescent="0.3">
      <c r="A838" s="4433"/>
      <c r="B838" s="4433"/>
      <c r="C838" s="2128"/>
      <c r="D838" s="2128"/>
      <c r="E838" s="2128"/>
      <c r="F838" s="2128"/>
      <c r="G838" s="2128"/>
      <c r="H838" s="2128"/>
      <c r="I838" s="2128"/>
      <c r="J838" s="2128"/>
      <c r="K838" s="2128"/>
      <c r="L838" s="2128"/>
      <c r="M838" s="2128"/>
      <c r="N838" s="2128"/>
      <c r="O838" s="2128"/>
      <c r="P838" s="2128"/>
      <c r="Q838" s="2128"/>
      <c r="R838" s="2128"/>
      <c r="S838" s="2128"/>
      <c r="T838" s="2128"/>
      <c r="U838" s="2128"/>
      <c r="V838" s="2128"/>
      <c r="W838" s="2128"/>
      <c r="X838" s="2128"/>
      <c r="Y838" s="2128"/>
      <c r="Z838" s="2128"/>
      <c r="AA838" s="2128"/>
      <c r="AB838" s="2128"/>
      <c r="AC838" s="2128"/>
      <c r="AD838" s="2128"/>
    </row>
    <row r="839" spans="1:30" ht="15.75" customHeight="1" x14ac:dyDescent="0.3">
      <c r="A839" s="4433"/>
      <c r="B839" s="4433"/>
      <c r="C839" s="2128"/>
      <c r="D839" s="2128"/>
      <c r="E839" s="2128"/>
      <c r="F839" s="2128"/>
      <c r="G839" s="2128"/>
      <c r="H839" s="2128"/>
      <c r="I839" s="2128"/>
      <c r="J839" s="2128"/>
      <c r="K839" s="2128"/>
      <c r="L839" s="2128"/>
      <c r="M839" s="2128"/>
      <c r="N839" s="2128"/>
      <c r="O839" s="2128"/>
      <c r="P839" s="2128"/>
      <c r="Q839" s="2128"/>
      <c r="R839" s="2128"/>
      <c r="S839" s="2128"/>
      <c r="T839" s="2128"/>
      <c r="U839" s="2128"/>
      <c r="V839" s="2128"/>
      <c r="W839" s="2128"/>
      <c r="X839" s="2128"/>
      <c r="Y839" s="2128"/>
      <c r="Z839" s="2128"/>
      <c r="AA839" s="2128"/>
      <c r="AB839" s="2128"/>
      <c r="AC839" s="2128"/>
      <c r="AD839" s="2128"/>
    </row>
    <row r="840" spans="1:30" ht="15.75" customHeight="1" x14ac:dyDescent="0.3">
      <c r="A840" s="4433"/>
      <c r="B840" s="4433"/>
      <c r="C840" s="2128"/>
      <c r="D840" s="2128"/>
      <c r="E840" s="2128"/>
      <c r="F840" s="2128"/>
      <c r="G840" s="2128"/>
      <c r="H840" s="2128"/>
      <c r="I840" s="2128"/>
      <c r="J840" s="2128"/>
      <c r="K840" s="2128"/>
      <c r="L840" s="2128"/>
      <c r="M840" s="2128"/>
      <c r="N840" s="2128"/>
      <c r="O840" s="2128"/>
      <c r="P840" s="2128"/>
      <c r="Q840" s="2128"/>
      <c r="R840" s="2128"/>
      <c r="S840" s="2128"/>
      <c r="T840" s="2128"/>
      <c r="U840" s="2128"/>
      <c r="V840" s="2128"/>
      <c r="W840" s="2128"/>
      <c r="X840" s="2128"/>
      <c r="Y840" s="2128"/>
      <c r="Z840" s="2128"/>
      <c r="AA840" s="2128"/>
      <c r="AB840" s="2128"/>
      <c r="AC840" s="2128"/>
      <c r="AD840" s="2128"/>
    </row>
    <row r="841" spans="1:30" ht="15.75" customHeight="1" x14ac:dyDescent="0.3">
      <c r="A841" s="4433"/>
      <c r="B841" s="4433"/>
      <c r="C841" s="2128"/>
      <c r="D841" s="2128"/>
      <c r="E841" s="2128"/>
      <c r="F841" s="2128"/>
      <c r="G841" s="2128"/>
      <c r="H841" s="2128"/>
      <c r="I841" s="2128"/>
      <c r="J841" s="2128"/>
      <c r="K841" s="2128"/>
      <c r="L841" s="2128"/>
      <c r="M841" s="2128"/>
      <c r="N841" s="2128"/>
      <c r="O841" s="2128"/>
      <c r="P841" s="2128"/>
      <c r="Q841" s="2128"/>
      <c r="R841" s="2128"/>
      <c r="S841" s="2128"/>
      <c r="T841" s="2128"/>
      <c r="U841" s="2128"/>
      <c r="V841" s="2128"/>
      <c r="W841" s="2128"/>
      <c r="X841" s="2128"/>
      <c r="Y841" s="2128"/>
      <c r="Z841" s="2128"/>
      <c r="AA841" s="2128"/>
      <c r="AB841" s="2128"/>
      <c r="AC841" s="2128"/>
      <c r="AD841" s="2128"/>
    </row>
    <row r="842" spans="1:30" ht="15.75" customHeight="1" x14ac:dyDescent="0.3">
      <c r="A842" s="4433"/>
      <c r="B842" s="4433"/>
      <c r="C842" s="2128"/>
      <c r="D842" s="2128"/>
      <c r="E842" s="2128"/>
      <c r="F842" s="2128"/>
      <c r="G842" s="2128"/>
      <c r="H842" s="2128"/>
      <c r="I842" s="2128"/>
      <c r="J842" s="2128"/>
      <c r="K842" s="2128"/>
      <c r="L842" s="2128"/>
      <c r="M842" s="2128"/>
      <c r="N842" s="2128"/>
      <c r="O842" s="2128"/>
      <c r="P842" s="2128"/>
      <c r="Q842" s="2128"/>
      <c r="R842" s="2128"/>
      <c r="S842" s="2128"/>
      <c r="T842" s="2128"/>
      <c r="U842" s="2128"/>
      <c r="V842" s="2128"/>
      <c r="W842" s="2128"/>
      <c r="X842" s="2128"/>
      <c r="Y842" s="2128"/>
      <c r="Z842" s="2128"/>
      <c r="AA842" s="2128"/>
      <c r="AB842" s="2128"/>
      <c r="AC842" s="2128"/>
      <c r="AD842" s="2128"/>
    </row>
    <row r="843" spans="1:30" ht="15.75" customHeight="1" x14ac:dyDescent="0.3">
      <c r="A843" s="4433"/>
      <c r="B843" s="4433"/>
      <c r="C843" s="2128"/>
      <c r="D843" s="2128"/>
      <c r="E843" s="2128"/>
      <c r="F843" s="2128"/>
      <c r="G843" s="2128"/>
      <c r="H843" s="2128"/>
      <c r="I843" s="2128"/>
      <c r="J843" s="2128"/>
      <c r="K843" s="2128"/>
      <c r="L843" s="2128"/>
      <c r="M843" s="2128"/>
      <c r="N843" s="2128"/>
      <c r="O843" s="2128"/>
      <c r="P843" s="2128"/>
      <c r="Q843" s="2128"/>
      <c r="R843" s="2128"/>
      <c r="S843" s="2128"/>
      <c r="T843" s="2128"/>
      <c r="U843" s="2128"/>
      <c r="V843" s="2128"/>
      <c r="W843" s="2128"/>
      <c r="X843" s="2128"/>
      <c r="Y843" s="2128"/>
      <c r="Z843" s="2128"/>
      <c r="AA843" s="2128"/>
      <c r="AB843" s="2128"/>
      <c r="AC843" s="2128"/>
      <c r="AD843" s="2128"/>
    </row>
    <row r="844" spans="1:30" ht="15.75" customHeight="1" x14ac:dyDescent="0.3">
      <c r="A844" s="4433"/>
      <c r="B844" s="4433"/>
      <c r="C844" s="2128"/>
      <c r="D844" s="2128"/>
      <c r="E844" s="2128"/>
      <c r="F844" s="2128"/>
      <c r="G844" s="2128"/>
      <c r="H844" s="2128"/>
      <c r="I844" s="2128"/>
      <c r="J844" s="2128"/>
      <c r="K844" s="2128"/>
      <c r="L844" s="2128"/>
      <c r="M844" s="2128"/>
      <c r="N844" s="2128"/>
      <c r="O844" s="2128"/>
      <c r="P844" s="2128"/>
      <c r="Q844" s="2128"/>
      <c r="R844" s="2128"/>
      <c r="S844" s="2128"/>
      <c r="T844" s="2128"/>
      <c r="U844" s="2128"/>
      <c r="V844" s="2128"/>
      <c r="W844" s="2128"/>
      <c r="X844" s="2128"/>
      <c r="Y844" s="2128"/>
      <c r="Z844" s="2128"/>
      <c r="AA844" s="2128"/>
      <c r="AB844" s="2128"/>
      <c r="AC844" s="2128"/>
      <c r="AD844" s="2128"/>
    </row>
    <row r="845" spans="1:30" ht="15.75" customHeight="1" x14ac:dyDescent="0.3">
      <c r="A845" s="4433"/>
      <c r="B845" s="4433"/>
      <c r="C845" s="2128"/>
      <c r="D845" s="2128"/>
      <c r="E845" s="2128"/>
      <c r="F845" s="2128"/>
      <c r="G845" s="2128"/>
      <c r="H845" s="2128"/>
      <c r="I845" s="2128"/>
      <c r="J845" s="2128"/>
      <c r="K845" s="2128"/>
      <c r="L845" s="2128"/>
      <c r="M845" s="2128"/>
      <c r="N845" s="2128"/>
      <c r="O845" s="2128"/>
      <c r="P845" s="2128"/>
      <c r="Q845" s="2128"/>
      <c r="R845" s="2128"/>
      <c r="S845" s="2128"/>
      <c r="T845" s="2128"/>
      <c r="U845" s="2128"/>
      <c r="V845" s="2128"/>
      <c r="W845" s="2128"/>
      <c r="X845" s="2128"/>
      <c r="Y845" s="2128"/>
      <c r="Z845" s="2128"/>
      <c r="AA845" s="2128"/>
      <c r="AB845" s="2128"/>
      <c r="AC845" s="2128"/>
      <c r="AD845" s="2128"/>
    </row>
    <row r="846" spans="1:30" ht="15.75" customHeight="1" x14ac:dyDescent="0.3">
      <c r="A846" s="4433"/>
      <c r="B846" s="4433"/>
      <c r="C846" s="2128"/>
      <c r="D846" s="2128"/>
      <c r="E846" s="2128"/>
      <c r="F846" s="2128"/>
      <c r="G846" s="2128"/>
      <c r="H846" s="2128"/>
      <c r="I846" s="2128"/>
      <c r="J846" s="2128"/>
      <c r="K846" s="2128"/>
      <c r="L846" s="2128"/>
      <c r="M846" s="2128"/>
      <c r="N846" s="2128"/>
      <c r="O846" s="2128"/>
      <c r="P846" s="2128"/>
      <c r="Q846" s="2128"/>
      <c r="R846" s="2128"/>
      <c r="S846" s="2128"/>
      <c r="T846" s="2128"/>
      <c r="U846" s="2128"/>
      <c r="V846" s="2128"/>
      <c r="W846" s="2128"/>
      <c r="X846" s="2128"/>
      <c r="Y846" s="2128"/>
      <c r="Z846" s="2128"/>
      <c r="AA846" s="2128"/>
      <c r="AB846" s="2128"/>
      <c r="AC846" s="2128"/>
      <c r="AD846" s="2128"/>
    </row>
    <row r="847" spans="1:30" ht="15.75" customHeight="1" x14ac:dyDescent="0.3">
      <c r="A847" s="4433"/>
      <c r="B847" s="4433"/>
      <c r="C847" s="2128"/>
      <c r="D847" s="2128"/>
      <c r="E847" s="2128"/>
      <c r="F847" s="2128"/>
      <c r="G847" s="2128"/>
      <c r="H847" s="2128"/>
      <c r="I847" s="2128"/>
      <c r="J847" s="2128"/>
      <c r="K847" s="2128"/>
      <c r="L847" s="2128"/>
      <c r="M847" s="2128"/>
      <c r="N847" s="2128"/>
      <c r="O847" s="2128"/>
      <c r="P847" s="2128"/>
      <c r="Q847" s="2128"/>
      <c r="R847" s="2128"/>
      <c r="S847" s="2128"/>
      <c r="T847" s="2128"/>
      <c r="U847" s="2128"/>
      <c r="V847" s="2128"/>
      <c r="W847" s="2128"/>
      <c r="X847" s="2128"/>
      <c r="Y847" s="2128"/>
      <c r="Z847" s="2128"/>
      <c r="AA847" s="2128"/>
      <c r="AB847" s="2128"/>
      <c r="AC847" s="2128"/>
      <c r="AD847" s="2128"/>
    </row>
    <row r="848" spans="1:30" ht="15.75" customHeight="1" x14ac:dyDescent="0.3">
      <c r="A848" s="4433"/>
      <c r="B848" s="4433"/>
      <c r="C848" s="2128"/>
      <c r="D848" s="2128"/>
      <c r="E848" s="2128"/>
      <c r="F848" s="2128"/>
      <c r="G848" s="2128"/>
      <c r="H848" s="2128"/>
      <c r="I848" s="2128"/>
      <c r="J848" s="2128"/>
      <c r="K848" s="2128"/>
      <c r="L848" s="2128"/>
      <c r="M848" s="2128"/>
      <c r="N848" s="2128"/>
      <c r="O848" s="2128"/>
      <c r="P848" s="2128"/>
      <c r="Q848" s="2128"/>
      <c r="R848" s="2128"/>
      <c r="S848" s="2128"/>
      <c r="T848" s="2128"/>
      <c r="U848" s="2128"/>
      <c r="V848" s="2128"/>
      <c r="W848" s="2128"/>
      <c r="X848" s="2128"/>
      <c r="Y848" s="2128"/>
      <c r="Z848" s="2128"/>
      <c r="AA848" s="2128"/>
      <c r="AB848" s="2128"/>
      <c r="AC848" s="2128"/>
      <c r="AD848" s="2128"/>
    </row>
    <row r="849" spans="1:30" ht="15.75" customHeight="1" x14ac:dyDescent="0.3">
      <c r="A849" s="4433"/>
      <c r="B849" s="4433"/>
      <c r="C849" s="2128"/>
      <c r="D849" s="2128"/>
      <c r="E849" s="2128"/>
      <c r="F849" s="2128"/>
      <c r="G849" s="2128"/>
      <c r="H849" s="2128"/>
      <c r="I849" s="2128"/>
      <c r="J849" s="2128"/>
      <c r="K849" s="2128"/>
      <c r="L849" s="2128"/>
      <c r="M849" s="2128"/>
      <c r="N849" s="2128"/>
      <c r="O849" s="2128"/>
      <c r="P849" s="2128"/>
      <c r="Q849" s="2128"/>
      <c r="R849" s="2128"/>
      <c r="S849" s="2128"/>
      <c r="T849" s="2128"/>
      <c r="U849" s="2128"/>
      <c r="V849" s="2128"/>
      <c r="W849" s="2128"/>
      <c r="X849" s="2128"/>
      <c r="Y849" s="2128"/>
      <c r="Z849" s="2128"/>
      <c r="AA849" s="2128"/>
      <c r="AB849" s="2128"/>
      <c r="AC849" s="2128"/>
      <c r="AD849" s="2128"/>
    </row>
    <row r="850" spans="1:30" ht="15.75" customHeight="1" x14ac:dyDescent="0.3">
      <c r="A850" s="4433"/>
      <c r="B850" s="4433"/>
      <c r="C850" s="2128"/>
      <c r="D850" s="2128"/>
      <c r="E850" s="2128"/>
      <c r="F850" s="2128"/>
      <c r="G850" s="2128"/>
      <c r="H850" s="2128"/>
      <c r="I850" s="2128"/>
      <c r="J850" s="2128"/>
      <c r="K850" s="2128"/>
      <c r="L850" s="2128"/>
      <c r="M850" s="2128"/>
      <c r="N850" s="2128"/>
      <c r="O850" s="2128"/>
      <c r="P850" s="2128"/>
      <c r="Q850" s="2128"/>
      <c r="R850" s="2128"/>
      <c r="S850" s="2128"/>
      <c r="T850" s="2128"/>
      <c r="U850" s="2128"/>
      <c r="V850" s="2128"/>
      <c r="W850" s="2128"/>
      <c r="X850" s="2128"/>
      <c r="Y850" s="2128"/>
      <c r="Z850" s="2128"/>
      <c r="AA850" s="2128"/>
      <c r="AB850" s="2128"/>
      <c r="AC850" s="2128"/>
      <c r="AD850" s="2128"/>
    </row>
    <row r="851" spans="1:30" ht="15.75" customHeight="1" x14ac:dyDescent="0.3">
      <c r="A851" s="4433"/>
      <c r="B851" s="4433"/>
      <c r="C851" s="2128"/>
      <c r="D851" s="2128"/>
      <c r="E851" s="2128"/>
      <c r="F851" s="2128"/>
      <c r="G851" s="2128"/>
      <c r="H851" s="2128"/>
      <c r="I851" s="2128"/>
      <c r="J851" s="2128"/>
      <c r="K851" s="2128"/>
      <c r="L851" s="2128"/>
      <c r="M851" s="2128"/>
      <c r="N851" s="2128"/>
      <c r="O851" s="2128"/>
      <c r="P851" s="2128"/>
      <c r="Q851" s="2128"/>
      <c r="R851" s="2128"/>
      <c r="S851" s="2128"/>
      <c r="T851" s="2128"/>
      <c r="U851" s="2128"/>
      <c r="V851" s="2128"/>
      <c r="W851" s="2128"/>
      <c r="X851" s="2128"/>
      <c r="Y851" s="2128"/>
      <c r="Z851" s="2128"/>
      <c r="AA851" s="2128"/>
      <c r="AB851" s="2128"/>
      <c r="AC851" s="2128"/>
      <c r="AD851" s="2128"/>
    </row>
    <row r="852" spans="1:30" ht="15.75" customHeight="1" x14ac:dyDescent="0.3">
      <c r="A852" s="4433"/>
      <c r="B852" s="4433"/>
      <c r="C852" s="2128"/>
      <c r="D852" s="2128"/>
      <c r="E852" s="2128"/>
      <c r="F852" s="2128"/>
      <c r="G852" s="2128"/>
      <c r="H852" s="2128"/>
      <c r="I852" s="2128"/>
      <c r="J852" s="2128"/>
      <c r="K852" s="2128"/>
      <c r="L852" s="2128"/>
      <c r="M852" s="2128"/>
      <c r="N852" s="2128"/>
      <c r="O852" s="2128"/>
      <c r="P852" s="2128"/>
      <c r="Q852" s="2128"/>
      <c r="R852" s="2128"/>
      <c r="S852" s="2128"/>
      <c r="T852" s="2128"/>
      <c r="U852" s="2128"/>
      <c r="V852" s="2128"/>
      <c r="W852" s="2128"/>
      <c r="X852" s="2128"/>
      <c r="Y852" s="2128"/>
      <c r="Z852" s="2128"/>
      <c r="AA852" s="2128"/>
      <c r="AB852" s="2128"/>
      <c r="AC852" s="2128"/>
      <c r="AD852" s="2128"/>
    </row>
    <row r="853" spans="1:30" ht="15.75" customHeight="1" x14ac:dyDescent="0.3">
      <c r="A853" s="4433"/>
      <c r="B853" s="4433"/>
      <c r="C853" s="2128"/>
      <c r="D853" s="2128"/>
      <c r="E853" s="2128"/>
      <c r="F853" s="2128"/>
      <c r="G853" s="2128"/>
      <c r="H853" s="2128"/>
      <c r="I853" s="2128"/>
      <c r="J853" s="2128"/>
      <c r="K853" s="2128"/>
      <c r="L853" s="2128"/>
      <c r="M853" s="2128"/>
      <c r="N853" s="2128"/>
      <c r="O853" s="2128"/>
      <c r="P853" s="2128"/>
      <c r="Q853" s="2128"/>
      <c r="R853" s="2128"/>
      <c r="S853" s="2128"/>
      <c r="T853" s="2128"/>
      <c r="U853" s="2128"/>
      <c r="V853" s="2128"/>
      <c r="W853" s="2128"/>
      <c r="X853" s="2128"/>
      <c r="Y853" s="2128"/>
      <c r="Z853" s="2128"/>
      <c r="AA853" s="2128"/>
      <c r="AB853" s="2128"/>
      <c r="AC853" s="2128"/>
      <c r="AD853" s="2128"/>
    </row>
    <row r="854" spans="1:30" ht="15.75" customHeight="1" x14ac:dyDescent="0.3">
      <c r="A854" s="4433"/>
      <c r="B854" s="4433"/>
      <c r="C854" s="2128"/>
      <c r="D854" s="2128"/>
      <c r="E854" s="2128"/>
      <c r="F854" s="2128"/>
      <c r="G854" s="2128"/>
      <c r="H854" s="2128"/>
      <c r="I854" s="2128"/>
      <c r="J854" s="2128"/>
      <c r="K854" s="2128"/>
      <c r="L854" s="2128"/>
      <c r="M854" s="2128"/>
      <c r="N854" s="2128"/>
      <c r="O854" s="2128"/>
      <c r="P854" s="2128"/>
      <c r="Q854" s="2128"/>
      <c r="R854" s="2128"/>
      <c r="S854" s="2128"/>
      <c r="T854" s="2128"/>
      <c r="U854" s="2128"/>
      <c r="V854" s="2128"/>
      <c r="W854" s="2128"/>
      <c r="X854" s="2128"/>
      <c r="Y854" s="2128"/>
      <c r="Z854" s="2128"/>
      <c r="AA854" s="2128"/>
      <c r="AB854" s="2128"/>
      <c r="AC854" s="2128"/>
      <c r="AD854" s="2128"/>
    </row>
    <row r="855" spans="1:30" ht="15.75" customHeight="1" x14ac:dyDescent="0.3">
      <c r="A855" s="4433"/>
      <c r="B855" s="4433"/>
      <c r="C855" s="2128"/>
      <c r="D855" s="2128"/>
      <c r="E855" s="2128"/>
      <c r="F855" s="2128"/>
      <c r="G855" s="2128"/>
      <c r="H855" s="2128"/>
      <c r="I855" s="2128"/>
      <c r="J855" s="2128"/>
      <c r="K855" s="2128"/>
      <c r="L855" s="2128"/>
      <c r="M855" s="2128"/>
      <c r="N855" s="2128"/>
      <c r="O855" s="2128"/>
      <c r="P855" s="2128"/>
      <c r="Q855" s="2128"/>
      <c r="R855" s="2128"/>
      <c r="S855" s="2128"/>
      <c r="T855" s="2128"/>
      <c r="U855" s="2128"/>
      <c r="V855" s="2128"/>
      <c r="W855" s="2128"/>
      <c r="X855" s="2128"/>
      <c r="Y855" s="2128"/>
      <c r="Z855" s="2128"/>
      <c r="AA855" s="2128"/>
      <c r="AB855" s="2128"/>
      <c r="AC855" s="2128"/>
      <c r="AD855" s="2128"/>
    </row>
    <row r="856" spans="1:30" ht="15.75" customHeight="1" x14ac:dyDescent="0.3">
      <c r="A856" s="4433"/>
      <c r="B856" s="4433"/>
      <c r="C856" s="2128"/>
      <c r="D856" s="2128"/>
      <c r="E856" s="2128"/>
      <c r="F856" s="2128"/>
      <c r="G856" s="2128"/>
      <c r="H856" s="2128"/>
      <c r="I856" s="2128"/>
      <c r="J856" s="2128"/>
      <c r="K856" s="2128"/>
      <c r="L856" s="2128"/>
      <c r="M856" s="2128"/>
      <c r="N856" s="2128"/>
      <c r="O856" s="2128"/>
      <c r="P856" s="2128"/>
      <c r="Q856" s="2128"/>
      <c r="R856" s="2128"/>
      <c r="S856" s="2128"/>
      <c r="T856" s="2128"/>
      <c r="U856" s="2128"/>
      <c r="V856" s="2128"/>
      <c r="W856" s="2128"/>
      <c r="X856" s="2128"/>
      <c r="Y856" s="2128"/>
      <c r="Z856" s="2128"/>
      <c r="AA856" s="2128"/>
      <c r="AB856" s="2128"/>
      <c r="AC856" s="2128"/>
      <c r="AD856" s="2128"/>
    </row>
    <row r="857" spans="1:30" ht="15.75" customHeight="1" x14ac:dyDescent="0.3">
      <c r="A857" s="4433"/>
      <c r="B857" s="4433"/>
      <c r="C857" s="2128"/>
      <c r="D857" s="2128"/>
      <c r="E857" s="2128"/>
      <c r="F857" s="2128"/>
      <c r="G857" s="2128"/>
      <c r="H857" s="2128"/>
      <c r="I857" s="2128"/>
      <c r="J857" s="2128"/>
      <c r="K857" s="2128"/>
      <c r="L857" s="2128"/>
      <c r="M857" s="2128"/>
      <c r="N857" s="2128"/>
      <c r="O857" s="2128"/>
      <c r="P857" s="2128"/>
      <c r="Q857" s="2128"/>
      <c r="R857" s="2128"/>
      <c r="S857" s="2128"/>
      <c r="T857" s="2128"/>
      <c r="U857" s="2128"/>
      <c r="V857" s="2128"/>
      <c r="W857" s="2128"/>
      <c r="X857" s="2128"/>
      <c r="Y857" s="2128"/>
      <c r="Z857" s="2128"/>
      <c r="AA857" s="2128"/>
      <c r="AB857" s="2128"/>
      <c r="AC857" s="2128"/>
      <c r="AD857" s="2128"/>
    </row>
    <row r="858" spans="1:30" ht="15.75" customHeight="1" x14ac:dyDescent="0.3">
      <c r="A858" s="4433"/>
      <c r="B858" s="4433"/>
      <c r="C858" s="2128"/>
      <c r="D858" s="2128"/>
      <c r="E858" s="2128"/>
      <c r="F858" s="2128"/>
      <c r="G858" s="2128"/>
      <c r="H858" s="2128"/>
      <c r="I858" s="2128"/>
      <c r="J858" s="2128"/>
      <c r="K858" s="2128"/>
      <c r="L858" s="2128"/>
      <c r="M858" s="2128"/>
      <c r="N858" s="2128"/>
      <c r="O858" s="2128"/>
      <c r="P858" s="2128"/>
      <c r="Q858" s="2128"/>
      <c r="R858" s="2128"/>
      <c r="S858" s="2128"/>
      <c r="T858" s="2128"/>
      <c r="U858" s="2128"/>
      <c r="V858" s="2128"/>
      <c r="W858" s="2128"/>
      <c r="X858" s="2128"/>
      <c r="Y858" s="2128"/>
      <c r="Z858" s="2128"/>
      <c r="AA858" s="2128"/>
      <c r="AB858" s="2128"/>
      <c r="AC858" s="2128"/>
      <c r="AD858" s="2128"/>
    </row>
    <row r="859" spans="1:30" ht="15.75" customHeight="1" x14ac:dyDescent="0.3">
      <c r="A859" s="4433"/>
      <c r="B859" s="4433"/>
      <c r="C859" s="2128"/>
      <c r="D859" s="2128"/>
      <c r="E859" s="2128"/>
      <c r="F859" s="2128"/>
      <c r="G859" s="2128"/>
      <c r="H859" s="2128"/>
      <c r="I859" s="2128"/>
      <c r="J859" s="2128"/>
      <c r="K859" s="2128"/>
      <c r="L859" s="2128"/>
      <c r="M859" s="2128"/>
      <c r="N859" s="2128"/>
      <c r="O859" s="2128"/>
      <c r="P859" s="2128"/>
      <c r="Q859" s="2128"/>
      <c r="R859" s="2128"/>
      <c r="S859" s="2128"/>
      <c r="T859" s="2128"/>
      <c r="U859" s="2128"/>
      <c r="V859" s="2128"/>
      <c r="W859" s="2128"/>
      <c r="X859" s="2128"/>
      <c r="Y859" s="2128"/>
      <c r="Z859" s="2128"/>
      <c r="AA859" s="2128"/>
      <c r="AB859" s="2128"/>
      <c r="AC859" s="2128"/>
      <c r="AD859" s="2128"/>
    </row>
    <row r="860" spans="1:30" ht="15.75" customHeight="1" x14ac:dyDescent="0.3">
      <c r="A860" s="4433"/>
      <c r="B860" s="4433"/>
      <c r="C860" s="2128"/>
      <c r="D860" s="2128"/>
      <c r="E860" s="2128"/>
      <c r="F860" s="2128"/>
      <c r="G860" s="2128"/>
      <c r="H860" s="2128"/>
      <c r="I860" s="2128"/>
      <c r="J860" s="2128"/>
      <c r="K860" s="2128"/>
      <c r="L860" s="2128"/>
      <c r="M860" s="2128"/>
      <c r="N860" s="2128"/>
      <c r="O860" s="2128"/>
      <c r="P860" s="2128"/>
      <c r="Q860" s="2128"/>
      <c r="R860" s="2128"/>
      <c r="S860" s="2128"/>
      <c r="T860" s="2128"/>
      <c r="U860" s="2128"/>
      <c r="V860" s="2128"/>
      <c r="W860" s="2128"/>
      <c r="X860" s="2128"/>
      <c r="Y860" s="2128"/>
      <c r="Z860" s="2128"/>
      <c r="AA860" s="2128"/>
      <c r="AB860" s="2128"/>
      <c r="AC860" s="2128"/>
      <c r="AD860" s="2128"/>
    </row>
    <row r="861" spans="1:30" ht="15.75" customHeight="1" x14ac:dyDescent="0.3">
      <c r="A861" s="4433"/>
      <c r="B861" s="4433"/>
      <c r="C861" s="2128"/>
      <c r="D861" s="2128"/>
      <c r="E861" s="2128"/>
      <c r="F861" s="2128"/>
      <c r="G861" s="2128"/>
      <c r="H861" s="2128"/>
      <c r="I861" s="2128"/>
      <c r="J861" s="2128"/>
      <c r="K861" s="2128"/>
      <c r="L861" s="2128"/>
      <c r="M861" s="2128"/>
      <c r="N861" s="2128"/>
      <c r="O861" s="2128"/>
      <c r="P861" s="2128"/>
      <c r="Q861" s="2128"/>
      <c r="R861" s="2128"/>
      <c r="S861" s="2128"/>
      <c r="T861" s="2128"/>
      <c r="U861" s="2128"/>
      <c r="V861" s="2128"/>
      <c r="W861" s="2128"/>
      <c r="X861" s="2128"/>
      <c r="Y861" s="2128"/>
      <c r="Z861" s="2128"/>
      <c r="AA861" s="2128"/>
      <c r="AB861" s="2128"/>
      <c r="AC861" s="2128"/>
      <c r="AD861" s="2128"/>
    </row>
    <row r="862" spans="1:30" ht="15.75" customHeight="1" x14ac:dyDescent="0.3">
      <c r="A862" s="4433"/>
      <c r="B862" s="4433"/>
      <c r="C862" s="2128"/>
      <c r="D862" s="2128"/>
      <c r="E862" s="2128"/>
      <c r="F862" s="2128"/>
      <c r="G862" s="2128"/>
      <c r="H862" s="2128"/>
      <c r="I862" s="2128"/>
      <c r="J862" s="2128"/>
      <c r="K862" s="2128"/>
      <c r="L862" s="2128"/>
      <c r="M862" s="2128"/>
      <c r="N862" s="2128"/>
      <c r="O862" s="2128"/>
      <c r="P862" s="2128"/>
      <c r="Q862" s="2128"/>
      <c r="R862" s="2128"/>
      <c r="S862" s="2128"/>
      <c r="T862" s="2128"/>
      <c r="U862" s="2128"/>
      <c r="V862" s="2128"/>
      <c r="W862" s="2128"/>
      <c r="X862" s="2128"/>
      <c r="Y862" s="2128"/>
      <c r="Z862" s="2128"/>
      <c r="AA862" s="2128"/>
      <c r="AB862" s="2128"/>
      <c r="AC862" s="2128"/>
      <c r="AD862" s="2128"/>
    </row>
    <row r="863" spans="1:30" ht="15.75" customHeight="1" x14ac:dyDescent="0.3">
      <c r="A863" s="4433"/>
      <c r="B863" s="4433"/>
      <c r="C863" s="2128"/>
      <c r="D863" s="2128"/>
      <c r="E863" s="2128"/>
      <c r="F863" s="2128"/>
      <c r="G863" s="2128"/>
      <c r="H863" s="2128"/>
      <c r="I863" s="2128"/>
      <c r="J863" s="2128"/>
      <c r="K863" s="2128"/>
      <c r="L863" s="2128"/>
      <c r="M863" s="2128"/>
      <c r="N863" s="2128"/>
      <c r="O863" s="2128"/>
      <c r="P863" s="2128"/>
      <c r="Q863" s="2128"/>
      <c r="R863" s="2128"/>
      <c r="S863" s="2128"/>
      <c r="T863" s="2128"/>
      <c r="U863" s="2128"/>
      <c r="V863" s="2128"/>
      <c r="W863" s="2128"/>
      <c r="X863" s="2128"/>
      <c r="Y863" s="2128"/>
      <c r="Z863" s="2128"/>
      <c r="AA863" s="2128"/>
      <c r="AB863" s="2128"/>
      <c r="AC863" s="2128"/>
      <c r="AD863" s="2128"/>
    </row>
    <row r="864" spans="1:30" ht="15.75" customHeight="1" x14ac:dyDescent="0.3">
      <c r="A864" s="4433"/>
      <c r="B864" s="4433"/>
      <c r="C864" s="2128"/>
      <c r="D864" s="2128"/>
      <c r="E864" s="2128"/>
      <c r="F864" s="2128"/>
      <c r="G864" s="2128"/>
      <c r="H864" s="2128"/>
      <c r="I864" s="2128"/>
      <c r="J864" s="2128"/>
      <c r="K864" s="2128"/>
      <c r="L864" s="2128"/>
      <c r="M864" s="2128"/>
      <c r="N864" s="2128"/>
      <c r="O864" s="2128"/>
      <c r="P864" s="2128"/>
      <c r="Q864" s="2128"/>
      <c r="R864" s="2128"/>
      <c r="S864" s="2128"/>
      <c r="T864" s="2128"/>
      <c r="U864" s="2128"/>
      <c r="V864" s="2128"/>
      <c r="W864" s="2128"/>
      <c r="X864" s="2128"/>
      <c r="Y864" s="2128"/>
      <c r="Z864" s="2128"/>
      <c r="AA864" s="2128"/>
      <c r="AB864" s="2128"/>
      <c r="AC864" s="2128"/>
      <c r="AD864" s="2128"/>
    </row>
    <row r="865" spans="1:30" ht="15.75" customHeight="1" x14ac:dyDescent="0.3">
      <c r="A865" s="4433"/>
      <c r="B865" s="4433"/>
      <c r="C865" s="2128"/>
      <c r="D865" s="2128"/>
      <c r="E865" s="2128"/>
      <c r="F865" s="2128"/>
      <c r="G865" s="2128"/>
      <c r="H865" s="2128"/>
      <c r="I865" s="2128"/>
      <c r="J865" s="2128"/>
      <c r="K865" s="2128"/>
      <c r="L865" s="2128"/>
      <c r="M865" s="2128"/>
      <c r="N865" s="2128"/>
      <c r="O865" s="2128"/>
      <c r="P865" s="2128"/>
      <c r="Q865" s="2128"/>
      <c r="R865" s="2128"/>
      <c r="S865" s="2128"/>
      <c r="T865" s="2128"/>
      <c r="U865" s="2128"/>
      <c r="V865" s="2128"/>
      <c r="W865" s="2128"/>
      <c r="X865" s="2128"/>
      <c r="Y865" s="2128"/>
      <c r="Z865" s="2128"/>
      <c r="AA865" s="2128"/>
      <c r="AB865" s="2128"/>
      <c r="AC865" s="2128"/>
      <c r="AD865" s="2128"/>
    </row>
    <row r="866" spans="1:30" ht="15.75" customHeight="1" x14ac:dyDescent="0.3">
      <c r="A866" s="4433"/>
      <c r="B866" s="4433"/>
      <c r="C866" s="2128"/>
      <c r="D866" s="2128"/>
      <c r="E866" s="2128"/>
      <c r="F866" s="2128"/>
      <c r="G866" s="2128"/>
      <c r="H866" s="2128"/>
      <c r="I866" s="2128"/>
      <c r="J866" s="2128"/>
      <c r="K866" s="2128"/>
      <c r="L866" s="2128"/>
      <c r="M866" s="2128"/>
      <c r="N866" s="2128"/>
      <c r="O866" s="2128"/>
      <c r="P866" s="2128"/>
      <c r="Q866" s="2128"/>
      <c r="R866" s="2128"/>
      <c r="S866" s="2128"/>
      <c r="T866" s="2128"/>
      <c r="U866" s="2128"/>
      <c r="V866" s="2128"/>
      <c r="W866" s="2128"/>
      <c r="X866" s="2128"/>
      <c r="Y866" s="2128"/>
      <c r="Z866" s="2128"/>
      <c r="AA866" s="2128"/>
      <c r="AB866" s="2128"/>
      <c r="AC866" s="2128"/>
      <c r="AD866" s="2128"/>
    </row>
    <row r="867" spans="1:30" ht="15.75" customHeight="1" x14ac:dyDescent="0.3">
      <c r="A867" s="4433"/>
      <c r="B867" s="4433"/>
      <c r="C867" s="2128"/>
      <c r="D867" s="2128"/>
      <c r="E867" s="2128"/>
      <c r="F867" s="2128"/>
      <c r="G867" s="2128"/>
      <c r="H867" s="2128"/>
      <c r="I867" s="2128"/>
      <c r="J867" s="2128"/>
      <c r="K867" s="2128"/>
      <c r="L867" s="2128"/>
      <c r="M867" s="2128"/>
      <c r="N867" s="2128"/>
      <c r="O867" s="2128"/>
      <c r="P867" s="2128"/>
      <c r="Q867" s="2128"/>
      <c r="R867" s="2128"/>
      <c r="S867" s="2128"/>
      <c r="T867" s="2128"/>
      <c r="U867" s="2128"/>
      <c r="V867" s="2128"/>
      <c r="W867" s="2128"/>
      <c r="X867" s="2128"/>
      <c r="Y867" s="2128"/>
      <c r="Z867" s="2128"/>
      <c r="AA867" s="2128"/>
      <c r="AB867" s="2128"/>
      <c r="AC867" s="2128"/>
      <c r="AD867" s="2128"/>
    </row>
    <row r="868" spans="1:30" ht="15.75" customHeight="1" x14ac:dyDescent="0.3">
      <c r="A868" s="4433"/>
      <c r="B868" s="4433"/>
      <c r="C868" s="2128"/>
      <c r="D868" s="2128"/>
      <c r="E868" s="2128"/>
      <c r="F868" s="2128"/>
      <c r="G868" s="2128"/>
      <c r="H868" s="2128"/>
      <c r="I868" s="2128"/>
      <c r="J868" s="2128"/>
      <c r="K868" s="2128"/>
      <c r="L868" s="2128"/>
      <c r="M868" s="2128"/>
      <c r="N868" s="2128"/>
      <c r="O868" s="2128"/>
      <c r="P868" s="2128"/>
      <c r="Q868" s="2128"/>
      <c r="R868" s="2128"/>
      <c r="S868" s="2128"/>
      <c r="T868" s="2128"/>
      <c r="U868" s="2128"/>
      <c r="V868" s="2128"/>
      <c r="W868" s="2128"/>
      <c r="X868" s="2128"/>
      <c r="Y868" s="2128"/>
      <c r="Z868" s="2128"/>
      <c r="AA868" s="2128"/>
      <c r="AB868" s="2128"/>
      <c r="AC868" s="2128"/>
      <c r="AD868" s="2128"/>
    </row>
    <row r="869" spans="1:30" ht="15.75" customHeight="1" x14ac:dyDescent="0.3">
      <c r="A869" s="4433"/>
      <c r="B869" s="4433"/>
      <c r="C869" s="2128"/>
      <c r="D869" s="2128"/>
      <c r="E869" s="2128"/>
      <c r="F869" s="2128"/>
      <c r="G869" s="2128"/>
      <c r="H869" s="2128"/>
      <c r="I869" s="2128"/>
      <c r="J869" s="2128"/>
      <c r="K869" s="2128"/>
      <c r="L869" s="2128"/>
      <c r="M869" s="2128"/>
      <c r="N869" s="2128"/>
      <c r="O869" s="2128"/>
      <c r="P869" s="2128"/>
      <c r="Q869" s="2128"/>
      <c r="R869" s="2128"/>
      <c r="S869" s="2128"/>
      <c r="T869" s="2128"/>
      <c r="U869" s="2128"/>
      <c r="V869" s="2128"/>
      <c r="W869" s="2128"/>
      <c r="X869" s="2128"/>
      <c r="Y869" s="2128"/>
      <c r="Z869" s="2128"/>
      <c r="AA869" s="2128"/>
      <c r="AB869" s="2128"/>
      <c r="AC869" s="2128"/>
      <c r="AD869" s="2128"/>
    </row>
    <row r="870" spans="1:30" ht="15.75" customHeight="1" x14ac:dyDescent="0.3">
      <c r="A870" s="4433"/>
      <c r="B870" s="4433"/>
      <c r="C870" s="2128"/>
      <c r="D870" s="2128"/>
      <c r="E870" s="2128"/>
      <c r="F870" s="2128"/>
      <c r="G870" s="2128"/>
      <c r="H870" s="2128"/>
      <c r="I870" s="2128"/>
      <c r="J870" s="2128"/>
      <c r="K870" s="2128"/>
      <c r="L870" s="2128"/>
      <c r="M870" s="2128"/>
      <c r="N870" s="2128"/>
      <c r="O870" s="2128"/>
      <c r="P870" s="2128"/>
      <c r="Q870" s="2128"/>
      <c r="R870" s="2128"/>
      <c r="S870" s="2128"/>
      <c r="T870" s="2128"/>
      <c r="U870" s="2128"/>
      <c r="V870" s="2128"/>
      <c r="W870" s="2128"/>
      <c r="X870" s="2128"/>
      <c r="Y870" s="2128"/>
      <c r="Z870" s="2128"/>
      <c r="AA870" s="2128"/>
      <c r="AB870" s="2128"/>
      <c r="AC870" s="2128"/>
      <c r="AD870" s="2128"/>
    </row>
    <row r="871" spans="1:30" ht="15.75" customHeight="1" x14ac:dyDescent="0.3">
      <c r="A871" s="4433"/>
      <c r="B871" s="4433"/>
      <c r="C871" s="2128"/>
      <c r="D871" s="2128"/>
      <c r="E871" s="2128"/>
      <c r="F871" s="2128"/>
      <c r="G871" s="2128"/>
      <c r="H871" s="2128"/>
      <c r="I871" s="2128"/>
      <c r="J871" s="2128"/>
      <c r="K871" s="2128"/>
      <c r="L871" s="2128"/>
      <c r="M871" s="2128"/>
      <c r="N871" s="2128"/>
      <c r="O871" s="2128"/>
      <c r="P871" s="2128"/>
      <c r="Q871" s="2128"/>
      <c r="R871" s="2128"/>
      <c r="S871" s="2128"/>
      <c r="T871" s="2128"/>
      <c r="U871" s="2128"/>
      <c r="V871" s="2128"/>
      <c r="W871" s="2128"/>
      <c r="X871" s="2128"/>
      <c r="Y871" s="2128"/>
      <c r="Z871" s="2128"/>
      <c r="AA871" s="2128"/>
      <c r="AB871" s="2128"/>
      <c r="AC871" s="2128"/>
      <c r="AD871" s="2128"/>
    </row>
    <row r="872" spans="1:30" ht="15.75" customHeight="1" x14ac:dyDescent="0.3">
      <c r="A872" s="4433"/>
      <c r="B872" s="4433"/>
      <c r="C872" s="2128"/>
      <c r="D872" s="2128"/>
      <c r="E872" s="2128"/>
      <c r="F872" s="2128"/>
      <c r="G872" s="2128"/>
      <c r="H872" s="2128"/>
      <c r="I872" s="2128"/>
      <c r="J872" s="2128"/>
      <c r="K872" s="2128"/>
      <c r="L872" s="2128"/>
      <c r="M872" s="2128"/>
      <c r="N872" s="2128"/>
      <c r="O872" s="2128"/>
      <c r="P872" s="2128"/>
      <c r="Q872" s="2128"/>
      <c r="R872" s="2128"/>
      <c r="S872" s="2128"/>
      <c r="T872" s="2128"/>
      <c r="U872" s="2128"/>
      <c r="V872" s="2128"/>
      <c r="W872" s="2128"/>
      <c r="X872" s="2128"/>
      <c r="Y872" s="2128"/>
      <c r="Z872" s="2128"/>
      <c r="AA872" s="2128"/>
      <c r="AB872" s="2128"/>
      <c r="AC872" s="2128"/>
      <c r="AD872" s="2128"/>
    </row>
    <row r="873" spans="1:30" ht="15.75" customHeight="1" x14ac:dyDescent="0.3">
      <c r="A873" s="4433"/>
      <c r="B873" s="4433"/>
      <c r="C873" s="2128"/>
      <c r="D873" s="2128"/>
      <c r="E873" s="2128"/>
      <c r="F873" s="2128"/>
      <c r="G873" s="2128"/>
      <c r="H873" s="2128"/>
      <c r="I873" s="2128"/>
      <c r="J873" s="2128"/>
      <c r="K873" s="2128"/>
      <c r="L873" s="2128"/>
      <c r="M873" s="2128"/>
      <c r="N873" s="2128"/>
      <c r="O873" s="2128"/>
      <c r="P873" s="2128"/>
      <c r="Q873" s="2128"/>
      <c r="R873" s="2128"/>
      <c r="S873" s="2128"/>
      <c r="T873" s="2128"/>
      <c r="U873" s="2128"/>
      <c r="V873" s="2128"/>
      <c r="W873" s="2128"/>
      <c r="X873" s="2128"/>
      <c r="Y873" s="2128"/>
      <c r="Z873" s="2128"/>
      <c r="AA873" s="2128"/>
      <c r="AB873" s="2128"/>
      <c r="AC873" s="2128"/>
      <c r="AD873" s="2128"/>
    </row>
    <row r="874" spans="1:30" ht="15.75" customHeight="1" x14ac:dyDescent="0.3">
      <c r="A874" s="4433"/>
      <c r="B874" s="4433"/>
      <c r="C874" s="2128"/>
      <c r="D874" s="2128"/>
      <c r="E874" s="2128"/>
      <c r="F874" s="2128"/>
      <c r="G874" s="2128"/>
      <c r="H874" s="2128"/>
      <c r="I874" s="2128"/>
      <c r="J874" s="2128"/>
      <c r="K874" s="2128"/>
      <c r="L874" s="2128"/>
      <c r="M874" s="2128"/>
      <c r="N874" s="2128"/>
      <c r="O874" s="2128"/>
      <c r="P874" s="2128"/>
      <c r="Q874" s="2128"/>
      <c r="R874" s="2128"/>
      <c r="S874" s="2128"/>
      <c r="T874" s="2128"/>
      <c r="U874" s="2128"/>
      <c r="V874" s="2128"/>
      <c r="W874" s="2128"/>
      <c r="X874" s="2128"/>
      <c r="Y874" s="2128"/>
      <c r="Z874" s="2128"/>
      <c r="AA874" s="2128"/>
      <c r="AB874" s="2128"/>
      <c r="AC874" s="2128"/>
      <c r="AD874" s="2128"/>
    </row>
    <row r="875" spans="1:30" ht="15.75" customHeight="1" x14ac:dyDescent="0.3">
      <c r="A875" s="4433"/>
      <c r="B875" s="4433"/>
      <c r="C875" s="2128"/>
      <c r="D875" s="2128"/>
      <c r="E875" s="2128"/>
      <c r="F875" s="2128"/>
      <c r="G875" s="2128"/>
      <c r="H875" s="2128"/>
      <c r="I875" s="2128"/>
      <c r="J875" s="2128"/>
      <c r="K875" s="2128"/>
      <c r="L875" s="2128"/>
      <c r="M875" s="2128"/>
      <c r="N875" s="2128"/>
      <c r="O875" s="2128"/>
      <c r="P875" s="2128"/>
      <c r="Q875" s="2128"/>
      <c r="R875" s="2128"/>
      <c r="S875" s="2128"/>
      <c r="T875" s="2128"/>
      <c r="U875" s="2128"/>
      <c r="V875" s="2128"/>
      <c r="W875" s="2128"/>
      <c r="X875" s="2128"/>
      <c r="Y875" s="2128"/>
      <c r="Z875" s="2128"/>
      <c r="AA875" s="2128"/>
      <c r="AB875" s="2128"/>
      <c r="AC875" s="2128"/>
      <c r="AD875" s="2128"/>
    </row>
    <row r="876" spans="1:30" ht="15.75" customHeight="1" x14ac:dyDescent="0.3">
      <c r="A876" s="4433"/>
      <c r="B876" s="4433"/>
      <c r="C876" s="2128"/>
      <c r="D876" s="2128"/>
      <c r="E876" s="2128"/>
      <c r="F876" s="2128"/>
      <c r="G876" s="2128"/>
      <c r="H876" s="2128"/>
      <c r="I876" s="2128"/>
      <c r="J876" s="2128"/>
      <c r="K876" s="2128"/>
      <c r="L876" s="2128"/>
      <c r="M876" s="2128"/>
      <c r="N876" s="2128"/>
      <c r="O876" s="2128"/>
      <c r="P876" s="2128"/>
      <c r="Q876" s="2128"/>
      <c r="R876" s="2128"/>
      <c r="S876" s="2128"/>
      <c r="T876" s="2128"/>
      <c r="U876" s="2128"/>
      <c r="V876" s="2128"/>
      <c r="W876" s="2128"/>
      <c r="X876" s="2128"/>
      <c r="Y876" s="2128"/>
      <c r="Z876" s="2128"/>
      <c r="AA876" s="2128"/>
      <c r="AB876" s="2128"/>
      <c r="AC876" s="2128"/>
      <c r="AD876" s="2128"/>
    </row>
    <row r="877" spans="1:30" ht="15.75" customHeight="1" x14ac:dyDescent="0.3">
      <c r="A877" s="4433"/>
      <c r="B877" s="4433"/>
      <c r="C877" s="2128"/>
      <c r="D877" s="2128"/>
      <c r="E877" s="2128"/>
      <c r="F877" s="2128"/>
      <c r="G877" s="2128"/>
      <c r="H877" s="2128"/>
      <c r="I877" s="2128"/>
      <c r="J877" s="2128"/>
      <c r="K877" s="2128"/>
      <c r="L877" s="2128"/>
      <c r="M877" s="2128"/>
      <c r="N877" s="2128"/>
      <c r="O877" s="2128"/>
      <c r="P877" s="2128"/>
      <c r="Q877" s="2128"/>
      <c r="R877" s="2128"/>
      <c r="S877" s="2128"/>
      <c r="T877" s="2128"/>
      <c r="U877" s="2128"/>
      <c r="V877" s="2128"/>
      <c r="W877" s="2128"/>
      <c r="X877" s="2128"/>
      <c r="Y877" s="2128"/>
      <c r="Z877" s="2128"/>
      <c r="AA877" s="2128"/>
      <c r="AB877" s="2128"/>
      <c r="AC877" s="2128"/>
      <c r="AD877" s="2128"/>
    </row>
    <row r="878" spans="1:30" ht="15.75" customHeight="1" x14ac:dyDescent="0.3">
      <c r="A878" s="4433"/>
      <c r="B878" s="4433"/>
      <c r="C878" s="2128"/>
      <c r="D878" s="2128"/>
      <c r="E878" s="2128"/>
      <c r="F878" s="2128"/>
      <c r="G878" s="2128"/>
      <c r="H878" s="2128"/>
      <c r="I878" s="2128"/>
      <c r="J878" s="2128"/>
      <c r="K878" s="2128"/>
      <c r="L878" s="2128"/>
      <c r="M878" s="2128"/>
      <c r="N878" s="2128"/>
      <c r="O878" s="2128"/>
      <c r="P878" s="2128"/>
      <c r="Q878" s="2128"/>
      <c r="R878" s="2128"/>
      <c r="S878" s="2128"/>
      <c r="T878" s="2128"/>
      <c r="U878" s="2128"/>
      <c r="V878" s="2128"/>
      <c r="W878" s="2128"/>
      <c r="X878" s="2128"/>
      <c r="Y878" s="2128"/>
      <c r="Z878" s="2128"/>
      <c r="AA878" s="2128"/>
      <c r="AB878" s="2128"/>
      <c r="AC878" s="2128"/>
      <c r="AD878" s="2128"/>
    </row>
    <row r="879" spans="1:30" ht="15.75" customHeight="1" x14ac:dyDescent="0.3">
      <c r="A879" s="4433"/>
      <c r="B879" s="4433"/>
      <c r="C879" s="2128"/>
      <c r="D879" s="2128"/>
      <c r="E879" s="2128"/>
      <c r="F879" s="2128"/>
      <c r="G879" s="2128"/>
      <c r="H879" s="2128"/>
      <c r="I879" s="2128"/>
      <c r="J879" s="2128"/>
      <c r="K879" s="2128"/>
      <c r="L879" s="2128"/>
      <c r="M879" s="2128"/>
      <c r="N879" s="2128"/>
      <c r="O879" s="2128"/>
      <c r="P879" s="2128"/>
      <c r="Q879" s="2128"/>
      <c r="R879" s="2128"/>
      <c r="S879" s="2128"/>
      <c r="T879" s="2128"/>
      <c r="U879" s="2128"/>
      <c r="V879" s="2128"/>
      <c r="W879" s="2128"/>
      <c r="X879" s="2128"/>
      <c r="Y879" s="2128"/>
      <c r="Z879" s="2128"/>
      <c r="AA879" s="2128"/>
      <c r="AB879" s="2128"/>
      <c r="AC879" s="2128"/>
      <c r="AD879" s="2128"/>
    </row>
    <row r="880" spans="1:30" ht="15.75" customHeight="1" x14ac:dyDescent="0.3">
      <c r="A880" s="4433"/>
      <c r="B880" s="4433"/>
      <c r="C880" s="2128"/>
      <c r="D880" s="2128"/>
      <c r="E880" s="2128"/>
      <c r="F880" s="2128"/>
      <c r="G880" s="2128"/>
      <c r="H880" s="2128"/>
      <c r="I880" s="2128"/>
      <c r="J880" s="2128"/>
      <c r="K880" s="2128"/>
      <c r="L880" s="2128"/>
      <c r="M880" s="2128"/>
      <c r="N880" s="2128"/>
      <c r="O880" s="2128"/>
      <c r="P880" s="2128"/>
      <c r="Q880" s="2128"/>
      <c r="R880" s="2128"/>
      <c r="S880" s="2128"/>
      <c r="T880" s="2128"/>
      <c r="U880" s="2128"/>
      <c r="V880" s="2128"/>
      <c r="W880" s="2128"/>
      <c r="X880" s="2128"/>
      <c r="Y880" s="2128"/>
      <c r="Z880" s="2128"/>
      <c r="AA880" s="2128"/>
      <c r="AB880" s="2128"/>
      <c r="AC880" s="2128"/>
      <c r="AD880" s="2128"/>
    </row>
    <row r="881" spans="1:30" ht="15.75" customHeight="1" x14ac:dyDescent="0.3">
      <c r="A881" s="4433"/>
      <c r="B881" s="4433"/>
      <c r="C881" s="2128"/>
      <c r="D881" s="2128"/>
      <c r="E881" s="2128"/>
      <c r="F881" s="2128"/>
      <c r="G881" s="2128"/>
      <c r="H881" s="2128"/>
      <c r="I881" s="2128"/>
      <c r="J881" s="2128"/>
      <c r="K881" s="2128"/>
      <c r="L881" s="2128"/>
      <c r="M881" s="2128"/>
      <c r="N881" s="2128"/>
      <c r="O881" s="2128"/>
      <c r="P881" s="2128"/>
      <c r="Q881" s="2128"/>
      <c r="R881" s="2128"/>
      <c r="S881" s="2128"/>
      <c r="T881" s="2128"/>
      <c r="U881" s="2128"/>
      <c r="V881" s="2128"/>
      <c r="W881" s="2128"/>
      <c r="X881" s="2128"/>
      <c r="Y881" s="2128"/>
      <c r="Z881" s="2128"/>
      <c r="AA881" s="2128"/>
      <c r="AB881" s="2128"/>
      <c r="AC881" s="2128"/>
      <c r="AD881" s="2128"/>
    </row>
    <row r="882" spans="1:30" ht="15.75" customHeight="1" x14ac:dyDescent="0.3">
      <c r="A882" s="4433"/>
      <c r="B882" s="4433"/>
      <c r="C882" s="2128"/>
      <c r="D882" s="2128"/>
      <c r="E882" s="2128"/>
      <c r="F882" s="2128"/>
      <c r="G882" s="2128"/>
      <c r="H882" s="2128"/>
      <c r="I882" s="2128"/>
      <c r="J882" s="2128"/>
      <c r="K882" s="2128"/>
      <c r="L882" s="2128"/>
      <c r="M882" s="2128"/>
      <c r="N882" s="2128"/>
      <c r="O882" s="2128"/>
      <c r="P882" s="2128"/>
      <c r="Q882" s="2128"/>
      <c r="R882" s="2128"/>
      <c r="S882" s="2128"/>
      <c r="T882" s="2128"/>
      <c r="U882" s="2128"/>
      <c r="V882" s="2128"/>
      <c r="W882" s="2128"/>
      <c r="X882" s="2128"/>
      <c r="Y882" s="2128"/>
      <c r="Z882" s="2128"/>
      <c r="AA882" s="2128"/>
      <c r="AB882" s="2128"/>
      <c r="AC882" s="2128"/>
      <c r="AD882" s="2128"/>
    </row>
    <row r="883" spans="1:30" ht="15.75" customHeight="1" x14ac:dyDescent="0.3">
      <c r="A883" s="4433"/>
      <c r="B883" s="4433"/>
      <c r="C883" s="2128"/>
      <c r="D883" s="2128"/>
      <c r="E883" s="2128"/>
      <c r="F883" s="2128"/>
      <c r="G883" s="2128"/>
      <c r="H883" s="2128"/>
      <c r="I883" s="2128"/>
      <c r="J883" s="2128"/>
      <c r="K883" s="2128"/>
      <c r="L883" s="2128"/>
      <c r="M883" s="2128"/>
      <c r="N883" s="2128"/>
      <c r="O883" s="2128"/>
      <c r="P883" s="2128"/>
      <c r="Q883" s="2128"/>
      <c r="R883" s="2128"/>
      <c r="S883" s="2128"/>
      <c r="T883" s="2128"/>
      <c r="U883" s="2128"/>
      <c r="V883" s="2128"/>
      <c r="W883" s="2128"/>
      <c r="X883" s="2128"/>
      <c r="Y883" s="2128"/>
      <c r="Z883" s="2128"/>
      <c r="AA883" s="2128"/>
      <c r="AB883" s="2128"/>
      <c r="AC883" s="2128"/>
      <c r="AD883" s="2128"/>
    </row>
    <row r="884" spans="1:30" ht="15.75" customHeight="1" x14ac:dyDescent="0.3">
      <c r="A884" s="4433"/>
      <c r="B884" s="4433"/>
      <c r="C884" s="2128"/>
      <c r="D884" s="2128"/>
      <c r="E884" s="2128"/>
      <c r="F884" s="2128"/>
      <c r="G884" s="2128"/>
      <c r="H884" s="2128"/>
      <c r="I884" s="2128"/>
      <c r="J884" s="2128"/>
      <c r="K884" s="2128"/>
      <c r="L884" s="2128"/>
      <c r="M884" s="2128"/>
      <c r="N884" s="2128"/>
      <c r="O884" s="2128"/>
      <c r="P884" s="2128"/>
      <c r="Q884" s="2128"/>
      <c r="R884" s="2128"/>
      <c r="S884" s="2128"/>
      <c r="T884" s="2128"/>
      <c r="U884" s="2128"/>
      <c r="V884" s="2128"/>
      <c r="W884" s="2128"/>
      <c r="X884" s="2128"/>
      <c r="Y884" s="2128"/>
      <c r="Z884" s="2128"/>
      <c r="AA884" s="2128"/>
      <c r="AB884" s="2128"/>
      <c r="AC884" s="2128"/>
      <c r="AD884" s="2128"/>
    </row>
    <row r="885" spans="1:30" ht="15.75" customHeight="1" x14ac:dyDescent="0.3">
      <c r="A885" s="4433"/>
      <c r="B885" s="4433"/>
      <c r="C885" s="2128"/>
      <c r="D885" s="2128"/>
      <c r="E885" s="2128"/>
      <c r="F885" s="2128"/>
      <c r="G885" s="2128"/>
      <c r="H885" s="2128"/>
      <c r="I885" s="2128"/>
      <c r="J885" s="2128"/>
      <c r="K885" s="2128"/>
      <c r="L885" s="2128"/>
      <c r="M885" s="2128"/>
      <c r="N885" s="2128"/>
      <c r="O885" s="2128"/>
      <c r="P885" s="2128"/>
      <c r="Q885" s="2128"/>
      <c r="R885" s="2128"/>
      <c r="S885" s="2128"/>
      <c r="T885" s="2128"/>
      <c r="U885" s="2128"/>
      <c r="V885" s="2128"/>
      <c r="W885" s="2128"/>
      <c r="X885" s="2128"/>
      <c r="Y885" s="2128"/>
      <c r="Z885" s="2128"/>
      <c r="AA885" s="2128"/>
      <c r="AB885" s="2128"/>
      <c r="AC885" s="2128"/>
      <c r="AD885" s="2128"/>
    </row>
    <row r="886" spans="1:30" ht="15.75" customHeight="1" x14ac:dyDescent="0.3">
      <c r="A886" s="4433"/>
      <c r="B886" s="4433"/>
      <c r="C886" s="2128"/>
      <c r="D886" s="2128"/>
      <c r="E886" s="2128"/>
      <c r="F886" s="2128"/>
      <c r="G886" s="2128"/>
      <c r="H886" s="2128"/>
      <c r="I886" s="2128"/>
      <c r="J886" s="2128"/>
      <c r="K886" s="2128"/>
      <c r="L886" s="2128"/>
      <c r="M886" s="2128"/>
      <c r="N886" s="2128"/>
      <c r="O886" s="2128"/>
      <c r="P886" s="2128"/>
      <c r="Q886" s="2128"/>
      <c r="R886" s="2128"/>
      <c r="S886" s="2128"/>
      <c r="T886" s="2128"/>
      <c r="U886" s="2128"/>
      <c r="V886" s="2128"/>
      <c r="W886" s="2128"/>
      <c r="X886" s="2128"/>
      <c r="Y886" s="2128"/>
      <c r="Z886" s="2128"/>
      <c r="AA886" s="2128"/>
      <c r="AB886" s="2128"/>
      <c r="AC886" s="2128"/>
      <c r="AD886" s="2128"/>
    </row>
    <row r="887" spans="1:30" ht="15.75" customHeight="1" x14ac:dyDescent="0.3"/>
    <row r="888" spans="1:30" ht="15.75" customHeight="1" x14ac:dyDescent="0.3"/>
    <row r="889" spans="1:30" ht="15.75" customHeight="1" x14ac:dyDescent="0.3"/>
    <row r="890" spans="1:30" ht="15.75" customHeight="1" x14ac:dyDescent="0.3"/>
    <row r="891" spans="1:30" ht="15.75" customHeight="1" x14ac:dyDescent="0.3"/>
    <row r="892" spans="1:30" ht="15.75" customHeight="1" x14ac:dyDescent="0.3"/>
    <row r="893" spans="1:30" ht="15.75" customHeight="1" x14ac:dyDescent="0.3"/>
    <row r="894" spans="1:30" ht="15.75" customHeight="1" x14ac:dyDescent="0.3"/>
    <row r="895" spans="1:30" ht="15.75" customHeight="1" x14ac:dyDescent="0.3"/>
    <row r="896" spans="1:30"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sheetData>
  <mergeCells count="877">
    <mergeCell ref="A885:B885"/>
    <mergeCell ref="A886:B886"/>
    <mergeCell ref="A879:B879"/>
    <mergeCell ref="A880:B880"/>
    <mergeCell ref="A881:B881"/>
    <mergeCell ref="A882:B882"/>
    <mergeCell ref="A883:B883"/>
    <mergeCell ref="A884:B884"/>
    <mergeCell ref="A873:B873"/>
    <mergeCell ref="A874:B874"/>
    <mergeCell ref="A875:B875"/>
    <mergeCell ref="A876:B876"/>
    <mergeCell ref="A877:B877"/>
    <mergeCell ref="A878:B878"/>
    <mergeCell ref="A867:B867"/>
    <mergeCell ref="A868:B868"/>
    <mergeCell ref="A869:B869"/>
    <mergeCell ref="A870:B870"/>
    <mergeCell ref="A871:B871"/>
    <mergeCell ref="A872:B872"/>
    <mergeCell ref="A861:B861"/>
    <mergeCell ref="A862:B862"/>
    <mergeCell ref="A863:B863"/>
    <mergeCell ref="A864:B864"/>
    <mergeCell ref="A865:B865"/>
    <mergeCell ref="A866:B866"/>
    <mergeCell ref="A855:B855"/>
    <mergeCell ref="A856:B856"/>
    <mergeCell ref="A857:B857"/>
    <mergeCell ref="A858:B858"/>
    <mergeCell ref="A859:B859"/>
    <mergeCell ref="A860:B860"/>
    <mergeCell ref="A849:B849"/>
    <mergeCell ref="A850:B850"/>
    <mergeCell ref="A851:B851"/>
    <mergeCell ref="A852:B852"/>
    <mergeCell ref="A853:B853"/>
    <mergeCell ref="A854:B854"/>
    <mergeCell ref="A843:B843"/>
    <mergeCell ref="A844:B844"/>
    <mergeCell ref="A845:B845"/>
    <mergeCell ref="A846:B846"/>
    <mergeCell ref="A847:B847"/>
    <mergeCell ref="A848:B848"/>
    <mergeCell ref="A837:B837"/>
    <mergeCell ref="A838:B838"/>
    <mergeCell ref="A839:B839"/>
    <mergeCell ref="A840:B840"/>
    <mergeCell ref="A841:B841"/>
    <mergeCell ref="A842:B842"/>
    <mergeCell ref="A831:B831"/>
    <mergeCell ref="A832:B832"/>
    <mergeCell ref="A833:B833"/>
    <mergeCell ref="A834:B834"/>
    <mergeCell ref="A835:B835"/>
    <mergeCell ref="A836:B836"/>
    <mergeCell ref="A825:B825"/>
    <mergeCell ref="A826:B826"/>
    <mergeCell ref="A827:B827"/>
    <mergeCell ref="A828:B828"/>
    <mergeCell ref="A829:B829"/>
    <mergeCell ref="A830:B830"/>
    <mergeCell ref="A819:B819"/>
    <mergeCell ref="A820:B820"/>
    <mergeCell ref="A821:B821"/>
    <mergeCell ref="A822:B822"/>
    <mergeCell ref="A823:B823"/>
    <mergeCell ref="A824:B824"/>
    <mergeCell ref="A813:B813"/>
    <mergeCell ref="A814:B814"/>
    <mergeCell ref="A815:B815"/>
    <mergeCell ref="A816:B816"/>
    <mergeCell ref="A817:B817"/>
    <mergeCell ref="A818:B818"/>
    <mergeCell ref="A807:B807"/>
    <mergeCell ref="A808:B808"/>
    <mergeCell ref="A809:B809"/>
    <mergeCell ref="A810:B810"/>
    <mergeCell ref="A811:B811"/>
    <mergeCell ref="A812:B812"/>
    <mergeCell ref="A801:B801"/>
    <mergeCell ref="A802:B802"/>
    <mergeCell ref="A803:B803"/>
    <mergeCell ref="A804:B804"/>
    <mergeCell ref="A805:B805"/>
    <mergeCell ref="A806:B806"/>
    <mergeCell ref="A795:B795"/>
    <mergeCell ref="A796:B796"/>
    <mergeCell ref="A797:B797"/>
    <mergeCell ref="A798:B798"/>
    <mergeCell ref="A799:B799"/>
    <mergeCell ref="A800:B800"/>
    <mergeCell ref="A789:B789"/>
    <mergeCell ref="A790:B790"/>
    <mergeCell ref="A791:B791"/>
    <mergeCell ref="A792:B792"/>
    <mergeCell ref="A793:B793"/>
    <mergeCell ref="A794:B794"/>
    <mergeCell ref="A783:B783"/>
    <mergeCell ref="A784:B784"/>
    <mergeCell ref="A785:B785"/>
    <mergeCell ref="A786:B786"/>
    <mergeCell ref="A787:B787"/>
    <mergeCell ref="A788:B788"/>
    <mergeCell ref="A777:B777"/>
    <mergeCell ref="A778:B778"/>
    <mergeCell ref="A779:B779"/>
    <mergeCell ref="A780:B780"/>
    <mergeCell ref="A781:B781"/>
    <mergeCell ref="A782:B782"/>
    <mergeCell ref="A771:B771"/>
    <mergeCell ref="A772:B772"/>
    <mergeCell ref="A773:B773"/>
    <mergeCell ref="A774:B774"/>
    <mergeCell ref="A775:B775"/>
    <mergeCell ref="A776:B776"/>
    <mergeCell ref="A765:B765"/>
    <mergeCell ref="A766:B766"/>
    <mergeCell ref="A767:B767"/>
    <mergeCell ref="A768:B768"/>
    <mergeCell ref="A769:B769"/>
    <mergeCell ref="A770:B770"/>
    <mergeCell ref="A759:B759"/>
    <mergeCell ref="A760:B760"/>
    <mergeCell ref="A761:B761"/>
    <mergeCell ref="A762:B762"/>
    <mergeCell ref="A763:B763"/>
    <mergeCell ref="A764:B764"/>
    <mergeCell ref="A753:B753"/>
    <mergeCell ref="A754:B754"/>
    <mergeCell ref="A755:B755"/>
    <mergeCell ref="A756:B756"/>
    <mergeCell ref="A757:B757"/>
    <mergeCell ref="A758:B758"/>
    <mergeCell ref="A747:B747"/>
    <mergeCell ref="A748:B748"/>
    <mergeCell ref="A749:B749"/>
    <mergeCell ref="A750:B750"/>
    <mergeCell ref="A751:B751"/>
    <mergeCell ref="A752:B752"/>
    <mergeCell ref="A741:B741"/>
    <mergeCell ref="A742:B742"/>
    <mergeCell ref="A743:B743"/>
    <mergeCell ref="A744:B744"/>
    <mergeCell ref="A745:B745"/>
    <mergeCell ref="A746:B746"/>
    <mergeCell ref="A735:B735"/>
    <mergeCell ref="A736:B736"/>
    <mergeCell ref="A737:B737"/>
    <mergeCell ref="A738:B738"/>
    <mergeCell ref="A739:B739"/>
    <mergeCell ref="A740:B740"/>
    <mergeCell ref="A729:B729"/>
    <mergeCell ref="A730:B730"/>
    <mergeCell ref="A731:B731"/>
    <mergeCell ref="A732:B732"/>
    <mergeCell ref="A733:B733"/>
    <mergeCell ref="A734:B734"/>
    <mergeCell ref="A723:B723"/>
    <mergeCell ref="A724:B724"/>
    <mergeCell ref="A725:B725"/>
    <mergeCell ref="A726:B726"/>
    <mergeCell ref="A727:B727"/>
    <mergeCell ref="A728:B728"/>
    <mergeCell ref="A717:B717"/>
    <mergeCell ref="A718:B718"/>
    <mergeCell ref="A719:B719"/>
    <mergeCell ref="A720:B720"/>
    <mergeCell ref="A721:B721"/>
    <mergeCell ref="A722:B722"/>
    <mergeCell ref="A711:B711"/>
    <mergeCell ref="A712:B712"/>
    <mergeCell ref="A713:B713"/>
    <mergeCell ref="A714:B714"/>
    <mergeCell ref="A715:B715"/>
    <mergeCell ref="A716:B716"/>
    <mergeCell ref="A705:B705"/>
    <mergeCell ref="A706:B706"/>
    <mergeCell ref="A707:B707"/>
    <mergeCell ref="A708:B708"/>
    <mergeCell ref="A709:B709"/>
    <mergeCell ref="A710:B710"/>
    <mergeCell ref="A699:B699"/>
    <mergeCell ref="A700:B700"/>
    <mergeCell ref="A701:B701"/>
    <mergeCell ref="A702:B702"/>
    <mergeCell ref="A703:B703"/>
    <mergeCell ref="A704:B704"/>
    <mergeCell ref="A693:B693"/>
    <mergeCell ref="A694:B694"/>
    <mergeCell ref="A695:B695"/>
    <mergeCell ref="A696:B696"/>
    <mergeCell ref="A697:B697"/>
    <mergeCell ref="A698:B698"/>
    <mergeCell ref="A687:B687"/>
    <mergeCell ref="A688:B688"/>
    <mergeCell ref="A689:B689"/>
    <mergeCell ref="A690:B690"/>
    <mergeCell ref="A691:B691"/>
    <mergeCell ref="A692:B692"/>
    <mergeCell ref="A681:B681"/>
    <mergeCell ref="A682:B682"/>
    <mergeCell ref="A683:B683"/>
    <mergeCell ref="A684:B684"/>
    <mergeCell ref="A685:B685"/>
    <mergeCell ref="A686:B686"/>
    <mergeCell ref="A675:B675"/>
    <mergeCell ref="A676:B676"/>
    <mergeCell ref="A677:B677"/>
    <mergeCell ref="A678:B678"/>
    <mergeCell ref="A679:B679"/>
    <mergeCell ref="A680:B680"/>
    <mergeCell ref="A669:B669"/>
    <mergeCell ref="A670:B670"/>
    <mergeCell ref="A671:B671"/>
    <mergeCell ref="A672:B672"/>
    <mergeCell ref="A673:B673"/>
    <mergeCell ref="A674:B674"/>
    <mergeCell ref="A663:B663"/>
    <mergeCell ref="A664:B664"/>
    <mergeCell ref="A665:B665"/>
    <mergeCell ref="A666:B666"/>
    <mergeCell ref="A667:B667"/>
    <mergeCell ref="A668:B668"/>
    <mergeCell ref="A657:B657"/>
    <mergeCell ref="A658:B658"/>
    <mergeCell ref="A659:B659"/>
    <mergeCell ref="A660:B660"/>
    <mergeCell ref="A661:B661"/>
    <mergeCell ref="A662:B662"/>
    <mergeCell ref="A651:B651"/>
    <mergeCell ref="A652:B652"/>
    <mergeCell ref="A653:B653"/>
    <mergeCell ref="A654:B654"/>
    <mergeCell ref="A655:B655"/>
    <mergeCell ref="A656:B656"/>
    <mergeCell ref="A645:B645"/>
    <mergeCell ref="A646:B646"/>
    <mergeCell ref="A647:B647"/>
    <mergeCell ref="A648:B648"/>
    <mergeCell ref="A649:B649"/>
    <mergeCell ref="A650:B650"/>
    <mergeCell ref="A639:B639"/>
    <mergeCell ref="A640:B640"/>
    <mergeCell ref="A641:B641"/>
    <mergeCell ref="A642:B642"/>
    <mergeCell ref="A643:B643"/>
    <mergeCell ref="A644:B644"/>
    <mergeCell ref="A633:B633"/>
    <mergeCell ref="A634:B634"/>
    <mergeCell ref="A635:B635"/>
    <mergeCell ref="A636:B636"/>
    <mergeCell ref="A637:B637"/>
    <mergeCell ref="A638:B638"/>
    <mergeCell ref="A627:B627"/>
    <mergeCell ref="A628:B628"/>
    <mergeCell ref="A629:B629"/>
    <mergeCell ref="A630:B630"/>
    <mergeCell ref="A631:B631"/>
    <mergeCell ref="A632:B632"/>
    <mergeCell ref="A621:B621"/>
    <mergeCell ref="A622:B622"/>
    <mergeCell ref="A623:B623"/>
    <mergeCell ref="A624:B624"/>
    <mergeCell ref="A625:B625"/>
    <mergeCell ref="A626:B626"/>
    <mergeCell ref="A615:B615"/>
    <mergeCell ref="A616:B616"/>
    <mergeCell ref="A617:B617"/>
    <mergeCell ref="A618:B618"/>
    <mergeCell ref="A619:B619"/>
    <mergeCell ref="A620:B620"/>
    <mergeCell ref="A609:B609"/>
    <mergeCell ref="A610:B610"/>
    <mergeCell ref="A611:B611"/>
    <mergeCell ref="A612:B612"/>
    <mergeCell ref="A613:B613"/>
    <mergeCell ref="A614:B614"/>
    <mergeCell ref="A603:B603"/>
    <mergeCell ref="A604:B604"/>
    <mergeCell ref="A605:B605"/>
    <mergeCell ref="A606:B606"/>
    <mergeCell ref="A607:B607"/>
    <mergeCell ref="A608:B608"/>
    <mergeCell ref="A597:B597"/>
    <mergeCell ref="A598:B598"/>
    <mergeCell ref="A599:B599"/>
    <mergeCell ref="A600:B600"/>
    <mergeCell ref="A601:B601"/>
    <mergeCell ref="A602:B602"/>
    <mergeCell ref="A591:B591"/>
    <mergeCell ref="A592:B592"/>
    <mergeCell ref="A593:B593"/>
    <mergeCell ref="A594:B594"/>
    <mergeCell ref="A595:B595"/>
    <mergeCell ref="A596:B596"/>
    <mergeCell ref="A585:B585"/>
    <mergeCell ref="A586:B586"/>
    <mergeCell ref="A587:B587"/>
    <mergeCell ref="A588:B588"/>
    <mergeCell ref="A589:B589"/>
    <mergeCell ref="A590:B590"/>
    <mergeCell ref="A579:B579"/>
    <mergeCell ref="A580:B580"/>
    <mergeCell ref="A581:B581"/>
    <mergeCell ref="A582:B582"/>
    <mergeCell ref="A583:B583"/>
    <mergeCell ref="A584:B584"/>
    <mergeCell ref="A573:B573"/>
    <mergeCell ref="A574:B574"/>
    <mergeCell ref="A575:B575"/>
    <mergeCell ref="A576:B576"/>
    <mergeCell ref="A577:B577"/>
    <mergeCell ref="A578:B578"/>
    <mergeCell ref="A567:B567"/>
    <mergeCell ref="A568:B568"/>
    <mergeCell ref="A569:B569"/>
    <mergeCell ref="A570:B570"/>
    <mergeCell ref="A571:B571"/>
    <mergeCell ref="A572:B572"/>
    <mergeCell ref="A561:B561"/>
    <mergeCell ref="A562:B562"/>
    <mergeCell ref="A563:B563"/>
    <mergeCell ref="A564:B564"/>
    <mergeCell ref="A565:B565"/>
    <mergeCell ref="A566:B566"/>
    <mergeCell ref="A555:B555"/>
    <mergeCell ref="A556:B556"/>
    <mergeCell ref="A557:B557"/>
    <mergeCell ref="A558:B558"/>
    <mergeCell ref="A559:B559"/>
    <mergeCell ref="A560:B560"/>
    <mergeCell ref="A549:B549"/>
    <mergeCell ref="A550:B550"/>
    <mergeCell ref="A551:B551"/>
    <mergeCell ref="A552:B552"/>
    <mergeCell ref="A553:B553"/>
    <mergeCell ref="A554:B554"/>
    <mergeCell ref="A543:B543"/>
    <mergeCell ref="A544:B544"/>
    <mergeCell ref="A545:B545"/>
    <mergeCell ref="A546:B546"/>
    <mergeCell ref="A547:B547"/>
    <mergeCell ref="A548:B548"/>
    <mergeCell ref="A537:B537"/>
    <mergeCell ref="A538:B538"/>
    <mergeCell ref="A539:B539"/>
    <mergeCell ref="A540:B540"/>
    <mergeCell ref="A541:B541"/>
    <mergeCell ref="A542:B542"/>
    <mergeCell ref="A531:B531"/>
    <mergeCell ref="A532:B532"/>
    <mergeCell ref="A533:B533"/>
    <mergeCell ref="A534:B534"/>
    <mergeCell ref="A535:B535"/>
    <mergeCell ref="A536:B536"/>
    <mergeCell ref="A525:B525"/>
    <mergeCell ref="A526:B526"/>
    <mergeCell ref="A527:B527"/>
    <mergeCell ref="A528:B528"/>
    <mergeCell ref="A529:B529"/>
    <mergeCell ref="A530:B530"/>
    <mergeCell ref="A519:B519"/>
    <mergeCell ref="A520:B520"/>
    <mergeCell ref="A521:B521"/>
    <mergeCell ref="A522:B522"/>
    <mergeCell ref="A523:B523"/>
    <mergeCell ref="A524:B524"/>
    <mergeCell ref="A513:B513"/>
    <mergeCell ref="A514:B514"/>
    <mergeCell ref="A515:B515"/>
    <mergeCell ref="A516:B516"/>
    <mergeCell ref="A517:B517"/>
    <mergeCell ref="A518:B518"/>
    <mergeCell ref="A507:B507"/>
    <mergeCell ref="A508:B508"/>
    <mergeCell ref="A509:B509"/>
    <mergeCell ref="A510:B510"/>
    <mergeCell ref="A511:B511"/>
    <mergeCell ref="A512:B512"/>
    <mergeCell ref="A501:B501"/>
    <mergeCell ref="A502:B502"/>
    <mergeCell ref="A503:B503"/>
    <mergeCell ref="A504:B504"/>
    <mergeCell ref="A505:B505"/>
    <mergeCell ref="A506:B506"/>
    <mergeCell ref="A495:B495"/>
    <mergeCell ref="A496:B496"/>
    <mergeCell ref="A497:B497"/>
    <mergeCell ref="A498:B498"/>
    <mergeCell ref="A499:B499"/>
    <mergeCell ref="A500:B500"/>
    <mergeCell ref="A489:B489"/>
    <mergeCell ref="A490:B490"/>
    <mergeCell ref="A491:B491"/>
    <mergeCell ref="A492:B492"/>
    <mergeCell ref="A493:B493"/>
    <mergeCell ref="A494:B494"/>
    <mergeCell ref="A483:B483"/>
    <mergeCell ref="A484:B484"/>
    <mergeCell ref="A485:B485"/>
    <mergeCell ref="A486:B486"/>
    <mergeCell ref="A487:B487"/>
    <mergeCell ref="A488:B488"/>
    <mergeCell ref="A477:B477"/>
    <mergeCell ref="A478:B478"/>
    <mergeCell ref="A479:B479"/>
    <mergeCell ref="A480:B480"/>
    <mergeCell ref="A481:B481"/>
    <mergeCell ref="A482:B482"/>
    <mergeCell ref="A471:B471"/>
    <mergeCell ref="A472:B472"/>
    <mergeCell ref="A473:B473"/>
    <mergeCell ref="A474:B474"/>
    <mergeCell ref="A475:B475"/>
    <mergeCell ref="A476:B476"/>
    <mergeCell ref="A465:B465"/>
    <mergeCell ref="A466:B466"/>
    <mergeCell ref="A467:B467"/>
    <mergeCell ref="A468:B468"/>
    <mergeCell ref="A469:B469"/>
    <mergeCell ref="A470:B470"/>
    <mergeCell ref="A459:B459"/>
    <mergeCell ref="A460:B460"/>
    <mergeCell ref="A461:B461"/>
    <mergeCell ref="A462:B462"/>
    <mergeCell ref="A463:B463"/>
    <mergeCell ref="A464:B464"/>
    <mergeCell ref="A453:B453"/>
    <mergeCell ref="A454:B454"/>
    <mergeCell ref="A455:B455"/>
    <mergeCell ref="A456:B456"/>
    <mergeCell ref="A457:B457"/>
    <mergeCell ref="A458:B458"/>
    <mergeCell ref="A447:B447"/>
    <mergeCell ref="A448:B448"/>
    <mergeCell ref="A449:B449"/>
    <mergeCell ref="A450:B450"/>
    <mergeCell ref="A451:B451"/>
    <mergeCell ref="A452:B452"/>
    <mergeCell ref="A441:B441"/>
    <mergeCell ref="A442:B442"/>
    <mergeCell ref="A443:B443"/>
    <mergeCell ref="A444:B444"/>
    <mergeCell ref="A445:B445"/>
    <mergeCell ref="A446:B446"/>
    <mergeCell ref="A435:B435"/>
    <mergeCell ref="A436:B436"/>
    <mergeCell ref="A437:B437"/>
    <mergeCell ref="A438:B438"/>
    <mergeCell ref="A439:B439"/>
    <mergeCell ref="A440:B440"/>
    <mergeCell ref="A429:B429"/>
    <mergeCell ref="A430:B430"/>
    <mergeCell ref="A431:B431"/>
    <mergeCell ref="A432:B432"/>
    <mergeCell ref="A433:B433"/>
    <mergeCell ref="A434:B434"/>
    <mergeCell ref="A423:B423"/>
    <mergeCell ref="A424:B424"/>
    <mergeCell ref="A425:B425"/>
    <mergeCell ref="A426:B426"/>
    <mergeCell ref="A427:B427"/>
    <mergeCell ref="A428:B428"/>
    <mergeCell ref="A417:B417"/>
    <mergeCell ref="A418:B418"/>
    <mergeCell ref="A419:B419"/>
    <mergeCell ref="A420:B420"/>
    <mergeCell ref="A421:B421"/>
    <mergeCell ref="A422:B422"/>
    <mergeCell ref="A411:B411"/>
    <mergeCell ref="A412:B412"/>
    <mergeCell ref="A413:B413"/>
    <mergeCell ref="A414:B414"/>
    <mergeCell ref="A415:B415"/>
    <mergeCell ref="A416:B416"/>
    <mergeCell ref="A405:B405"/>
    <mergeCell ref="A406:B406"/>
    <mergeCell ref="A407:B407"/>
    <mergeCell ref="A408:B408"/>
    <mergeCell ref="A409:B409"/>
    <mergeCell ref="A410:B410"/>
    <mergeCell ref="A399:B399"/>
    <mergeCell ref="A400:B400"/>
    <mergeCell ref="A401:B401"/>
    <mergeCell ref="A402:B402"/>
    <mergeCell ref="A403:B403"/>
    <mergeCell ref="A404:B404"/>
    <mergeCell ref="A393:B393"/>
    <mergeCell ref="A394:B394"/>
    <mergeCell ref="A395:B395"/>
    <mergeCell ref="A396:B396"/>
    <mergeCell ref="A397:B397"/>
    <mergeCell ref="A398:B398"/>
    <mergeCell ref="A387:B387"/>
    <mergeCell ref="A388:B388"/>
    <mergeCell ref="A389:B389"/>
    <mergeCell ref="A390:B390"/>
    <mergeCell ref="A391:B391"/>
    <mergeCell ref="A392:B392"/>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09:B309"/>
    <mergeCell ref="A310:B310"/>
    <mergeCell ref="A311:B311"/>
    <mergeCell ref="A312:B312"/>
    <mergeCell ref="A313:B313"/>
    <mergeCell ref="A314:B314"/>
    <mergeCell ref="A303:B303"/>
    <mergeCell ref="A304:B304"/>
    <mergeCell ref="A305:B305"/>
    <mergeCell ref="A306:B306"/>
    <mergeCell ref="A307:B307"/>
    <mergeCell ref="A308:B308"/>
    <mergeCell ref="A297:B297"/>
    <mergeCell ref="A298:B298"/>
    <mergeCell ref="A299:B299"/>
    <mergeCell ref="A300:B300"/>
    <mergeCell ref="A301:B301"/>
    <mergeCell ref="A302:B302"/>
    <mergeCell ref="A291:B291"/>
    <mergeCell ref="A292:B292"/>
    <mergeCell ref="A293:B293"/>
    <mergeCell ref="A294:B294"/>
    <mergeCell ref="A295:B295"/>
    <mergeCell ref="A296:B296"/>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01:B201"/>
    <mergeCell ref="A202:B202"/>
    <mergeCell ref="A203:B203"/>
    <mergeCell ref="A204:B204"/>
    <mergeCell ref="A205:B205"/>
    <mergeCell ref="A206:B206"/>
    <mergeCell ref="A195:B195"/>
    <mergeCell ref="A196:B196"/>
    <mergeCell ref="A197:B197"/>
    <mergeCell ref="A198:B198"/>
    <mergeCell ref="A199:B199"/>
    <mergeCell ref="A200:B200"/>
    <mergeCell ref="A189:B189"/>
    <mergeCell ref="A190:B190"/>
    <mergeCell ref="A191:B191"/>
    <mergeCell ref="A192:B192"/>
    <mergeCell ref="A193:B193"/>
    <mergeCell ref="A194:B194"/>
    <mergeCell ref="A183:B183"/>
    <mergeCell ref="A184:B184"/>
    <mergeCell ref="A185:B185"/>
    <mergeCell ref="A186:B186"/>
    <mergeCell ref="A187:B187"/>
    <mergeCell ref="A188:B188"/>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5:B105"/>
    <mergeCell ref="A106:B106"/>
    <mergeCell ref="A107:B107"/>
    <mergeCell ref="A108:B108"/>
    <mergeCell ref="A109:B109"/>
    <mergeCell ref="A110:B110"/>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8:B58"/>
    <mergeCell ref="D58:H58"/>
    <mergeCell ref="A59:B59"/>
    <mergeCell ref="A60:B60"/>
    <mergeCell ref="A61:B61"/>
    <mergeCell ref="A62:B62"/>
    <mergeCell ref="A52:B52"/>
    <mergeCell ref="A53:B53"/>
    <mergeCell ref="A54:B54"/>
    <mergeCell ref="A55:B55"/>
    <mergeCell ref="A56:B56"/>
    <mergeCell ref="A57:B57"/>
    <mergeCell ref="A47:B47"/>
    <mergeCell ref="A48:B48"/>
    <mergeCell ref="D48:H48"/>
    <mergeCell ref="A49:B49"/>
    <mergeCell ref="A50:B50"/>
    <mergeCell ref="A51:B51"/>
    <mergeCell ref="A42:B42"/>
    <mergeCell ref="A43:B43"/>
    <mergeCell ref="A44:B44"/>
    <mergeCell ref="A45:B45"/>
    <mergeCell ref="D45:M45"/>
    <mergeCell ref="A46:B46"/>
    <mergeCell ref="A36:B36"/>
    <mergeCell ref="A37:B37"/>
    <mergeCell ref="A38:B38"/>
    <mergeCell ref="A39:B39"/>
    <mergeCell ref="A40:B40"/>
    <mergeCell ref="A41:B41"/>
    <mergeCell ref="C30:E30"/>
    <mergeCell ref="A31:B31"/>
    <mergeCell ref="A32:B32"/>
    <mergeCell ref="A33:B33"/>
    <mergeCell ref="A34:B34"/>
    <mergeCell ref="A35:B35"/>
    <mergeCell ref="A25:B25"/>
    <mergeCell ref="A26:B26"/>
    <mergeCell ref="A27:B27"/>
    <mergeCell ref="A28:B28"/>
    <mergeCell ref="A29:B29"/>
    <mergeCell ref="A30:B30"/>
    <mergeCell ref="A17:B17"/>
    <mergeCell ref="A19:B19"/>
    <mergeCell ref="B20:C20"/>
    <mergeCell ref="A21:B21"/>
    <mergeCell ref="A23:B23"/>
    <mergeCell ref="A24:B24"/>
    <mergeCell ref="B1:C1"/>
    <mergeCell ref="B2:C2"/>
    <mergeCell ref="A3:B3"/>
    <mergeCell ref="B6:C6"/>
    <mergeCell ref="A7:B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C4CC9-2366-4A0A-BDA9-D03300579249}">
  <dimension ref="A1:K986"/>
  <sheetViews>
    <sheetView topLeftCell="A16" workbookViewId="0">
      <selection activeCell="C30" sqref="C30"/>
    </sheetView>
  </sheetViews>
  <sheetFormatPr defaultColWidth="12.33203125" defaultRowHeight="15" customHeight="1" x14ac:dyDescent="0.3"/>
  <cols>
    <col min="1" max="1" width="2.6640625" style="1336" customWidth="1"/>
    <col min="2" max="2" width="35.109375" style="1336" customWidth="1"/>
    <col min="3" max="3" width="23.21875" style="1336" customWidth="1"/>
    <col min="4" max="4" width="1.5546875" style="1336" customWidth="1"/>
    <col min="5" max="5" width="13.44140625" style="1336" customWidth="1"/>
    <col min="6" max="6" width="7.33203125" style="1336" customWidth="1"/>
    <col min="7" max="7" width="34" style="1336" customWidth="1"/>
    <col min="8" max="8" width="19.77734375" style="1336" customWidth="1"/>
    <col min="9" max="9" width="1.5546875" style="1336" customWidth="1"/>
    <col min="10" max="10" width="13.44140625" style="1336" customWidth="1"/>
    <col min="11" max="11" width="11.6640625" style="1336" customWidth="1"/>
    <col min="12" max="16384" width="12.33203125" style="1336"/>
  </cols>
  <sheetData>
    <row r="1" spans="1:11" ht="21.75" customHeight="1" x14ac:dyDescent="0.35">
      <c r="A1" s="1756"/>
      <c r="B1" s="1757" t="s">
        <v>549</v>
      </c>
      <c r="D1" s="1344"/>
      <c r="F1" s="1344"/>
      <c r="I1" s="1344"/>
    </row>
    <row r="2" spans="1:11" ht="15.75" customHeight="1" x14ac:dyDescent="0.3">
      <c r="A2" s="1756"/>
      <c r="B2" s="1758" t="s">
        <v>299</v>
      </c>
      <c r="C2" s="1338"/>
      <c r="D2" s="1338"/>
      <c r="E2" s="1338"/>
      <c r="F2" s="1338"/>
      <c r="G2" s="1338"/>
      <c r="H2" s="1338"/>
      <c r="I2" s="1338"/>
      <c r="J2" s="1338"/>
    </row>
    <row r="3" spans="1:11" ht="9.75" customHeight="1" x14ac:dyDescent="0.3">
      <c r="A3" s="1344"/>
      <c r="B3" s="1759"/>
      <c r="D3" s="1344"/>
      <c r="F3" s="1344"/>
      <c r="I3" s="1344"/>
    </row>
    <row r="4" spans="1:11" ht="6" customHeight="1" x14ac:dyDescent="0.3">
      <c r="B4" s="1344"/>
      <c r="D4" s="1344"/>
      <c r="F4" s="1344"/>
      <c r="I4" s="1344"/>
    </row>
    <row r="5" spans="1:11" ht="6" customHeight="1" x14ac:dyDescent="0.3">
      <c r="A5" s="1759"/>
      <c r="D5" s="1344"/>
      <c r="F5" s="1344"/>
      <c r="I5" s="1344"/>
    </row>
    <row r="6" spans="1:11" ht="15.75" customHeight="1" x14ac:dyDescent="0.3">
      <c r="C6" s="1336">
        <v>1000000</v>
      </c>
      <c r="D6" s="1344"/>
      <c r="E6" s="1344"/>
      <c r="F6" s="1344"/>
      <c r="I6" s="1344"/>
    </row>
    <row r="7" spans="1:11" ht="40.5" customHeight="1" x14ac:dyDescent="0.3">
      <c r="A7" s="1760"/>
      <c r="B7" s="1761">
        <v>2023</v>
      </c>
      <c r="C7" s="2603" t="s">
        <v>22</v>
      </c>
      <c r="D7" s="1760"/>
      <c r="E7" s="1763" t="s">
        <v>300</v>
      </c>
      <c r="F7" s="1760"/>
      <c r="G7" s="1761">
        <v>2023</v>
      </c>
      <c r="H7" s="2603" t="s">
        <v>23</v>
      </c>
      <c r="I7" s="1762"/>
      <c r="J7" s="1763" t="s">
        <v>300</v>
      </c>
      <c r="K7" s="1760"/>
    </row>
    <row r="8" spans="1:11" ht="18" customHeight="1" x14ac:dyDescent="0.35">
      <c r="B8" s="1764" t="s">
        <v>301</v>
      </c>
      <c r="C8" s="1768">
        <v>1</v>
      </c>
      <c r="D8" s="1344"/>
      <c r="E8" s="1770"/>
      <c r="F8" s="1344"/>
      <c r="G8" s="1764" t="s">
        <v>301</v>
      </c>
      <c r="H8" s="1768">
        <v>1</v>
      </c>
      <c r="I8" s="1769"/>
      <c r="J8" s="1770"/>
    </row>
    <row r="9" spans="1:11" ht="46.5" customHeight="1" x14ac:dyDescent="0.3">
      <c r="B9" s="1771" t="s">
        <v>302</v>
      </c>
      <c r="C9" s="2604" t="s">
        <v>1473</v>
      </c>
      <c r="D9" s="2605"/>
      <c r="E9" s="1777"/>
      <c r="F9" s="2606"/>
      <c r="G9" s="1771" t="s">
        <v>302</v>
      </c>
      <c r="H9" s="2604" t="s">
        <v>1474</v>
      </c>
      <c r="I9" s="1776"/>
      <c r="J9" s="1777"/>
    </row>
    <row r="10" spans="1:11" ht="46.5" customHeight="1" x14ac:dyDescent="0.3">
      <c r="B10" s="1778" t="s">
        <v>304</v>
      </c>
      <c r="C10" s="2607" t="s">
        <v>1475</v>
      </c>
      <c r="D10" s="2605"/>
      <c r="E10" s="1781"/>
      <c r="F10" s="2606"/>
      <c r="G10" s="1778" t="s">
        <v>304</v>
      </c>
      <c r="H10" s="2607" t="s">
        <v>1476</v>
      </c>
      <c r="I10" s="1780"/>
      <c r="J10" s="1781"/>
    </row>
    <row r="11" spans="1:11" ht="18.75" customHeight="1" x14ac:dyDescent="0.3">
      <c r="A11" s="1782"/>
      <c r="B11" s="1783" t="s">
        <v>306</v>
      </c>
      <c r="C11" s="2608">
        <f>(C17*C20)</f>
        <v>24481.931433520349</v>
      </c>
      <c r="D11" s="2609"/>
      <c r="E11" s="1791">
        <f>SUM(C11:C11)</f>
        <v>24481.931433520349</v>
      </c>
      <c r="F11" s="2610"/>
      <c r="G11" s="1783" t="s">
        <v>306</v>
      </c>
      <c r="H11" s="1788">
        <f t="shared" ref="H11" si="0">(H17*H20)</f>
        <v>17008.816176926408</v>
      </c>
      <c r="I11" s="1790"/>
      <c r="J11" s="1791">
        <f>SUM(H11:H11)</f>
        <v>17008.816176926408</v>
      </c>
      <c r="K11" s="1782"/>
    </row>
    <row r="12" spans="1:11" ht="18.75" customHeight="1" x14ac:dyDescent="0.3">
      <c r="A12" s="1782"/>
      <c r="B12" s="1367" t="s">
        <v>307</v>
      </c>
      <c r="C12" s="1792">
        <f>(C24*C25)</f>
        <v>765.9508780000001</v>
      </c>
      <c r="D12" s="2611"/>
      <c r="E12" s="1797">
        <f>SUM(C12:C12)</f>
        <v>765.9508780000001</v>
      </c>
      <c r="F12" s="2612"/>
      <c r="G12" s="1367" t="s">
        <v>307</v>
      </c>
      <c r="H12" s="1792">
        <f>(H24*H25)</f>
        <v>0</v>
      </c>
      <c r="I12" s="1790"/>
      <c r="J12" s="1797">
        <f>SUM(H12:H12)</f>
        <v>0</v>
      </c>
      <c r="K12" s="1782"/>
    </row>
    <row r="13" spans="1:11" ht="18.75" customHeight="1" x14ac:dyDescent="0.3">
      <c r="A13" s="1782"/>
      <c r="B13" s="1783" t="s">
        <v>308</v>
      </c>
      <c r="C13" s="1802" t="s">
        <v>8</v>
      </c>
      <c r="D13" s="2613"/>
      <c r="E13" s="1804"/>
      <c r="F13" s="2614"/>
      <c r="G13" s="1783" t="s">
        <v>308</v>
      </c>
      <c r="H13" s="1802" t="s">
        <v>8</v>
      </c>
      <c r="I13" s="1803"/>
      <c r="J13" s="1804"/>
      <c r="K13" s="1782"/>
    </row>
    <row r="14" spans="1:11" ht="18.75" customHeight="1" x14ac:dyDescent="0.3">
      <c r="A14" s="1782"/>
      <c r="B14" s="1412" t="s">
        <v>309</v>
      </c>
      <c r="C14" s="1809">
        <f t="shared" ref="C14" si="1">C11-C12</f>
        <v>23715.980555520349</v>
      </c>
      <c r="D14" s="2611"/>
      <c r="E14" s="1810">
        <f>SUM(C14:C14)</f>
        <v>23715.980555520349</v>
      </c>
      <c r="F14" s="2612"/>
      <c r="G14" s="1412" t="s">
        <v>309</v>
      </c>
      <c r="H14" s="1809">
        <f t="shared" ref="H14" si="2">H11-H12</f>
        <v>17008.816176926408</v>
      </c>
      <c r="I14" s="1790"/>
      <c r="J14" s="1810">
        <f>SUM(H14:H14)</f>
        <v>17008.816176926408</v>
      </c>
      <c r="K14" s="1782"/>
    </row>
    <row r="15" spans="1:11" ht="19.5" customHeight="1" x14ac:dyDescent="0.4">
      <c r="B15" s="1850" t="s">
        <v>310</v>
      </c>
      <c r="C15" s="2615"/>
      <c r="D15" s="1897"/>
      <c r="E15" s="1819"/>
      <c r="F15" s="1897"/>
      <c r="G15" s="1811" t="s">
        <v>395</v>
      </c>
      <c r="H15" s="1817"/>
      <c r="I15" s="1818"/>
      <c r="J15" s="1819"/>
      <c r="K15" s="1344"/>
    </row>
    <row r="16" spans="1:11" ht="30" customHeight="1" x14ac:dyDescent="0.3">
      <c r="A16" s="1782"/>
      <c r="B16" s="1820" t="s">
        <v>311</v>
      </c>
      <c r="C16" s="2616" t="s">
        <v>748</v>
      </c>
      <c r="D16" s="2617"/>
      <c r="E16" s="2618"/>
      <c r="F16" s="2612"/>
      <c r="G16" s="1820" t="s">
        <v>311</v>
      </c>
      <c r="H16" s="1601" t="s">
        <v>496</v>
      </c>
      <c r="I16" s="1821"/>
      <c r="J16" s="1822"/>
      <c r="K16" s="1782"/>
    </row>
    <row r="17" spans="1:11" ht="21" customHeight="1" x14ac:dyDescent="0.3">
      <c r="A17" s="1782"/>
      <c r="B17" s="1823" t="s">
        <v>313</v>
      </c>
      <c r="C17" s="1824">
        <f>'CF-1601|GDS'!I13</f>
        <v>15904670.090873174</v>
      </c>
      <c r="D17" s="2619"/>
      <c r="F17" s="2620"/>
      <c r="G17" s="1823" t="s">
        <v>398</v>
      </c>
      <c r="H17" s="1827">
        <f>'CF-1601|GDS'!I36</f>
        <v>20966</v>
      </c>
      <c r="I17" s="1829"/>
      <c r="J17" s="1830"/>
      <c r="K17" s="1782"/>
    </row>
    <row r="18" spans="1:11" ht="19.5" hidden="1" customHeight="1" x14ac:dyDescent="0.3">
      <c r="A18" s="1782"/>
      <c r="B18" s="1820" t="s">
        <v>1178</v>
      </c>
      <c r="C18" s="1831" t="s">
        <v>324</v>
      </c>
      <c r="D18" s="1419"/>
      <c r="E18" s="2621"/>
      <c r="F18" s="1419"/>
      <c r="G18" s="1820" t="s">
        <v>1178</v>
      </c>
      <c r="H18" s="1835" t="s">
        <v>324</v>
      </c>
      <c r="I18" s="1790"/>
      <c r="J18" s="1369"/>
      <c r="K18" s="1782"/>
    </row>
    <row r="19" spans="1:11" ht="19.5" hidden="1" customHeight="1" x14ac:dyDescent="0.3">
      <c r="A19" s="1782"/>
      <c r="B19" s="1820" t="s">
        <v>1179</v>
      </c>
      <c r="C19" s="1831" t="s">
        <v>326</v>
      </c>
      <c r="D19" s="1419"/>
      <c r="E19" s="2621"/>
      <c r="F19" s="1419"/>
      <c r="G19" s="1820" t="s">
        <v>1179</v>
      </c>
      <c r="H19" s="1835" t="s">
        <v>326</v>
      </c>
      <c r="I19" s="1790"/>
      <c r="J19" s="1369"/>
      <c r="K19" s="1782"/>
    </row>
    <row r="20" spans="1:11" ht="18.75" customHeight="1" x14ac:dyDescent="0.3">
      <c r="A20" s="1782"/>
      <c r="B20" s="1836" t="s">
        <v>314</v>
      </c>
      <c r="C20" s="1837">
        <v>1.5392919999999998E-3</v>
      </c>
      <c r="D20" s="2622"/>
      <c r="F20" s="1419"/>
      <c r="G20" s="1836" t="s">
        <v>314</v>
      </c>
      <c r="H20" s="1837">
        <v>0.81125709133484736</v>
      </c>
      <c r="I20" s="1790"/>
      <c r="J20" s="1842"/>
      <c r="K20" s="1782"/>
    </row>
    <row r="21" spans="1:11" ht="19.5" customHeight="1" x14ac:dyDescent="0.3">
      <c r="A21" s="1782"/>
      <c r="B21" s="1843" t="s">
        <v>315</v>
      </c>
      <c r="C21" s="1848">
        <f t="shared" ref="C21" si="3">C17*C20</f>
        <v>24481.931433520349</v>
      </c>
      <c r="D21" s="2623"/>
      <c r="F21" s="1419"/>
      <c r="G21" s="1843" t="s">
        <v>315</v>
      </c>
      <c r="H21" s="1848">
        <f t="shared" ref="H21" si="4">H17*H20</f>
        <v>17008.816176926408</v>
      </c>
      <c r="I21" s="1790"/>
      <c r="J21" s="1849"/>
      <c r="K21" s="1974"/>
    </row>
    <row r="22" spans="1:11" ht="21" customHeight="1" x14ac:dyDescent="0.4">
      <c r="B22" s="1850" t="s">
        <v>316</v>
      </c>
      <c r="C22" s="1856"/>
      <c r="D22" s="2624"/>
      <c r="E22" s="2625"/>
      <c r="F22" s="2624"/>
      <c r="G22" s="1850" t="s">
        <v>316</v>
      </c>
      <c r="H22" s="1856"/>
      <c r="I22" s="1818"/>
      <c r="J22" s="1857"/>
    </row>
    <row r="23" spans="1:11" ht="33" customHeight="1" x14ac:dyDescent="0.3">
      <c r="A23" s="1782"/>
      <c r="B23" s="1820" t="s">
        <v>183</v>
      </c>
      <c r="C23" s="1601" t="s">
        <v>361</v>
      </c>
      <c r="D23" s="2626"/>
      <c r="E23" s="2627"/>
      <c r="F23" s="1419"/>
      <c r="G23" s="1820" t="s">
        <v>183</v>
      </c>
      <c r="H23" s="1601" t="s">
        <v>1224</v>
      </c>
      <c r="I23" s="1790"/>
      <c r="J23" s="1369"/>
      <c r="K23" s="1782"/>
    </row>
    <row r="24" spans="1:11" ht="21" customHeight="1" x14ac:dyDescent="0.3">
      <c r="A24" s="1782"/>
      <c r="B24" s="1862" t="s">
        <v>369</v>
      </c>
      <c r="C24" s="1867">
        <f>'CF-1601|GDS'!I11</f>
        <v>20966000</v>
      </c>
      <c r="D24" s="1419"/>
      <c r="E24" s="2628"/>
      <c r="F24" s="1419"/>
      <c r="G24" s="1862" t="s">
        <v>398</v>
      </c>
      <c r="H24" s="1867">
        <f>H17</f>
        <v>20966</v>
      </c>
      <c r="I24" s="1829"/>
      <c r="J24" s="1830"/>
      <c r="K24" s="1782"/>
    </row>
    <row r="25" spans="1:11" ht="21" customHeight="1" x14ac:dyDescent="0.3">
      <c r="A25" s="1782"/>
      <c r="B25" s="1868" t="s">
        <v>314</v>
      </c>
      <c r="C25" s="1869">
        <v>3.6533000000000004E-5</v>
      </c>
      <c r="D25" s="2626"/>
      <c r="E25" s="1842"/>
      <c r="F25" s="1419"/>
      <c r="G25" s="1868" t="s">
        <v>314</v>
      </c>
      <c r="H25" s="1870">
        <v>0</v>
      </c>
      <c r="I25" s="1790"/>
      <c r="J25" s="1842"/>
      <c r="K25" s="1782"/>
    </row>
    <row r="26" spans="1:11" ht="21" customHeight="1" x14ac:dyDescent="0.3">
      <c r="A26" s="1782"/>
      <c r="B26" s="1874" t="s">
        <v>315</v>
      </c>
      <c r="C26" s="1878">
        <f t="shared" ref="C26" si="5">C24*C25</f>
        <v>765.9508780000001</v>
      </c>
      <c r="D26" s="2626"/>
      <c r="E26" s="1849"/>
      <c r="F26" s="1419"/>
      <c r="G26" s="1874" t="s">
        <v>315</v>
      </c>
      <c r="H26" s="1876">
        <f t="shared" ref="H26" si="6">H24*H25</f>
        <v>0</v>
      </c>
      <c r="I26" s="1790"/>
      <c r="J26" s="1849"/>
      <c r="K26" s="1782"/>
    </row>
    <row r="27" spans="1:11" ht="28.5" customHeight="1" x14ac:dyDescent="0.3">
      <c r="A27" s="1782"/>
      <c r="B27" s="2629" t="s">
        <v>320</v>
      </c>
      <c r="C27" s="2630" t="s">
        <v>321</v>
      </c>
      <c r="D27" s="2631"/>
      <c r="E27" s="1834"/>
      <c r="F27" s="2632"/>
      <c r="G27" s="2629" t="s">
        <v>320</v>
      </c>
      <c r="H27" s="2633" t="s">
        <v>1477</v>
      </c>
      <c r="I27" s="1790"/>
      <c r="J27" s="1369"/>
      <c r="K27" s="1782"/>
    </row>
    <row r="28" spans="1:11" ht="33" customHeight="1" x14ac:dyDescent="0.3">
      <c r="A28" s="1782"/>
      <c r="B28" s="1437" t="s">
        <v>1181</v>
      </c>
      <c r="C28" s="1397" t="s">
        <v>324</v>
      </c>
      <c r="D28" s="1419"/>
      <c r="E28" s="1369"/>
      <c r="F28" s="1419"/>
      <c r="G28" s="1437" t="s">
        <v>1181</v>
      </c>
      <c r="H28" s="1397" t="s">
        <v>324</v>
      </c>
      <c r="I28" s="1790"/>
      <c r="J28" s="1369"/>
      <c r="K28" s="1782"/>
    </row>
    <row r="29" spans="1:11" ht="33" customHeight="1" x14ac:dyDescent="0.3">
      <c r="A29" s="1782"/>
      <c r="B29" s="1887" t="s">
        <v>1182</v>
      </c>
      <c r="C29" s="1889" t="s">
        <v>326</v>
      </c>
      <c r="D29" s="1419"/>
      <c r="E29" s="1369"/>
      <c r="F29" s="1419"/>
      <c r="G29" s="1887" t="s">
        <v>1182</v>
      </c>
      <c r="H29" s="1889" t="s">
        <v>326</v>
      </c>
      <c r="I29" s="1790"/>
      <c r="J29" s="1369"/>
      <c r="K29" s="1782"/>
    </row>
    <row r="30" spans="1:11" ht="33" customHeight="1" x14ac:dyDescent="0.3">
      <c r="A30" s="1782"/>
      <c r="B30" s="1437" t="s">
        <v>1183</v>
      </c>
      <c r="C30" s="1397" t="s">
        <v>729</v>
      </c>
      <c r="D30" s="1419"/>
      <c r="E30" s="1369"/>
      <c r="F30" s="1419"/>
      <c r="G30" s="1437" t="s">
        <v>1183</v>
      </c>
      <c r="H30" s="1397" t="s">
        <v>402</v>
      </c>
      <c r="I30" s="1790"/>
      <c r="J30" s="1369"/>
      <c r="K30" s="1782"/>
    </row>
    <row r="31" spans="1:11" ht="21" customHeight="1" x14ac:dyDescent="0.3">
      <c r="B31" s="1895" t="s">
        <v>329</v>
      </c>
      <c r="C31" s="1889">
        <v>76</v>
      </c>
      <c r="D31" s="1897"/>
      <c r="E31" s="1897"/>
      <c r="F31" s="1897"/>
      <c r="G31" s="1895" t="s">
        <v>329</v>
      </c>
      <c r="H31" s="1889">
        <v>8</v>
      </c>
      <c r="I31" s="1818"/>
      <c r="J31" s="1897"/>
    </row>
    <row r="32" spans="1:11" ht="21" customHeight="1" x14ac:dyDescent="0.3">
      <c r="B32" s="1367" t="s">
        <v>330</v>
      </c>
      <c r="C32" s="1397" t="s">
        <v>324</v>
      </c>
      <c r="D32" s="2624"/>
      <c r="E32" s="1857"/>
      <c r="F32" s="2624"/>
      <c r="G32" s="1367" t="s">
        <v>330</v>
      </c>
      <c r="H32" s="1397" t="s">
        <v>324</v>
      </c>
      <c r="I32" s="1818"/>
      <c r="J32" s="1857"/>
    </row>
    <row r="33" spans="2:10" ht="21" customHeight="1" x14ac:dyDescent="0.3">
      <c r="B33" s="1895" t="s">
        <v>331</v>
      </c>
      <c r="C33" s="1889" t="s">
        <v>324</v>
      </c>
      <c r="D33" s="2624"/>
      <c r="E33" s="1857"/>
      <c r="F33" s="2624"/>
      <c r="G33" s="1898" t="s">
        <v>331</v>
      </c>
      <c r="H33" s="1903" t="s">
        <v>324</v>
      </c>
      <c r="I33" s="1818"/>
      <c r="J33" s="1857"/>
    </row>
    <row r="34" spans="2:10" ht="15.75" customHeight="1" x14ac:dyDescent="0.3">
      <c r="B34" s="4073" t="s">
        <v>1478</v>
      </c>
      <c r="C34" s="4074">
        <f>ROUNDDOWN(C14/C31,0)</f>
        <v>312</v>
      </c>
      <c r="D34" s="2624"/>
      <c r="E34" s="2624"/>
      <c r="F34" s="2624"/>
      <c r="G34" s="1344"/>
      <c r="I34" s="1344"/>
      <c r="J34" s="1344"/>
    </row>
    <row r="35" spans="2:10" ht="15.75" customHeight="1" x14ac:dyDescent="0.3">
      <c r="B35" s="2634" t="s">
        <v>334</v>
      </c>
      <c r="C35" s="1344"/>
      <c r="D35" s="2624"/>
      <c r="E35" s="2624"/>
      <c r="F35" s="2624"/>
      <c r="I35" s="1344"/>
      <c r="J35" s="1344"/>
    </row>
    <row r="36" spans="2:10" ht="15.75" customHeight="1" x14ac:dyDescent="0.3">
      <c r="B36" s="2634" t="s">
        <v>335</v>
      </c>
      <c r="C36" s="1344"/>
      <c r="D36" s="2624"/>
      <c r="E36" s="2624"/>
      <c r="F36" s="2624"/>
      <c r="I36" s="1344"/>
      <c r="J36" s="1344"/>
    </row>
    <row r="37" spans="2:10" ht="15.75" customHeight="1" x14ac:dyDescent="0.3">
      <c r="B37" s="2634" t="s">
        <v>336</v>
      </c>
      <c r="C37" s="1344"/>
      <c r="D37" s="2624"/>
      <c r="E37" s="2624"/>
      <c r="F37" s="2624"/>
      <c r="I37" s="1344"/>
      <c r="J37" s="1344"/>
    </row>
    <row r="38" spans="2:10" ht="15.75" customHeight="1" x14ac:dyDescent="0.3">
      <c r="B38" s="2634" t="s">
        <v>337</v>
      </c>
      <c r="C38" s="1344"/>
      <c r="D38" s="2624"/>
      <c r="E38" s="2624"/>
      <c r="F38" s="2624"/>
      <c r="I38" s="1344"/>
      <c r="J38" s="1344"/>
    </row>
    <row r="39" spans="2:10" ht="15.75" customHeight="1" x14ac:dyDescent="0.3">
      <c r="B39" s="2634" t="s">
        <v>338</v>
      </c>
      <c r="D39" s="1344"/>
      <c r="F39" s="1344"/>
      <c r="I39" s="1344"/>
      <c r="J39" s="1344"/>
    </row>
    <row r="40" spans="2:10" ht="15.75" customHeight="1" x14ac:dyDescent="0.3">
      <c r="B40" s="2634" t="s">
        <v>339</v>
      </c>
      <c r="D40" s="1344"/>
      <c r="F40" s="1344"/>
      <c r="I40" s="1344"/>
      <c r="J40" s="1344"/>
    </row>
    <row r="41" spans="2:10" ht="15.75" customHeight="1" x14ac:dyDescent="0.3">
      <c r="D41" s="1344"/>
      <c r="F41" s="1344"/>
      <c r="I41" s="1344"/>
      <c r="J41" s="1344"/>
    </row>
    <row r="42" spans="2:10" ht="15.75" customHeight="1" x14ac:dyDescent="0.3">
      <c r="D42" s="1344"/>
      <c r="F42" s="1344"/>
      <c r="I42" s="1344"/>
      <c r="J42" s="1344"/>
    </row>
    <row r="43" spans="2:10" ht="15.75" customHeight="1" x14ac:dyDescent="0.3">
      <c r="D43" s="1344"/>
      <c r="F43" s="1344"/>
      <c r="I43" s="1344"/>
      <c r="J43" s="1344"/>
    </row>
    <row r="44" spans="2:10" ht="15.75" customHeight="1" x14ac:dyDescent="0.3">
      <c r="D44" s="1344"/>
      <c r="F44" s="1344"/>
      <c r="I44" s="1344"/>
    </row>
    <row r="45" spans="2:10" ht="15.75" customHeight="1" x14ac:dyDescent="0.3">
      <c r="D45" s="1344"/>
      <c r="F45" s="1344"/>
      <c r="I45" s="1344"/>
    </row>
    <row r="46" spans="2:10" ht="15.75" customHeight="1" x14ac:dyDescent="0.3">
      <c r="D46" s="1344"/>
      <c r="F46" s="1344"/>
      <c r="I46" s="1344"/>
    </row>
    <row r="47" spans="2:10" ht="15.75" customHeight="1" x14ac:dyDescent="0.3">
      <c r="D47" s="1344"/>
      <c r="F47" s="1344"/>
      <c r="I47" s="1344"/>
    </row>
    <row r="48" spans="2:10" ht="15.75" customHeight="1" x14ac:dyDescent="0.3">
      <c r="D48" s="1344"/>
      <c r="F48" s="1344"/>
      <c r="I48" s="1344"/>
    </row>
    <row r="49" spans="4:9" ht="15.75" customHeight="1" x14ac:dyDescent="0.3">
      <c r="D49" s="1344"/>
      <c r="F49" s="1344"/>
      <c r="I49" s="1344"/>
    </row>
    <row r="50" spans="4:9" ht="15.75" customHeight="1" x14ac:dyDescent="0.3">
      <c r="D50" s="1344"/>
      <c r="F50" s="1344"/>
      <c r="I50" s="1344"/>
    </row>
    <row r="51" spans="4:9" ht="15.75" customHeight="1" x14ac:dyDescent="0.3">
      <c r="D51" s="1344"/>
      <c r="F51" s="1344"/>
      <c r="I51" s="1344"/>
    </row>
    <row r="52" spans="4:9" ht="15.75" customHeight="1" x14ac:dyDescent="0.3">
      <c r="D52" s="1344"/>
      <c r="F52" s="1344"/>
      <c r="I52" s="1344"/>
    </row>
    <row r="53" spans="4:9" ht="15.75" customHeight="1" x14ac:dyDescent="0.3">
      <c r="D53" s="1344"/>
      <c r="F53" s="1344"/>
      <c r="I53" s="1344"/>
    </row>
    <row r="54" spans="4:9" ht="15.75" customHeight="1" x14ac:dyDescent="0.3">
      <c r="D54" s="1344"/>
      <c r="F54" s="1344"/>
      <c r="I54" s="1344"/>
    </row>
    <row r="55" spans="4:9" ht="15.75" customHeight="1" x14ac:dyDescent="0.3">
      <c r="D55" s="1344"/>
      <c r="F55" s="1344"/>
      <c r="I55" s="1344"/>
    </row>
    <row r="56" spans="4:9" ht="15.75" customHeight="1" x14ac:dyDescent="0.3">
      <c r="D56" s="1344"/>
      <c r="F56" s="1344"/>
      <c r="I56" s="1344"/>
    </row>
    <row r="57" spans="4:9" ht="15.75" customHeight="1" x14ac:dyDescent="0.3">
      <c r="D57" s="1344"/>
      <c r="F57" s="1344"/>
      <c r="I57" s="1344"/>
    </row>
    <row r="58" spans="4:9" ht="15.75" customHeight="1" x14ac:dyDescent="0.3">
      <c r="D58" s="1344"/>
      <c r="F58" s="1344"/>
      <c r="I58" s="1344"/>
    </row>
    <row r="59" spans="4:9" ht="15.75" customHeight="1" x14ac:dyDescent="0.3">
      <c r="D59" s="1344"/>
      <c r="F59" s="1344"/>
      <c r="I59" s="1344"/>
    </row>
    <row r="60" spans="4:9" ht="15.75" customHeight="1" x14ac:dyDescent="0.3">
      <c r="D60" s="1344"/>
      <c r="F60" s="1344"/>
      <c r="I60" s="1344"/>
    </row>
    <row r="61" spans="4:9" ht="15.75" customHeight="1" x14ac:dyDescent="0.3">
      <c r="D61" s="1344"/>
      <c r="F61" s="1344"/>
      <c r="I61" s="1344"/>
    </row>
    <row r="62" spans="4:9" ht="15.75" customHeight="1" x14ac:dyDescent="0.3">
      <c r="D62" s="1344"/>
      <c r="F62" s="1344"/>
      <c r="I62" s="1344"/>
    </row>
    <row r="63" spans="4:9" ht="15.75" customHeight="1" x14ac:dyDescent="0.3">
      <c r="D63" s="1344"/>
      <c r="F63" s="1344"/>
      <c r="I63" s="1344"/>
    </row>
    <row r="64" spans="4:9" ht="15.75" customHeight="1" x14ac:dyDescent="0.3">
      <c r="D64" s="1344"/>
      <c r="F64" s="1344"/>
      <c r="I64" s="1344"/>
    </row>
    <row r="65" spans="4:9" ht="15.75" customHeight="1" x14ac:dyDescent="0.3">
      <c r="D65" s="1344"/>
      <c r="F65" s="1344"/>
      <c r="I65" s="1344"/>
    </row>
    <row r="66" spans="4:9" ht="15.75" customHeight="1" x14ac:dyDescent="0.3">
      <c r="D66" s="1344"/>
      <c r="F66" s="1344"/>
      <c r="I66" s="1344"/>
    </row>
    <row r="67" spans="4:9" ht="15.75" customHeight="1" x14ac:dyDescent="0.3">
      <c r="D67" s="1344"/>
      <c r="F67" s="1344"/>
      <c r="I67" s="1344"/>
    </row>
    <row r="68" spans="4:9" ht="15.75" customHeight="1" x14ac:dyDescent="0.3">
      <c r="D68" s="1344"/>
      <c r="F68" s="1344"/>
      <c r="I68" s="1344"/>
    </row>
    <row r="69" spans="4:9" ht="15.75" customHeight="1" x14ac:dyDescent="0.3">
      <c r="D69" s="1344"/>
      <c r="F69" s="1344"/>
      <c r="I69" s="1344"/>
    </row>
    <row r="70" spans="4:9" ht="15.75" customHeight="1" x14ac:dyDescent="0.3">
      <c r="D70" s="1344"/>
      <c r="F70" s="1344"/>
      <c r="I70" s="1344"/>
    </row>
    <row r="71" spans="4:9" ht="15.75" customHeight="1" x14ac:dyDescent="0.3">
      <c r="D71" s="1344"/>
      <c r="F71" s="1344"/>
      <c r="I71" s="1344"/>
    </row>
    <row r="72" spans="4:9" ht="15.75" customHeight="1" x14ac:dyDescent="0.3">
      <c r="D72" s="1344"/>
      <c r="F72" s="1344"/>
      <c r="I72" s="1344"/>
    </row>
    <row r="73" spans="4:9" ht="15.75" customHeight="1" x14ac:dyDescent="0.3">
      <c r="D73" s="1344"/>
      <c r="F73" s="1344"/>
      <c r="I73" s="1344"/>
    </row>
    <row r="74" spans="4:9" ht="15.75" customHeight="1" x14ac:dyDescent="0.3">
      <c r="D74" s="1344"/>
      <c r="F74" s="1344"/>
      <c r="I74" s="1344"/>
    </row>
    <row r="75" spans="4:9" ht="15.75" customHeight="1" x14ac:dyDescent="0.3">
      <c r="D75" s="1344"/>
      <c r="F75" s="1344"/>
      <c r="I75" s="1344"/>
    </row>
    <row r="76" spans="4:9" ht="15.75" customHeight="1" x14ac:dyDescent="0.3">
      <c r="D76" s="1344"/>
      <c r="F76" s="1344"/>
      <c r="I76" s="1344"/>
    </row>
    <row r="77" spans="4:9" ht="15.75" customHeight="1" x14ac:dyDescent="0.3">
      <c r="D77" s="1344"/>
      <c r="F77" s="1344"/>
      <c r="I77" s="1344"/>
    </row>
    <row r="78" spans="4:9" ht="15.75" customHeight="1" x14ac:dyDescent="0.3">
      <c r="D78" s="1344"/>
      <c r="F78" s="1344"/>
      <c r="I78" s="1344"/>
    </row>
    <row r="79" spans="4:9" ht="15.75" customHeight="1" x14ac:dyDescent="0.3">
      <c r="D79" s="1344"/>
      <c r="F79" s="1344"/>
      <c r="I79" s="1344"/>
    </row>
    <row r="80" spans="4:9" ht="15.75" customHeight="1" x14ac:dyDescent="0.3">
      <c r="D80" s="1344"/>
      <c r="F80" s="1344"/>
      <c r="I80" s="1344"/>
    </row>
    <row r="81" spans="4:9" ht="15.75" customHeight="1" x14ac:dyDescent="0.3">
      <c r="D81" s="1344"/>
      <c r="F81" s="1344"/>
      <c r="I81" s="1344"/>
    </row>
    <row r="82" spans="4:9" ht="15.75" customHeight="1" x14ac:dyDescent="0.3">
      <c r="D82" s="1344"/>
      <c r="F82" s="1344"/>
      <c r="I82" s="1344"/>
    </row>
    <row r="83" spans="4:9" ht="15.75" customHeight="1" x14ac:dyDescent="0.3">
      <c r="D83" s="1344"/>
      <c r="F83" s="1344"/>
      <c r="I83" s="1344"/>
    </row>
    <row r="84" spans="4:9" ht="15.75" customHeight="1" x14ac:dyDescent="0.3">
      <c r="D84" s="1344"/>
      <c r="F84" s="1344"/>
      <c r="I84" s="1344"/>
    </row>
    <row r="85" spans="4:9" ht="15.75" customHeight="1" x14ac:dyDescent="0.3">
      <c r="D85" s="1344"/>
      <c r="F85" s="1344"/>
      <c r="I85" s="1344"/>
    </row>
    <row r="86" spans="4:9" ht="15.75" customHeight="1" x14ac:dyDescent="0.3">
      <c r="D86" s="1344"/>
      <c r="F86" s="1344"/>
      <c r="I86" s="1344"/>
    </row>
    <row r="87" spans="4:9" ht="15.75" customHeight="1" x14ac:dyDescent="0.3">
      <c r="D87" s="1344"/>
      <c r="F87" s="1344"/>
      <c r="I87" s="1344"/>
    </row>
    <row r="88" spans="4:9" ht="15.75" customHeight="1" x14ac:dyDescent="0.3">
      <c r="D88" s="1344"/>
      <c r="F88" s="1344"/>
      <c r="I88" s="1344"/>
    </row>
    <row r="89" spans="4:9" ht="15.75" customHeight="1" x14ac:dyDescent="0.3">
      <c r="D89" s="1344"/>
      <c r="F89" s="1344"/>
      <c r="I89" s="1344"/>
    </row>
    <row r="90" spans="4:9" ht="15.75" customHeight="1" x14ac:dyDescent="0.3">
      <c r="D90" s="1344"/>
      <c r="F90" s="1344"/>
      <c r="I90" s="1344"/>
    </row>
    <row r="91" spans="4:9" ht="15.75" customHeight="1" x14ac:dyDescent="0.3">
      <c r="D91" s="1344"/>
      <c r="F91" s="1344"/>
      <c r="I91" s="1344"/>
    </row>
    <row r="92" spans="4:9" ht="15.75" customHeight="1" x14ac:dyDescent="0.3">
      <c r="D92" s="1344"/>
      <c r="F92" s="1344"/>
      <c r="I92" s="1344"/>
    </row>
    <row r="93" spans="4:9" ht="15.75" customHeight="1" x14ac:dyDescent="0.3">
      <c r="D93" s="1344"/>
      <c r="F93" s="1344"/>
      <c r="I93" s="1344"/>
    </row>
    <row r="94" spans="4:9" ht="15.75" customHeight="1" x14ac:dyDescent="0.3">
      <c r="D94" s="1344"/>
      <c r="F94" s="1344"/>
      <c r="I94" s="1344"/>
    </row>
    <row r="95" spans="4:9" ht="15.75" customHeight="1" x14ac:dyDescent="0.3">
      <c r="D95" s="1344"/>
      <c r="F95" s="1344"/>
      <c r="I95" s="1344"/>
    </row>
    <row r="96" spans="4:9" ht="15.75" customHeight="1" x14ac:dyDescent="0.3">
      <c r="D96" s="1344"/>
      <c r="F96" s="1344"/>
      <c r="I96" s="1344"/>
    </row>
    <row r="97" spans="4:9" ht="15.75" customHeight="1" x14ac:dyDescent="0.3">
      <c r="D97" s="1344"/>
      <c r="F97" s="1344"/>
      <c r="I97" s="1344"/>
    </row>
    <row r="98" spans="4:9" ht="15.75" customHeight="1" x14ac:dyDescent="0.3">
      <c r="D98" s="1344"/>
      <c r="F98" s="1344"/>
      <c r="I98" s="1344"/>
    </row>
    <row r="99" spans="4:9" ht="15.75" customHeight="1" x14ac:dyDescent="0.3">
      <c r="D99" s="1344"/>
      <c r="F99" s="1344"/>
      <c r="I99" s="1344"/>
    </row>
    <row r="100" spans="4:9" ht="15.75" customHeight="1" x14ac:dyDescent="0.3">
      <c r="D100" s="1344"/>
      <c r="F100" s="1344"/>
      <c r="I100" s="1344"/>
    </row>
    <row r="101" spans="4:9" ht="15.75" customHeight="1" x14ac:dyDescent="0.3">
      <c r="D101" s="1344"/>
      <c r="F101" s="1344"/>
      <c r="I101" s="1344"/>
    </row>
    <row r="102" spans="4:9" ht="15.75" customHeight="1" x14ac:dyDescent="0.3">
      <c r="D102" s="1344"/>
      <c r="F102" s="1344"/>
      <c r="I102" s="1344"/>
    </row>
    <row r="103" spans="4:9" ht="15.75" customHeight="1" x14ac:dyDescent="0.3">
      <c r="D103" s="1344"/>
      <c r="F103" s="1344"/>
      <c r="I103" s="1344"/>
    </row>
    <row r="104" spans="4:9" ht="15.75" customHeight="1" x14ac:dyDescent="0.3">
      <c r="D104" s="1344"/>
      <c r="F104" s="1344"/>
      <c r="I104" s="1344"/>
    </row>
    <row r="105" spans="4:9" ht="15.75" customHeight="1" x14ac:dyDescent="0.3">
      <c r="D105" s="1344"/>
      <c r="F105" s="1344"/>
      <c r="I105" s="1344"/>
    </row>
    <row r="106" spans="4:9" ht="15.75" customHeight="1" x14ac:dyDescent="0.3">
      <c r="D106" s="1344"/>
      <c r="F106" s="1344"/>
      <c r="I106" s="1344"/>
    </row>
    <row r="107" spans="4:9" ht="15.75" customHeight="1" x14ac:dyDescent="0.3">
      <c r="D107" s="1344"/>
      <c r="F107" s="1344"/>
      <c r="I107" s="1344"/>
    </row>
    <row r="108" spans="4:9" ht="15.75" customHeight="1" x14ac:dyDescent="0.3">
      <c r="D108" s="1344"/>
      <c r="F108" s="1344"/>
      <c r="I108" s="1344"/>
    </row>
    <row r="109" spans="4:9" ht="15.75" customHeight="1" x14ac:dyDescent="0.3">
      <c r="D109" s="1344"/>
      <c r="F109" s="1344"/>
      <c r="I109" s="1344"/>
    </row>
    <row r="110" spans="4:9" ht="15.75" customHeight="1" x14ac:dyDescent="0.3">
      <c r="D110" s="1344"/>
      <c r="F110" s="1344"/>
      <c r="I110" s="1344"/>
    </row>
    <row r="111" spans="4:9" ht="15.75" customHeight="1" x14ac:dyDescent="0.3">
      <c r="D111" s="1344"/>
      <c r="F111" s="1344"/>
      <c r="I111" s="1344"/>
    </row>
    <row r="112" spans="4:9" ht="15.75" customHeight="1" x14ac:dyDescent="0.3">
      <c r="D112" s="1344"/>
      <c r="F112" s="1344"/>
      <c r="I112" s="1344"/>
    </row>
    <row r="113" spans="4:9" ht="15.75" customHeight="1" x14ac:dyDescent="0.3">
      <c r="D113" s="1344"/>
      <c r="F113" s="1344"/>
      <c r="I113" s="1344"/>
    </row>
    <row r="114" spans="4:9" ht="15.75" customHeight="1" x14ac:dyDescent="0.3">
      <c r="D114" s="1344"/>
      <c r="F114" s="1344"/>
      <c r="I114" s="1344"/>
    </row>
    <row r="115" spans="4:9" ht="15.75" customHeight="1" x14ac:dyDescent="0.3">
      <c r="D115" s="1344"/>
      <c r="F115" s="1344"/>
      <c r="I115" s="1344"/>
    </row>
    <row r="116" spans="4:9" ht="15.75" customHeight="1" x14ac:dyDescent="0.3">
      <c r="D116" s="1344"/>
      <c r="F116" s="1344"/>
      <c r="I116" s="1344"/>
    </row>
    <row r="117" spans="4:9" ht="15.75" customHeight="1" x14ac:dyDescent="0.3">
      <c r="D117" s="1344"/>
      <c r="F117" s="1344"/>
      <c r="I117" s="1344"/>
    </row>
    <row r="118" spans="4:9" ht="15.75" customHeight="1" x14ac:dyDescent="0.3">
      <c r="D118" s="1344"/>
      <c r="F118" s="1344"/>
      <c r="I118" s="1344"/>
    </row>
    <row r="119" spans="4:9" ht="15.75" customHeight="1" x14ac:dyDescent="0.3">
      <c r="D119" s="1344"/>
      <c r="F119" s="1344"/>
      <c r="I119" s="1344"/>
    </row>
    <row r="120" spans="4:9" ht="15.75" customHeight="1" x14ac:dyDescent="0.3">
      <c r="D120" s="1344"/>
      <c r="F120" s="1344"/>
      <c r="I120" s="1344"/>
    </row>
    <row r="121" spans="4:9" ht="15.75" customHeight="1" x14ac:dyDescent="0.3">
      <c r="D121" s="1344"/>
      <c r="F121" s="1344"/>
      <c r="I121" s="1344"/>
    </row>
    <row r="122" spans="4:9" ht="15.75" customHeight="1" x14ac:dyDescent="0.3">
      <c r="D122" s="1344"/>
      <c r="F122" s="1344"/>
      <c r="I122" s="1344"/>
    </row>
    <row r="123" spans="4:9" ht="15.75" customHeight="1" x14ac:dyDescent="0.3">
      <c r="D123" s="1344"/>
      <c r="F123" s="1344"/>
      <c r="I123" s="1344"/>
    </row>
    <row r="124" spans="4:9" ht="15.75" customHeight="1" x14ac:dyDescent="0.3">
      <c r="D124" s="1344"/>
      <c r="F124" s="1344"/>
      <c r="I124" s="1344"/>
    </row>
    <row r="125" spans="4:9" ht="15.75" customHeight="1" x14ac:dyDescent="0.3">
      <c r="D125" s="1344"/>
      <c r="F125" s="1344"/>
      <c r="I125" s="1344"/>
    </row>
    <row r="126" spans="4:9" ht="15.75" customHeight="1" x14ac:dyDescent="0.3">
      <c r="D126" s="1344"/>
      <c r="F126" s="1344"/>
      <c r="I126" s="1344"/>
    </row>
    <row r="127" spans="4:9" ht="15.75" customHeight="1" x14ac:dyDescent="0.3">
      <c r="D127" s="1344"/>
      <c r="F127" s="1344"/>
      <c r="I127" s="1344"/>
    </row>
    <row r="128" spans="4:9" ht="15.75" customHeight="1" x14ac:dyDescent="0.3">
      <c r="D128" s="1344"/>
      <c r="F128" s="1344"/>
      <c r="I128" s="1344"/>
    </row>
    <row r="129" spans="4:9" ht="15.75" customHeight="1" x14ac:dyDescent="0.3">
      <c r="D129" s="1344"/>
      <c r="F129" s="1344"/>
      <c r="I129" s="1344"/>
    </row>
    <row r="130" spans="4:9" ht="15.75" customHeight="1" x14ac:dyDescent="0.3">
      <c r="D130" s="1344"/>
      <c r="F130" s="1344"/>
      <c r="I130" s="1344"/>
    </row>
    <row r="131" spans="4:9" ht="15.75" customHeight="1" x14ac:dyDescent="0.3">
      <c r="D131" s="1344"/>
      <c r="F131" s="1344"/>
      <c r="I131" s="1344"/>
    </row>
    <row r="132" spans="4:9" ht="15.75" customHeight="1" x14ac:dyDescent="0.3">
      <c r="D132" s="1344"/>
      <c r="F132" s="1344"/>
      <c r="I132" s="1344"/>
    </row>
    <row r="133" spans="4:9" ht="15.75" customHeight="1" x14ac:dyDescent="0.3">
      <c r="D133" s="1344"/>
      <c r="F133" s="1344"/>
      <c r="I133" s="1344"/>
    </row>
    <row r="134" spans="4:9" ht="15.75" customHeight="1" x14ac:dyDescent="0.3">
      <c r="D134" s="1344"/>
      <c r="F134" s="1344"/>
      <c r="I134" s="1344"/>
    </row>
    <row r="135" spans="4:9" ht="15.75" customHeight="1" x14ac:dyDescent="0.3">
      <c r="D135" s="1344"/>
      <c r="F135" s="1344"/>
      <c r="I135" s="1344"/>
    </row>
    <row r="136" spans="4:9" ht="15.75" customHeight="1" x14ac:dyDescent="0.3">
      <c r="D136" s="1344"/>
      <c r="F136" s="1344"/>
      <c r="I136" s="1344"/>
    </row>
    <row r="137" spans="4:9" ht="15.75" customHeight="1" x14ac:dyDescent="0.3">
      <c r="D137" s="1344"/>
      <c r="F137" s="1344"/>
      <c r="I137" s="1344"/>
    </row>
    <row r="138" spans="4:9" ht="15.75" customHeight="1" x14ac:dyDescent="0.3">
      <c r="D138" s="1344"/>
      <c r="F138" s="1344"/>
      <c r="I138" s="1344"/>
    </row>
    <row r="139" spans="4:9" ht="15.75" customHeight="1" x14ac:dyDescent="0.3">
      <c r="D139" s="1344"/>
      <c r="F139" s="1344"/>
      <c r="I139" s="1344"/>
    </row>
    <row r="140" spans="4:9" ht="15.75" customHeight="1" x14ac:dyDescent="0.3">
      <c r="D140" s="1344"/>
      <c r="F140" s="1344"/>
      <c r="I140" s="1344"/>
    </row>
    <row r="141" spans="4:9" ht="15.75" customHeight="1" x14ac:dyDescent="0.3">
      <c r="D141" s="1344"/>
      <c r="F141" s="1344"/>
      <c r="I141" s="1344"/>
    </row>
    <row r="142" spans="4:9" ht="15.75" customHeight="1" x14ac:dyDescent="0.3">
      <c r="D142" s="1344"/>
      <c r="F142" s="1344"/>
      <c r="I142" s="1344"/>
    </row>
    <row r="143" spans="4:9" ht="15.75" customHeight="1" x14ac:dyDescent="0.3">
      <c r="D143" s="1344"/>
      <c r="F143" s="1344"/>
      <c r="I143" s="1344"/>
    </row>
    <row r="144" spans="4:9" ht="15.75" customHeight="1" x14ac:dyDescent="0.3">
      <c r="D144" s="1344"/>
      <c r="F144" s="1344"/>
      <c r="I144" s="1344"/>
    </row>
    <row r="145" spans="4:9" ht="15.75" customHeight="1" x14ac:dyDescent="0.3">
      <c r="D145" s="1344"/>
      <c r="F145" s="1344"/>
      <c r="I145" s="1344"/>
    </row>
    <row r="146" spans="4:9" ht="15.75" customHeight="1" x14ac:dyDescent="0.3">
      <c r="D146" s="1344"/>
      <c r="F146" s="1344"/>
      <c r="I146" s="1344"/>
    </row>
    <row r="147" spans="4:9" ht="15.75" customHeight="1" x14ac:dyDescent="0.3">
      <c r="D147" s="1344"/>
      <c r="F147" s="1344"/>
      <c r="I147" s="1344"/>
    </row>
    <row r="148" spans="4:9" ht="15.75" customHeight="1" x14ac:dyDescent="0.3">
      <c r="D148" s="1344"/>
      <c r="F148" s="1344"/>
      <c r="I148" s="1344"/>
    </row>
    <row r="149" spans="4:9" ht="15.75" customHeight="1" x14ac:dyDescent="0.3">
      <c r="D149" s="1344"/>
      <c r="F149" s="1344"/>
      <c r="I149" s="1344"/>
    </row>
    <row r="150" spans="4:9" ht="15.75" customHeight="1" x14ac:dyDescent="0.3">
      <c r="D150" s="1344"/>
      <c r="F150" s="1344"/>
      <c r="I150" s="1344"/>
    </row>
    <row r="151" spans="4:9" ht="15.75" customHeight="1" x14ac:dyDescent="0.3">
      <c r="D151" s="1344"/>
      <c r="F151" s="1344"/>
      <c r="I151" s="1344"/>
    </row>
    <row r="152" spans="4:9" ht="15.75" customHeight="1" x14ac:dyDescent="0.3">
      <c r="D152" s="1344"/>
      <c r="F152" s="1344"/>
      <c r="I152" s="1344"/>
    </row>
    <row r="153" spans="4:9" ht="15.75" customHeight="1" x14ac:dyDescent="0.3">
      <c r="D153" s="1344"/>
      <c r="F153" s="1344"/>
      <c r="I153" s="1344"/>
    </row>
    <row r="154" spans="4:9" ht="15.75" customHeight="1" x14ac:dyDescent="0.3">
      <c r="D154" s="1344"/>
      <c r="F154" s="1344"/>
      <c r="I154" s="1344"/>
    </row>
    <row r="155" spans="4:9" ht="15.75" customHeight="1" x14ac:dyDescent="0.3">
      <c r="D155" s="1344"/>
      <c r="F155" s="1344"/>
      <c r="I155" s="1344"/>
    </row>
    <row r="156" spans="4:9" ht="15.75" customHeight="1" x14ac:dyDescent="0.3">
      <c r="D156" s="1344"/>
      <c r="F156" s="1344"/>
      <c r="I156" s="1344"/>
    </row>
    <row r="157" spans="4:9" ht="15.75" customHeight="1" x14ac:dyDescent="0.3">
      <c r="D157" s="1344"/>
      <c r="F157" s="1344"/>
      <c r="I157" s="1344"/>
    </row>
    <row r="158" spans="4:9" ht="15.75" customHeight="1" x14ac:dyDescent="0.3">
      <c r="D158" s="1344"/>
      <c r="F158" s="1344"/>
      <c r="I158" s="1344"/>
    </row>
    <row r="159" spans="4:9" ht="15.75" customHeight="1" x14ac:dyDescent="0.3">
      <c r="D159" s="1344"/>
      <c r="F159" s="1344"/>
      <c r="I159" s="1344"/>
    </row>
    <row r="160" spans="4:9" ht="15.75" customHeight="1" x14ac:dyDescent="0.3">
      <c r="D160" s="1344"/>
      <c r="F160" s="1344"/>
      <c r="I160" s="1344"/>
    </row>
    <row r="161" spans="4:9" ht="15.75" customHeight="1" x14ac:dyDescent="0.3">
      <c r="D161" s="1344"/>
      <c r="F161" s="1344"/>
      <c r="I161" s="1344"/>
    </row>
    <row r="162" spans="4:9" ht="15.75" customHeight="1" x14ac:dyDescent="0.3">
      <c r="D162" s="1344"/>
      <c r="F162" s="1344"/>
      <c r="I162" s="1344"/>
    </row>
    <row r="163" spans="4:9" ht="15.75" customHeight="1" x14ac:dyDescent="0.3">
      <c r="D163" s="1344"/>
      <c r="F163" s="1344"/>
      <c r="I163" s="1344"/>
    </row>
    <row r="164" spans="4:9" ht="15.75" customHeight="1" x14ac:dyDescent="0.3">
      <c r="D164" s="1344"/>
      <c r="F164" s="1344"/>
      <c r="I164" s="1344"/>
    </row>
    <row r="165" spans="4:9" ht="15.75" customHeight="1" x14ac:dyDescent="0.3">
      <c r="D165" s="1344"/>
      <c r="F165" s="1344"/>
      <c r="I165" s="1344"/>
    </row>
    <row r="166" spans="4:9" ht="15.75" customHeight="1" x14ac:dyDescent="0.3">
      <c r="D166" s="1344"/>
      <c r="F166" s="1344"/>
      <c r="I166" s="1344"/>
    </row>
    <row r="167" spans="4:9" ht="15.75" customHeight="1" x14ac:dyDescent="0.3">
      <c r="D167" s="1344"/>
      <c r="F167" s="1344"/>
      <c r="I167" s="1344"/>
    </row>
    <row r="168" spans="4:9" ht="15.75" customHeight="1" x14ac:dyDescent="0.3">
      <c r="D168" s="1344"/>
      <c r="F168" s="1344"/>
      <c r="I168" s="1344"/>
    </row>
    <row r="169" spans="4:9" ht="15.75" customHeight="1" x14ac:dyDescent="0.3">
      <c r="D169" s="1344"/>
      <c r="F169" s="1344"/>
      <c r="I169" s="1344"/>
    </row>
    <row r="170" spans="4:9" ht="15.75" customHeight="1" x14ac:dyDescent="0.3">
      <c r="D170" s="1344"/>
      <c r="F170" s="1344"/>
      <c r="I170" s="1344"/>
    </row>
    <row r="171" spans="4:9" ht="15.75" customHeight="1" x14ac:dyDescent="0.3">
      <c r="D171" s="1344"/>
      <c r="F171" s="1344"/>
      <c r="I171" s="1344"/>
    </row>
    <row r="172" spans="4:9" ht="15.75" customHeight="1" x14ac:dyDescent="0.3">
      <c r="D172" s="1344"/>
      <c r="F172" s="1344"/>
      <c r="I172" s="1344"/>
    </row>
    <row r="173" spans="4:9" ht="15.75" customHeight="1" x14ac:dyDescent="0.3">
      <c r="D173" s="1344"/>
      <c r="F173" s="1344"/>
      <c r="I173" s="1344"/>
    </row>
    <row r="174" spans="4:9" ht="15.75" customHeight="1" x14ac:dyDescent="0.3">
      <c r="D174" s="1344"/>
      <c r="F174" s="1344"/>
      <c r="I174" s="1344"/>
    </row>
    <row r="175" spans="4:9" ht="15.75" customHeight="1" x14ac:dyDescent="0.3">
      <c r="D175" s="1344"/>
      <c r="F175" s="1344"/>
      <c r="I175" s="1344"/>
    </row>
    <row r="176" spans="4:9" ht="15.75" customHeight="1" x14ac:dyDescent="0.3">
      <c r="D176" s="1344"/>
      <c r="F176" s="1344"/>
      <c r="I176" s="1344"/>
    </row>
    <row r="177" spans="4:9" ht="15.75" customHeight="1" x14ac:dyDescent="0.3">
      <c r="D177" s="1344"/>
      <c r="F177" s="1344"/>
      <c r="I177" s="1344"/>
    </row>
    <row r="178" spans="4:9" ht="15.75" customHeight="1" x14ac:dyDescent="0.3">
      <c r="D178" s="1344"/>
      <c r="F178" s="1344"/>
      <c r="I178" s="1344"/>
    </row>
    <row r="179" spans="4:9" ht="15.75" customHeight="1" x14ac:dyDescent="0.3">
      <c r="D179" s="1344"/>
      <c r="F179" s="1344"/>
      <c r="I179" s="1344"/>
    </row>
    <row r="180" spans="4:9" ht="15.75" customHeight="1" x14ac:dyDescent="0.3">
      <c r="D180" s="1344"/>
      <c r="F180" s="1344"/>
      <c r="I180" s="1344"/>
    </row>
    <row r="181" spans="4:9" ht="15.75" customHeight="1" x14ac:dyDescent="0.3">
      <c r="D181" s="1344"/>
      <c r="F181" s="1344"/>
      <c r="I181" s="1344"/>
    </row>
    <row r="182" spans="4:9" ht="15.75" customHeight="1" x14ac:dyDescent="0.3">
      <c r="D182" s="1344"/>
      <c r="F182" s="1344"/>
      <c r="I182" s="1344"/>
    </row>
    <row r="183" spans="4:9" ht="15.75" customHeight="1" x14ac:dyDescent="0.3">
      <c r="D183" s="1344"/>
      <c r="F183" s="1344"/>
      <c r="I183" s="1344"/>
    </row>
    <row r="184" spans="4:9" ht="15.75" customHeight="1" x14ac:dyDescent="0.3">
      <c r="D184" s="1344"/>
      <c r="F184" s="1344"/>
      <c r="I184" s="1344"/>
    </row>
    <row r="185" spans="4:9" ht="15.75" customHeight="1" x14ac:dyDescent="0.3">
      <c r="D185" s="1344"/>
      <c r="F185" s="1344"/>
      <c r="I185" s="1344"/>
    </row>
    <row r="186" spans="4:9" ht="15.75" customHeight="1" x14ac:dyDescent="0.3">
      <c r="D186" s="1344"/>
      <c r="F186" s="1344"/>
      <c r="I186" s="1344"/>
    </row>
    <row r="187" spans="4:9" ht="15.75" customHeight="1" x14ac:dyDescent="0.3">
      <c r="D187" s="1344"/>
      <c r="F187" s="1344"/>
      <c r="I187" s="1344"/>
    </row>
    <row r="188" spans="4:9" ht="15.75" customHeight="1" x14ac:dyDescent="0.3">
      <c r="D188" s="1344"/>
      <c r="F188" s="1344"/>
      <c r="I188" s="1344"/>
    </row>
    <row r="189" spans="4:9" ht="15.75" customHeight="1" x14ac:dyDescent="0.3">
      <c r="D189" s="1344"/>
      <c r="F189" s="1344"/>
      <c r="I189" s="1344"/>
    </row>
    <row r="190" spans="4:9" ht="15.75" customHeight="1" x14ac:dyDescent="0.3">
      <c r="D190" s="1344"/>
      <c r="F190" s="1344"/>
      <c r="I190" s="1344"/>
    </row>
    <row r="191" spans="4:9" ht="15.75" customHeight="1" x14ac:dyDescent="0.3">
      <c r="D191" s="1344"/>
      <c r="F191" s="1344"/>
      <c r="I191" s="1344"/>
    </row>
    <row r="192" spans="4:9" ht="15.75" customHeight="1" x14ac:dyDescent="0.3">
      <c r="D192" s="1344"/>
      <c r="F192" s="1344"/>
      <c r="I192" s="1344"/>
    </row>
    <row r="193" spans="4:9" ht="15.75" customHeight="1" x14ac:dyDescent="0.3">
      <c r="D193" s="1344"/>
      <c r="F193" s="1344"/>
      <c r="I193" s="1344"/>
    </row>
    <row r="194" spans="4:9" ht="15.75" customHeight="1" x14ac:dyDescent="0.3">
      <c r="D194" s="1344"/>
      <c r="F194" s="1344"/>
      <c r="I194" s="1344"/>
    </row>
    <row r="195" spans="4:9" ht="15.75" customHeight="1" x14ac:dyDescent="0.3">
      <c r="D195" s="1344"/>
      <c r="F195" s="1344"/>
      <c r="I195" s="1344"/>
    </row>
    <row r="196" spans="4:9" ht="15.75" customHeight="1" x14ac:dyDescent="0.3">
      <c r="D196" s="1344"/>
      <c r="F196" s="1344"/>
      <c r="I196" s="1344"/>
    </row>
    <row r="197" spans="4:9" ht="15.75" customHeight="1" x14ac:dyDescent="0.3">
      <c r="D197" s="1344"/>
      <c r="F197" s="1344"/>
      <c r="I197" s="1344"/>
    </row>
    <row r="198" spans="4:9" ht="15.75" customHeight="1" x14ac:dyDescent="0.3">
      <c r="D198" s="1344"/>
      <c r="F198" s="1344"/>
      <c r="I198" s="1344"/>
    </row>
    <row r="199" spans="4:9" ht="15.75" customHeight="1" x14ac:dyDescent="0.3">
      <c r="D199" s="1344"/>
      <c r="F199" s="1344"/>
      <c r="I199" s="1344"/>
    </row>
    <row r="200" spans="4:9" ht="15.75" customHeight="1" x14ac:dyDescent="0.3">
      <c r="D200" s="1344"/>
      <c r="F200" s="1344"/>
      <c r="I200" s="1344"/>
    </row>
    <row r="201" spans="4:9" ht="15.75" customHeight="1" x14ac:dyDescent="0.3">
      <c r="D201" s="1344"/>
      <c r="F201" s="1344"/>
      <c r="I201" s="1344"/>
    </row>
    <row r="202" spans="4:9" ht="15.75" customHeight="1" x14ac:dyDescent="0.3">
      <c r="D202" s="1344"/>
      <c r="F202" s="1344"/>
      <c r="I202" s="1344"/>
    </row>
    <row r="203" spans="4:9" ht="15.75" customHeight="1" x14ac:dyDescent="0.3">
      <c r="D203" s="1344"/>
      <c r="F203" s="1344"/>
      <c r="I203" s="1344"/>
    </row>
    <row r="204" spans="4:9" ht="15.75" customHeight="1" x14ac:dyDescent="0.3">
      <c r="D204" s="1344"/>
      <c r="F204" s="1344"/>
      <c r="I204" s="1344"/>
    </row>
    <row r="205" spans="4:9" ht="15.75" customHeight="1" x14ac:dyDescent="0.3">
      <c r="D205" s="1344"/>
      <c r="F205" s="1344"/>
      <c r="I205" s="1344"/>
    </row>
    <row r="206" spans="4:9" ht="15.75" customHeight="1" x14ac:dyDescent="0.3">
      <c r="D206" s="1344"/>
      <c r="F206" s="1344"/>
      <c r="I206" s="1344"/>
    </row>
    <row r="207" spans="4:9" ht="15.75" customHeight="1" x14ac:dyDescent="0.3">
      <c r="D207" s="1344"/>
      <c r="F207" s="1344"/>
      <c r="I207" s="1344"/>
    </row>
    <row r="208" spans="4:9" ht="15.75" customHeight="1" x14ac:dyDescent="0.3">
      <c r="D208" s="1344"/>
      <c r="F208" s="1344"/>
      <c r="I208" s="1344"/>
    </row>
    <row r="209" spans="4:9" ht="15.75" customHeight="1" x14ac:dyDescent="0.3">
      <c r="D209" s="1344"/>
      <c r="F209" s="1344"/>
      <c r="I209" s="1344"/>
    </row>
    <row r="210" spans="4:9" ht="15.75" customHeight="1" x14ac:dyDescent="0.3">
      <c r="D210" s="1344"/>
      <c r="F210" s="1344"/>
      <c r="I210" s="1344"/>
    </row>
    <row r="211" spans="4:9" ht="15.75" customHeight="1" x14ac:dyDescent="0.3">
      <c r="D211" s="1344"/>
      <c r="F211" s="1344"/>
      <c r="I211" s="1344"/>
    </row>
    <row r="212" spans="4:9" ht="15.75" customHeight="1" x14ac:dyDescent="0.3">
      <c r="D212" s="1344"/>
      <c r="F212" s="1344"/>
      <c r="I212" s="1344"/>
    </row>
    <row r="213" spans="4:9" ht="15.75" customHeight="1" x14ac:dyDescent="0.3">
      <c r="D213" s="1344"/>
      <c r="F213" s="1344"/>
      <c r="I213" s="1344"/>
    </row>
    <row r="214" spans="4:9" ht="15.75" customHeight="1" x14ac:dyDescent="0.3">
      <c r="D214" s="1344"/>
      <c r="F214" s="1344"/>
      <c r="I214" s="1344"/>
    </row>
    <row r="215" spans="4:9" ht="15.75" customHeight="1" x14ac:dyDescent="0.3">
      <c r="D215" s="1344"/>
      <c r="F215" s="1344"/>
      <c r="I215" s="1344"/>
    </row>
    <row r="216" spans="4:9" ht="15.75" customHeight="1" x14ac:dyDescent="0.3">
      <c r="D216" s="1344"/>
      <c r="F216" s="1344"/>
      <c r="I216" s="1344"/>
    </row>
    <row r="217" spans="4:9" ht="15.75" customHeight="1" x14ac:dyDescent="0.3">
      <c r="D217" s="1344"/>
      <c r="F217" s="1344"/>
      <c r="I217" s="1344"/>
    </row>
    <row r="218" spans="4:9" ht="15.75" customHeight="1" x14ac:dyDescent="0.3">
      <c r="D218" s="1344"/>
      <c r="F218" s="1344"/>
      <c r="I218" s="1344"/>
    </row>
    <row r="219" spans="4:9" ht="15.75" customHeight="1" x14ac:dyDescent="0.3">
      <c r="D219" s="1344"/>
      <c r="F219" s="1344"/>
      <c r="I219" s="1344"/>
    </row>
    <row r="220" spans="4:9" ht="15.75" customHeight="1" x14ac:dyDescent="0.3">
      <c r="D220" s="1344"/>
      <c r="F220" s="1344"/>
      <c r="I220" s="1344"/>
    </row>
    <row r="221" spans="4:9" ht="15.75" customHeight="1" x14ac:dyDescent="0.3">
      <c r="D221" s="1344"/>
      <c r="F221" s="1344"/>
      <c r="I221" s="1344"/>
    </row>
    <row r="222" spans="4:9" ht="15.75" customHeight="1" x14ac:dyDescent="0.3">
      <c r="D222" s="1344"/>
      <c r="F222" s="1344"/>
      <c r="I222" s="1344"/>
    </row>
    <row r="223" spans="4:9" ht="15.75" customHeight="1" x14ac:dyDescent="0.3">
      <c r="D223" s="1344"/>
      <c r="F223" s="1344"/>
      <c r="I223" s="1344"/>
    </row>
    <row r="224" spans="4:9" ht="15.75" customHeight="1" x14ac:dyDescent="0.3">
      <c r="D224" s="1344"/>
      <c r="F224" s="1344"/>
      <c r="I224" s="1344"/>
    </row>
    <row r="225" spans="4:9" ht="15.75" customHeight="1" x14ac:dyDescent="0.3">
      <c r="D225" s="1344"/>
      <c r="F225" s="1344"/>
      <c r="I225" s="1344"/>
    </row>
    <row r="226" spans="4:9" ht="15.75" customHeight="1" x14ac:dyDescent="0.3">
      <c r="D226" s="1344"/>
      <c r="F226" s="1344"/>
      <c r="I226" s="1344"/>
    </row>
    <row r="227" spans="4:9" ht="15.75" customHeight="1" x14ac:dyDescent="0.3">
      <c r="D227" s="1344"/>
      <c r="F227" s="1344"/>
      <c r="I227" s="1344"/>
    </row>
    <row r="228" spans="4:9" ht="15.75" customHeight="1" x14ac:dyDescent="0.3">
      <c r="D228" s="1344"/>
      <c r="F228" s="1344"/>
      <c r="I228" s="1344"/>
    </row>
    <row r="229" spans="4:9" ht="15.75" customHeight="1" x14ac:dyDescent="0.3">
      <c r="D229" s="1344"/>
      <c r="F229" s="1344"/>
      <c r="I229" s="1344"/>
    </row>
    <row r="230" spans="4:9" ht="15.75" customHeight="1" x14ac:dyDescent="0.3">
      <c r="D230" s="1344"/>
      <c r="F230" s="1344"/>
      <c r="I230" s="1344"/>
    </row>
    <row r="231" spans="4:9" ht="15.75" customHeight="1" x14ac:dyDescent="0.3">
      <c r="D231" s="1344"/>
      <c r="F231" s="1344"/>
      <c r="I231" s="1344"/>
    </row>
    <row r="232" spans="4:9" ht="15.75" customHeight="1" x14ac:dyDescent="0.3">
      <c r="D232" s="1344"/>
      <c r="F232" s="1344"/>
      <c r="I232" s="1344"/>
    </row>
    <row r="233" spans="4:9" ht="15.75" customHeight="1" x14ac:dyDescent="0.3">
      <c r="D233" s="1344"/>
      <c r="F233" s="1344"/>
      <c r="I233" s="1344"/>
    </row>
    <row r="234" spans="4:9" ht="15.75" customHeight="1" x14ac:dyDescent="0.3">
      <c r="D234" s="1344"/>
      <c r="F234" s="1344"/>
      <c r="I234" s="1344"/>
    </row>
    <row r="235" spans="4:9" ht="15.75" customHeight="1" x14ac:dyDescent="0.3">
      <c r="D235" s="1344"/>
      <c r="F235" s="1344"/>
      <c r="I235" s="1344"/>
    </row>
    <row r="236" spans="4:9" ht="15.75" customHeight="1" x14ac:dyDescent="0.3">
      <c r="D236" s="1344"/>
      <c r="F236" s="1344"/>
      <c r="I236" s="1344"/>
    </row>
    <row r="237" spans="4:9" ht="15.75" customHeight="1" x14ac:dyDescent="0.3">
      <c r="D237" s="1344"/>
      <c r="F237" s="1344"/>
      <c r="I237" s="1344"/>
    </row>
    <row r="238" spans="4:9" ht="15.75" customHeight="1" x14ac:dyDescent="0.3">
      <c r="D238" s="1344"/>
      <c r="F238" s="1344"/>
      <c r="I238" s="1344"/>
    </row>
    <row r="239" spans="4:9" ht="15.75" customHeight="1" x14ac:dyDescent="0.3">
      <c r="D239" s="1344"/>
      <c r="F239" s="1344"/>
      <c r="I239" s="1344"/>
    </row>
    <row r="240" spans="4:9" ht="15.75" customHeight="1" x14ac:dyDescent="0.3">
      <c r="D240" s="1344"/>
      <c r="F240" s="1344"/>
      <c r="I240" s="1344"/>
    </row>
    <row r="241" spans="6:6" ht="15.75" customHeight="1" x14ac:dyDescent="0.3">
      <c r="F241" s="2635"/>
    </row>
    <row r="242" spans="6:6" ht="15.75" customHeight="1" x14ac:dyDescent="0.3">
      <c r="F242" s="2635"/>
    </row>
    <row r="243" spans="6:6" ht="15.75" customHeight="1" x14ac:dyDescent="0.3">
      <c r="F243" s="2635"/>
    </row>
    <row r="244" spans="6:6" ht="15.75" customHeight="1" x14ac:dyDescent="0.3">
      <c r="F244" s="2635"/>
    </row>
    <row r="245" spans="6:6" ht="15.75" customHeight="1" x14ac:dyDescent="0.3">
      <c r="F245" s="2635"/>
    </row>
    <row r="246" spans="6:6" ht="15.75" customHeight="1" x14ac:dyDescent="0.3">
      <c r="F246" s="2635"/>
    </row>
    <row r="247" spans="6:6" ht="15.75" customHeight="1" x14ac:dyDescent="0.3">
      <c r="F247" s="2635"/>
    </row>
    <row r="248" spans="6:6" ht="15.75" customHeight="1" x14ac:dyDescent="0.3">
      <c r="F248" s="2635"/>
    </row>
    <row r="249" spans="6:6" ht="15.75" customHeight="1" x14ac:dyDescent="0.3">
      <c r="F249" s="2635"/>
    </row>
    <row r="250" spans="6:6" ht="15.75" customHeight="1" x14ac:dyDescent="0.3">
      <c r="F250" s="2635"/>
    </row>
    <row r="251" spans="6:6" ht="15.75" customHeight="1" x14ac:dyDescent="0.3">
      <c r="F251" s="2635"/>
    </row>
    <row r="252" spans="6:6" ht="15.75" customHeight="1" x14ac:dyDescent="0.3">
      <c r="F252" s="2635"/>
    </row>
    <row r="253" spans="6:6" ht="15.75" customHeight="1" x14ac:dyDescent="0.3">
      <c r="F253" s="2635"/>
    </row>
    <row r="254" spans="6:6" ht="15.75" customHeight="1" x14ac:dyDescent="0.3">
      <c r="F254" s="2635"/>
    </row>
    <row r="255" spans="6:6" ht="15.75" customHeight="1" x14ac:dyDescent="0.3">
      <c r="F255" s="2635"/>
    </row>
    <row r="256" spans="6:6" ht="15.75" customHeight="1" x14ac:dyDescent="0.3">
      <c r="F256" s="2635"/>
    </row>
    <row r="257" spans="6:6" ht="15.75" customHeight="1" x14ac:dyDescent="0.3">
      <c r="F257" s="2635"/>
    </row>
    <row r="258" spans="6:6" ht="15.75" customHeight="1" x14ac:dyDescent="0.3">
      <c r="F258" s="2635"/>
    </row>
    <row r="259" spans="6:6" ht="15.75" customHeight="1" x14ac:dyDescent="0.3">
      <c r="F259" s="2635"/>
    </row>
    <row r="260" spans="6:6" ht="15.75" customHeight="1" x14ac:dyDescent="0.3">
      <c r="F260" s="2635"/>
    </row>
    <row r="261" spans="6:6" ht="15.75" customHeight="1" x14ac:dyDescent="0.3">
      <c r="F261" s="2635"/>
    </row>
    <row r="262" spans="6:6" ht="15.75" customHeight="1" x14ac:dyDescent="0.3">
      <c r="F262" s="2635"/>
    </row>
    <row r="263" spans="6:6" ht="15.75" customHeight="1" x14ac:dyDescent="0.3">
      <c r="F263" s="2635"/>
    </row>
    <row r="264" spans="6:6" ht="15.75" customHeight="1" x14ac:dyDescent="0.3">
      <c r="F264" s="2635"/>
    </row>
    <row r="265" spans="6:6" ht="15.75" customHeight="1" x14ac:dyDescent="0.3">
      <c r="F265" s="2635"/>
    </row>
    <row r="266" spans="6:6" ht="15.75" customHeight="1" x14ac:dyDescent="0.3">
      <c r="F266" s="2635"/>
    </row>
    <row r="267" spans="6:6" ht="15.75" customHeight="1" x14ac:dyDescent="0.3">
      <c r="F267" s="2635"/>
    </row>
    <row r="268" spans="6:6" ht="15.75" customHeight="1" x14ac:dyDescent="0.3">
      <c r="F268" s="2635"/>
    </row>
    <row r="269" spans="6:6" ht="15.75" customHeight="1" x14ac:dyDescent="0.3">
      <c r="F269" s="2635"/>
    </row>
    <row r="270" spans="6:6" ht="15.75" customHeight="1" x14ac:dyDescent="0.3">
      <c r="F270" s="2635"/>
    </row>
    <row r="271" spans="6:6" ht="15.75" customHeight="1" x14ac:dyDescent="0.3">
      <c r="F271" s="2635"/>
    </row>
    <row r="272" spans="6:6" ht="15.75" customHeight="1" x14ac:dyDescent="0.3">
      <c r="F272" s="2635"/>
    </row>
    <row r="273" spans="6:6" ht="15.75" customHeight="1" x14ac:dyDescent="0.3">
      <c r="F273" s="2635"/>
    </row>
    <row r="274" spans="6:6" ht="15.75" customHeight="1" x14ac:dyDescent="0.3">
      <c r="F274" s="2635"/>
    </row>
    <row r="275" spans="6:6" ht="15.75" customHeight="1" x14ac:dyDescent="0.3">
      <c r="F275" s="2635"/>
    </row>
    <row r="276" spans="6:6" ht="15.75" customHeight="1" x14ac:dyDescent="0.3">
      <c r="F276" s="2635"/>
    </row>
    <row r="277" spans="6:6" ht="15.75" customHeight="1" x14ac:dyDescent="0.3">
      <c r="F277" s="2635"/>
    </row>
    <row r="278" spans="6:6" ht="15.75" customHeight="1" x14ac:dyDescent="0.3">
      <c r="F278" s="2635"/>
    </row>
    <row r="279" spans="6:6" ht="15.75" customHeight="1" x14ac:dyDescent="0.3">
      <c r="F279" s="2635"/>
    </row>
    <row r="280" spans="6:6" ht="15.75" customHeight="1" x14ac:dyDescent="0.3">
      <c r="F280" s="2635"/>
    </row>
    <row r="281" spans="6:6" ht="15.75" customHeight="1" x14ac:dyDescent="0.3">
      <c r="F281" s="2635"/>
    </row>
    <row r="282" spans="6:6" ht="15.75" customHeight="1" x14ac:dyDescent="0.3">
      <c r="F282" s="2635"/>
    </row>
    <row r="283" spans="6:6" ht="15.75" customHeight="1" x14ac:dyDescent="0.3">
      <c r="F283" s="2635"/>
    </row>
    <row r="284" spans="6:6" ht="15.75" customHeight="1" x14ac:dyDescent="0.3">
      <c r="F284" s="2635"/>
    </row>
    <row r="285" spans="6:6" ht="15.75" customHeight="1" x14ac:dyDescent="0.3">
      <c r="F285" s="2635"/>
    </row>
    <row r="286" spans="6:6" ht="15.75" customHeight="1" x14ac:dyDescent="0.3">
      <c r="F286" s="2635"/>
    </row>
    <row r="287" spans="6:6" ht="15.75" customHeight="1" x14ac:dyDescent="0.3">
      <c r="F287" s="2635"/>
    </row>
    <row r="288" spans="6:6" ht="15.75" customHeight="1" x14ac:dyDescent="0.3">
      <c r="F288" s="2635"/>
    </row>
    <row r="289" spans="6:6" ht="15.75" customHeight="1" x14ac:dyDescent="0.3">
      <c r="F289" s="2635"/>
    </row>
    <row r="290" spans="6:6" ht="15.75" customHeight="1" x14ac:dyDescent="0.3">
      <c r="F290" s="2635"/>
    </row>
    <row r="291" spans="6:6" ht="15.75" customHeight="1" x14ac:dyDescent="0.3">
      <c r="F291" s="2635"/>
    </row>
    <row r="292" spans="6:6" ht="15.75" customHeight="1" x14ac:dyDescent="0.3">
      <c r="F292" s="2635"/>
    </row>
    <row r="293" spans="6:6" ht="15.75" customHeight="1" x14ac:dyDescent="0.3">
      <c r="F293" s="2635"/>
    </row>
    <row r="294" spans="6:6" ht="15.75" customHeight="1" x14ac:dyDescent="0.3">
      <c r="F294" s="2635"/>
    </row>
    <row r="295" spans="6:6" ht="15.75" customHeight="1" x14ac:dyDescent="0.3">
      <c r="F295" s="2635"/>
    </row>
    <row r="296" spans="6:6" ht="15.75" customHeight="1" x14ac:dyDescent="0.3">
      <c r="F296" s="2635"/>
    </row>
    <row r="297" spans="6:6" ht="15.75" customHeight="1" x14ac:dyDescent="0.3">
      <c r="F297" s="2635"/>
    </row>
    <row r="298" spans="6:6" ht="15.75" customHeight="1" x14ac:dyDescent="0.3">
      <c r="F298" s="2635"/>
    </row>
    <row r="299" spans="6:6" ht="15.75" customHeight="1" x14ac:dyDescent="0.3">
      <c r="F299" s="2635"/>
    </row>
    <row r="300" spans="6:6" ht="15.75" customHeight="1" x14ac:dyDescent="0.3">
      <c r="F300" s="2635"/>
    </row>
    <row r="301" spans="6:6" ht="15.75" customHeight="1" x14ac:dyDescent="0.3">
      <c r="F301" s="2635"/>
    </row>
    <row r="302" spans="6:6" ht="15.75" customHeight="1" x14ac:dyDescent="0.3">
      <c r="F302" s="2635"/>
    </row>
    <row r="303" spans="6:6" ht="15.75" customHeight="1" x14ac:dyDescent="0.3">
      <c r="F303" s="2635"/>
    </row>
    <row r="304" spans="6:6" ht="15.75" customHeight="1" x14ac:dyDescent="0.3">
      <c r="F304" s="2635"/>
    </row>
    <row r="305" spans="6:6" ht="15.75" customHeight="1" x14ac:dyDescent="0.3">
      <c r="F305" s="2635"/>
    </row>
    <row r="306" spans="6:6" ht="15.75" customHeight="1" x14ac:dyDescent="0.3">
      <c r="F306" s="2635"/>
    </row>
    <row r="307" spans="6:6" ht="15.75" customHeight="1" x14ac:dyDescent="0.3">
      <c r="F307" s="2635"/>
    </row>
    <row r="308" spans="6:6" ht="15.75" customHeight="1" x14ac:dyDescent="0.3">
      <c r="F308" s="2635"/>
    </row>
    <row r="309" spans="6:6" ht="15.75" customHeight="1" x14ac:dyDescent="0.3">
      <c r="F309" s="2635"/>
    </row>
    <row r="310" spans="6:6" ht="15.75" customHeight="1" x14ac:dyDescent="0.3">
      <c r="F310" s="2635"/>
    </row>
    <row r="311" spans="6:6" ht="15.75" customHeight="1" x14ac:dyDescent="0.3">
      <c r="F311" s="2635"/>
    </row>
    <row r="312" spans="6:6" ht="15.75" customHeight="1" x14ac:dyDescent="0.3">
      <c r="F312" s="2635"/>
    </row>
    <row r="313" spans="6:6" ht="15.75" customHeight="1" x14ac:dyDescent="0.3">
      <c r="F313" s="2635"/>
    </row>
    <row r="314" spans="6:6" ht="15.75" customHeight="1" x14ac:dyDescent="0.3">
      <c r="F314" s="2635"/>
    </row>
    <row r="315" spans="6:6" ht="15.75" customHeight="1" x14ac:dyDescent="0.3">
      <c r="F315" s="2635"/>
    </row>
    <row r="316" spans="6:6" ht="15.75" customHeight="1" x14ac:dyDescent="0.3">
      <c r="F316" s="2635"/>
    </row>
    <row r="317" spans="6:6" ht="15.75" customHeight="1" x14ac:dyDescent="0.3">
      <c r="F317" s="2635"/>
    </row>
    <row r="318" spans="6:6" ht="15.75" customHeight="1" x14ac:dyDescent="0.3">
      <c r="F318" s="2635"/>
    </row>
    <row r="319" spans="6:6" ht="15.75" customHeight="1" x14ac:dyDescent="0.3">
      <c r="F319" s="2635"/>
    </row>
    <row r="320" spans="6:6" ht="15.75" customHeight="1" x14ac:dyDescent="0.3">
      <c r="F320" s="2635"/>
    </row>
    <row r="321" spans="6:6" ht="15.75" customHeight="1" x14ac:dyDescent="0.3">
      <c r="F321" s="2635"/>
    </row>
    <row r="322" spans="6:6" ht="15.75" customHeight="1" x14ac:dyDescent="0.3">
      <c r="F322" s="2635"/>
    </row>
    <row r="323" spans="6:6" ht="15.75" customHeight="1" x14ac:dyDescent="0.3">
      <c r="F323" s="2635"/>
    </row>
    <row r="324" spans="6:6" ht="15.75" customHeight="1" x14ac:dyDescent="0.3">
      <c r="F324" s="2635"/>
    </row>
    <row r="325" spans="6:6" ht="15.75" customHeight="1" x14ac:dyDescent="0.3">
      <c r="F325" s="2635"/>
    </row>
    <row r="326" spans="6:6" ht="15.75" customHeight="1" x14ac:dyDescent="0.3">
      <c r="F326" s="2635"/>
    </row>
    <row r="327" spans="6:6" ht="15.75" customHeight="1" x14ac:dyDescent="0.3">
      <c r="F327" s="2635"/>
    </row>
    <row r="328" spans="6:6" ht="15.75" customHeight="1" x14ac:dyDescent="0.3">
      <c r="F328" s="2635"/>
    </row>
    <row r="329" spans="6:6" ht="15.75" customHeight="1" x14ac:dyDescent="0.3">
      <c r="F329" s="2635"/>
    </row>
    <row r="330" spans="6:6" ht="15.75" customHeight="1" x14ac:dyDescent="0.3">
      <c r="F330" s="2635"/>
    </row>
    <row r="331" spans="6:6" ht="15.75" customHeight="1" x14ac:dyDescent="0.3">
      <c r="F331" s="2635"/>
    </row>
    <row r="332" spans="6:6" ht="15.75" customHeight="1" x14ac:dyDescent="0.3">
      <c r="F332" s="2635"/>
    </row>
    <row r="333" spans="6:6" ht="15.75" customHeight="1" x14ac:dyDescent="0.3">
      <c r="F333" s="2635"/>
    </row>
    <row r="334" spans="6:6" ht="15.75" customHeight="1" x14ac:dyDescent="0.3">
      <c r="F334" s="2635"/>
    </row>
    <row r="335" spans="6:6" ht="15.75" customHeight="1" x14ac:dyDescent="0.3">
      <c r="F335" s="2635"/>
    </row>
    <row r="336" spans="6:6" ht="15.75" customHeight="1" x14ac:dyDescent="0.3">
      <c r="F336" s="2635"/>
    </row>
    <row r="337" spans="6:6" ht="15.75" customHeight="1" x14ac:dyDescent="0.3">
      <c r="F337" s="2635"/>
    </row>
    <row r="338" spans="6:6" ht="15.75" customHeight="1" x14ac:dyDescent="0.3">
      <c r="F338" s="2635"/>
    </row>
    <row r="339" spans="6:6" ht="15.75" customHeight="1" x14ac:dyDescent="0.3">
      <c r="F339" s="2635"/>
    </row>
    <row r="340" spans="6:6" ht="15.75" customHeight="1" x14ac:dyDescent="0.3">
      <c r="F340" s="2635"/>
    </row>
    <row r="341" spans="6:6" ht="15.75" customHeight="1" x14ac:dyDescent="0.3">
      <c r="F341" s="2635"/>
    </row>
    <row r="342" spans="6:6" ht="15.75" customHeight="1" x14ac:dyDescent="0.3">
      <c r="F342" s="2635"/>
    </row>
    <row r="343" spans="6:6" ht="15.75" customHeight="1" x14ac:dyDescent="0.3">
      <c r="F343" s="2635"/>
    </row>
    <row r="344" spans="6:6" ht="15.75" customHeight="1" x14ac:dyDescent="0.3">
      <c r="F344" s="2635"/>
    </row>
    <row r="345" spans="6:6" ht="15.75" customHeight="1" x14ac:dyDescent="0.3">
      <c r="F345" s="2635"/>
    </row>
    <row r="346" spans="6:6" ht="15.75" customHeight="1" x14ac:dyDescent="0.3">
      <c r="F346" s="2635"/>
    </row>
    <row r="347" spans="6:6" ht="15.75" customHeight="1" x14ac:dyDescent="0.3">
      <c r="F347" s="2635"/>
    </row>
    <row r="348" spans="6:6" ht="15.75" customHeight="1" x14ac:dyDescent="0.3">
      <c r="F348" s="2635"/>
    </row>
    <row r="349" spans="6:6" ht="15.75" customHeight="1" x14ac:dyDescent="0.3">
      <c r="F349" s="2635"/>
    </row>
    <row r="350" spans="6:6" ht="15.75" customHeight="1" x14ac:dyDescent="0.3">
      <c r="F350" s="2635"/>
    </row>
    <row r="351" spans="6:6" ht="15.75" customHeight="1" x14ac:dyDescent="0.3">
      <c r="F351" s="2635"/>
    </row>
    <row r="352" spans="6:6" ht="15.75" customHeight="1" x14ac:dyDescent="0.3">
      <c r="F352" s="2635"/>
    </row>
    <row r="353" spans="6:6" ht="15.75" customHeight="1" x14ac:dyDescent="0.3">
      <c r="F353" s="2635"/>
    </row>
    <row r="354" spans="6:6" ht="15.75" customHeight="1" x14ac:dyDescent="0.3">
      <c r="F354" s="2635"/>
    </row>
    <row r="355" spans="6:6" ht="15.75" customHeight="1" x14ac:dyDescent="0.3">
      <c r="F355" s="2635"/>
    </row>
    <row r="356" spans="6:6" ht="15.75" customHeight="1" x14ac:dyDescent="0.3">
      <c r="F356" s="2635"/>
    </row>
    <row r="357" spans="6:6" ht="15.75" customHeight="1" x14ac:dyDescent="0.3">
      <c r="F357" s="2635"/>
    </row>
    <row r="358" spans="6:6" ht="15.75" customHeight="1" x14ac:dyDescent="0.3">
      <c r="F358" s="2635"/>
    </row>
    <row r="359" spans="6:6" ht="15.75" customHeight="1" x14ac:dyDescent="0.3">
      <c r="F359" s="2635"/>
    </row>
    <row r="360" spans="6:6" ht="15.75" customHeight="1" x14ac:dyDescent="0.3">
      <c r="F360" s="2635"/>
    </row>
    <row r="361" spans="6:6" ht="15.75" customHeight="1" x14ac:dyDescent="0.3">
      <c r="F361" s="2635"/>
    </row>
    <row r="362" spans="6:6" ht="15.75" customHeight="1" x14ac:dyDescent="0.3">
      <c r="F362" s="2635"/>
    </row>
    <row r="363" spans="6:6" ht="15.75" customHeight="1" x14ac:dyDescent="0.3">
      <c r="F363" s="2635"/>
    </row>
    <row r="364" spans="6:6" ht="15.75" customHeight="1" x14ac:dyDescent="0.3">
      <c r="F364" s="2635"/>
    </row>
    <row r="365" spans="6:6" ht="15.75" customHeight="1" x14ac:dyDescent="0.3">
      <c r="F365" s="2635"/>
    </row>
    <row r="366" spans="6:6" ht="15.75" customHeight="1" x14ac:dyDescent="0.3">
      <c r="F366" s="2635"/>
    </row>
    <row r="367" spans="6:6" ht="15.75" customHeight="1" x14ac:dyDescent="0.3">
      <c r="F367" s="2635"/>
    </row>
    <row r="368" spans="6:6" ht="15.75" customHeight="1" x14ac:dyDescent="0.3">
      <c r="F368" s="2635"/>
    </row>
    <row r="369" spans="6:6" ht="15.75" customHeight="1" x14ac:dyDescent="0.3">
      <c r="F369" s="2635"/>
    </row>
    <row r="370" spans="6:6" ht="15.75" customHeight="1" x14ac:dyDescent="0.3">
      <c r="F370" s="2635"/>
    </row>
    <row r="371" spans="6:6" ht="15.75" customHeight="1" x14ac:dyDescent="0.3">
      <c r="F371" s="2635"/>
    </row>
    <row r="372" spans="6:6" ht="15.75" customHeight="1" x14ac:dyDescent="0.3">
      <c r="F372" s="2635"/>
    </row>
    <row r="373" spans="6:6" ht="15.75" customHeight="1" x14ac:dyDescent="0.3">
      <c r="F373" s="2635"/>
    </row>
    <row r="374" spans="6:6" ht="15.75" customHeight="1" x14ac:dyDescent="0.3">
      <c r="F374" s="2635"/>
    </row>
    <row r="375" spans="6:6" ht="15.75" customHeight="1" x14ac:dyDescent="0.3">
      <c r="F375" s="2635"/>
    </row>
    <row r="376" spans="6:6" ht="15.75" customHeight="1" x14ac:dyDescent="0.3">
      <c r="F376" s="2635"/>
    </row>
    <row r="377" spans="6:6" ht="15.75" customHeight="1" x14ac:dyDescent="0.3">
      <c r="F377" s="2635"/>
    </row>
    <row r="378" spans="6:6" ht="15.75" customHeight="1" x14ac:dyDescent="0.3">
      <c r="F378" s="2635"/>
    </row>
    <row r="379" spans="6:6" ht="15.75" customHeight="1" x14ac:dyDescent="0.3">
      <c r="F379" s="2635"/>
    </row>
    <row r="380" spans="6:6" ht="15.75" customHeight="1" x14ac:dyDescent="0.3">
      <c r="F380" s="2635"/>
    </row>
    <row r="381" spans="6:6" ht="15.75" customHeight="1" x14ac:dyDescent="0.3">
      <c r="F381" s="2635"/>
    </row>
    <row r="382" spans="6:6" ht="15.75" customHeight="1" x14ac:dyDescent="0.3">
      <c r="F382" s="2635"/>
    </row>
    <row r="383" spans="6:6" ht="15.75" customHeight="1" x14ac:dyDescent="0.3">
      <c r="F383" s="2635"/>
    </row>
    <row r="384" spans="6:6" ht="15.75" customHeight="1" x14ac:dyDescent="0.3">
      <c r="F384" s="2635"/>
    </row>
    <row r="385" spans="6:6" ht="15.75" customHeight="1" x14ac:dyDescent="0.3">
      <c r="F385" s="2635"/>
    </row>
    <row r="386" spans="6:6" ht="15.75" customHeight="1" x14ac:dyDescent="0.3">
      <c r="F386" s="2635"/>
    </row>
    <row r="387" spans="6:6" ht="15.75" customHeight="1" x14ac:dyDescent="0.3">
      <c r="F387" s="2635"/>
    </row>
    <row r="388" spans="6:6" ht="15.75" customHeight="1" x14ac:dyDescent="0.3">
      <c r="F388" s="2635"/>
    </row>
    <row r="389" spans="6:6" ht="15.75" customHeight="1" x14ac:dyDescent="0.3">
      <c r="F389" s="2635"/>
    </row>
    <row r="390" spans="6:6" ht="15.75" customHeight="1" x14ac:dyDescent="0.3">
      <c r="F390" s="2635"/>
    </row>
    <row r="391" spans="6:6" ht="15.75" customHeight="1" x14ac:dyDescent="0.3">
      <c r="F391" s="2635"/>
    </row>
    <row r="392" spans="6:6" ht="15.75" customHeight="1" x14ac:dyDescent="0.3">
      <c r="F392" s="2635"/>
    </row>
    <row r="393" spans="6:6" ht="15.75" customHeight="1" x14ac:dyDescent="0.3">
      <c r="F393" s="2635"/>
    </row>
    <row r="394" spans="6:6" ht="15.75" customHeight="1" x14ac:dyDescent="0.3">
      <c r="F394" s="2635"/>
    </row>
    <row r="395" spans="6:6" ht="15.75" customHeight="1" x14ac:dyDescent="0.3">
      <c r="F395" s="2635"/>
    </row>
    <row r="396" spans="6:6" ht="15.75" customHeight="1" x14ac:dyDescent="0.3">
      <c r="F396" s="2635"/>
    </row>
    <row r="397" spans="6:6" ht="15.75" customHeight="1" x14ac:dyDescent="0.3">
      <c r="F397" s="2635"/>
    </row>
    <row r="398" spans="6:6" ht="15.75" customHeight="1" x14ac:dyDescent="0.3">
      <c r="F398" s="2635"/>
    </row>
    <row r="399" spans="6:6" ht="15.75" customHeight="1" x14ac:dyDescent="0.3">
      <c r="F399" s="2635"/>
    </row>
    <row r="400" spans="6:6" ht="15.75" customHeight="1" x14ac:dyDescent="0.3">
      <c r="F400" s="2635"/>
    </row>
    <row r="401" spans="6:6" ht="15.75" customHeight="1" x14ac:dyDescent="0.3">
      <c r="F401" s="2635"/>
    </row>
    <row r="402" spans="6:6" ht="15.75" customHeight="1" x14ac:dyDescent="0.3">
      <c r="F402" s="2635"/>
    </row>
    <row r="403" spans="6:6" ht="15.75" customHeight="1" x14ac:dyDescent="0.3">
      <c r="F403" s="2635"/>
    </row>
    <row r="404" spans="6:6" ht="15.75" customHeight="1" x14ac:dyDescent="0.3">
      <c r="F404" s="2635"/>
    </row>
    <row r="405" spans="6:6" ht="15.75" customHeight="1" x14ac:dyDescent="0.3">
      <c r="F405" s="2635"/>
    </row>
    <row r="406" spans="6:6" ht="15.75" customHeight="1" x14ac:dyDescent="0.3">
      <c r="F406" s="2635"/>
    </row>
    <row r="407" spans="6:6" ht="15.75" customHeight="1" x14ac:dyDescent="0.3">
      <c r="F407" s="2635"/>
    </row>
    <row r="408" spans="6:6" ht="15.75" customHeight="1" x14ac:dyDescent="0.3">
      <c r="F408" s="2635"/>
    </row>
    <row r="409" spans="6:6" ht="15.75" customHeight="1" x14ac:dyDescent="0.3">
      <c r="F409" s="2635"/>
    </row>
    <row r="410" spans="6:6" ht="15.75" customHeight="1" x14ac:dyDescent="0.3">
      <c r="F410" s="2635"/>
    </row>
    <row r="411" spans="6:6" ht="15.75" customHeight="1" x14ac:dyDescent="0.3">
      <c r="F411" s="2635"/>
    </row>
    <row r="412" spans="6:6" ht="15.75" customHeight="1" x14ac:dyDescent="0.3">
      <c r="F412" s="2635"/>
    </row>
    <row r="413" spans="6:6" ht="15.75" customHeight="1" x14ac:dyDescent="0.3">
      <c r="F413" s="2635"/>
    </row>
    <row r="414" spans="6:6" ht="15.75" customHeight="1" x14ac:dyDescent="0.3">
      <c r="F414" s="2635"/>
    </row>
    <row r="415" spans="6:6" ht="15.75" customHeight="1" x14ac:dyDescent="0.3">
      <c r="F415" s="2635"/>
    </row>
    <row r="416" spans="6:6" ht="15.75" customHeight="1" x14ac:dyDescent="0.3">
      <c r="F416" s="2635"/>
    </row>
    <row r="417" spans="6:6" ht="15.75" customHeight="1" x14ac:dyDescent="0.3">
      <c r="F417" s="2635"/>
    </row>
    <row r="418" spans="6:6" ht="15.75" customHeight="1" x14ac:dyDescent="0.3">
      <c r="F418" s="2635"/>
    </row>
    <row r="419" spans="6:6" ht="15.75" customHeight="1" x14ac:dyDescent="0.3">
      <c r="F419" s="2635"/>
    </row>
    <row r="420" spans="6:6" ht="15.75" customHeight="1" x14ac:dyDescent="0.3">
      <c r="F420" s="2635"/>
    </row>
    <row r="421" spans="6:6" ht="15.75" customHeight="1" x14ac:dyDescent="0.3">
      <c r="F421" s="2635"/>
    </row>
    <row r="422" spans="6:6" ht="15.75" customHeight="1" x14ac:dyDescent="0.3">
      <c r="F422" s="2635"/>
    </row>
    <row r="423" spans="6:6" ht="15.75" customHeight="1" x14ac:dyDescent="0.3">
      <c r="F423" s="2635"/>
    </row>
    <row r="424" spans="6:6" ht="15.75" customHeight="1" x14ac:dyDescent="0.3">
      <c r="F424" s="2635"/>
    </row>
    <row r="425" spans="6:6" ht="15.75" customHeight="1" x14ac:dyDescent="0.3">
      <c r="F425" s="2635"/>
    </row>
    <row r="426" spans="6:6" ht="15.75" customHeight="1" x14ac:dyDescent="0.3">
      <c r="F426" s="2635"/>
    </row>
    <row r="427" spans="6:6" ht="15.75" customHeight="1" x14ac:dyDescent="0.3">
      <c r="F427" s="2635"/>
    </row>
    <row r="428" spans="6:6" ht="15.75" customHeight="1" x14ac:dyDescent="0.3">
      <c r="F428" s="2635"/>
    </row>
    <row r="429" spans="6:6" ht="15.75" customHeight="1" x14ac:dyDescent="0.3">
      <c r="F429" s="2635"/>
    </row>
    <row r="430" spans="6:6" ht="15.75" customHeight="1" x14ac:dyDescent="0.3">
      <c r="F430" s="2635"/>
    </row>
    <row r="431" spans="6:6" ht="15.75" customHeight="1" x14ac:dyDescent="0.3">
      <c r="F431" s="2635"/>
    </row>
    <row r="432" spans="6:6" ht="15.75" customHeight="1" x14ac:dyDescent="0.3">
      <c r="F432" s="2635"/>
    </row>
    <row r="433" spans="6:6" ht="15.75" customHeight="1" x14ac:dyDescent="0.3">
      <c r="F433" s="2635"/>
    </row>
    <row r="434" spans="6:6" ht="15.75" customHeight="1" x14ac:dyDescent="0.3">
      <c r="F434" s="2635"/>
    </row>
    <row r="435" spans="6:6" ht="15.75" customHeight="1" x14ac:dyDescent="0.3">
      <c r="F435" s="2635"/>
    </row>
    <row r="436" spans="6:6" ht="15.75" customHeight="1" x14ac:dyDescent="0.3">
      <c r="F436" s="2635"/>
    </row>
    <row r="437" spans="6:6" ht="15.75" customHeight="1" x14ac:dyDescent="0.3">
      <c r="F437" s="2635"/>
    </row>
    <row r="438" spans="6:6" ht="15.75" customHeight="1" x14ac:dyDescent="0.3">
      <c r="F438" s="2635"/>
    </row>
    <row r="439" spans="6:6" ht="15.75" customHeight="1" x14ac:dyDescent="0.3">
      <c r="F439" s="2635"/>
    </row>
    <row r="440" spans="6:6" ht="15.75" customHeight="1" x14ac:dyDescent="0.3">
      <c r="F440" s="2635"/>
    </row>
    <row r="441" spans="6:6" ht="15.75" customHeight="1" x14ac:dyDescent="0.3">
      <c r="F441" s="2635"/>
    </row>
    <row r="442" spans="6:6" ht="15.75" customHeight="1" x14ac:dyDescent="0.3">
      <c r="F442" s="2635"/>
    </row>
    <row r="443" spans="6:6" ht="15.75" customHeight="1" x14ac:dyDescent="0.3">
      <c r="F443" s="2635"/>
    </row>
    <row r="444" spans="6:6" ht="15.75" customHeight="1" x14ac:dyDescent="0.3">
      <c r="F444" s="2635"/>
    </row>
    <row r="445" spans="6:6" ht="15.75" customHeight="1" x14ac:dyDescent="0.3">
      <c r="F445" s="2635"/>
    </row>
    <row r="446" spans="6:6" ht="15.75" customHeight="1" x14ac:dyDescent="0.3">
      <c r="F446" s="2635"/>
    </row>
    <row r="447" spans="6:6" ht="15.75" customHeight="1" x14ac:dyDescent="0.3">
      <c r="F447" s="2635"/>
    </row>
    <row r="448" spans="6:6" ht="15.75" customHeight="1" x14ac:dyDescent="0.3">
      <c r="F448" s="2635"/>
    </row>
    <row r="449" spans="6:6" ht="15.75" customHeight="1" x14ac:dyDescent="0.3">
      <c r="F449" s="2635"/>
    </row>
    <row r="450" spans="6:6" ht="15.75" customHeight="1" x14ac:dyDescent="0.3">
      <c r="F450" s="2635"/>
    </row>
    <row r="451" spans="6:6" ht="15.75" customHeight="1" x14ac:dyDescent="0.3">
      <c r="F451" s="2635"/>
    </row>
    <row r="452" spans="6:6" ht="15.75" customHeight="1" x14ac:dyDescent="0.3">
      <c r="F452" s="2635"/>
    </row>
    <row r="453" spans="6:6" ht="15.75" customHeight="1" x14ac:dyDescent="0.3">
      <c r="F453" s="2635"/>
    </row>
    <row r="454" spans="6:6" ht="15.75" customHeight="1" x14ac:dyDescent="0.3">
      <c r="F454" s="2635"/>
    </row>
    <row r="455" spans="6:6" ht="15.75" customHeight="1" x14ac:dyDescent="0.3">
      <c r="F455" s="2635"/>
    </row>
    <row r="456" spans="6:6" ht="15.75" customHeight="1" x14ac:dyDescent="0.3">
      <c r="F456" s="2635"/>
    </row>
    <row r="457" spans="6:6" ht="15.75" customHeight="1" x14ac:dyDescent="0.3">
      <c r="F457" s="2635"/>
    </row>
    <row r="458" spans="6:6" ht="15.75" customHeight="1" x14ac:dyDescent="0.3">
      <c r="F458" s="2635"/>
    </row>
    <row r="459" spans="6:6" ht="15.75" customHeight="1" x14ac:dyDescent="0.3">
      <c r="F459" s="2635"/>
    </row>
    <row r="460" spans="6:6" ht="15.75" customHeight="1" x14ac:dyDescent="0.3">
      <c r="F460" s="2635"/>
    </row>
    <row r="461" spans="6:6" ht="15.75" customHeight="1" x14ac:dyDescent="0.3">
      <c r="F461" s="2635"/>
    </row>
    <row r="462" spans="6:6" ht="15.75" customHeight="1" x14ac:dyDescent="0.3">
      <c r="F462" s="2635"/>
    </row>
    <row r="463" spans="6:6" ht="15.75" customHeight="1" x14ac:dyDescent="0.3">
      <c r="F463" s="2635"/>
    </row>
    <row r="464" spans="6:6" ht="15.75" customHeight="1" x14ac:dyDescent="0.3">
      <c r="F464" s="2635"/>
    </row>
    <row r="465" spans="6:6" ht="15.75" customHeight="1" x14ac:dyDescent="0.3">
      <c r="F465" s="2635"/>
    </row>
    <row r="466" spans="6:6" ht="15.75" customHeight="1" x14ac:dyDescent="0.3">
      <c r="F466" s="2635"/>
    </row>
    <row r="467" spans="6:6" ht="15.75" customHeight="1" x14ac:dyDescent="0.3">
      <c r="F467" s="2635"/>
    </row>
    <row r="468" spans="6:6" ht="15.75" customHeight="1" x14ac:dyDescent="0.3">
      <c r="F468" s="2635"/>
    </row>
    <row r="469" spans="6:6" ht="15.75" customHeight="1" x14ac:dyDescent="0.3">
      <c r="F469" s="2635"/>
    </row>
    <row r="470" spans="6:6" ht="15.75" customHeight="1" x14ac:dyDescent="0.3">
      <c r="F470" s="2635"/>
    </row>
    <row r="471" spans="6:6" ht="15.75" customHeight="1" x14ac:dyDescent="0.3">
      <c r="F471" s="2635"/>
    </row>
    <row r="472" spans="6:6" ht="15.75" customHeight="1" x14ac:dyDescent="0.3">
      <c r="F472" s="2635"/>
    </row>
    <row r="473" spans="6:6" ht="15.75" customHeight="1" x14ac:dyDescent="0.3">
      <c r="F473" s="2635"/>
    </row>
    <row r="474" spans="6:6" ht="15.75" customHeight="1" x14ac:dyDescent="0.3">
      <c r="F474" s="2635"/>
    </row>
    <row r="475" spans="6:6" ht="15.75" customHeight="1" x14ac:dyDescent="0.3">
      <c r="F475" s="2635"/>
    </row>
    <row r="476" spans="6:6" ht="15.75" customHeight="1" x14ac:dyDescent="0.3">
      <c r="F476" s="2635"/>
    </row>
    <row r="477" spans="6:6" ht="15.75" customHeight="1" x14ac:dyDescent="0.3">
      <c r="F477" s="2635"/>
    </row>
    <row r="478" spans="6:6" ht="15.75" customHeight="1" x14ac:dyDescent="0.3">
      <c r="F478" s="2635"/>
    </row>
    <row r="479" spans="6:6" ht="15.75" customHeight="1" x14ac:dyDescent="0.3">
      <c r="F479" s="2635"/>
    </row>
    <row r="480" spans="6:6" ht="15.75" customHeight="1" x14ac:dyDescent="0.3">
      <c r="F480" s="2635"/>
    </row>
    <row r="481" spans="6:6" ht="15.75" customHeight="1" x14ac:dyDescent="0.3">
      <c r="F481" s="2635"/>
    </row>
    <row r="482" spans="6:6" ht="15.75" customHeight="1" x14ac:dyDescent="0.3">
      <c r="F482" s="2635"/>
    </row>
    <row r="483" spans="6:6" ht="15.75" customHeight="1" x14ac:dyDescent="0.3">
      <c r="F483" s="2635"/>
    </row>
    <row r="484" spans="6:6" ht="15.75" customHeight="1" x14ac:dyDescent="0.3">
      <c r="F484" s="2635"/>
    </row>
    <row r="485" spans="6:6" ht="15.75" customHeight="1" x14ac:dyDescent="0.3">
      <c r="F485" s="2635"/>
    </row>
    <row r="486" spans="6:6" ht="15.75" customHeight="1" x14ac:dyDescent="0.3">
      <c r="F486" s="2635"/>
    </row>
    <row r="487" spans="6:6" ht="15.75" customHeight="1" x14ac:dyDescent="0.3">
      <c r="F487" s="2635"/>
    </row>
    <row r="488" spans="6:6" ht="15.75" customHeight="1" x14ac:dyDescent="0.3">
      <c r="F488" s="2635"/>
    </row>
    <row r="489" spans="6:6" ht="15.75" customHeight="1" x14ac:dyDescent="0.3">
      <c r="F489" s="2635"/>
    </row>
    <row r="490" spans="6:6" ht="15.75" customHeight="1" x14ac:dyDescent="0.3">
      <c r="F490" s="2635"/>
    </row>
    <row r="491" spans="6:6" ht="15.75" customHeight="1" x14ac:dyDescent="0.3">
      <c r="F491" s="2635"/>
    </row>
    <row r="492" spans="6:6" ht="15.75" customHeight="1" x14ac:dyDescent="0.3">
      <c r="F492" s="2635"/>
    </row>
    <row r="493" spans="6:6" ht="15.75" customHeight="1" x14ac:dyDescent="0.3">
      <c r="F493" s="2635"/>
    </row>
    <row r="494" spans="6:6" ht="15.75" customHeight="1" x14ac:dyDescent="0.3">
      <c r="F494" s="2635"/>
    </row>
    <row r="495" spans="6:6" ht="15.75" customHeight="1" x14ac:dyDescent="0.3">
      <c r="F495" s="2635"/>
    </row>
    <row r="496" spans="6:6" ht="15.75" customHeight="1" x14ac:dyDescent="0.3">
      <c r="F496" s="2635"/>
    </row>
    <row r="497" spans="6:6" ht="15.75" customHeight="1" x14ac:dyDescent="0.3">
      <c r="F497" s="2635"/>
    </row>
    <row r="498" spans="6:6" ht="15.75" customHeight="1" x14ac:dyDescent="0.3">
      <c r="F498" s="2635"/>
    </row>
    <row r="499" spans="6:6" ht="15.75" customHeight="1" x14ac:dyDescent="0.3">
      <c r="F499" s="2635"/>
    </row>
    <row r="500" spans="6:6" ht="15.75" customHeight="1" x14ac:dyDescent="0.3">
      <c r="F500" s="2635"/>
    </row>
    <row r="501" spans="6:6" ht="15.75" customHeight="1" x14ac:dyDescent="0.3">
      <c r="F501" s="2635"/>
    </row>
    <row r="502" spans="6:6" ht="15.75" customHeight="1" x14ac:dyDescent="0.3">
      <c r="F502" s="2635"/>
    </row>
    <row r="503" spans="6:6" ht="15.75" customHeight="1" x14ac:dyDescent="0.3">
      <c r="F503" s="2635"/>
    </row>
    <row r="504" spans="6:6" ht="15.75" customHeight="1" x14ac:dyDescent="0.3">
      <c r="F504" s="2635"/>
    </row>
    <row r="505" spans="6:6" ht="15.75" customHeight="1" x14ac:dyDescent="0.3">
      <c r="F505" s="2635"/>
    </row>
    <row r="506" spans="6:6" ht="15.75" customHeight="1" x14ac:dyDescent="0.3">
      <c r="F506" s="2635"/>
    </row>
    <row r="507" spans="6:6" ht="15.75" customHeight="1" x14ac:dyDescent="0.3">
      <c r="F507" s="2635"/>
    </row>
    <row r="508" spans="6:6" ht="15.75" customHeight="1" x14ac:dyDescent="0.3">
      <c r="F508" s="2635"/>
    </row>
    <row r="509" spans="6:6" ht="15.75" customHeight="1" x14ac:dyDescent="0.3">
      <c r="F509" s="2635"/>
    </row>
    <row r="510" spans="6:6" ht="15.75" customHeight="1" x14ac:dyDescent="0.3">
      <c r="F510" s="2635"/>
    </row>
    <row r="511" spans="6:6" ht="15.75" customHeight="1" x14ac:dyDescent="0.3">
      <c r="F511" s="2635"/>
    </row>
    <row r="512" spans="6:6" ht="15.75" customHeight="1" x14ac:dyDescent="0.3">
      <c r="F512" s="2635"/>
    </row>
    <row r="513" spans="6:6" ht="15.75" customHeight="1" x14ac:dyDescent="0.3">
      <c r="F513" s="2635"/>
    </row>
    <row r="514" spans="6:6" ht="15.75" customHeight="1" x14ac:dyDescent="0.3">
      <c r="F514" s="2635"/>
    </row>
    <row r="515" spans="6:6" ht="15.75" customHeight="1" x14ac:dyDescent="0.3">
      <c r="F515" s="2635"/>
    </row>
    <row r="516" spans="6:6" ht="15.75" customHeight="1" x14ac:dyDescent="0.3">
      <c r="F516" s="2635"/>
    </row>
    <row r="517" spans="6:6" ht="15.75" customHeight="1" x14ac:dyDescent="0.3">
      <c r="F517" s="2635"/>
    </row>
    <row r="518" spans="6:6" ht="15.75" customHeight="1" x14ac:dyDescent="0.3">
      <c r="F518" s="2635"/>
    </row>
    <row r="519" spans="6:6" ht="15.75" customHeight="1" x14ac:dyDescent="0.3">
      <c r="F519" s="2635"/>
    </row>
    <row r="520" spans="6:6" ht="15.75" customHeight="1" x14ac:dyDescent="0.3">
      <c r="F520" s="2635"/>
    </row>
    <row r="521" spans="6:6" ht="15.75" customHeight="1" x14ac:dyDescent="0.3">
      <c r="F521" s="2635"/>
    </row>
    <row r="522" spans="6:6" ht="15.75" customHeight="1" x14ac:dyDescent="0.3">
      <c r="F522" s="2635"/>
    </row>
    <row r="523" spans="6:6" ht="15.75" customHeight="1" x14ac:dyDescent="0.3">
      <c r="F523" s="2635"/>
    </row>
    <row r="524" spans="6:6" ht="15.75" customHeight="1" x14ac:dyDescent="0.3">
      <c r="F524" s="2635"/>
    </row>
    <row r="525" spans="6:6" ht="15.75" customHeight="1" x14ac:dyDescent="0.3">
      <c r="F525" s="2635"/>
    </row>
    <row r="526" spans="6:6" ht="15.75" customHeight="1" x14ac:dyDescent="0.3">
      <c r="F526" s="2635"/>
    </row>
    <row r="527" spans="6:6" ht="15.75" customHeight="1" x14ac:dyDescent="0.3">
      <c r="F527" s="2635"/>
    </row>
    <row r="528" spans="6:6" ht="15.75" customHeight="1" x14ac:dyDescent="0.3">
      <c r="F528" s="2635"/>
    </row>
    <row r="529" spans="6:6" ht="15.75" customHeight="1" x14ac:dyDescent="0.3">
      <c r="F529" s="2635"/>
    </row>
    <row r="530" spans="6:6" ht="15.75" customHeight="1" x14ac:dyDescent="0.3">
      <c r="F530" s="2635"/>
    </row>
    <row r="531" spans="6:6" ht="15.75" customHeight="1" x14ac:dyDescent="0.3">
      <c r="F531" s="2635"/>
    </row>
    <row r="532" spans="6:6" ht="15.75" customHeight="1" x14ac:dyDescent="0.3">
      <c r="F532" s="2635"/>
    </row>
    <row r="533" spans="6:6" ht="15.75" customHeight="1" x14ac:dyDescent="0.3">
      <c r="F533" s="2635"/>
    </row>
    <row r="534" spans="6:6" ht="15.75" customHeight="1" x14ac:dyDescent="0.3">
      <c r="F534" s="2635"/>
    </row>
    <row r="535" spans="6:6" ht="15.75" customHeight="1" x14ac:dyDescent="0.3">
      <c r="F535" s="2635"/>
    </row>
    <row r="536" spans="6:6" ht="15.75" customHeight="1" x14ac:dyDescent="0.3">
      <c r="F536" s="2635"/>
    </row>
    <row r="537" spans="6:6" ht="15.75" customHeight="1" x14ac:dyDescent="0.3">
      <c r="F537" s="2635"/>
    </row>
    <row r="538" spans="6:6" ht="15.75" customHeight="1" x14ac:dyDescent="0.3">
      <c r="F538" s="2635"/>
    </row>
    <row r="539" spans="6:6" ht="15.75" customHeight="1" x14ac:dyDescent="0.3">
      <c r="F539" s="2635"/>
    </row>
    <row r="540" spans="6:6" ht="15.75" customHeight="1" x14ac:dyDescent="0.3">
      <c r="F540" s="2635"/>
    </row>
    <row r="541" spans="6:6" ht="15.75" customHeight="1" x14ac:dyDescent="0.3">
      <c r="F541" s="2635"/>
    </row>
    <row r="542" spans="6:6" ht="15.75" customHeight="1" x14ac:dyDescent="0.3">
      <c r="F542" s="2635"/>
    </row>
    <row r="543" spans="6:6" ht="15.75" customHeight="1" x14ac:dyDescent="0.3">
      <c r="F543" s="2635"/>
    </row>
    <row r="544" spans="6:6" ht="15.75" customHeight="1" x14ac:dyDescent="0.3">
      <c r="F544" s="2635"/>
    </row>
    <row r="545" spans="6:6" ht="15.75" customHeight="1" x14ac:dyDescent="0.3">
      <c r="F545" s="2635"/>
    </row>
    <row r="546" spans="6:6" ht="15.75" customHeight="1" x14ac:dyDescent="0.3">
      <c r="F546" s="2635"/>
    </row>
    <row r="547" spans="6:6" ht="15.75" customHeight="1" x14ac:dyDescent="0.3">
      <c r="F547" s="2635"/>
    </row>
    <row r="548" spans="6:6" ht="15.75" customHeight="1" x14ac:dyDescent="0.3">
      <c r="F548" s="2635"/>
    </row>
    <row r="549" spans="6:6" ht="15.75" customHeight="1" x14ac:dyDescent="0.3">
      <c r="F549" s="2635"/>
    </row>
    <row r="550" spans="6:6" ht="15.75" customHeight="1" x14ac:dyDescent="0.3">
      <c r="F550" s="2635"/>
    </row>
    <row r="551" spans="6:6" ht="15.75" customHeight="1" x14ac:dyDescent="0.3">
      <c r="F551" s="2635"/>
    </row>
    <row r="552" spans="6:6" ht="15.75" customHeight="1" x14ac:dyDescent="0.3">
      <c r="F552" s="2635"/>
    </row>
    <row r="553" spans="6:6" ht="15.75" customHeight="1" x14ac:dyDescent="0.3">
      <c r="F553" s="2635"/>
    </row>
    <row r="554" spans="6:6" ht="15.75" customHeight="1" x14ac:dyDescent="0.3">
      <c r="F554" s="2635"/>
    </row>
    <row r="555" spans="6:6" ht="15.75" customHeight="1" x14ac:dyDescent="0.3">
      <c r="F555" s="2635"/>
    </row>
    <row r="556" spans="6:6" ht="15.75" customHeight="1" x14ac:dyDescent="0.3">
      <c r="F556" s="2635"/>
    </row>
    <row r="557" spans="6:6" ht="15.75" customHeight="1" x14ac:dyDescent="0.3">
      <c r="F557" s="2635"/>
    </row>
    <row r="558" spans="6:6" ht="15.75" customHeight="1" x14ac:dyDescent="0.3">
      <c r="F558" s="2635"/>
    </row>
    <row r="559" spans="6:6" ht="15.75" customHeight="1" x14ac:dyDescent="0.3">
      <c r="F559" s="2635"/>
    </row>
    <row r="560" spans="6:6" ht="15.75" customHeight="1" x14ac:dyDescent="0.3">
      <c r="F560" s="2635"/>
    </row>
    <row r="561" spans="6:6" ht="15.75" customHeight="1" x14ac:dyDescent="0.3">
      <c r="F561" s="2635"/>
    </row>
    <row r="562" spans="6:6" ht="15.75" customHeight="1" x14ac:dyDescent="0.3">
      <c r="F562" s="2635"/>
    </row>
    <row r="563" spans="6:6" ht="15.75" customHeight="1" x14ac:dyDescent="0.3">
      <c r="F563" s="2635"/>
    </row>
    <row r="564" spans="6:6" ht="15.75" customHeight="1" x14ac:dyDescent="0.3">
      <c r="F564" s="2635"/>
    </row>
    <row r="565" spans="6:6" ht="15.75" customHeight="1" x14ac:dyDescent="0.3">
      <c r="F565" s="2635"/>
    </row>
    <row r="566" spans="6:6" ht="15.75" customHeight="1" x14ac:dyDescent="0.3">
      <c r="F566" s="2635"/>
    </row>
    <row r="567" spans="6:6" ht="15.75" customHeight="1" x14ac:dyDescent="0.3">
      <c r="F567" s="2635"/>
    </row>
    <row r="568" spans="6:6" ht="15.75" customHeight="1" x14ac:dyDescent="0.3">
      <c r="F568" s="2635"/>
    </row>
    <row r="569" spans="6:6" ht="15.75" customHeight="1" x14ac:dyDescent="0.3">
      <c r="F569" s="2635"/>
    </row>
    <row r="570" spans="6:6" ht="15.75" customHeight="1" x14ac:dyDescent="0.3">
      <c r="F570" s="2635"/>
    </row>
    <row r="571" spans="6:6" ht="15.75" customHeight="1" x14ac:dyDescent="0.3">
      <c r="F571" s="2635"/>
    </row>
    <row r="572" spans="6:6" ht="15.75" customHeight="1" x14ac:dyDescent="0.3">
      <c r="F572" s="2635"/>
    </row>
    <row r="573" spans="6:6" ht="15.75" customHeight="1" x14ac:dyDescent="0.3">
      <c r="F573" s="2635"/>
    </row>
    <row r="574" spans="6:6" ht="15.75" customHeight="1" x14ac:dyDescent="0.3">
      <c r="F574" s="2635"/>
    </row>
    <row r="575" spans="6:6" ht="15.75" customHeight="1" x14ac:dyDescent="0.3">
      <c r="F575" s="2635"/>
    </row>
    <row r="576" spans="6:6" ht="15.75" customHeight="1" x14ac:dyDescent="0.3">
      <c r="F576" s="2635"/>
    </row>
    <row r="577" spans="6:6" ht="15.75" customHeight="1" x14ac:dyDescent="0.3">
      <c r="F577" s="2635"/>
    </row>
    <row r="578" spans="6:6" ht="15.75" customHeight="1" x14ac:dyDescent="0.3">
      <c r="F578" s="2635"/>
    </row>
    <row r="579" spans="6:6" ht="15.75" customHeight="1" x14ac:dyDescent="0.3">
      <c r="F579" s="2635"/>
    </row>
    <row r="580" spans="6:6" ht="15.75" customHeight="1" x14ac:dyDescent="0.3">
      <c r="F580" s="2635"/>
    </row>
    <row r="581" spans="6:6" ht="15.75" customHeight="1" x14ac:dyDescent="0.3">
      <c r="F581" s="2635"/>
    </row>
    <row r="582" spans="6:6" ht="15.75" customHeight="1" x14ac:dyDescent="0.3">
      <c r="F582" s="2635"/>
    </row>
    <row r="583" spans="6:6" ht="15.75" customHeight="1" x14ac:dyDescent="0.3">
      <c r="F583" s="2635"/>
    </row>
    <row r="584" spans="6:6" ht="15.75" customHeight="1" x14ac:dyDescent="0.3">
      <c r="F584" s="2635"/>
    </row>
    <row r="585" spans="6:6" ht="15.75" customHeight="1" x14ac:dyDescent="0.3">
      <c r="F585" s="2635"/>
    </row>
    <row r="586" spans="6:6" ht="15.75" customHeight="1" x14ac:dyDescent="0.3">
      <c r="F586" s="2635"/>
    </row>
    <row r="587" spans="6:6" ht="15.75" customHeight="1" x14ac:dyDescent="0.3">
      <c r="F587" s="2635"/>
    </row>
    <row r="588" spans="6:6" ht="15.75" customHeight="1" x14ac:dyDescent="0.3">
      <c r="F588" s="2635"/>
    </row>
    <row r="589" spans="6:6" ht="15.75" customHeight="1" x14ac:dyDescent="0.3">
      <c r="F589" s="2635"/>
    </row>
    <row r="590" spans="6:6" ht="15.75" customHeight="1" x14ac:dyDescent="0.3">
      <c r="F590" s="2635"/>
    </row>
    <row r="591" spans="6:6" ht="15.75" customHeight="1" x14ac:dyDescent="0.3">
      <c r="F591" s="2635"/>
    </row>
    <row r="592" spans="6:6" ht="15.75" customHeight="1" x14ac:dyDescent="0.3">
      <c r="F592" s="2635"/>
    </row>
    <row r="593" spans="6:6" ht="15.75" customHeight="1" x14ac:dyDescent="0.3">
      <c r="F593" s="2635"/>
    </row>
    <row r="594" spans="6:6" ht="15.75" customHeight="1" x14ac:dyDescent="0.3">
      <c r="F594" s="2635"/>
    </row>
    <row r="595" spans="6:6" ht="15.75" customHeight="1" x14ac:dyDescent="0.3">
      <c r="F595" s="2635"/>
    </row>
    <row r="596" spans="6:6" ht="15.75" customHeight="1" x14ac:dyDescent="0.3">
      <c r="F596" s="2635"/>
    </row>
    <row r="597" spans="6:6" ht="15.75" customHeight="1" x14ac:dyDescent="0.3">
      <c r="F597" s="2635"/>
    </row>
    <row r="598" spans="6:6" ht="15.75" customHeight="1" x14ac:dyDescent="0.3">
      <c r="F598" s="2635"/>
    </row>
    <row r="599" spans="6:6" ht="15.75" customHeight="1" x14ac:dyDescent="0.3">
      <c r="F599" s="2635"/>
    </row>
    <row r="600" spans="6:6" ht="15.75" customHeight="1" x14ac:dyDescent="0.3">
      <c r="F600" s="2635"/>
    </row>
    <row r="601" spans="6:6" ht="15.75" customHeight="1" x14ac:dyDescent="0.3">
      <c r="F601" s="2635"/>
    </row>
    <row r="602" spans="6:6" ht="15.75" customHeight="1" x14ac:dyDescent="0.3">
      <c r="F602" s="2635"/>
    </row>
    <row r="603" spans="6:6" ht="15.75" customHeight="1" x14ac:dyDescent="0.3">
      <c r="F603" s="2635"/>
    </row>
    <row r="604" spans="6:6" ht="15.75" customHeight="1" x14ac:dyDescent="0.3">
      <c r="F604" s="2635"/>
    </row>
    <row r="605" spans="6:6" ht="15.75" customHeight="1" x14ac:dyDescent="0.3">
      <c r="F605" s="2635"/>
    </row>
    <row r="606" spans="6:6" ht="15.75" customHeight="1" x14ac:dyDescent="0.3">
      <c r="F606" s="2635"/>
    </row>
    <row r="607" spans="6:6" ht="15.75" customHeight="1" x14ac:dyDescent="0.3">
      <c r="F607" s="2635"/>
    </row>
    <row r="608" spans="6:6" ht="15.75" customHeight="1" x14ac:dyDescent="0.3">
      <c r="F608" s="2635"/>
    </row>
    <row r="609" spans="6:6" ht="15.75" customHeight="1" x14ac:dyDescent="0.3">
      <c r="F609" s="2635"/>
    </row>
    <row r="610" spans="6:6" ht="15.75" customHeight="1" x14ac:dyDescent="0.3">
      <c r="F610" s="2635"/>
    </row>
    <row r="611" spans="6:6" ht="15.75" customHeight="1" x14ac:dyDescent="0.3">
      <c r="F611" s="2635"/>
    </row>
    <row r="612" spans="6:6" ht="15.75" customHeight="1" x14ac:dyDescent="0.3">
      <c r="F612" s="2635"/>
    </row>
    <row r="613" spans="6:6" ht="15.75" customHeight="1" x14ac:dyDescent="0.3">
      <c r="F613" s="2635"/>
    </row>
    <row r="614" spans="6:6" ht="15.75" customHeight="1" x14ac:dyDescent="0.3">
      <c r="F614" s="2635"/>
    </row>
    <row r="615" spans="6:6" ht="15.75" customHeight="1" x14ac:dyDescent="0.3">
      <c r="F615" s="2635"/>
    </row>
    <row r="616" spans="6:6" ht="15.75" customHeight="1" x14ac:dyDescent="0.3">
      <c r="F616" s="2635"/>
    </row>
    <row r="617" spans="6:6" ht="15.75" customHeight="1" x14ac:dyDescent="0.3">
      <c r="F617" s="2635"/>
    </row>
    <row r="618" spans="6:6" ht="15.75" customHeight="1" x14ac:dyDescent="0.3">
      <c r="F618" s="2635"/>
    </row>
    <row r="619" spans="6:6" ht="15.75" customHeight="1" x14ac:dyDescent="0.3">
      <c r="F619" s="2635"/>
    </row>
    <row r="620" spans="6:6" ht="15.75" customHeight="1" x14ac:dyDescent="0.3">
      <c r="F620" s="2635"/>
    </row>
    <row r="621" spans="6:6" ht="15.75" customHeight="1" x14ac:dyDescent="0.3">
      <c r="F621" s="2635"/>
    </row>
    <row r="622" spans="6:6" ht="15.75" customHeight="1" x14ac:dyDescent="0.3">
      <c r="F622" s="2635"/>
    </row>
    <row r="623" spans="6:6" ht="15.75" customHeight="1" x14ac:dyDescent="0.3">
      <c r="F623" s="2635"/>
    </row>
    <row r="624" spans="6:6" ht="15.75" customHeight="1" x14ac:dyDescent="0.3">
      <c r="F624" s="2635"/>
    </row>
    <row r="625" spans="6:6" ht="15.75" customHeight="1" x14ac:dyDescent="0.3">
      <c r="F625" s="2635"/>
    </row>
    <row r="626" spans="6:6" ht="15.75" customHeight="1" x14ac:dyDescent="0.3">
      <c r="F626" s="2635"/>
    </row>
    <row r="627" spans="6:6" ht="15.75" customHeight="1" x14ac:dyDescent="0.3">
      <c r="F627" s="2635"/>
    </row>
    <row r="628" spans="6:6" ht="15.75" customHeight="1" x14ac:dyDescent="0.3">
      <c r="F628" s="2635"/>
    </row>
    <row r="629" spans="6:6" ht="15.75" customHeight="1" x14ac:dyDescent="0.3">
      <c r="F629" s="2635"/>
    </row>
    <row r="630" spans="6:6" ht="15.75" customHeight="1" x14ac:dyDescent="0.3">
      <c r="F630" s="2635"/>
    </row>
    <row r="631" spans="6:6" ht="15.75" customHeight="1" x14ac:dyDescent="0.3">
      <c r="F631" s="2635"/>
    </row>
    <row r="632" spans="6:6" ht="15.75" customHeight="1" x14ac:dyDescent="0.3">
      <c r="F632" s="2635"/>
    </row>
    <row r="633" spans="6:6" ht="15.75" customHeight="1" x14ac:dyDescent="0.3">
      <c r="F633" s="2635"/>
    </row>
    <row r="634" spans="6:6" ht="15.75" customHeight="1" x14ac:dyDescent="0.3">
      <c r="F634" s="2635"/>
    </row>
    <row r="635" spans="6:6" ht="15.75" customHeight="1" x14ac:dyDescent="0.3">
      <c r="F635" s="2635"/>
    </row>
    <row r="636" spans="6:6" ht="15.75" customHeight="1" x14ac:dyDescent="0.3">
      <c r="F636" s="2635"/>
    </row>
    <row r="637" spans="6:6" ht="15.75" customHeight="1" x14ac:dyDescent="0.3">
      <c r="F637" s="2635"/>
    </row>
    <row r="638" spans="6:6" ht="15.75" customHeight="1" x14ac:dyDescent="0.3">
      <c r="F638" s="2635"/>
    </row>
    <row r="639" spans="6:6" ht="15.75" customHeight="1" x14ac:dyDescent="0.3">
      <c r="F639" s="2635"/>
    </row>
    <row r="640" spans="6:6" ht="15.75" customHeight="1" x14ac:dyDescent="0.3">
      <c r="F640" s="2635"/>
    </row>
    <row r="641" spans="6:6" ht="15.75" customHeight="1" x14ac:dyDescent="0.3">
      <c r="F641" s="2635"/>
    </row>
    <row r="642" spans="6:6" ht="15.75" customHeight="1" x14ac:dyDescent="0.3">
      <c r="F642" s="2635"/>
    </row>
    <row r="643" spans="6:6" ht="15.75" customHeight="1" x14ac:dyDescent="0.3">
      <c r="F643" s="2635"/>
    </row>
    <row r="644" spans="6:6" ht="15.75" customHeight="1" x14ac:dyDescent="0.3">
      <c r="F644" s="2635"/>
    </row>
    <row r="645" spans="6:6" ht="15.75" customHeight="1" x14ac:dyDescent="0.3">
      <c r="F645" s="2635"/>
    </row>
    <row r="646" spans="6:6" ht="15.75" customHeight="1" x14ac:dyDescent="0.3">
      <c r="F646" s="2635"/>
    </row>
    <row r="647" spans="6:6" ht="15.75" customHeight="1" x14ac:dyDescent="0.3">
      <c r="F647" s="2635"/>
    </row>
    <row r="648" spans="6:6" ht="15.75" customHeight="1" x14ac:dyDescent="0.3">
      <c r="F648" s="2635"/>
    </row>
    <row r="649" spans="6:6" ht="15.75" customHeight="1" x14ac:dyDescent="0.3">
      <c r="F649" s="2635"/>
    </row>
    <row r="650" spans="6:6" ht="15.75" customHeight="1" x14ac:dyDescent="0.3">
      <c r="F650" s="2635"/>
    </row>
    <row r="651" spans="6:6" ht="15.75" customHeight="1" x14ac:dyDescent="0.3">
      <c r="F651" s="2635"/>
    </row>
    <row r="652" spans="6:6" ht="15.75" customHeight="1" x14ac:dyDescent="0.3">
      <c r="F652" s="2635"/>
    </row>
    <row r="653" spans="6:6" ht="15.75" customHeight="1" x14ac:dyDescent="0.3">
      <c r="F653" s="2635"/>
    </row>
    <row r="654" spans="6:6" ht="15.75" customHeight="1" x14ac:dyDescent="0.3">
      <c r="F654" s="2635"/>
    </row>
    <row r="655" spans="6:6" ht="15.75" customHeight="1" x14ac:dyDescent="0.3">
      <c r="F655" s="2635"/>
    </row>
    <row r="656" spans="6:6" ht="15.75" customHeight="1" x14ac:dyDescent="0.3">
      <c r="F656" s="2635"/>
    </row>
    <row r="657" spans="6:6" ht="15.75" customHeight="1" x14ac:dyDescent="0.3">
      <c r="F657" s="2635"/>
    </row>
    <row r="658" spans="6:6" ht="15.75" customHeight="1" x14ac:dyDescent="0.3">
      <c r="F658" s="2635"/>
    </row>
    <row r="659" spans="6:6" ht="15.75" customHeight="1" x14ac:dyDescent="0.3">
      <c r="F659" s="2635"/>
    </row>
    <row r="660" spans="6:6" ht="15.75" customHeight="1" x14ac:dyDescent="0.3">
      <c r="F660" s="2635"/>
    </row>
    <row r="661" spans="6:6" ht="15.75" customHeight="1" x14ac:dyDescent="0.3">
      <c r="F661" s="2635"/>
    </row>
    <row r="662" spans="6:6" ht="15.75" customHeight="1" x14ac:dyDescent="0.3">
      <c r="F662" s="2635"/>
    </row>
    <row r="663" spans="6:6" ht="15.75" customHeight="1" x14ac:dyDescent="0.3">
      <c r="F663" s="2635"/>
    </row>
    <row r="664" spans="6:6" ht="15.75" customHeight="1" x14ac:dyDescent="0.3">
      <c r="F664" s="2635"/>
    </row>
    <row r="665" spans="6:6" ht="15.75" customHeight="1" x14ac:dyDescent="0.3">
      <c r="F665" s="2635"/>
    </row>
    <row r="666" spans="6:6" ht="15.75" customHeight="1" x14ac:dyDescent="0.3">
      <c r="F666" s="2635"/>
    </row>
    <row r="667" spans="6:6" ht="15.75" customHeight="1" x14ac:dyDescent="0.3">
      <c r="F667" s="2635"/>
    </row>
    <row r="668" spans="6:6" ht="15.75" customHeight="1" x14ac:dyDescent="0.3">
      <c r="F668" s="2635"/>
    </row>
    <row r="669" spans="6:6" ht="15.75" customHeight="1" x14ac:dyDescent="0.3">
      <c r="F669" s="2635"/>
    </row>
    <row r="670" spans="6:6" ht="15.75" customHeight="1" x14ac:dyDescent="0.3">
      <c r="F670" s="2635"/>
    </row>
    <row r="671" spans="6:6" ht="15.75" customHeight="1" x14ac:dyDescent="0.3">
      <c r="F671" s="2635"/>
    </row>
    <row r="672" spans="6:6" ht="15.75" customHeight="1" x14ac:dyDescent="0.3">
      <c r="F672" s="2635"/>
    </row>
    <row r="673" spans="6:6" ht="15.75" customHeight="1" x14ac:dyDescent="0.3">
      <c r="F673" s="2635"/>
    </row>
    <row r="674" spans="6:6" ht="15.75" customHeight="1" x14ac:dyDescent="0.3">
      <c r="F674" s="2635"/>
    </row>
    <row r="675" spans="6:6" ht="15.75" customHeight="1" x14ac:dyDescent="0.3">
      <c r="F675" s="2635"/>
    </row>
    <row r="676" spans="6:6" ht="15.75" customHeight="1" x14ac:dyDescent="0.3">
      <c r="F676" s="2635"/>
    </row>
    <row r="677" spans="6:6" ht="15.75" customHeight="1" x14ac:dyDescent="0.3">
      <c r="F677" s="2635"/>
    </row>
    <row r="678" spans="6:6" ht="15.75" customHeight="1" x14ac:dyDescent="0.3">
      <c r="F678" s="2635"/>
    </row>
    <row r="679" spans="6:6" ht="15.75" customHeight="1" x14ac:dyDescent="0.3">
      <c r="F679" s="2635"/>
    </row>
    <row r="680" spans="6:6" ht="15.75" customHeight="1" x14ac:dyDescent="0.3">
      <c r="F680" s="2635"/>
    </row>
    <row r="681" spans="6:6" ht="15.75" customHeight="1" x14ac:dyDescent="0.3">
      <c r="F681" s="2635"/>
    </row>
    <row r="682" spans="6:6" ht="15.75" customHeight="1" x14ac:dyDescent="0.3">
      <c r="F682" s="2635"/>
    </row>
    <row r="683" spans="6:6" ht="15.75" customHeight="1" x14ac:dyDescent="0.3">
      <c r="F683" s="2635"/>
    </row>
    <row r="684" spans="6:6" ht="15.75" customHeight="1" x14ac:dyDescent="0.3">
      <c r="F684" s="2635"/>
    </row>
    <row r="685" spans="6:6" ht="15.75" customHeight="1" x14ac:dyDescent="0.3">
      <c r="F685" s="2635"/>
    </row>
    <row r="686" spans="6:6" ht="15.75" customHeight="1" x14ac:dyDescent="0.3">
      <c r="F686" s="2635"/>
    </row>
    <row r="687" spans="6:6" ht="15.75" customHeight="1" x14ac:dyDescent="0.3">
      <c r="F687" s="2635"/>
    </row>
    <row r="688" spans="6:6" ht="15.75" customHeight="1" x14ac:dyDescent="0.3">
      <c r="F688" s="2635"/>
    </row>
    <row r="689" spans="6:6" ht="15.75" customHeight="1" x14ac:dyDescent="0.3">
      <c r="F689" s="2635"/>
    </row>
    <row r="690" spans="6:6" ht="15.75" customHeight="1" x14ac:dyDescent="0.3">
      <c r="F690" s="2635"/>
    </row>
    <row r="691" spans="6:6" ht="15.75" customHeight="1" x14ac:dyDescent="0.3">
      <c r="F691" s="2635"/>
    </row>
    <row r="692" spans="6:6" ht="15.75" customHeight="1" x14ac:dyDescent="0.3">
      <c r="F692" s="2635"/>
    </row>
    <row r="693" spans="6:6" ht="15.75" customHeight="1" x14ac:dyDescent="0.3">
      <c r="F693" s="2635"/>
    </row>
    <row r="694" spans="6:6" ht="15.75" customHeight="1" x14ac:dyDescent="0.3">
      <c r="F694" s="2635"/>
    </row>
    <row r="695" spans="6:6" ht="15.75" customHeight="1" x14ac:dyDescent="0.3">
      <c r="F695" s="2635"/>
    </row>
    <row r="696" spans="6:6" ht="15.75" customHeight="1" x14ac:dyDescent="0.3">
      <c r="F696" s="2635"/>
    </row>
    <row r="697" spans="6:6" ht="15.75" customHeight="1" x14ac:dyDescent="0.3">
      <c r="F697" s="2635"/>
    </row>
    <row r="698" spans="6:6" ht="15.75" customHeight="1" x14ac:dyDescent="0.3">
      <c r="F698" s="2635"/>
    </row>
    <row r="699" spans="6:6" ht="15.75" customHeight="1" x14ac:dyDescent="0.3">
      <c r="F699" s="2635"/>
    </row>
    <row r="700" spans="6:6" ht="15.75" customHeight="1" x14ac:dyDescent="0.3">
      <c r="F700" s="2635"/>
    </row>
    <row r="701" spans="6:6" ht="15.75" customHeight="1" x14ac:dyDescent="0.3">
      <c r="F701" s="2635"/>
    </row>
    <row r="702" spans="6:6" ht="15.75" customHeight="1" x14ac:dyDescent="0.3">
      <c r="F702" s="2635"/>
    </row>
    <row r="703" spans="6:6" ht="15.75" customHeight="1" x14ac:dyDescent="0.3">
      <c r="F703" s="2635"/>
    </row>
    <row r="704" spans="6:6" ht="15.75" customHeight="1" x14ac:dyDescent="0.3">
      <c r="F704" s="2635"/>
    </row>
    <row r="705" spans="6:6" ht="15.75" customHeight="1" x14ac:dyDescent="0.3">
      <c r="F705" s="2635"/>
    </row>
    <row r="706" spans="6:6" ht="15.75" customHeight="1" x14ac:dyDescent="0.3">
      <c r="F706" s="2635"/>
    </row>
    <row r="707" spans="6:6" ht="15.75" customHeight="1" x14ac:dyDescent="0.3">
      <c r="F707" s="2635"/>
    </row>
    <row r="708" spans="6:6" ht="15.75" customHeight="1" x14ac:dyDescent="0.3">
      <c r="F708" s="2635"/>
    </row>
    <row r="709" spans="6:6" ht="15.75" customHeight="1" x14ac:dyDescent="0.3">
      <c r="F709" s="2635"/>
    </row>
    <row r="710" spans="6:6" ht="15.75" customHeight="1" x14ac:dyDescent="0.3">
      <c r="F710" s="2635"/>
    </row>
    <row r="711" spans="6:6" ht="15.75" customHeight="1" x14ac:dyDescent="0.3">
      <c r="F711" s="2635"/>
    </row>
    <row r="712" spans="6:6" ht="15.75" customHeight="1" x14ac:dyDescent="0.3">
      <c r="F712" s="2635"/>
    </row>
    <row r="713" spans="6:6" ht="15.75" customHeight="1" x14ac:dyDescent="0.3">
      <c r="F713" s="2635"/>
    </row>
    <row r="714" spans="6:6" ht="15.75" customHeight="1" x14ac:dyDescent="0.3">
      <c r="F714" s="2635"/>
    </row>
    <row r="715" spans="6:6" ht="15.75" customHeight="1" x14ac:dyDescent="0.3">
      <c r="F715" s="2635"/>
    </row>
    <row r="716" spans="6:6" ht="15.75" customHeight="1" x14ac:dyDescent="0.3">
      <c r="F716" s="2635"/>
    </row>
    <row r="717" spans="6:6" ht="15.75" customHeight="1" x14ac:dyDescent="0.3">
      <c r="F717" s="2635"/>
    </row>
    <row r="718" spans="6:6" ht="15.75" customHeight="1" x14ac:dyDescent="0.3">
      <c r="F718" s="2635"/>
    </row>
    <row r="719" spans="6:6" ht="15.75" customHeight="1" x14ac:dyDescent="0.3">
      <c r="F719" s="2635"/>
    </row>
    <row r="720" spans="6:6" ht="15.75" customHeight="1" x14ac:dyDescent="0.3">
      <c r="F720" s="2635"/>
    </row>
    <row r="721" spans="6:6" ht="15.75" customHeight="1" x14ac:dyDescent="0.3">
      <c r="F721" s="2635"/>
    </row>
    <row r="722" spans="6:6" ht="15.75" customHeight="1" x14ac:dyDescent="0.3">
      <c r="F722" s="2635"/>
    </row>
    <row r="723" spans="6:6" ht="15.75" customHeight="1" x14ac:dyDescent="0.3">
      <c r="F723" s="2635"/>
    </row>
    <row r="724" spans="6:6" ht="15.75" customHeight="1" x14ac:dyDescent="0.3">
      <c r="F724" s="2635"/>
    </row>
    <row r="725" spans="6:6" ht="15.75" customHeight="1" x14ac:dyDescent="0.3">
      <c r="F725" s="2635"/>
    </row>
    <row r="726" spans="6:6" ht="15.75" customHeight="1" x14ac:dyDescent="0.3">
      <c r="F726" s="2635"/>
    </row>
    <row r="727" spans="6:6" ht="15.75" customHeight="1" x14ac:dyDescent="0.3">
      <c r="F727" s="2635"/>
    </row>
    <row r="728" spans="6:6" ht="15.75" customHeight="1" x14ac:dyDescent="0.3">
      <c r="F728" s="2635"/>
    </row>
    <row r="729" spans="6:6" ht="15.75" customHeight="1" x14ac:dyDescent="0.3">
      <c r="F729" s="2635"/>
    </row>
    <row r="730" spans="6:6" ht="15.75" customHeight="1" x14ac:dyDescent="0.3">
      <c r="F730" s="2635"/>
    </row>
    <row r="731" spans="6:6" ht="15.75" customHeight="1" x14ac:dyDescent="0.3">
      <c r="F731" s="2635"/>
    </row>
    <row r="732" spans="6:6" ht="15.75" customHeight="1" x14ac:dyDescent="0.3">
      <c r="F732" s="2635"/>
    </row>
    <row r="733" spans="6:6" ht="15.75" customHeight="1" x14ac:dyDescent="0.3">
      <c r="F733" s="2635"/>
    </row>
    <row r="734" spans="6:6" ht="15.75" customHeight="1" x14ac:dyDescent="0.3">
      <c r="F734" s="2635"/>
    </row>
    <row r="735" spans="6:6" ht="15.75" customHeight="1" x14ac:dyDescent="0.3">
      <c r="F735" s="2635"/>
    </row>
    <row r="736" spans="6:6" ht="15.75" customHeight="1" x14ac:dyDescent="0.3">
      <c r="F736" s="2635"/>
    </row>
    <row r="737" spans="6:6" ht="15.75" customHeight="1" x14ac:dyDescent="0.3">
      <c r="F737" s="2635"/>
    </row>
    <row r="738" spans="6:6" ht="15.75" customHeight="1" x14ac:dyDescent="0.3">
      <c r="F738" s="2635"/>
    </row>
    <row r="739" spans="6:6" ht="15.75" customHeight="1" x14ac:dyDescent="0.3">
      <c r="F739" s="2635"/>
    </row>
    <row r="740" spans="6:6" ht="15.75" customHeight="1" x14ac:dyDescent="0.3">
      <c r="F740" s="2635"/>
    </row>
    <row r="741" spans="6:6" ht="15.75" customHeight="1" x14ac:dyDescent="0.3">
      <c r="F741" s="2635"/>
    </row>
    <row r="742" spans="6:6" ht="15.75" customHeight="1" x14ac:dyDescent="0.3">
      <c r="F742" s="2635"/>
    </row>
    <row r="743" spans="6:6" ht="15.75" customHeight="1" x14ac:dyDescent="0.3">
      <c r="F743" s="2635"/>
    </row>
    <row r="744" spans="6:6" ht="15.75" customHeight="1" x14ac:dyDescent="0.3">
      <c r="F744" s="2635"/>
    </row>
    <row r="745" spans="6:6" ht="15.75" customHeight="1" x14ac:dyDescent="0.3">
      <c r="F745" s="2635"/>
    </row>
    <row r="746" spans="6:6" ht="15.75" customHeight="1" x14ac:dyDescent="0.3">
      <c r="F746" s="2635"/>
    </row>
    <row r="747" spans="6:6" ht="15.75" customHeight="1" x14ac:dyDescent="0.3">
      <c r="F747" s="2635"/>
    </row>
    <row r="748" spans="6:6" ht="15.75" customHeight="1" x14ac:dyDescent="0.3">
      <c r="F748" s="2635"/>
    </row>
    <row r="749" spans="6:6" ht="15.75" customHeight="1" x14ac:dyDescent="0.3">
      <c r="F749" s="2635"/>
    </row>
    <row r="750" spans="6:6" ht="15.75" customHeight="1" x14ac:dyDescent="0.3">
      <c r="F750" s="2635"/>
    </row>
    <row r="751" spans="6:6" ht="15.75" customHeight="1" x14ac:dyDescent="0.3">
      <c r="F751" s="2635"/>
    </row>
    <row r="752" spans="6:6" ht="15.75" customHeight="1" x14ac:dyDescent="0.3">
      <c r="F752" s="2635"/>
    </row>
    <row r="753" spans="6:6" ht="15.75" customHeight="1" x14ac:dyDescent="0.3">
      <c r="F753" s="2635"/>
    </row>
    <row r="754" spans="6:6" ht="15.75" customHeight="1" x14ac:dyDescent="0.3">
      <c r="F754" s="2635"/>
    </row>
    <row r="755" spans="6:6" ht="15.75" customHeight="1" x14ac:dyDescent="0.3">
      <c r="F755" s="2635"/>
    </row>
    <row r="756" spans="6:6" ht="15.75" customHeight="1" x14ac:dyDescent="0.3">
      <c r="F756" s="2635"/>
    </row>
    <row r="757" spans="6:6" ht="15.75" customHeight="1" x14ac:dyDescent="0.3">
      <c r="F757" s="2635"/>
    </row>
    <row r="758" spans="6:6" ht="15.75" customHeight="1" x14ac:dyDescent="0.3">
      <c r="F758" s="2635"/>
    </row>
    <row r="759" spans="6:6" ht="15.75" customHeight="1" x14ac:dyDescent="0.3">
      <c r="F759" s="2635"/>
    </row>
    <row r="760" spans="6:6" ht="15.75" customHeight="1" x14ac:dyDescent="0.3">
      <c r="F760" s="2635"/>
    </row>
    <row r="761" spans="6:6" ht="15.75" customHeight="1" x14ac:dyDescent="0.3">
      <c r="F761" s="2635"/>
    </row>
    <row r="762" spans="6:6" ht="15.75" customHeight="1" x14ac:dyDescent="0.3">
      <c r="F762" s="2635"/>
    </row>
    <row r="763" spans="6:6" ht="15.75" customHeight="1" x14ac:dyDescent="0.3">
      <c r="F763" s="2635"/>
    </row>
    <row r="764" spans="6:6" ht="15.75" customHeight="1" x14ac:dyDescent="0.3">
      <c r="F764" s="2635"/>
    </row>
    <row r="765" spans="6:6" ht="15.75" customHeight="1" x14ac:dyDescent="0.3">
      <c r="F765" s="2635"/>
    </row>
    <row r="766" spans="6:6" ht="15.75" customHeight="1" x14ac:dyDescent="0.3">
      <c r="F766" s="2635"/>
    </row>
    <row r="767" spans="6:6" ht="15.75" customHeight="1" x14ac:dyDescent="0.3">
      <c r="F767" s="2635"/>
    </row>
    <row r="768" spans="6:6" ht="15.75" customHeight="1" x14ac:dyDescent="0.3">
      <c r="F768" s="2635"/>
    </row>
    <row r="769" spans="6:6" ht="15.75" customHeight="1" x14ac:dyDescent="0.3">
      <c r="F769" s="2635"/>
    </row>
    <row r="770" spans="6:6" ht="15.75" customHeight="1" x14ac:dyDescent="0.3">
      <c r="F770" s="2635"/>
    </row>
    <row r="771" spans="6:6" ht="15.75" customHeight="1" x14ac:dyDescent="0.3">
      <c r="F771" s="2635"/>
    </row>
    <row r="772" spans="6:6" ht="15.75" customHeight="1" x14ac:dyDescent="0.3">
      <c r="F772" s="2635"/>
    </row>
    <row r="773" spans="6:6" ht="15.75" customHeight="1" x14ac:dyDescent="0.3">
      <c r="F773" s="2635"/>
    </row>
    <row r="774" spans="6:6" ht="15.75" customHeight="1" x14ac:dyDescent="0.3">
      <c r="F774" s="2635"/>
    </row>
    <row r="775" spans="6:6" ht="15.75" customHeight="1" x14ac:dyDescent="0.3">
      <c r="F775" s="2635"/>
    </row>
    <row r="776" spans="6:6" ht="15.75" customHeight="1" x14ac:dyDescent="0.3">
      <c r="F776" s="2635"/>
    </row>
    <row r="777" spans="6:6" ht="15.75" customHeight="1" x14ac:dyDescent="0.3">
      <c r="F777" s="2635"/>
    </row>
    <row r="778" spans="6:6" ht="15.75" customHeight="1" x14ac:dyDescent="0.3">
      <c r="F778" s="2635"/>
    </row>
    <row r="779" spans="6:6" ht="15.75" customHeight="1" x14ac:dyDescent="0.3">
      <c r="F779" s="2635"/>
    </row>
    <row r="780" spans="6:6" ht="15.75" customHeight="1" x14ac:dyDescent="0.3">
      <c r="F780" s="2635"/>
    </row>
    <row r="781" spans="6:6" ht="15.75" customHeight="1" x14ac:dyDescent="0.3">
      <c r="F781" s="2635"/>
    </row>
    <row r="782" spans="6:6" ht="15.75" customHeight="1" x14ac:dyDescent="0.3">
      <c r="F782" s="2635"/>
    </row>
    <row r="783" spans="6:6" ht="15.75" customHeight="1" x14ac:dyDescent="0.3">
      <c r="F783" s="2635"/>
    </row>
    <row r="784" spans="6:6" ht="15.75" customHeight="1" x14ac:dyDescent="0.3">
      <c r="F784" s="2635"/>
    </row>
    <row r="785" spans="6:6" ht="15.75" customHeight="1" x14ac:dyDescent="0.3">
      <c r="F785" s="2635"/>
    </row>
    <row r="786" spans="6:6" ht="15.75" customHeight="1" x14ac:dyDescent="0.3">
      <c r="F786" s="2635"/>
    </row>
    <row r="787" spans="6:6" ht="15.75" customHeight="1" x14ac:dyDescent="0.3">
      <c r="F787" s="2635"/>
    </row>
    <row r="788" spans="6:6" ht="15.75" customHeight="1" x14ac:dyDescent="0.3">
      <c r="F788" s="2635"/>
    </row>
    <row r="789" spans="6:6" ht="15.75" customHeight="1" x14ac:dyDescent="0.3">
      <c r="F789" s="2635"/>
    </row>
    <row r="790" spans="6:6" ht="15.75" customHeight="1" x14ac:dyDescent="0.3">
      <c r="F790" s="2635"/>
    </row>
    <row r="791" spans="6:6" ht="15.75" customHeight="1" x14ac:dyDescent="0.3">
      <c r="F791" s="2635"/>
    </row>
    <row r="792" spans="6:6" ht="15.75" customHeight="1" x14ac:dyDescent="0.3">
      <c r="F792" s="2635"/>
    </row>
    <row r="793" spans="6:6" ht="15.75" customHeight="1" x14ac:dyDescent="0.3">
      <c r="F793" s="2635"/>
    </row>
    <row r="794" spans="6:6" ht="15.75" customHeight="1" x14ac:dyDescent="0.3">
      <c r="F794" s="2635"/>
    </row>
    <row r="795" spans="6:6" ht="15.75" customHeight="1" x14ac:dyDescent="0.3">
      <c r="F795" s="2635"/>
    </row>
    <row r="796" spans="6:6" ht="15.75" customHeight="1" x14ac:dyDescent="0.3">
      <c r="F796" s="2635"/>
    </row>
    <row r="797" spans="6:6" ht="15.75" customHeight="1" x14ac:dyDescent="0.3">
      <c r="F797" s="2635"/>
    </row>
    <row r="798" spans="6:6" ht="15.75" customHeight="1" x14ac:dyDescent="0.3">
      <c r="F798" s="2635"/>
    </row>
    <row r="799" spans="6:6" ht="15.75" customHeight="1" x14ac:dyDescent="0.3">
      <c r="F799" s="2635"/>
    </row>
    <row r="800" spans="6:6" ht="15.75" customHeight="1" x14ac:dyDescent="0.3">
      <c r="F800" s="2635"/>
    </row>
    <row r="801" spans="6:6" ht="15.75" customHeight="1" x14ac:dyDescent="0.3">
      <c r="F801" s="2635"/>
    </row>
    <row r="802" spans="6:6" ht="15.75" customHeight="1" x14ac:dyDescent="0.3">
      <c r="F802" s="2635"/>
    </row>
    <row r="803" spans="6:6" ht="15.75" customHeight="1" x14ac:dyDescent="0.3">
      <c r="F803" s="2635"/>
    </row>
    <row r="804" spans="6:6" ht="15.75" customHeight="1" x14ac:dyDescent="0.3">
      <c r="F804" s="2635"/>
    </row>
    <row r="805" spans="6:6" ht="15.75" customHeight="1" x14ac:dyDescent="0.3">
      <c r="F805" s="2635"/>
    </row>
    <row r="806" spans="6:6" ht="15.75" customHeight="1" x14ac:dyDescent="0.3">
      <c r="F806" s="2635"/>
    </row>
    <row r="807" spans="6:6" ht="15.75" customHeight="1" x14ac:dyDescent="0.3">
      <c r="F807" s="2635"/>
    </row>
    <row r="808" spans="6:6" ht="15.75" customHeight="1" x14ac:dyDescent="0.3">
      <c r="F808" s="2635"/>
    </row>
    <row r="809" spans="6:6" ht="15.75" customHeight="1" x14ac:dyDescent="0.3">
      <c r="F809" s="2635"/>
    </row>
    <row r="810" spans="6:6" ht="15.75" customHeight="1" x14ac:dyDescent="0.3">
      <c r="F810" s="2635"/>
    </row>
    <row r="811" spans="6:6" ht="15.75" customHeight="1" x14ac:dyDescent="0.3">
      <c r="F811" s="2635"/>
    </row>
    <row r="812" spans="6:6" ht="15.75" customHeight="1" x14ac:dyDescent="0.3">
      <c r="F812" s="2635"/>
    </row>
    <row r="813" spans="6:6" ht="15.75" customHeight="1" x14ac:dyDescent="0.3">
      <c r="F813" s="2635"/>
    </row>
    <row r="814" spans="6:6" ht="15.75" customHeight="1" x14ac:dyDescent="0.3">
      <c r="F814" s="2635"/>
    </row>
    <row r="815" spans="6:6" ht="15.75" customHeight="1" x14ac:dyDescent="0.3">
      <c r="F815" s="2635"/>
    </row>
    <row r="816" spans="6:6" ht="15.75" customHeight="1" x14ac:dyDescent="0.3">
      <c r="F816" s="2635"/>
    </row>
    <row r="817" spans="6:6" ht="15.75" customHeight="1" x14ac:dyDescent="0.3">
      <c r="F817" s="2635"/>
    </row>
    <row r="818" spans="6:6" ht="15.75" customHeight="1" x14ac:dyDescent="0.3">
      <c r="F818" s="2635"/>
    </row>
    <row r="819" spans="6:6" ht="15.75" customHeight="1" x14ac:dyDescent="0.3">
      <c r="F819" s="2635"/>
    </row>
    <row r="820" spans="6:6" ht="15.75" customHeight="1" x14ac:dyDescent="0.3">
      <c r="F820" s="2635"/>
    </row>
    <row r="821" spans="6:6" ht="15.75" customHeight="1" x14ac:dyDescent="0.3">
      <c r="F821" s="2635"/>
    </row>
    <row r="822" spans="6:6" ht="15.75" customHeight="1" x14ac:dyDescent="0.3">
      <c r="F822" s="2635"/>
    </row>
    <row r="823" spans="6:6" ht="15.75" customHeight="1" x14ac:dyDescent="0.3">
      <c r="F823" s="2635"/>
    </row>
    <row r="824" spans="6:6" ht="15.75" customHeight="1" x14ac:dyDescent="0.3">
      <c r="F824" s="2635"/>
    </row>
    <row r="825" spans="6:6" ht="15.75" customHeight="1" x14ac:dyDescent="0.3">
      <c r="F825" s="2635"/>
    </row>
    <row r="826" spans="6:6" ht="15.75" customHeight="1" x14ac:dyDescent="0.3">
      <c r="F826" s="2635"/>
    </row>
    <row r="827" spans="6:6" ht="15.75" customHeight="1" x14ac:dyDescent="0.3">
      <c r="F827" s="2635"/>
    </row>
    <row r="828" spans="6:6" ht="15.75" customHeight="1" x14ac:dyDescent="0.3">
      <c r="F828" s="2635"/>
    </row>
    <row r="829" spans="6:6" ht="15.75" customHeight="1" x14ac:dyDescent="0.3">
      <c r="F829" s="2635"/>
    </row>
    <row r="830" spans="6:6" ht="15.75" customHeight="1" x14ac:dyDescent="0.3">
      <c r="F830" s="2635"/>
    </row>
    <row r="831" spans="6:6" ht="15.75" customHeight="1" x14ac:dyDescent="0.3">
      <c r="F831" s="2635"/>
    </row>
    <row r="832" spans="6:6" ht="15.75" customHeight="1" x14ac:dyDescent="0.3">
      <c r="F832" s="2635"/>
    </row>
    <row r="833" spans="6:6" ht="15.75" customHeight="1" x14ac:dyDescent="0.3">
      <c r="F833" s="2635"/>
    </row>
    <row r="834" spans="6:6" ht="15.75" customHeight="1" x14ac:dyDescent="0.3">
      <c r="F834" s="2635"/>
    </row>
    <row r="835" spans="6:6" ht="15.75" customHeight="1" x14ac:dyDescent="0.3">
      <c r="F835" s="2635"/>
    </row>
    <row r="836" spans="6:6" ht="15.75" customHeight="1" x14ac:dyDescent="0.3">
      <c r="F836" s="2635"/>
    </row>
    <row r="837" spans="6:6" ht="15.75" customHeight="1" x14ac:dyDescent="0.3">
      <c r="F837" s="2635"/>
    </row>
    <row r="838" spans="6:6" ht="15.75" customHeight="1" x14ac:dyDescent="0.3">
      <c r="F838" s="2635"/>
    </row>
    <row r="839" spans="6:6" ht="15.75" customHeight="1" x14ac:dyDescent="0.3">
      <c r="F839" s="2635"/>
    </row>
    <row r="840" spans="6:6" ht="15.75" customHeight="1" x14ac:dyDescent="0.3">
      <c r="F840" s="2635"/>
    </row>
    <row r="841" spans="6:6" ht="15.75" customHeight="1" x14ac:dyDescent="0.3">
      <c r="F841" s="2635"/>
    </row>
    <row r="842" spans="6:6" ht="15.75" customHeight="1" x14ac:dyDescent="0.3">
      <c r="F842" s="2635"/>
    </row>
    <row r="843" spans="6:6" ht="15.75" customHeight="1" x14ac:dyDescent="0.3">
      <c r="F843" s="2635"/>
    </row>
    <row r="844" spans="6:6" ht="15.75" customHeight="1" x14ac:dyDescent="0.3">
      <c r="F844" s="2635"/>
    </row>
    <row r="845" spans="6:6" ht="15.75" customHeight="1" x14ac:dyDescent="0.3">
      <c r="F845" s="2635"/>
    </row>
    <row r="846" spans="6:6" ht="15.75" customHeight="1" x14ac:dyDescent="0.3">
      <c r="F846" s="2635"/>
    </row>
    <row r="847" spans="6:6" ht="15.75" customHeight="1" x14ac:dyDescent="0.3">
      <c r="F847" s="2635"/>
    </row>
    <row r="848" spans="6:6" ht="15.75" customHeight="1" x14ac:dyDescent="0.3">
      <c r="F848" s="2635"/>
    </row>
    <row r="849" spans="6:6" ht="15.75" customHeight="1" x14ac:dyDescent="0.3">
      <c r="F849" s="2635"/>
    </row>
    <row r="850" spans="6:6" ht="15.75" customHeight="1" x14ac:dyDescent="0.3">
      <c r="F850" s="2635"/>
    </row>
    <row r="851" spans="6:6" ht="15.75" customHeight="1" x14ac:dyDescent="0.3">
      <c r="F851" s="2635"/>
    </row>
    <row r="852" spans="6:6" ht="15.75" customHeight="1" x14ac:dyDescent="0.3">
      <c r="F852" s="2635"/>
    </row>
    <row r="853" spans="6:6" ht="15.75" customHeight="1" x14ac:dyDescent="0.3">
      <c r="F853" s="2635"/>
    </row>
    <row r="854" spans="6:6" ht="15.75" customHeight="1" x14ac:dyDescent="0.3">
      <c r="F854" s="2635"/>
    </row>
    <row r="855" spans="6:6" ht="15.75" customHeight="1" x14ac:dyDescent="0.3">
      <c r="F855" s="2635"/>
    </row>
    <row r="856" spans="6:6" ht="15.75" customHeight="1" x14ac:dyDescent="0.3">
      <c r="F856" s="2635"/>
    </row>
    <row r="857" spans="6:6" ht="15.75" customHeight="1" x14ac:dyDescent="0.3">
      <c r="F857" s="2635"/>
    </row>
    <row r="858" spans="6:6" ht="15.75" customHeight="1" x14ac:dyDescent="0.3">
      <c r="F858" s="2635"/>
    </row>
    <row r="859" spans="6:6" ht="15.75" customHeight="1" x14ac:dyDescent="0.3">
      <c r="F859" s="2635"/>
    </row>
    <row r="860" spans="6:6" ht="15.75" customHeight="1" x14ac:dyDescent="0.3">
      <c r="F860" s="2635"/>
    </row>
    <row r="861" spans="6:6" ht="15.75" customHeight="1" x14ac:dyDescent="0.3">
      <c r="F861" s="2635"/>
    </row>
    <row r="862" spans="6:6" ht="15.75" customHeight="1" x14ac:dyDescent="0.3">
      <c r="F862" s="2635"/>
    </row>
    <row r="863" spans="6:6" ht="15.75" customHeight="1" x14ac:dyDescent="0.3">
      <c r="F863" s="2635"/>
    </row>
    <row r="864" spans="6:6" ht="15.75" customHeight="1" x14ac:dyDescent="0.3">
      <c r="F864" s="2635"/>
    </row>
    <row r="865" spans="6:6" ht="15.75" customHeight="1" x14ac:dyDescent="0.3">
      <c r="F865" s="2635"/>
    </row>
    <row r="866" spans="6:6" ht="15.75" customHeight="1" x14ac:dyDescent="0.3">
      <c r="F866" s="2635"/>
    </row>
    <row r="867" spans="6:6" ht="15.75" customHeight="1" x14ac:dyDescent="0.3">
      <c r="F867" s="2635"/>
    </row>
    <row r="868" spans="6:6" ht="15.75" customHeight="1" x14ac:dyDescent="0.3">
      <c r="F868" s="2635"/>
    </row>
    <row r="869" spans="6:6" ht="15.75" customHeight="1" x14ac:dyDescent="0.3">
      <c r="F869" s="2635"/>
    </row>
    <row r="870" spans="6:6" ht="15.75" customHeight="1" x14ac:dyDescent="0.3">
      <c r="F870" s="2635"/>
    </row>
    <row r="871" spans="6:6" ht="15.75" customHeight="1" x14ac:dyDescent="0.3">
      <c r="F871" s="2635"/>
    </row>
    <row r="872" spans="6:6" ht="15.75" customHeight="1" x14ac:dyDescent="0.3">
      <c r="F872" s="2635"/>
    </row>
    <row r="873" spans="6:6" ht="15.75" customHeight="1" x14ac:dyDescent="0.3">
      <c r="F873" s="2635"/>
    </row>
    <row r="874" spans="6:6" ht="15.75" customHeight="1" x14ac:dyDescent="0.3">
      <c r="F874" s="2635"/>
    </row>
    <row r="875" spans="6:6" ht="15.75" customHeight="1" x14ac:dyDescent="0.3">
      <c r="F875" s="2635"/>
    </row>
    <row r="876" spans="6:6" ht="15.75" customHeight="1" x14ac:dyDescent="0.3">
      <c r="F876" s="2635"/>
    </row>
    <row r="877" spans="6:6" ht="15.75" customHeight="1" x14ac:dyDescent="0.3">
      <c r="F877" s="2635"/>
    </row>
    <row r="878" spans="6:6" ht="15.75" customHeight="1" x14ac:dyDescent="0.3">
      <c r="F878" s="2635"/>
    </row>
    <row r="879" spans="6:6" ht="15.75" customHeight="1" x14ac:dyDescent="0.3">
      <c r="F879" s="2635"/>
    </row>
    <row r="880" spans="6:6" ht="15.75" customHeight="1" x14ac:dyDescent="0.3">
      <c r="F880" s="2635"/>
    </row>
    <row r="881" spans="6:6" ht="15.75" customHeight="1" x14ac:dyDescent="0.3">
      <c r="F881" s="2635"/>
    </row>
    <row r="882" spans="6:6" ht="15.75" customHeight="1" x14ac:dyDescent="0.3">
      <c r="F882" s="2635"/>
    </row>
    <row r="883" spans="6:6" ht="15.75" customHeight="1" x14ac:dyDescent="0.3">
      <c r="F883" s="2635"/>
    </row>
    <row r="884" spans="6:6" ht="15.75" customHeight="1" x14ac:dyDescent="0.3">
      <c r="F884" s="2635"/>
    </row>
    <row r="885" spans="6:6" ht="15.75" customHeight="1" x14ac:dyDescent="0.3">
      <c r="F885" s="2635"/>
    </row>
    <row r="886" spans="6:6" ht="15.75" customHeight="1" x14ac:dyDescent="0.3">
      <c r="F886" s="2635"/>
    </row>
    <row r="887" spans="6:6" ht="15.75" customHeight="1" x14ac:dyDescent="0.3">
      <c r="F887" s="2635"/>
    </row>
    <row r="888" spans="6:6" ht="15.75" customHeight="1" x14ac:dyDescent="0.3">
      <c r="F888" s="2635"/>
    </row>
    <row r="889" spans="6:6" ht="15.75" customHeight="1" x14ac:dyDescent="0.3">
      <c r="F889" s="2635"/>
    </row>
    <row r="890" spans="6:6" ht="15.75" customHeight="1" x14ac:dyDescent="0.3">
      <c r="F890" s="2635"/>
    </row>
    <row r="891" spans="6:6" ht="15.75" customHeight="1" x14ac:dyDescent="0.3">
      <c r="F891" s="2635"/>
    </row>
    <row r="892" spans="6:6" ht="15.75" customHeight="1" x14ac:dyDescent="0.3">
      <c r="F892" s="2635"/>
    </row>
    <row r="893" spans="6:6" ht="15.75" customHeight="1" x14ac:dyDescent="0.3">
      <c r="F893" s="2635"/>
    </row>
    <row r="894" spans="6:6" ht="15.75" customHeight="1" x14ac:dyDescent="0.3">
      <c r="F894" s="2635"/>
    </row>
    <row r="895" spans="6:6" ht="15.75" customHeight="1" x14ac:dyDescent="0.3">
      <c r="F895" s="2635"/>
    </row>
    <row r="896" spans="6:6" ht="15.75" customHeight="1" x14ac:dyDescent="0.3">
      <c r="F896" s="2635"/>
    </row>
    <row r="897" spans="6:6" ht="15.75" customHeight="1" x14ac:dyDescent="0.3">
      <c r="F897" s="2635"/>
    </row>
    <row r="898" spans="6:6" ht="15.75" customHeight="1" x14ac:dyDescent="0.3">
      <c r="F898" s="2635"/>
    </row>
    <row r="899" spans="6:6" ht="15.75" customHeight="1" x14ac:dyDescent="0.3">
      <c r="F899" s="2635"/>
    </row>
    <row r="900" spans="6:6" ht="15.75" customHeight="1" x14ac:dyDescent="0.3">
      <c r="F900" s="2635"/>
    </row>
    <row r="901" spans="6:6" ht="15.75" customHeight="1" x14ac:dyDescent="0.3">
      <c r="F901" s="2635"/>
    </row>
    <row r="902" spans="6:6" ht="15.75" customHeight="1" x14ac:dyDescent="0.3">
      <c r="F902" s="2635"/>
    </row>
    <row r="903" spans="6:6" ht="15.75" customHeight="1" x14ac:dyDescent="0.3">
      <c r="F903" s="2635"/>
    </row>
    <row r="904" spans="6:6" ht="15.75" customHeight="1" x14ac:dyDescent="0.3">
      <c r="F904" s="2635"/>
    </row>
    <row r="905" spans="6:6" ht="15.75" customHeight="1" x14ac:dyDescent="0.3">
      <c r="F905" s="2635"/>
    </row>
    <row r="906" spans="6:6" ht="15.75" customHeight="1" x14ac:dyDescent="0.3">
      <c r="F906" s="2635"/>
    </row>
    <row r="907" spans="6:6" ht="15.75" customHeight="1" x14ac:dyDescent="0.3">
      <c r="F907" s="2635"/>
    </row>
    <row r="908" spans="6:6" ht="15.75" customHeight="1" x14ac:dyDescent="0.3">
      <c r="F908" s="2635"/>
    </row>
    <row r="909" spans="6:6" ht="15.75" customHeight="1" x14ac:dyDescent="0.3">
      <c r="F909" s="2635"/>
    </row>
    <row r="910" spans="6:6" ht="15.75" customHeight="1" x14ac:dyDescent="0.3">
      <c r="F910" s="2635"/>
    </row>
    <row r="911" spans="6:6" ht="15.75" customHeight="1" x14ac:dyDescent="0.3">
      <c r="F911" s="2635"/>
    </row>
    <row r="912" spans="6:6" ht="15.75" customHeight="1" x14ac:dyDescent="0.3">
      <c r="F912" s="2635"/>
    </row>
    <row r="913" spans="6:6" ht="15.75" customHeight="1" x14ac:dyDescent="0.3">
      <c r="F913" s="2635"/>
    </row>
    <row r="914" spans="6:6" ht="15.75" customHeight="1" x14ac:dyDescent="0.3">
      <c r="F914" s="2635"/>
    </row>
    <row r="915" spans="6:6" ht="15.75" customHeight="1" x14ac:dyDescent="0.3">
      <c r="F915" s="2635"/>
    </row>
    <row r="916" spans="6:6" ht="15.75" customHeight="1" x14ac:dyDescent="0.3">
      <c r="F916" s="2635"/>
    </row>
    <row r="917" spans="6:6" ht="15.75" customHeight="1" x14ac:dyDescent="0.3">
      <c r="F917" s="2635"/>
    </row>
    <row r="918" spans="6:6" ht="15.75" customHeight="1" x14ac:dyDescent="0.3">
      <c r="F918" s="2635"/>
    </row>
    <row r="919" spans="6:6" ht="15.75" customHeight="1" x14ac:dyDescent="0.3">
      <c r="F919" s="2635"/>
    </row>
    <row r="920" spans="6:6" ht="15.75" customHeight="1" x14ac:dyDescent="0.3">
      <c r="F920" s="2635"/>
    </row>
    <row r="921" spans="6:6" ht="15.75" customHeight="1" x14ac:dyDescent="0.3">
      <c r="F921" s="2635"/>
    </row>
    <row r="922" spans="6:6" ht="15.75" customHeight="1" x14ac:dyDescent="0.3">
      <c r="F922" s="2635"/>
    </row>
    <row r="923" spans="6:6" ht="15.75" customHeight="1" x14ac:dyDescent="0.3">
      <c r="F923" s="2635"/>
    </row>
    <row r="924" spans="6:6" ht="15.75" customHeight="1" x14ac:dyDescent="0.3">
      <c r="F924" s="2635"/>
    </row>
    <row r="925" spans="6:6" ht="15.75" customHeight="1" x14ac:dyDescent="0.3">
      <c r="F925" s="2635"/>
    </row>
    <row r="926" spans="6:6" ht="15.75" customHeight="1" x14ac:dyDescent="0.3">
      <c r="F926" s="2635"/>
    </row>
    <row r="927" spans="6:6" ht="15.75" customHeight="1" x14ac:dyDescent="0.3">
      <c r="F927" s="2635"/>
    </row>
    <row r="928" spans="6:6" ht="15.75" customHeight="1" x14ac:dyDescent="0.3">
      <c r="F928" s="2635"/>
    </row>
    <row r="929" spans="6:6" ht="15.75" customHeight="1" x14ac:dyDescent="0.3">
      <c r="F929" s="2635"/>
    </row>
    <row r="930" spans="6:6" ht="15.75" customHeight="1" x14ac:dyDescent="0.3">
      <c r="F930" s="2635"/>
    </row>
    <row r="931" spans="6:6" ht="15.75" customHeight="1" x14ac:dyDescent="0.3">
      <c r="F931" s="2635"/>
    </row>
    <row r="932" spans="6:6" ht="15.75" customHeight="1" x14ac:dyDescent="0.3">
      <c r="F932" s="2635"/>
    </row>
    <row r="933" spans="6:6" ht="15.75" customHeight="1" x14ac:dyDescent="0.3">
      <c r="F933" s="2635"/>
    </row>
    <row r="934" spans="6:6" ht="15.75" customHeight="1" x14ac:dyDescent="0.3">
      <c r="F934" s="2635"/>
    </row>
    <row r="935" spans="6:6" ht="15.75" customHeight="1" x14ac:dyDescent="0.3">
      <c r="F935" s="2635"/>
    </row>
    <row r="936" spans="6:6" ht="15.75" customHeight="1" x14ac:dyDescent="0.3">
      <c r="F936" s="2635"/>
    </row>
    <row r="937" spans="6:6" ht="15.75" customHeight="1" x14ac:dyDescent="0.3">
      <c r="F937" s="2635"/>
    </row>
    <row r="938" spans="6:6" ht="15.75" customHeight="1" x14ac:dyDescent="0.3">
      <c r="F938" s="2635"/>
    </row>
    <row r="939" spans="6:6" ht="15.75" customHeight="1" x14ac:dyDescent="0.3">
      <c r="F939" s="2635"/>
    </row>
    <row r="940" spans="6:6" ht="15.75" customHeight="1" x14ac:dyDescent="0.3">
      <c r="F940" s="2635"/>
    </row>
    <row r="941" spans="6:6" ht="15.75" customHeight="1" x14ac:dyDescent="0.3">
      <c r="F941" s="2635"/>
    </row>
    <row r="942" spans="6:6" ht="15.75" customHeight="1" x14ac:dyDescent="0.3">
      <c r="F942" s="2635"/>
    </row>
    <row r="943" spans="6:6" ht="15.75" customHeight="1" x14ac:dyDescent="0.3">
      <c r="F943" s="2635"/>
    </row>
    <row r="944" spans="6:6" ht="15.75" customHeight="1" x14ac:dyDescent="0.3">
      <c r="F944" s="2635"/>
    </row>
    <row r="945" spans="6:6" ht="15.75" customHeight="1" x14ac:dyDescent="0.3">
      <c r="F945" s="2635"/>
    </row>
    <row r="946" spans="6:6" ht="15.75" customHeight="1" x14ac:dyDescent="0.3">
      <c r="F946" s="2635"/>
    </row>
    <row r="947" spans="6:6" ht="15.75" customHeight="1" x14ac:dyDescent="0.3">
      <c r="F947" s="2635"/>
    </row>
    <row r="948" spans="6:6" ht="15.75" customHeight="1" x14ac:dyDescent="0.3">
      <c r="F948" s="2635"/>
    </row>
    <row r="949" spans="6:6" ht="15.75" customHeight="1" x14ac:dyDescent="0.3">
      <c r="F949" s="2635"/>
    </row>
    <row r="950" spans="6:6" ht="15.75" customHeight="1" x14ac:dyDescent="0.3">
      <c r="F950" s="2635"/>
    </row>
    <row r="951" spans="6:6" ht="15.75" customHeight="1" x14ac:dyDescent="0.3">
      <c r="F951" s="2635"/>
    </row>
    <row r="952" spans="6:6" ht="15.75" customHeight="1" x14ac:dyDescent="0.3">
      <c r="F952" s="2635"/>
    </row>
    <row r="953" spans="6:6" ht="15.75" customHeight="1" x14ac:dyDescent="0.3">
      <c r="F953" s="2635"/>
    </row>
    <row r="954" spans="6:6" ht="15.75" customHeight="1" x14ac:dyDescent="0.3">
      <c r="F954" s="2635"/>
    </row>
    <row r="955" spans="6:6" ht="15.75" customHeight="1" x14ac:dyDescent="0.3">
      <c r="F955" s="2635"/>
    </row>
    <row r="956" spans="6:6" ht="15.75" customHeight="1" x14ac:dyDescent="0.3">
      <c r="F956" s="2635"/>
    </row>
    <row r="957" spans="6:6" ht="15.75" customHeight="1" x14ac:dyDescent="0.3">
      <c r="F957" s="2635"/>
    </row>
    <row r="958" spans="6:6" ht="15.75" customHeight="1" x14ac:dyDescent="0.3">
      <c r="F958" s="2635"/>
    </row>
    <row r="959" spans="6:6" ht="15.75" customHeight="1" x14ac:dyDescent="0.3">
      <c r="F959" s="2635"/>
    </row>
    <row r="960" spans="6:6" ht="15.75" customHeight="1" x14ac:dyDescent="0.3">
      <c r="F960" s="2635"/>
    </row>
    <row r="961" spans="6:6" ht="15.75" customHeight="1" x14ac:dyDescent="0.3">
      <c r="F961" s="2635"/>
    </row>
    <row r="962" spans="6:6" ht="15.75" customHeight="1" x14ac:dyDescent="0.3">
      <c r="F962" s="2635"/>
    </row>
    <row r="963" spans="6:6" ht="15.75" customHeight="1" x14ac:dyDescent="0.3">
      <c r="F963" s="2635"/>
    </row>
    <row r="964" spans="6:6" ht="15.75" customHeight="1" x14ac:dyDescent="0.3">
      <c r="F964" s="2635"/>
    </row>
    <row r="965" spans="6:6" ht="15.75" customHeight="1" x14ac:dyDescent="0.3">
      <c r="F965" s="2635"/>
    </row>
    <row r="966" spans="6:6" ht="15.75" customHeight="1" x14ac:dyDescent="0.3">
      <c r="F966" s="2635"/>
    </row>
    <row r="967" spans="6:6" ht="15.75" customHeight="1" x14ac:dyDescent="0.3">
      <c r="F967" s="2635"/>
    </row>
    <row r="968" spans="6:6" ht="15.75" customHeight="1" x14ac:dyDescent="0.3">
      <c r="F968" s="2635"/>
    </row>
    <row r="969" spans="6:6" ht="15.75" customHeight="1" x14ac:dyDescent="0.3">
      <c r="F969" s="2635"/>
    </row>
    <row r="970" spans="6:6" ht="15.75" customHeight="1" x14ac:dyDescent="0.3">
      <c r="F970" s="2635"/>
    </row>
    <row r="971" spans="6:6" ht="15.75" customHeight="1" x14ac:dyDescent="0.3">
      <c r="F971" s="2635"/>
    </row>
    <row r="972" spans="6:6" ht="15.75" customHeight="1" x14ac:dyDescent="0.3">
      <c r="F972" s="2635"/>
    </row>
    <row r="973" spans="6:6" ht="15.75" customHeight="1" x14ac:dyDescent="0.3">
      <c r="F973" s="2635"/>
    </row>
    <row r="974" spans="6:6" ht="15.75" customHeight="1" x14ac:dyDescent="0.3">
      <c r="F974" s="2635"/>
    </row>
    <row r="975" spans="6:6" ht="15.75" customHeight="1" x14ac:dyDescent="0.3">
      <c r="F975" s="2635"/>
    </row>
    <row r="976" spans="6:6" ht="15.75" customHeight="1" x14ac:dyDescent="0.3">
      <c r="F976" s="2635"/>
    </row>
    <row r="977" spans="6:6" ht="15.75" customHeight="1" x14ac:dyDescent="0.3">
      <c r="F977" s="2635"/>
    </row>
    <row r="978" spans="6:6" ht="15.75" customHeight="1" x14ac:dyDescent="0.3">
      <c r="F978" s="2635"/>
    </row>
    <row r="979" spans="6:6" ht="15.75" customHeight="1" x14ac:dyDescent="0.3">
      <c r="F979" s="2635"/>
    </row>
    <row r="980" spans="6:6" ht="15.75" customHeight="1" x14ac:dyDescent="0.3">
      <c r="F980" s="2635"/>
    </row>
    <row r="981" spans="6:6" ht="15.75" customHeight="1" x14ac:dyDescent="0.3">
      <c r="F981" s="2635"/>
    </row>
    <row r="982" spans="6:6" ht="15.75" customHeight="1" x14ac:dyDescent="0.3">
      <c r="F982" s="2635"/>
    </row>
    <row r="983" spans="6:6" ht="15.75" customHeight="1" x14ac:dyDescent="0.3">
      <c r="F983" s="2635"/>
    </row>
    <row r="984" spans="6:6" ht="15.75" customHeight="1" x14ac:dyDescent="0.3">
      <c r="F984" s="2635"/>
    </row>
    <row r="985" spans="6:6" ht="15.75" customHeight="1" x14ac:dyDescent="0.3">
      <c r="F985" s="2635"/>
    </row>
    <row r="986" spans="6:6" ht="15.75" customHeight="1" x14ac:dyDescent="0.3">
      <c r="F986" s="2635"/>
    </row>
  </sheetData>
  <dataValidations count="1">
    <dataValidation type="list" allowBlank="1" showErrorMessage="1" sqref="B17 B24" xr:uid="{B7D7DEEE-6D4A-4C8A-9864-129908CD8457}">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3B84C-787D-43BF-ACE3-F8B68066CFDA}">
  <dimension ref="A1:AD909"/>
  <sheetViews>
    <sheetView topLeftCell="A16" zoomScale="77" workbookViewId="0">
      <selection activeCell="AB13" sqref="AB13"/>
    </sheetView>
  </sheetViews>
  <sheetFormatPr defaultColWidth="12.33203125" defaultRowHeight="15" customHeight="1" x14ac:dyDescent="0.3"/>
  <cols>
    <col min="1" max="1" width="2.6640625" style="1336" customWidth="1"/>
    <col min="2" max="2" width="5.109375" style="1336" customWidth="1"/>
    <col min="3" max="3" width="32.77734375" style="1336" customWidth="1"/>
    <col min="4" max="4" width="29.5546875" style="1336" customWidth="1"/>
    <col min="5" max="5" width="9.5546875" style="1336" customWidth="1"/>
    <col min="6" max="6" width="30" style="1336" customWidth="1"/>
    <col min="7" max="7" width="12.77734375" style="1336" customWidth="1"/>
    <col min="8" max="8" width="12.77734375" style="1336" hidden="1" customWidth="1"/>
    <col min="9" max="9" width="13.5546875" style="1336" bestFit="1" customWidth="1"/>
    <col min="10" max="10" width="13.88671875" style="1336" hidden="1" customWidth="1"/>
    <col min="11" max="14" width="14.88671875" style="1336" hidden="1" customWidth="1"/>
    <col min="15" max="16" width="16.21875" style="1336" hidden="1" customWidth="1"/>
    <col min="17" max="21" width="14.88671875" style="1336" hidden="1" customWidth="1"/>
    <col min="22" max="22" width="7.21875" style="1336" hidden="1" customWidth="1"/>
    <col min="23" max="23" width="10.6640625" style="1336" hidden="1" customWidth="1"/>
    <col min="24" max="24" width="11.109375" style="1336" hidden="1" customWidth="1"/>
    <col min="25" max="25" width="11.5546875" style="1336" hidden="1" customWidth="1"/>
    <col min="26" max="26" width="11.5546875" style="1336" customWidth="1"/>
    <col min="27" max="30" width="11.6640625" style="1336" customWidth="1"/>
    <col min="31" max="16384" width="12.33203125" style="1336"/>
  </cols>
  <sheetData>
    <row r="1" spans="1:30" ht="23.25" customHeight="1" x14ac:dyDescent="0.35">
      <c r="A1" s="1334"/>
      <c r="B1" s="1335" t="s">
        <v>2398</v>
      </c>
    </row>
    <row r="2" spans="1:30" ht="13.5" customHeight="1" x14ac:dyDescent="0.3">
      <c r="A2" s="1334"/>
      <c r="B2" s="1337" t="s">
        <v>340</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row>
    <row r="3" spans="1:30" ht="15.75" customHeight="1" x14ac:dyDescent="0.3">
      <c r="B3" s="1339"/>
    </row>
    <row r="4" spans="1:30" ht="19.350000000000001" customHeight="1" x14ac:dyDescent="0.3">
      <c r="B4" s="1340" t="s">
        <v>1026</v>
      </c>
      <c r="C4" s="1341"/>
      <c r="D4" s="1341"/>
    </row>
    <row r="5" spans="1:30" ht="19.350000000000001" customHeight="1" x14ac:dyDescent="0.3">
      <c r="B5" s="1340" t="s">
        <v>341</v>
      </c>
      <c r="C5" s="1341"/>
      <c r="D5" s="1341"/>
    </row>
    <row r="6" spans="1:30" ht="15.75" customHeight="1" x14ac:dyDescent="0.3">
      <c r="B6" s="1339"/>
    </row>
    <row r="7" spans="1:30" ht="15.75" customHeight="1" x14ac:dyDescent="0.3">
      <c r="B7" s="1342" t="s">
        <v>342</v>
      </c>
    </row>
    <row r="8" spans="1:30" ht="9" customHeight="1" x14ac:dyDescent="0.3">
      <c r="B8" s="1343"/>
      <c r="G8" s="1344"/>
      <c r="H8" s="1344"/>
      <c r="I8" s="1344"/>
      <c r="J8" s="1344"/>
      <c r="K8" s="1344"/>
      <c r="L8" s="1344"/>
      <c r="Z8" s="1344"/>
    </row>
    <row r="9" spans="1:30" ht="15.75" customHeight="1" x14ac:dyDescent="0.3">
      <c r="B9" s="1345" t="s">
        <v>301</v>
      </c>
      <c r="C9" s="1346" t="s">
        <v>343</v>
      </c>
      <c r="D9" s="1347" t="s">
        <v>344</v>
      </c>
      <c r="E9" s="1347" t="s">
        <v>345</v>
      </c>
      <c r="F9" s="1347" t="s">
        <v>346</v>
      </c>
      <c r="G9" s="1348" t="s">
        <v>347</v>
      </c>
      <c r="H9" s="1349">
        <v>2025</v>
      </c>
      <c r="I9" s="1349">
        <v>2024</v>
      </c>
      <c r="J9" s="1349">
        <v>2023</v>
      </c>
      <c r="K9" s="1349">
        <v>2022</v>
      </c>
      <c r="L9" s="1349">
        <v>2021</v>
      </c>
      <c r="M9" s="1349">
        <v>2020</v>
      </c>
      <c r="N9" s="1349">
        <v>2019</v>
      </c>
      <c r="O9" s="1350">
        <v>2018</v>
      </c>
      <c r="P9" s="1350">
        <v>2017</v>
      </c>
      <c r="Q9" s="1350">
        <v>2016</v>
      </c>
      <c r="R9" s="1350">
        <v>2015</v>
      </c>
      <c r="S9" s="1350">
        <v>2014</v>
      </c>
      <c r="T9" s="1350">
        <v>2013</v>
      </c>
      <c r="U9" s="1350">
        <v>2012</v>
      </c>
      <c r="V9" s="1350">
        <v>2011</v>
      </c>
      <c r="W9" s="1350">
        <v>2010</v>
      </c>
      <c r="X9" s="1350">
        <v>2009</v>
      </c>
      <c r="Y9" s="1350">
        <v>2008</v>
      </c>
      <c r="Z9" s="1351" t="s">
        <v>332</v>
      </c>
    </row>
    <row r="10" spans="1:30" ht="24" customHeight="1" x14ac:dyDescent="0.3">
      <c r="A10" s="1352"/>
      <c r="B10" s="1366">
        <v>1</v>
      </c>
      <c r="C10" s="2636" t="s">
        <v>572</v>
      </c>
      <c r="D10" s="2458" t="s">
        <v>361</v>
      </c>
      <c r="E10" s="2637" t="s">
        <v>363</v>
      </c>
      <c r="F10" s="2638"/>
      <c r="G10" s="2639">
        <v>2011</v>
      </c>
      <c r="H10" s="1359"/>
      <c r="I10" s="1359">
        <v>20966</v>
      </c>
      <c r="J10" s="1916">
        <v>25312</v>
      </c>
      <c r="K10" s="2640">
        <v>23806.1</v>
      </c>
      <c r="L10" s="2640">
        <v>13918</v>
      </c>
      <c r="M10" s="2640">
        <v>35410</v>
      </c>
      <c r="N10" s="2640">
        <v>39303</v>
      </c>
      <c r="O10" s="2640">
        <v>55913</v>
      </c>
      <c r="P10" s="2640">
        <v>72904</v>
      </c>
      <c r="Q10" s="2640">
        <v>20000</v>
      </c>
      <c r="R10" s="2640">
        <v>14042</v>
      </c>
      <c r="S10" s="2640">
        <v>15371</v>
      </c>
      <c r="T10" s="2640">
        <v>15391</v>
      </c>
      <c r="U10" s="2641">
        <v>8262</v>
      </c>
      <c r="V10" s="2642">
        <v>0</v>
      </c>
      <c r="W10" s="2643"/>
      <c r="X10" s="2644"/>
      <c r="Y10" s="1410"/>
      <c r="Z10" s="1359"/>
      <c r="AA10" s="1352"/>
      <c r="AB10" s="1352"/>
      <c r="AC10" s="1352"/>
      <c r="AD10" s="1352"/>
    </row>
    <row r="11" spans="1:30" ht="24" customHeight="1" x14ac:dyDescent="0.3">
      <c r="A11" s="1352"/>
      <c r="B11" s="1366"/>
      <c r="C11" s="2645"/>
      <c r="D11" s="2645" t="s">
        <v>361</v>
      </c>
      <c r="E11" s="2646" t="s">
        <v>385</v>
      </c>
      <c r="F11" s="2645" t="s">
        <v>906</v>
      </c>
      <c r="G11" s="2647"/>
      <c r="H11" s="2648"/>
      <c r="I11" s="2649">
        <f>I10*1000</f>
        <v>20966000</v>
      </c>
      <c r="J11" s="2650">
        <f>J10*1000</f>
        <v>25312000</v>
      </c>
      <c r="K11" s="2651">
        <f t="shared" ref="K11:U11" si="0">K10*1000</f>
        <v>23806100</v>
      </c>
      <c r="L11" s="2651">
        <f t="shared" si="0"/>
        <v>13918000</v>
      </c>
      <c r="M11" s="2651">
        <f t="shared" si="0"/>
        <v>35410000</v>
      </c>
      <c r="N11" s="2651">
        <f t="shared" si="0"/>
        <v>39303000</v>
      </c>
      <c r="O11" s="2651">
        <f t="shared" si="0"/>
        <v>55913000</v>
      </c>
      <c r="P11" s="2651">
        <f t="shared" si="0"/>
        <v>72904000</v>
      </c>
      <c r="Q11" s="2651">
        <f t="shared" si="0"/>
        <v>20000000</v>
      </c>
      <c r="R11" s="2651">
        <f t="shared" si="0"/>
        <v>14042000</v>
      </c>
      <c r="S11" s="2651">
        <f t="shared" si="0"/>
        <v>15371000</v>
      </c>
      <c r="T11" s="2651">
        <f t="shared" si="0"/>
        <v>15391000</v>
      </c>
      <c r="U11" s="2651">
        <f t="shared" si="0"/>
        <v>8262000</v>
      </c>
      <c r="V11" s="2652"/>
      <c r="W11" s="2653"/>
      <c r="X11" s="2654"/>
      <c r="Y11" s="2655"/>
      <c r="Z11" s="2648"/>
      <c r="AA11" s="1352"/>
      <c r="AB11" s="1352"/>
      <c r="AC11" s="1352"/>
      <c r="AD11" s="1352"/>
    </row>
    <row r="12" spans="1:30" ht="24" customHeight="1" x14ac:dyDescent="0.3">
      <c r="A12" s="1352"/>
      <c r="B12" s="1366"/>
      <c r="C12" s="2468" t="s">
        <v>478</v>
      </c>
      <c r="D12" s="2468" t="s">
        <v>1479</v>
      </c>
      <c r="E12" s="2469" t="s">
        <v>378</v>
      </c>
      <c r="F12" s="2468" t="s">
        <v>1480</v>
      </c>
      <c r="G12" s="2656"/>
      <c r="H12" s="1370"/>
      <c r="I12" s="1370">
        <v>402547200</v>
      </c>
      <c r="J12" s="1593">
        <f>J11*19.2</f>
        <v>485990400</v>
      </c>
      <c r="K12" s="2657">
        <v>457076947.19999999</v>
      </c>
      <c r="L12" s="2657">
        <v>267225600</v>
      </c>
      <c r="M12" s="2657">
        <v>679872000</v>
      </c>
      <c r="N12" s="2657">
        <v>754617600</v>
      </c>
      <c r="O12" s="2657">
        <v>1073529600</v>
      </c>
      <c r="P12" s="2657">
        <v>1399756800</v>
      </c>
      <c r="Q12" s="2657">
        <v>384000000</v>
      </c>
      <c r="R12" s="2657">
        <v>269606400</v>
      </c>
      <c r="S12" s="2657">
        <v>295123200</v>
      </c>
      <c r="T12" s="2657">
        <v>295507200</v>
      </c>
      <c r="U12" s="2658">
        <v>158630400</v>
      </c>
      <c r="V12" s="2659">
        <v>0</v>
      </c>
      <c r="W12" s="2660"/>
      <c r="X12" s="2659"/>
      <c r="Y12" s="1594"/>
      <c r="Z12" s="1370"/>
      <c r="AA12" s="1352"/>
      <c r="AB12" s="1352"/>
      <c r="AC12" s="1352"/>
      <c r="AD12" s="1352"/>
    </row>
    <row r="13" spans="1:30" ht="24" customHeight="1" x14ac:dyDescent="0.3">
      <c r="A13" s="1352"/>
      <c r="B13" s="1366"/>
      <c r="C13" s="2458" t="s">
        <v>478</v>
      </c>
      <c r="D13" s="2458" t="s">
        <v>748</v>
      </c>
      <c r="E13" s="2477" t="s">
        <v>350</v>
      </c>
      <c r="F13" s="2661" t="s">
        <v>1481</v>
      </c>
      <c r="G13" s="2662"/>
      <c r="H13" s="1378"/>
      <c r="I13" s="2681">
        <v>15904670.090873174</v>
      </c>
      <c r="J13" s="2663">
        <f>J12/25.31</f>
        <v>19201517.186882656</v>
      </c>
      <c r="K13" s="2664">
        <v>18059144.5</v>
      </c>
      <c r="L13" s="2664">
        <v>10558103.52</v>
      </c>
      <c r="M13" s="2664">
        <v>26861793.760000002</v>
      </c>
      <c r="N13" s="2664">
        <v>29814998.02</v>
      </c>
      <c r="O13" s="2664">
        <v>42415235.079999998</v>
      </c>
      <c r="P13" s="2664">
        <v>55304496.25</v>
      </c>
      <c r="Q13" s="2664">
        <v>15171868.83</v>
      </c>
      <c r="R13" s="2664">
        <v>10652169.1</v>
      </c>
      <c r="S13" s="2664">
        <v>11660339.789999999</v>
      </c>
      <c r="T13" s="2664">
        <v>11675511.66</v>
      </c>
      <c r="U13" s="2641">
        <v>6267499.0099999998</v>
      </c>
      <c r="V13" s="2665" t="s">
        <v>266</v>
      </c>
      <c r="W13" s="2666" t="s">
        <v>1482</v>
      </c>
      <c r="X13" s="2664">
        <v>308060.09999999998</v>
      </c>
      <c r="Y13" s="1410"/>
      <c r="Z13" s="1378"/>
      <c r="AA13" s="1352"/>
      <c r="AB13" s="1352"/>
      <c r="AC13" s="1352"/>
      <c r="AD13" s="1352"/>
    </row>
    <row r="14" spans="1:30" ht="24" customHeight="1" x14ac:dyDescent="0.3">
      <c r="A14" s="1352"/>
      <c r="B14" s="1366"/>
      <c r="C14" s="2468" t="s">
        <v>572</v>
      </c>
      <c r="D14" s="2468" t="s">
        <v>1483</v>
      </c>
      <c r="E14" s="2469" t="s">
        <v>792</v>
      </c>
      <c r="F14" s="2468"/>
      <c r="G14" s="2656"/>
      <c r="H14" s="1370"/>
      <c r="I14" s="1370">
        <v>241347</v>
      </c>
      <c r="J14" s="1593">
        <v>202000</v>
      </c>
      <c r="K14" s="2667">
        <v>202000</v>
      </c>
      <c r="L14" s="2667">
        <v>147454</v>
      </c>
      <c r="M14" s="2667">
        <v>206080</v>
      </c>
      <c r="N14" s="2667">
        <v>206080</v>
      </c>
      <c r="O14" s="2667">
        <v>206080</v>
      </c>
      <c r="P14" s="2667">
        <v>198209</v>
      </c>
      <c r="Q14" s="2667">
        <v>198209</v>
      </c>
      <c r="R14" s="2667">
        <v>198209</v>
      </c>
      <c r="S14" s="2667">
        <v>106914</v>
      </c>
      <c r="T14" s="2667">
        <v>94229</v>
      </c>
      <c r="U14" s="2668">
        <v>79591</v>
      </c>
      <c r="V14" s="2667">
        <v>55061</v>
      </c>
      <c r="W14" s="2668">
        <v>40573</v>
      </c>
      <c r="X14" s="2659"/>
      <c r="Y14" s="1594"/>
      <c r="Z14" s="1370"/>
      <c r="AA14" s="1352"/>
      <c r="AB14" s="1352"/>
      <c r="AC14" s="1352"/>
      <c r="AD14" s="1352"/>
    </row>
    <row r="15" spans="1:30" ht="24" customHeight="1" x14ac:dyDescent="0.3">
      <c r="A15" s="1352"/>
      <c r="B15" s="1366"/>
      <c r="C15" s="2458" t="s">
        <v>478</v>
      </c>
      <c r="D15" s="2458" t="s">
        <v>1483</v>
      </c>
      <c r="E15" s="2477" t="s">
        <v>453</v>
      </c>
      <c r="F15" s="2458" t="s">
        <v>1484</v>
      </c>
      <c r="G15" s="2662"/>
      <c r="H15" s="1378"/>
      <c r="I15" s="2669">
        <f>I14/$W$14</f>
        <v>5.9484632637468264</v>
      </c>
      <c r="J15" s="2670">
        <f>J14/$W$14</f>
        <v>4.9786804032238186</v>
      </c>
      <c r="K15" s="2671">
        <v>4.9800000000000004</v>
      </c>
      <c r="L15" s="2671">
        <v>3.63</v>
      </c>
      <c r="M15" s="2671">
        <v>5.08</v>
      </c>
      <c r="N15" s="2671">
        <v>5.08</v>
      </c>
      <c r="O15" s="2671">
        <v>5.08</v>
      </c>
      <c r="P15" s="2671">
        <v>4.8899999999999997</v>
      </c>
      <c r="Q15" s="2671">
        <v>4.8899999999999997</v>
      </c>
      <c r="R15" s="2671">
        <v>4.8899999999999997</v>
      </c>
      <c r="S15" s="2671">
        <v>2.64</v>
      </c>
      <c r="T15" s="2671">
        <v>2.3199999999999998</v>
      </c>
      <c r="U15" s="2672">
        <v>1.96</v>
      </c>
      <c r="V15" s="2671">
        <v>1.32</v>
      </c>
      <c r="W15" s="2672">
        <v>1</v>
      </c>
      <c r="X15" s="2665"/>
      <c r="Y15" s="1410"/>
      <c r="Z15" s="1378"/>
      <c r="AA15" s="1352"/>
      <c r="AB15" s="1352"/>
      <c r="AC15" s="1352"/>
      <c r="AD15" s="1352"/>
    </row>
    <row r="16" spans="1:30" ht="24" customHeight="1" x14ac:dyDescent="0.3">
      <c r="A16" s="1352"/>
      <c r="B16" s="1366"/>
      <c r="C16" s="2468" t="s">
        <v>572</v>
      </c>
      <c r="D16" s="2468" t="s">
        <v>1485</v>
      </c>
      <c r="E16" s="2469" t="s">
        <v>371</v>
      </c>
      <c r="F16" s="2468"/>
      <c r="G16" s="2656"/>
      <c r="H16" s="1370"/>
      <c r="I16" s="1370">
        <f>4995641+2761406+13913315+6853273+29528360</f>
        <v>58051995</v>
      </c>
      <c r="J16" s="1372">
        <v>60621000</v>
      </c>
      <c r="K16" s="2667">
        <v>59900000</v>
      </c>
      <c r="L16" s="2667">
        <v>44224213</v>
      </c>
      <c r="M16" s="2667">
        <v>54502993</v>
      </c>
      <c r="N16" s="2667">
        <v>31073256</v>
      </c>
      <c r="O16" s="2667">
        <v>27472811</v>
      </c>
      <c r="P16" s="2667">
        <v>27069956</v>
      </c>
      <c r="Q16" s="2667">
        <v>13840760</v>
      </c>
      <c r="R16" s="2667">
        <v>11816588</v>
      </c>
      <c r="S16" s="2667">
        <v>10458737</v>
      </c>
      <c r="T16" s="2667">
        <v>10184109</v>
      </c>
      <c r="U16" s="2668">
        <v>6701966</v>
      </c>
      <c r="V16" s="2659"/>
      <c r="W16" s="2660"/>
      <c r="X16" s="2659"/>
      <c r="Y16" s="1594"/>
      <c r="Z16" s="1370"/>
      <c r="AA16" s="1352"/>
      <c r="AB16" s="1352"/>
      <c r="AC16" s="1352"/>
      <c r="AD16" s="1352"/>
    </row>
    <row r="17" spans="1:30" ht="24" customHeight="1" x14ac:dyDescent="0.3">
      <c r="A17" s="1352"/>
      <c r="B17" s="1366"/>
      <c r="C17" s="2458" t="s">
        <v>478</v>
      </c>
      <c r="D17" s="2458" t="s">
        <v>1485</v>
      </c>
      <c r="E17" s="2477" t="s">
        <v>453</v>
      </c>
      <c r="F17" s="2458" t="s">
        <v>1486</v>
      </c>
      <c r="G17" s="2673"/>
      <c r="H17" s="1378"/>
      <c r="I17" s="2674">
        <f>I16/$U$16</f>
        <v>8.6619351694711675</v>
      </c>
      <c r="J17" s="2675">
        <f>J16/$U$16</f>
        <v>9.0452562725624102</v>
      </c>
      <c r="K17" s="2671">
        <v>8.94</v>
      </c>
      <c r="L17" s="2671">
        <v>6.6</v>
      </c>
      <c r="M17" s="2671">
        <v>8.1300000000000008</v>
      </c>
      <c r="N17" s="2671">
        <v>4.6399999999999997</v>
      </c>
      <c r="O17" s="2671">
        <v>4.0999999999999996</v>
      </c>
      <c r="P17" s="2671">
        <v>4.04</v>
      </c>
      <c r="Q17" s="2671">
        <v>2.0699999999999998</v>
      </c>
      <c r="R17" s="2671">
        <v>1.76</v>
      </c>
      <c r="S17" s="2671">
        <v>1.56</v>
      </c>
      <c r="T17" s="2671">
        <v>1.52</v>
      </c>
      <c r="U17" s="2672">
        <v>1</v>
      </c>
      <c r="V17" s="2665"/>
      <c r="W17" s="2666"/>
      <c r="X17" s="2665"/>
      <c r="Y17" s="1410"/>
      <c r="Z17" s="1378"/>
      <c r="AA17" s="1352"/>
      <c r="AB17" s="1352"/>
      <c r="AC17" s="1352"/>
      <c r="AD17" s="1352"/>
    </row>
    <row r="18" spans="1:30" ht="24" hidden="1" customHeight="1" x14ac:dyDescent="0.3">
      <c r="A18" s="1352"/>
      <c r="B18" s="1366"/>
      <c r="C18" s="2458"/>
      <c r="D18" s="2458" t="s">
        <v>1487</v>
      </c>
      <c r="E18" s="2477"/>
      <c r="F18" s="2661" t="s">
        <v>1488</v>
      </c>
      <c r="G18" s="2673">
        <v>2017</v>
      </c>
      <c r="H18" s="1370"/>
      <c r="I18" s="1370"/>
      <c r="J18" s="1372">
        <v>88</v>
      </c>
      <c r="K18" s="2665">
        <v>88</v>
      </c>
      <c r="L18" s="2665">
        <v>88</v>
      </c>
      <c r="M18" s="2665">
        <v>88</v>
      </c>
      <c r="N18" s="2665">
        <v>88</v>
      </c>
      <c r="O18" s="2665">
        <v>88</v>
      </c>
      <c r="P18" s="2665">
        <v>88</v>
      </c>
      <c r="Q18" s="2665"/>
      <c r="R18" s="2665"/>
      <c r="S18" s="2665"/>
      <c r="T18" s="2665"/>
      <c r="U18" s="2666"/>
      <c r="V18" s="2665"/>
      <c r="W18" s="2666"/>
      <c r="X18" s="2665"/>
      <c r="Y18" s="1594"/>
      <c r="Z18" s="1370"/>
      <c r="AA18" s="1352"/>
      <c r="AB18" s="1352"/>
      <c r="AC18" s="1352"/>
      <c r="AD18" s="1352"/>
    </row>
    <row r="19" spans="1:30" ht="24" hidden="1" customHeight="1" x14ac:dyDescent="0.3">
      <c r="A19" s="1352"/>
      <c r="B19" s="1366"/>
      <c r="C19" s="2468"/>
      <c r="D19" s="2468" t="s">
        <v>1489</v>
      </c>
      <c r="E19" s="2469"/>
      <c r="F19" s="2676" t="s">
        <v>1488</v>
      </c>
      <c r="G19" s="2677">
        <v>2017</v>
      </c>
      <c r="H19" s="1378"/>
      <c r="I19" s="1378"/>
      <c r="J19" s="1381">
        <v>79</v>
      </c>
      <c r="K19" s="2659">
        <v>79</v>
      </c>
      <c r="L19" s="2659">
        <v>79</v>
      </c>
      <c r="M19" s="2659">
        <v>79</v>
      </c>
      <c r="N19" s="2659">
        <v>79</v>
      </c>
      <c r="O19" s="2659">
        <v>79</v>
      </c>
      <c r="P19" s="2659">
        <v>76</v>
      </c>
      <c r="Q19" s="2659"/>
      <c r="R19" s="2659"/>
      <c r="S19" s="2659"/>
      <c r="T19" s="2659"/>
      <c r="U19" s="2659"/>
      <c r="V19" s="2659"/>
      <c r="W19" s="2659"/>
      <c r="X19" s="2659"/>
      <c r="Y19" s="1410"/>
      <c r="Z19" s="1378"/>
      <c r="AA19" s="1352"/>
      <c r="AB19" s="1352"/>
      <c r="AC19" s="1352"/>
      <c r="AD19" s="1352"/>
    </row>
    <row r="20" spans="1:30" ht="24" customHeight="1" x14ac:dyDescent="0.3">
      <c r="A20" s="1352"/>
      <c r="B20" s="1366"/>
      <c r="C20" s="1367"/>
      <c r="D20" s="1367"/>
      <c r="E20" s="1368"/>
      <c r="F20" s="1437"/>
      <c r="G20" s="1369"/>
      <c r="H20" s="1370"/>
      <c r="I20" s="1370"/>
      <c r="J20" s="1370"/>
      <c r="K20" s="1370"/>
      <c r="L20" s="1370"/>
      <c r="M20" s="1370"/>
      <c r="N20" s="1370"/>
      <c r="O20" s="1370"/>
      <c r="P20" s="1370"/>
      <c r="Q20" s="1370"/>
      <c r="R20" s="1370"/>
      <c r="S20" s="1370"/>
      <c r="T20" s="1370"/>
      <c r="U20" s="1594"/>
      <c r="V20" s="1370"/>
      <c r="W20" s="1594"/>
      <c r="X20" s="1370"/>
      <c r="Y20" s="1594"/>
      <c r="Z20" s="1370"/>
      <c r="AA20" s="1352"/>
      <c r="AB20" s="1352"/>
      <c r="AC20" s="1352"/>
      <c r="AD20" s="1352"/>
    </row>
    <row r="21" spans="1:30" ht="24" customHeight="1" x14ac:dyDescent="0.3">
      <c r="A21" s="1352"/>
      <c r="B21" s="1366"/>
      <c r="C21" s="1355"/>
      <c r="D21" s="1355"/>
      <c r="E21" s="1376"/>
      <c r="F21" s="1409"/>
      <c r="G21" s="1393"/>
      <c r="H21" s="1378"/>
      <c r="I21" s="1378"/>
      <c r="J21" s="1378"/>
      <c r="K21" s="1378"/>
      <c r="L21" s="1378"/>
      <c r="M21" s="1378"/>
      <c r="N21" s="1378"/>
      <c r="O21" s="1378"/>
      <c r="P21" s="1378"/>
      <c r="Q21" s="1378"/>
      <c r="R21" s="1378"/>
      <c r="S21" s="1378"/>
      <c r="T21" s="1378"/>
      <c r="U21" s="1410"/>
      <c r="V21" s="1378"/>
      <c r="W21" s="1410"/>
      <c r="X21" s="1378"/>
      <c r="Y21" s="1410"/>
      <c r="Z21" s="1378"/>
      <c r="AA21" s="1352"/>
      <c r="AB21" s="1352"/>
      <c r="AC21" s="1352"/>
      <c r="AD21" s="1352"/>
    </row>
    <row r="22" spans="1:30" ht="24" customHeight="1" x14ac:dyDescent="0.3">
      <c r="A22" s="1352"/>
      <c r="B22" s="1411"/>
      <c r="C22" s="1412"/>
      <c r="D22" s="1412"/>
      <c r="E22" s="1413"/>
      <c r="F22" s="1414"/>
      <c r="G22" s="1415"/>
      <c r="H22" s="1416"/>
      <c r="I22" s="1416"/>
      <c r="J22" s="1416"/>
      <c r="K22" s="1416"/>
      <c r="L22" s="1416"/>
      <c r="M22" s="1416"/>
      <c r="N22" s="1416"/>
      <c r="O22" s="1416"/>
      <c r="P22" s="1416"/>
      <c r="Q22" s="1416"/>
      <c r="R22" s="1416"/>
      <c r="S22" s="1416"/>
      <c r="T22" s="1416"/>
      <c r="U22" s="1417"/>
      <c r="V22" s="1416"/>
      <c r="W22" s="1417"/>
      <c r="X22" s="1416"/>
      <c r="Y22" s="1417"/>
      <c r="Z22" s="1416"/>
      <c r="AA22" s="1352"/>
      <c r="AB22" s="1352"/>
      <c r="AC22" s="1352"/>
      <c r="AD22" s="1352"/>
    </row>
    <row r="23" spans="1:30" ht="15.75" customHeight="1" x14ac:dyDescent="0.3">
      <c r="A23" s="1352"/>
      <c r="B23" s="1418"/>
      <c r="C23" s="1352"/>
      <c r="D23" s="1352"/>
      <c r="E23" s="1352"/>
      <c r="F23" s="1352"/>
      <c r="G23" s="1419"/>
      <c r="H23" s="1419"/>
      <c r="I23" s="1419"/>
      <c r="J23" s="1419"/>
      <c r="K23" s="1419"/>
      <c r="L23" s="1419"/>
      <c r="M23" s="1420"/>
      <c r="N23" s="1420"/>
      <c r="O23" s="1420"/>
      <c r="P23" s="1420"/>
      <c r="Q23" s="1420"/>
      <c r="R23" s="1420"/>
      <c r="S23" s="1420"/>
      <c r="T23" s="1420"/>
      <c r="U23" s="1420"/>
      <c r="V23" s="1420"/>
      <c r="W23" s="1420"/>
      <c r="X23" s="1420"/>
      <c r="Y23" s="1420"/>
      <c r="Z23" s="1420"/>
      <c r="AA23" s="1352"/>
      <c r="AB23" s="1352"/>
      <c r="AC23" s="1352"/>
      <c r="AD23" s="1352"/>
    </row>
    <row r="24" spans="1:30" ht="15.75" customHeight="1" x14ac:dyDescent="0.3">
      <c r="A24" s="1352"/>
      <c r="B24" s="1421" t="s">
        <v>355</v>
      </c>
      <c r="C24" s="1422" t="s">
        <v>356</v>
      </c>
      <c r="D24" s="1352"/>
      <c r="E24" s="1352"/>
      <c r="F24" s="1352"/>
      <c r="G24" s="1419"/>
      <c r="H24" s="1419"/>
      <c r="I24" s="1419"/>
      <c r="J24" s="1419"/>
      <c r="K24" s="1419"/>
      <c r="L24" s="1419"/>
      <c r="M24" s="1420"/>
      <c r="N24" s="1420"/>
      <c r="O24" s="1420"/>
      <c r="P24" s="1420"/>
      <c r="Q24" s="1420"/>
      <c r="R24" s="1420"/>
      <c r="S24" s="1420"/>
      <c r="T24" s="1420"/>
      <c r="U24" s="1420"/>
      <c r="V24" s="1420"/>
      <c r="W24" s="1420"/>
      <c r="X24" s="1420"/>
      <c r="Y24" s="1420"/>
      <c r="Z24" s="1420"/>
      <c r="AA24" s="1352"/>
      <c r="AB24" s="1352"/>
      <c r="AC24" s="1352"/>
      <c r="AD24" s="1352"/>
    </row>
    <row r="25" spans="1:30" ht="15.75" customHeight="1" x14ac:dyDescent="0.3">
      <c r="A25" s="1352"/>
      <c r="B25" s="1418"/>
      <c r="C25" s="1352"/>
      <c r="D25" s="1352"/>
      <c r="E25" s="1352"/>
      <c r="F25" s="1352"/>
      <c r="G25" s="1419"/>
      <c r="H25" s="1419"/>
      <c r="I25" s="1419"/>
      <c r="J25" s="1419"/>
      <c r="K25" s="1419"/>
      <c r="L25" s="1419"/>
      <c r="M25" s="1420"/>
      <c r="N25" s="1420"/>
      <c r="O25" s="1420"/>
      <c r="P25" s="1420"/>
      <c r="Q25" s="1420"/>
      <c r="R25" s="1420"/>
      <c r="S25" s="1420"/>
      <c r="T25" s="1420"/>
      <c r="U25" s="1420"/>
      <c r="V25" s="1420"/>
      <c r="W25" s="1420"/>
      <c r="X25" s="1420"/>
      <c r="Y25" s="1420"/>
      <c r="Z25" s="1420"/>
      <c r="AA25" s="1352"/>
      <c r="AB25" s="1352"/>
      <c r="AC25" s="1352"/>
      <c r="AD25" s="1352"/>
    </row>
    <row r="26" spans="1:30" ht="15.75" customHeight="1" x14ac:dyDescent="0.3">
      <c r="A26" s="1352"/>
      <c r="B26" s="4402" t="s">
        <v>357</v>
      </c>
      <c r="C26" s="4403"/>
      <c r="D26" s="1352"/>
      <c r="E26" s="1352"/>
      <c r="F26" s="1352"/>
      <c r="G26" s="1419"/>
      <c r="H26" s="1419"/>
      <c r="I26" s="1419"/>
      <c r="J26" s="1419"/>
      <c r="K26" s="1419"/>
      <c r="L26" s="1419"/>
      <c r="M26" s="1420"/>
      <c r="N26" s="1420"/>
      <c r="O26" s="1420"/>
      <c r="P26" s="1420"/>
      <c r="Q26" s="1420"/>
      <c r="R26" s="1420"/>
      <c r="S26" s="1420"/>
      <c r="T26" s="1420"/>
      <c r="U26" s="1420"/>
      <c r="V26" s="1420"/>
      <c r="W26" s="1420"/>
      <c r="X26" s="1420"/>
      <c r="Y26" s="1420"/>
      <c r="Z26" s="1420"/>
      <c r="AA26" s="1352"/>
      <c r="AB26" s="1352"/>
      <c r="AC26" s="1352"/>
      <c r="AD26" s="1352"/>
    </row>
    <row r="27" spans="1:30" ht="15.75" customHeight="1" x14ac:dyDescent="0.3">
      <c r="A27" s="1352"/>
      <c r="B27" s="1425" t="s">
        <v>301</v>
      </c>
      <c r="C27" s="1352"/>
      <c r="D27" s="1352"/>
      <c r="E27" s="1352"/>
      <c r="F27" s="1352"/>
      <c r="G27" s="1419"/>
      <c r="H27" s="1419"/>
      <c r="I27" s="1419"/>
      <c r="J27" s="1419"/>
      <c r="K27" s="1419"/>
      <c r="L27" s="1419"/>
      <c r="M27" s="1420"/>
      <c r="N27" s="1420"/>
      <c r="O27" s="1420"/>
      <c r="P27" s="1420"/>
      <c r="Q27" s="1420"/>
      <c r="R27" s="1420"/>
      <c r="S27" s="1420"/>
      <c r="T27" s="1420"/>
      <c r="U27" s="1420"/>
      <c r="V27" s="1420"/>
      <c r="W27" s="1420"/>
      <c r="X27" s="1420"/>
      <c r="Y27" s="1420"/>
      <c r="Z27" s="1420"/>
      <c r="AA27" s="1352"/>
      <c r="AB27" s="1352"/>
      <c r="AC27" s="1352"/>
      <c r="AD27" s="1352"/>
    </row>
    <row r="28" spans="1:30" ht="15.75" customHeight="1" x14ac:dyDescent="0.3">
      <c r="A28" s="1352"/>
      <c r="B28" s="1425" t="s">
        <v>301</v>
      </c>
      <c r="C28" s="1352"/>
      <c r="D28" s="1352"/>
      <c r="E28" s="1352"/>
      <c r="F28" s="1352"/>
      <c r="G28" s="1419"/>
      <c r="H28" s="1419"/>
      <c r="I28" s="1419"/>
      <c r="J28" s="1419"/>
      <c r="K28" s="1419"/>
      <c r="L28" s="1419"/>
      <c r="M28" s="1420"/>
      <c r="N28" s="1420"/>
      <c r="O28" s="1420"/>
      <c r="P28" s="1420"/>
      <c r="Q28" s="1420"/>
      <c r="R28" s="1420"/>
      <c r="S28" s="1420"/>
      <c r="T28" s="1420"/>
      <c r="U28" s="1420"/>
      <c r="V28" s="1420"/>
      <c r="W28" s="1420"/>
      <c r="X28" s="1420"/>
      <c r="Y28" s="1420"/>
      <c r="Z28" s="1420"/>
      <c r="AA28" s="1352"/>
      <c r="AB28" s="1352"/>
      <c r="AC28" s="1352"/>
      <c r="AD28" s="1352"/>
    </row>
    <row r="29" spans="1:30" ht="15.75" customHeight="1" x14ac:dyDescent="0.3"/>
    <row r="30" spans="1:30" ht="15.75" customHeight="1" x14ac:dyDescent="0.3"/>
    <row r="31" spans="1:30" ht="21" customHeight="1" x14ac:dyDescent="0.3">
      <c r="B31" s="1342" t="s">
        <v>409</v>
      </c>
    </row>
    <row r="32" spans="1:30" ht="9" customHeight="1" x14ac:dyDescent="0.3">
      <c r="B32" s="1342"/>
    </row>
    <row r="33" spans="2:26" ht="21" customHeight="1" x14ac:dyDescent="0.3">
      <c r="B33" s="1340" t="s">
        <v>410</v>
      </c>
      <c r="C33" s="1341"/>
      <c r="D33" s="1341"/>
    </row>
    <row r="34" spans="2:26" ht="12" customHeight="1" x14ac:dyDescent="0.3"/>
    <row r="35" spans="2:26" ht="15.75" customHeight="1" x14ac:dyDescent="0.3">
      <c r="B35" s="1345" t="s">
        <v>301</v>
      </c>
      <c r="C35" s="1346" t="s">
        <v>343</v>
      </c>
      <c r="D35" s="1347" t="s">
        <v>344</v>
      </c>
      <c r="E35" s="1347" t="s">
        <v>345</v>
      </c>
      <c r="F35" s="1347" t="s">
        <v>346</v>
      </c>
      <c r="G35" s="1348" t="s">
        <v>347</v>
      </c>
      <c r="H35" s="1349">
        <v>2025</v>
      </c>
      <c r="I35" s="1349">
        <v>2024</v>
      </c>
      <c r="J35" s="1349">
        <v>2023</v>
      </c>
      <c r="K35" s="1349">
        <v>2022</v>
      </c>
      <c r="L35" s="1349">
        <v>2021</v>
      </c>
      <c r="M35" s="1349">
        <v>2020</v>
      </c>
      <c r="N35" s="1349">
        <v>2019</v>
      </c>
      <c r="O35" s="1350">
        <v>2018</v>
      </c>
      <c r="P35" s="1350">
        <v>2017</v>
      </c>
      <c r="Q35" s="1350">
        <v>2016</v>
      </c>
      <c r="R35" s="1350">
        <v>2015</v>
      </c>
      <c r="S35" s="1350">
        <v>2014</v>
      </c>
      <c r="T35" s="1350">
        <v>2013</v>
      </c>
      <c r="U35" s="1350">
        <v>2012</v>
      </c>
      <c r="V35" s="1350">
        <v>2011</v>
      </c>
      <c r="W35" s="1350">
        <v>2010</v>
      </c>
      <c r="X35" s="1350">
        <v>2009</v>
      </c>
      <c r="Y35" s="1350">
        <v>2008</v>
      </c>
      <c r="Z35" s="1351" t="s">
        <v>332</v>
      </c>
    </row>
    <row r="36" spans="2:26" ht="28.8" customHeight="1" x14ac:dyDescent="0.3">
      <c r="B36" s="1366">
        <v>1</v>
      </c>
      <c r="C36" s="2636" t="s">
        <v>348</v>
      </c>
      <c r="D36" s="2661" t="s">
        <v>1490</v>
      </c>
      <c r="E36" s="2637" t="s">
        <v>363</v>
      </c>
      <c r="F36" s="2638"/>
      <c r="G36" s="2639">
        <v>2011</v>
      </c>
      <c r="H36" s="1431"/>
      <c r="I36" s="1913">
        <f>I10</f>
        <v>20966</v>
      </c>
      <c r="J36" s="2678">
        <f>J10</f>
        <v>25312</v>
      </c>
      <c r="K36" s="2679">
        <v>23806</v>
      </c>
      <c r="L36" s="2680">
        <v>13918</v>
      </c>
      <c r="M36" s="2680">
        <v>35410</v>
      </c>
      <c r="N36" s="2680">
        <v>39303</v>
      </c>
      <c r="O36" s="2680">
        <v>55913</v>
      </c>
      <c r="P36" s="1359"/>
      <c r="Q36" s="1359"/>
      <c r="R36" s="1359"/>
      <c r="S36" s="1359"/>
      <c r="T36" s="1359"/>
      <c r="U36" s="1410"/>
      <c r="V36" s="1359"/>
      <c r="W36" s="1410"/>
      <c r="X36" s="1359"/>
      <c r="Y36" s="1410"/>
      <c r="Z36" s="1359"/>
    </row>
    <row r="37" spans="2:26" ht="24" customHeight="1" x14ac:dyDescent="0.3">
      <c r="B37" s="1366">
        <v>2</v>
      </c>
      <c r="C37" s="1367"/>
      <c r="D37" s="1367"/>
      <c r="E37" s="1368"/>
      <c r="F37" s="1367"/>
      <c r="G37" s="1419"/>
      <c r="H37" s="1438"/>
      <c r="I37" s="1438"/>
      <c r="J37" s="2111"/>
      <c r="K37" s="1965"/>
      <c r="L37" s="1965"/>
      <c r="M37" s="1965"/>
      <c r="N37" s="1965"/>
      <c r="O37" s="1965"/>
      <c r="P37" s="1438"/>
      <c r="Q37" s="1438"/>
      <c r="R37" s="1438"/>
      <c r="S37" s="1438"/>
      <c r="T37" s="1438"/>
      <c r="U37" s="1420"/>
      <c r="V37" s="1438"/>
      <c r="W37" s="1420"/>
      <c r="X37" s="1438"/>
      <c r="Y37" s="1420"/>
      <c r="Z37" s="1438"/>
    </row>
    <row r="38" spans="2:26" ht="24" customHeight="1" x14ac:dyDescent="0.3">
      <c r="B38" s="1366"/>
      <c r="C38" s="1355"/>
      <c r="D38" s="1355"/>
      <c r="E38" s="1376"/>
      <c r="F38" s="1355"/>
      <c r="G38" s="2116"/>
      <c r="H38" s="1444"/>
      <c r="I38" s="1444"/>
      <c r="J38" s="1967"/>
      <c r="K38" s="1967"/>
      <c r="L38" s="1967"/>
      <c r="M38" s="1967"/>
      <c r="N38" s="1967"/>
      <c r="O38" s="1967"/>
      <c r="P38" s="1444"/>
      <c r="Q38" s="1444"/>
      <c r="R38" s="1444"/>
      <c r="S38" s="1444"/>
      <c r="T38" s="1444"/>
      <c r="U38" s="1935"/>
      <c r="V38" s="1444"/>
      <c r="W38" s="1935"/>
      <c r="X38" s="1444"/>
      <c r="Y38" s="1935"/>
      <c r="Z38" s="1444"/>
    </row>
    <row r="39" spans="2:26" ht="24" customHeight="1" x14ac:dyDescent="0.3">
      <c r="B39" s="1411"/>
      <c r="C39" s="1412"/>
      <c r="D39" s="1412"/>
      <c r="E39" s="1413"/>
      <c r="F39" s="1412"/>
      <c r="G39" s="1448"/>
      <c r="H39" s="1449"/>
      <c r="I39" s="1449"/>
      <c r="J39" s="1450"/>
      <c r="K39" s="1450"/>
      <c r="L39" s="1450"/>
      <c r="M39" s="1450"/>
      <c r="N39" s="1450"/>
      <c r="O39" s="1450"/>
      <c r="P39" s="1449"/>
      <c r="Q39" s="1449"/>
      <c r="R39" s="1449"/>
      <c r="S39" s="1449"/>
      <c r="T39" s="1449"/>
      <c r="U39" s="1451"/>
      <c r="V39" s="1449"/>
      <c r="W39" s="1451"/>
      <c r="X39" s="1449"/>
      <c r="Y39" s="1451"/>
      <c r="Z39" s="1449"/>
    </row>
    <row r="40" spans="2:26" ht="15.75" customHeight="1" x14ac:dyDescent="0.3"/>
    <row r="41" spans="2:26" ht="15.75" customHeight="1" x14ac:dyDescent="0.3">
      <c r="B41" s="1421" t="s">
        <v>355</v>
      </c>
      <c r="C41" s="1422" t="s">
        <v>356</v>
      </c>
    </row>
    <row r="42" spans="2:26" ht="15.75" customHeight="1" x14ac:dyDescent="0.3"/>
    <row r="43" spans="2:26" ht="15.75" customHeight="1" x14ac:dyDescent="0.3">
      <c r="B43" s="4402" t="s">
        <v>357</v>
      </c>
      <c r="C43" s="4403"/>
    </row>
    <row r="44" spans="2:26" ht="15.75" customHeight="1" x14ac:dyDescent="0.3">
      <c r="B44" s="1425" t="s">
        <v>301</v>
      </c>
    </row>
    <row r="45" spans="2:26" ht="15.75" customHeight="1" x14ac:dyDescent="0.3">
      <c r="B45" s="1425" t="s">
        <v>301</v>
      </c>
    </row>
    <row r="46" spans="2:26" ht="15.75" customHeight="1" x14ac:dyDescent="0.3"/>
    <row r="47" spans="2:26" ht="15.75" customHeight="1" x14ac:dyDescent="0.3"/>
    <row r="48" spans="2:2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sheetData>
  <mergeCells count="2">
    <mergeCell ref="B26:C26"/>
    <mergeCell ref="B43:C43"/>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E5C1B-404B-4A67-A1D0-3DD309666351}">
  <dimension ref="A1:F988"/>
  <sheetViews>
    <sheetView topLeftCell="A7" workbookViewId="0">
      <selection activeCell="G16" sqref="G16"/>
    </sheetView>
  </sheetViews>
  <sheetFormatPr defaultColWidth="12.44140625" defaultRowHeight="15" customHeight="1" x14ac:dyDescent="0.3"/>
  <cols>
    <col min="1" max="1" width="3" style="2686" customWidth="1"/>
    <col min="2" max="2" width="39.109375" style="2686" customWidth="1"/>
    <col min="3" max="3" width="23.44140625" style="2686" customWidth="1"/>
    <col min="4" max="4" width="1.88671875" style="2686" customWidth="1"/>
    <col min="5" max="5" width="14.77734375" style="2686" customWidth="1"/>
    <col min="6" max="6" width="8" style="2686" customWidth="1"/>
    <col min="7" max="7" width="13.6640625" style="2686" customWidth="1"/>
    <col min="8" max="16384" width="12.44140625" style="2686"/>
  </cols>
  <sheetData>
    <row r="1" spans="1:6" ht="21.75" customHeight="1" x14ac:dyDescent="0.35">
      <c r="A1" s="2682"/>
      <c r="B1" s="2683" t="s">
        <v>2399</v>
      </c>
      <c r="C1" s="2684"/>
      <c r="D1" s="2685"/>
      <c r="F1" s="2685"/>
    </row>
    <row r="2" spans="1:6" ht="15.75" customHeight="1" x14ac:dyDescent="0.3">
      <c r="A2" s="2682"/>
      <c r="B2" s="2687" t="s">
        <v>1491</v>
      </c>
      <c r="C2" s="2688"/>
      <c r="D2" s="2688"/>
      <c r="E2" s="2688"/>
      <c r="F2" s="2688"/>
    </row>
    <row r="3" spans="1:6" ht="9.75" customHeight="1" x14ac:dyDescent="0.3">
      <c r="A3" s="2685"/>
      <c r="B3" s="2689"/>
      <c r="D3" s="2685"/>
      <c r="F3" s="2685"/>
    </row>
    <row r="4" spans="1:6" ht="6" customHeight="1" x14ac:dyDescent="0.3">
      <c r="B4" s="2685"/>
      <c r="D4" s="2685"/>
      <c r="F4" s="2685"/>
    </row>
    <row r="5" spans="1:6" ht="6" customHeight="1" x14ac:dyDescent="0.3">
      <c r="A5" s="2689"/>
      <c r="D5" s="2685"/>
      <c r="F5" s="2685"/>
    </row>
    <row r="6" spans="1:6" ht="15.75" customHeight="1" x14ac:dyDescent="0.3">
      <c r="D6" s="2685"/>
      <c r="E6" s="2685"/>
      <c r="F6" s="2685"/>
    </row>
    <row r="7" spans="1:6" ht="40.5" customHeight="1" x14ac:dyDescent="0.3">
      <c r="A7" s="2690"/>
      <c r="B7" s="2691">
        <v>2024</v>
      </c>
      <c r="C7" s="2692" t="s">
        <v>22</v>
      </c>
      <c r="D7" s="2690"/>
      <c r="E7" s="2693" t="s">
        <v>300</v>
      </c>
      <c r="F7" s="2690"/>
    </row>
    <row r="8" spans="1:6" ht="18" customHeight="1" x14ac:dyDescent="0.35">
      <c r="B8" s="2694" t="s">
        <v>301</v>
      </c>
      <c r="C8" s="2695">
        <v>1</v>
      </c>
      <c r="D8" s="2696"/>
      <c r="E8" s="2697"/>
      <c r="F8" s="2685"/>
    </row>
    <row r="9" spans="1:6" ht="46.5" customHeight="1" x14ac:dyDescent="0.3">
      <c r="B9" s="2698" t="s">
        <v>302</v>
      </c>
      <c r="C9" s="2699" t="s">
        <v>2400</v>
      </c>
      <c r="D9" s="2700"/>
      <c r="E9" s="2701"/>
      <c r="F9" s="2702"/>
    </row>
    <row r="10" spans="1:6" ht="46.5" customHeight="1" x14ac:dyDescent="0.3">
      <c r="B10" s="2703" t="s">
        <v>304</v>
      </c>
      <c r="C10" s="2704" t="s">
        <v>2401</v>
      </c>
      <c r="D10" s="2700"/>
      <c r="E10" s="2705"/>
      <c r="F10" s="2702"/>
    </row>
    <row r="11" spans="1:6" ht="18.75" customHeight="1" x14ac:dyDescent="0.3">
      <c r="A11" s="2706"/>
      <c r="B11" s="2707" t="s">
        <v>306</v>
      </c>
      <c r="C11" s="2708">
        <f>(C17*C20)</f>
        <v>89369.799200000009</v>
      </c>
      <c r="D11" s="2709"/>
      <c r="E11" s="2710">
        <f>SUM(C11:C11)</f>
        <v>89369.799200000009</v>
      </c>
      <c r="F11" s="2711"/>
    </row>
    <row r="12" spans="1:6" ht="18.75" customHeight="1" x14ac:dyDescent="0.3">
      <c r="A12" s="2706"/>
      <c r="B12" s="2712" t="s">
        <v>307</v>
      </c>
      <c r="C12" s="2713">
        <f>(C24*C25)</f>
        <v>120.877112</v>
      </c>
      <c r="D12" s="2714"/>
      <c r="E12" s="2715">
        <f>SUM(C12:C12)</f>
        <v>120.877112</v>
      </c>
      <c r="F12" s="2716"/>
    </row>
    <row r="13" spans="1:6" ht="18.75" customHeight="1" x14ac:dyDescent="0.3">
      <c r="A13" s="2706"/>
      <c r="B13" s="2707" t="s">
        <v>308</v>
      </c>
      <c r="C13" s="2717" t="s">
        <v>8</v>
      </c>
      <c r="D13" s="2718"/>
      <c r="E13" s="2719"/>
      <c r="F13" s="2720"/>
    </row>
    <row r="14" spans="1:6" ht="18.75" customHeight="1" x14ac:dyDescent="0.3">
      <c r="A14" s="2706"/>
      <c r="B14" s="2721" t="s">
        <v>309</v>
      </c>
      <c r="C14" s="2722">
        <f t="shared" ref="C14" si="0">C11-C12</f>
        <v>89248.922088000007</v>
      </c>
      <c r="D14" s="2723"/>
      <c r="E14" s="2724">
        <f>SUM(C14:C14)</f>
        <v>89248.922088000007</v>
      </c>
      <c r="F14" s="2716"/>
    </row>
    <row r="15" spans="1:6" ht="19.5" customHeight="1" x14ac:dyDescent="0.4">
      <c r="B15" s="2725" t="s">
        <v>310</v>
      </c>
      <c r="C15" s="2726"/>
      <c r="D15" s="2727"/>
      <c r="E15" s="2728"/>
      <c r="F15" s="2727"/>
    </row>
    <row r="16" spans="1:6" ht="30" customHeight="1" x14ac:dyDescent="0.3">
      <c r="A16" s="2706"/>
      <c r="B16" s="2729" t="s">
        <v>311</v>
      </c>
      <c r="C16" s="2730" t="s">
        <v>2403</v>
      </c>
      <c r="D16" s="2731"/>
      <c r="E16" s="2732"/>
      <c r="F16" s="2716"/>
    </row>
    <row r="17" spans="1:6" ht="21" customHeight="1" x14ac:dyDescent="0.3">
      <c r="A17" s="2706"/>
      <c r="B17" s="2733" t="s">
        <v>369</v>
      </c>
      <c r="C17" s="2734">
        <v>1981592</v>
      </c>
      <c r="D17" s="2735"/>
      <c r="F17" s="2736"/>
    </row>
    <row r="18" spans="1:6" ht="19.5" hidden="1" customHeight="1" x14ac:dyDescent="0.3">
      <c r="A18" s="2706"/>
      <c r="B18" s="2729" t="s">
        <v>1178</v>
      </c>
      <c r="C18" s="2737" t="s">
        <v>324</v>
      </c>
      <c r="D18" s="2738"/>
      <c r="E18" s="2739"/>
      <c r="F18" s="2738"/>
    </row>
    <row r="19" spans="1:6" ht="19.5" hidden="1" customHeight="1" x14ac:dyDescent="0.3">
      <c r="A19" s="2706"/>
      <c r="B19" s="2729" t="s">
        <v>1179</v>
      </c>
      <c r="C19" s="2737" t="s">
        <v>326</v>
      </c>
      <c r="D19" s="2738"/>
      <c r="E19" s="2739"/>
      <c r="F19" s="2738"/>
    </row>
    <row r="20" spans="1:6" ht="18.75" customHeight="1" x14ac:dyDescent="0.3">
      <c r="A20" s="2706"/>
      <c r="B20" s="2740" t="s">
        <v>314</v>
      </c>
      <c r="C20" s="2741">
        <v>4.5100000000000001E-2</v>
      </c>
      <c r="D20" s="2742"/>
      <c r="F20" s="2738"/>
    </row>
    <row r="21" spans="1:6" ht="19.5" customHeight="1" x14ac:dyDescent="0.3">
      <c r="A21" s="2706"/>
      <c r="B21" s="2743" t="s">
        <v>315</v>
      </c>
      <c r="C21" s="2744">
        <f t="shared" ref="C21" si="1">C17*C20</f>
        <v>89369.799200000009</v>
      </c>
      <c r="D21" s="2745"/>
      <c r="F21" s="2738"/>
    </row>
    <row r="22" spans="1:6" ht="21" customHeight="1" x14ac:dyDescent="0.4">
      <c r="B22" s="2725" t="s">
        <v>316</v>
      </c>
      <c r="C22" s="2746"/>
      <c r="D22" s="2747"/>
      <c r="E22" s="2748"/>
      <c r="F22" s="2747"/>
    </row>
    <row r="23" spans="1:6" ht="21" customHeight="1" x14ac:dyDescent="0.3">
      <c r="A23" s="2706"/>
      <c r="B23" s="2729" t="s">
        <v>183</v>
      </c>
      <c r="C23" s="2730" t="s">
        <v>2404</v>
      </c>
      <c r="D23" s="2749"/>
      <c r="E23" s="2750"/>
      <c r="F23" s="2738"/>
    </row>
    <row r="24" spans="1:6" ht="21" customHeight="1" x14ac:dyDescent="0.3">
      <c r="A24" s="2706"/>
      <c r="B24" s="2751" t="s">
        <v>369</v>
      </c>
      <c r="C24" s="4077">
        <f>C17</f>
        <v>1981592</v>
      </c>
      <c r="D24" s="2738"/>
      <c r="E24" s="2753"/>
      <c r="F24" s="2738"/>
    </row>
    <row r="25" spans="1:6" ht="21" customHeight="1" x14ac:dyDescent="0.3">
      <c r="A25" s="2706"/>
      <c r="B25" s="2754" t="s">
        <v>314</v>
      </c>
      <c r="C25" s="2755">
        <v>6.0999999999999999E-5</v>
      </c>
      <c r="D25" s="2749"/>
      <c r="E25" s="2756"/>
      <c r="F25" s="2738"/>
    </row>
    <row r="26" spans="1:6" ht="21" customHeight="1" x14ac:dyDescent="0.3">
      <c r="A26" s="2706"/>
      <c r="B26" s="2757" t="s">
        <v>315</v>
      </c>
      <c r="C26" s="2758">
        <f t="shared" ref="C26" si="2">C24*C25</f>
        <v>120.877112</v>
      </c>
      <c r="D26" s="2749"/>
      <c r="E26" s="2759"/>
      <c r="F26" s="2738"/>
    </row>
    <row r="27" spans="1:6" ht="28.5" customHeight="1" x14ac:dyDescent="0.3">
      <c r="A27" s="2706"/>
      <c r="B27" s="2760" t="s">
        <v>320</v>
      </c>
      <c r="C27" s="2761" t="s">
        <v>2405</v>
      </c>
      <c r="D27" s="2762"/>
      <c r="E27" s="2737"/>
      <c r="F27" s="2763"/>
    </row>
    <row r="28" spans="1:6" ht="24" customHeight="1" x14ac:dyDescent="0.3">
      <c r="B28" s="2764" t="s">
        <v>322</v>
      </c>
      <c r="C28" s="2765">
        <v>3</v>
      </c>
      <c r="D28" s="2766"/>
      <c r="E28" s="2767"/>
      <c r="F28" s="2766"/>
    </row>
    <row r="29" spans="1:6" ht="33" customHeight="1" x14ac:dyDescent="0.3">
      <c r="A29" s="2706"/>
      <c r="B29" s="2768" t="s">
        <v>1181</v>
      </c>
      <c r="C29" s="2769" t="s">
        <v>324</v>
      </c>
      <c r="D29" s="2770"/>
      <c r="E29" s="2769"/>
      <c r="F29" s="2738"/>
    </row>
    <row r="30" spans="1:6" ht="33" customHeight="1" x14ac:dyDescent="0.3">
      <c r="A30" s="2706"/>
      <c r="B30" s="2771" t="s">
        <v>1182</v>
      </c>
      <c r="C30" s="2772" t="s">
        <v>326</v>
      </c>
      <c r="D30" s="2770"/>
      <c r="E30" s="2769"/>
      <c r="F30" s="2738"/>
    </row>
    <row r="31" spans="1:6" ht="33" customHeight="1" x14ac:dyDescent="0.3">
      <c r="A31" s="2706"/>
      <c r="B31" s="2768" t="s">
        <v>1183</v>
      </c>
      <c r="C31" s="2773" t="s">
        <v>2402</v>
      </c>
      <c r="D31" s="2738"/>
      <c r="E31" s="2769"/>
      <c r="F31" s="2738"/>
    </row>
    <row r="32" spans="1:6" ht="21" customHeight="1" x14ac:dyDescent="0.3">
      <c r="B32" s="2774" t="s">
        <v>329</v>
      </c>
      <c r="C32" s="2775">
        <v>35</v>
      </c>
      <c r="D32" s="2727"/>
      <c r="E32" s="2727"/>
      <c r="F32" s="2727"/>
    </row>
    <row r="33" spans="2:6" ht="21" customHeight="1" x14ac:dyDescent="0.3">
      <c r="B33" s="2712" t="s">
        <v>330</v>
      </c>
      <c r="C33" s="2769" t="s">
        <v>324</v>
      </c>
      <c r="D33" s="2776"/>
      <c r="E33" s="2777"/>
      <c r="F33" s="2747"/>
    </row>
    <row r="34" spans="2:6" ht="21" customHeight="1" x14ac:dyDescent="0.3">
      <c r="B34" s="2774" t="s">
        <v>331</v>
      </c>
      <c r="C34" s="2772" t="s">
        <v>324</v>
      </c>
      <c r="D34" s="2776"/>
      <c r="E34" s="2777"/>
      <c r="F34" s="2747"/>
    </row>
    <row r="35" spans="2:6" ht="21" customHeight="1" x14ac:dyDescent="0.3">
      <c r="B35" s="2721" t="s">
        <v>332</v>
      </c>
      <c r="C35" s="2778" t="s">
        <v>333</v>
      </c>
      <c r="D35" s="2776"/>
      <c r="E35" s="2777"/>
      <c r="F35" s="2747"/>
    </row>
    <row r="36" spans="2:6" ht="15.75" customHeight="1" x14ac:dyDescent="0.3">
      <c r="B36" s="4158" t="s">
        <v>2324</v>
      </c>
      <c r="C36" s="4160">
        <f>C14/C32</f>
        <v>2549.9692025142858</v>
      </c>
      <c r="D36" s="2747"/>
      <c r="E36" s="2747"/>
      <c r="F36" s="2747"/>
    </row>
    <row r="37" spans="2:6" ht="15.75" customHeight="1" x14ac:dyDescent="0.3">
      <c r="B37" s="2779" t="s">
        <v>334</v>
      </c>
      <c r="C37" s="2685"/>
      <c r="D37" s="2747"/>
      <c r="E37" s="2747"/>
      <c r="F37" s="2747"/>
    </row>
    <row r="38" spans="2:6" ht="15.75" customHeight="1" x14ac:dyDescent="0.3">
      <c r="B38" s="2779" t="s">
        <v>335</v>
      </c>
      <c r="C38" s="2685"/>
      <c r="D38" s="2747"/>
      <c r="E38" s="2747"/>
      <c r="F38" s="2747"/>
    </row>
    <row r="39" spans="2:6" ht="15.75" customHeight="1" x14ac:dyDescent="0.3">
      <c r="B39" s="2779" t="s">
        <v>336</v>
      </c>
      <c r="C39" s="2685"/>
      <c r="D39" s="2747"/>
      <c r="E39" s="2747"/>
      <c r="F39" s="2747"/>
    </row>
    <row r="40" spans="2:6" ht="15.75" customHeight="1" x14ac:dyDescent="0.3">
      <c r="B40" s="2779" t="s">
        <v>337</v>
      </c>
      <c r="C40" s="2685"/>
      <c r="D40" s="2747"/>
      <c r="E40" s="2747"/>
      <c r="F40" s="2747"/>
    </row>
    <row r="41" spans="2:6" ht="15.75" customHeight="1" x14ac:dyDescent="0.3">
      <c r="B41" s="2779" t="s">
        <v>338</v>
      </c>
      <c r="D41" s="2685"/>
      <c r="F41" s="2685"/>
    </row>
    <row r="42" spans="2:6" ht="15.75" customHeight="1" x14ac:dyDescent="0.3">
      <c r="B42" s="2779" t="s">
        <v>339</v>
      </c>
      <c r="D42" s="2685"/>
      <c r="F42" s="2685"/>
    </row>
    <row r="43" spans="2:6" ht="15.75" customHeight="1" x14ac:dyDescent="0.3">
      <c r="D43" s="2685"/>
      <c r="F43" s="2685"/>
    </row>
    <row r="44" spans="2:6" ht="15.75" customHeight="1" x14ac:dyDescent="0.3">
      <c r="D44" s="2685"/>
      <c r="F44" s="2685"/>
    </row>
    <row r="45" spans="2:6" ht="15.75" customHeight="1" x14ac:dyDescent="0.3">
      <c r="D45" s="2685"/>
      <c r="F45" s="2685"/>
    </row>
    <row r="46" spans="2:6" ht="15.75" customHeight="1" x14ac:dyDescent="0.3">
      <c r="D46" s="2685"/>
      <c r="F46" s="2685"/>
    </row>
    <row r="47" spans="2:6" ht="15.75" customHeight="1" x14ac:dyDescent="0.3">
      <c r="D47" s="2685"/>
      <c r="F47" s="2685"/>
    </row>
    <row r="48" spans="2:6" ht="15.75" customHeight="1" x14ac:dyDescent="0.3">
      <c r="D48" s="2685"/>
      <c r="F48" s="2685"/>
    </row>
    <row r="49" spans="4:6" ht="15.75" customHeight="1" x14ac:dyDescent="0.3">
      <c r="D49" s="2685"/>
      <c r="F49" s="2685"/>
    </row>
    <row r="50" spans="4:6" ht="15.75" customHeight="1" x14ac:dyDescent="0.3">
      <c r="D50" s="2685"/>
      <c r="F50" s="2685"/>
    </row>
    <row r="51" spans="4:6" ht="15.75" customHeight="1" x14ac:dyDescent="0.3">
      <c r="D51" s="2685"/>
      <c r="F51" s="2685"/>
    </row>
    <row r="52" spans="4:6" ht="15.75" customHeight="1" x14ac:dyDescent="0.3">
      <c r="D52" s="2685"/>
      <c r="F52" s="2685"/>
    </row>
    <row r="53" spans="4:6" ht="15.75" customHeight="1" x14ac:dyDescent="0.3">
      <c r="D53" s="2685"/>
      <c r="F53" s="2685"/>
    </row>
    <row r="54" spans="4:6" ht="15.75" customHeight="1" x14ac:dyDescent="0.3">
      <c r="D54" s="2685"/>
      <c r="F54" s="2685"/>
    </row>
    <row r="55" spans="4:6" ht="15.75" customHeight="1" x14ac:dyDescent="0.3">
      <c r="D55" s="2685"/>
      <c r="F55" s="2685"/>
    </row>
    <row r="56" spans="4:6" ht="15.75" customHeight="1" x14ac:dyDescent="0.3">
      <c r="D56" s="2685"/>
      <c r="F56" s="2685"/>
    </row>
    <row r="57" spans="4:6" ht="15.75" customHeight="1" x14ac:dyDescent="0.3">
      <c r="D57" s="2685"/>
      <c r="F57" s="2685"/>
    </row>
    <row r="58" spans="4:6" ht="15.75" customHeight="1" x14ac:dyDescent="0.3">
      <c r="D58" s="2685"/>
      <c r="F58" s="2685"/>
    </row>
    <row r="59" spans="4:6" ht="15.75" customHeight="1" x14ac:dyDescent="0.3">
      <c r="D59" s="2685"/>
      <c r="F59" s="2685"/>
    </row>
    <row r="60" spans="4:6" ht="15.75" customHeight="1" x14ac:dyDescent="0.3">
      <c r="D60" s="2685"/>
      <c r="F60" s="2685"/>
    </row>
    <row r="61" spans="4:6" ht="15.75" customHeight="1" x14ac:dyDescent="0.3">
      <c r="D61" s="2685"/>
      <c r="F61" s="2685"/>
    </row>
    <row r="62" spans="4:6" ht="15.75" customHeight="1" x14ac:dyDescent="0.3">
      <c r="D62" s="2685"/>
      <c r="F62" s="2685"/>
    </row>
    <row r="63" spans="4:6" ht="15.75" customHeight="1" x14ac:dyDescent="0.3">
      <c r="D63" s="2685"/>
      <c r="F63" s="2685"/>
    </row>
    <row r="64" spans="4:6" ht="15.75" customHeight="1" x14ac:dyDescent="0.3">
      <c r="D64" s="2685"/>
      <c r="F64" s="2685"/>
    </row>
    <row r="65" spans="4:6" ht="15.75" customHeight="1" x14ac:dyDescent="0.3">
      <c r="D65" s="2685"/>
      <c r="F65" s="2685"/>
    </row>
    <row r="66" spans="4:6" ht="15.75" customHeight="1" x14ac:dyDescent="0.3">
      <c r="D66" s="2685"/>
      <c r="F66" s="2685"/>
    </row>
    <row r="67" spans="4:6" ht="15.75" customHeight="1" x14ac:dyDescent="0.3">
      <c r="D67" s="2685"/>
      <c r="F67" s="2685"/>
    </row>
    <row r="68" spans="4:6" ht="15.75" customHeight="1" x14ac:dyDescent="0.3">
      <c r="D68" s="2685"/>
      <c r="F68" s="2685"/>
    </row>
    <row r="69" spans="4:6" ht="15.75" customHeight="1" x14ac:dyDescent="0.3">
      <c r="D69" s="2685"/>
      <c r="F69" s="2685"/>
    </row>
    <row r="70" spans="4:6" ht="15.75" customHeight="1" x14ac:dyDescent="0.3">
      <c r="D70" s="2685"/>
      <c r="F70" s="2685"/>
    </row>
    <row r="71" spans="4:6" ht="15.75" customHeight="1" x14ac:dyDescent="0.3">
      <c r="D71" s="2685"/>
      <c r="F71" s="2685"/>
    </row>
    <row r="72" spans="4:6" ht="15.75" customHeight="1" x14ac:dyDescent="0.3">
      <c r="D72" s="2685"/>
      <c r="F72" s="2685"/>
    </row>
    <row r="73" spans="4:6" ht="15.75" customHeight="1" x14ac:dyDescent="0.3">
      <c r="D73" s="2685"/>
      <c r="F73" s="2685"/>
    </row>
    <row r="74" spans="4:6" ht="15.75" customHeight="1" x14ac:dyDescent="0.3">
      <c r="D74" s="2685"/>
      <c r="F74" s="2685"/>
    </row>
    <row r="75" spans="4:6" ht="15.75" customHeight="1" x14ac:dyDescent="0.3">
      <c r="D75" s="2685"/>
      <c r="F75" s="2685"/>
    </row>
    <row r="76" spans="4:6" ht="15.75" customHeight="1" x14ac:dyDescent="0.3">
      <c r="D76" s="2685"/>
      <c r="F76" s="2685"/>
    </row>
    <row r="77" spans="4:6" ht="15.75" customHeight="1" x14ac:dyDescent="0.3">
      <c r="D77" s="2685"/>
      <c r="F77" s="2685"/>
    </row>
    <row r="78" spans="4:6" ht="15.75" customHeight="1" x14ac:dyDescent="0.3">
      <c r="D78" s="2685"/>
      <c r="F78" s="2685"/>
    </row>
    <row r="79" spans="4:6" ht="15.75" customHeight="1" x14ac:dyDescent="0.3">
      <c r="D79" s="2685"/>
      <c r="F79" s="2685"/>
    </row>
    <row r="80" spans="4:6" ht="15.75" customHeight="1" x14ac:dyDescent="0.3">
      <c r="D80" s="2685"/>
      <c r="F80" s="2685"/>
    </row>
    <row r="81" spans="4:6" ht="15.75" customHeight="1" x14ac:dyDescent="0.3">
      <c r="D81" s="2685"/>
      <c r="F81" s="2685"/>
    </row>
    <row r="82" spans="4:6" ht="15.75" customHeight="1" x14ac:dyDescent="0.3">
      <c r="D82" s="2685"/>
      <c r="F82" s="2685"/>
    </row>
    <row r="83" spans="4:6" ht="15.75" customHeight="1" x14ac:dyDescent="0.3">
      <c r="D83" s="2685"/>
      <c r="F83" s="2685"/>
    </row>
    <row r="84" spans="4:6" ht="15.75" customHeight="1" x14ac:dyDescent="0.3">
      <c r="D84" s="2685"/>
      <c r="F84" s="2685"/>
    </row>
    <row r="85" spans="4:6" ht="15.75" customHeight="1" x14ac:dyDescent="0.3">
      <c r="D85" s="2685"/>
      <c r="F85" s="2685"/>
    </row>
    <row r="86" spans="4:6" ht="15.75" customHeight="1" x14ac:dyDescent="0.3">
      <c r="D86" s="2685"/>
      <c r="F86" s="2685"/>
    </row>
    <row r="87" spans="4:6" ht="15.75" customHeight="1" x14ac:dyDescent="0.3">
      <c r="D87" s="2685"/>
      <c r="F87" s="2685"/>
    </row>
    <row r="88" spans="4:6" ht="15.75" customHeight="1" x14ac:dyDescent="0.3">
      <c r="D88" s="2685"/>
      <c r="F88" s="2685"/>
    </row>
    <row r="89" spans="4:6" ht="15.75" customHeight="1" x14ac:dyDescent="0.3">
      <c r="D89" s="2685"/>
      <c r="F89" s="2685"/>
    </row>
    <row r="90" spans="4:6" ht="15.75" customHeight="1" x14ac:dyDescent="0.3">
      <c r="D90" s="2685"/>
      <c r="F90" s="2685"/>
    </row>
    <row r="91" spans="4:6" ht="15.75" customHeight="1" x14ac:dyDescent="0.3">
      <c r="D91" s="2685"/>
      <c r="F91" s="2685"/>
    </row>
    <row r="92" spans="4:6" ht="15.75" customHeight="1" x14ac:dyDescent="0.3">
      <c r="D92" s="2685"/>
      <c r="F92" s="2685"/>
    </row>
    <row r="93" spans="4:6" ht="15.75" customHeight="1" x14ac:dyDescent="0.3">
      <c r="D93" s="2685"/>
      <c r="F93" s="2685"/>
    </row>
    <row r="94" spans="4:6" ht="15.75" customHeight="1" x14ac:dyDescent="0.3">
      <c r="D94" s="2685"/>
      <c r="F94" s="2685"/>
    </row>
    <row r="95" spans="4:6" ht="15.75" customHeight="1" x14ac:dyDescent="0.3">
      <c r="D95" s="2685"/>
      <c r="F95" s="2685"/>
    </row>
    <row r="96" spans="4:6" ht="15.75" customHeight="1" x14ac:dyDescent="0.3">
      <c r="D96" s="2685"/>
      <c r="F96" s="2685"/>
    </row>
    <row r="97" spans="4:6" ht="15.75" customHeight="1" x14ac:dyDescent="0.3">
      <c r="D97" s="2685"/>
      <c r="F97" s="2685"/>
    </row>
    <row r="98" spans="4:6" ht="15.75" customHeight="1" x14ac:dyDescent="0.3">
      <c r="D98" s="2685"/>
      <c r="F98" s="2685"/>
    </row>
    <row r="99" spans="4:6" ht="15.75" customHeight="1" x14ac:dyDescent="0.3">
      <c r="D99" s="2685"/>
      <c r="F99" s="2685"/>
    </row>
    <row r="100" spans="4:6" ht="15.75" customHeight="1" x14ac:dyDescent="0.3">
      <c r="D100" s="2685"/>
      <c r="F100" s="2685"/>
    </row>
    <row r="101" spans="4:6" ht="15.75" customHeight="1" x14ac:dyDescent="0.3">
      <c r="D101" s="2685"/>
      <c r="F101" s="2685"/>
    </row>
    <row r="102" spans="4:6" ht="15.75" customHeight="1" x14ac:dyDescent="0.3">
      <c r="D102" s="2685"/>
      <c r="F102" s="2685"/>
    </row>
    <row r="103" spans="4:6" ht="15.75" customHeight="1" x14ac:dyDescent="0.3">
      <c r="D103" s="2685"/>
      <c r="F103" s="2685"/>
    </row>
    <row r="104" spans="4:6" ht="15.75" customHeight="1" x14ac:dyDescent="0.3">
      <c r="D104" s="2685"/>
      <c r="F104" s="2685"/>
    </row>
    <row r="105" spans="4:6" ht="15.75" customHeight="1" x14ac:dyDescent="0.3">
      <c r="D105" s="2685"/>
      <c r="F105" s="2685"/>
    </row>
    <row r="106" spans="4:6" ht="15.75" customHeight="1" x14ac:dyDescent="0.3">
      <c r="D106" s="2685"/>
      <c r="F106" s="2685"/>
    </row>
    <row r="107" spans="4:6" ht="15.75" customHeight="1" x14ac:dyDescent="0.3">
      <c r="D107" s="2685"/>
      <c r="F107" s="2685"/>
    </row>
    <row r="108" spans="4:6" ht="15.75" customHeight="1" x14ac:dyDescent="0.3">
      <c r="D108" s="2685"/>
      <c r="F108" s="2685"/>
    </row>
    <row r="109" spans="4:6" ht="15.75" customHeight="1" x14ac:dyDescent="0.3">
      <c r="D109" s="2685"/>
      <c r="F109" s="2685"/>
    </row>
    <row r="110" spans="4:6" ht="15.75" customHeight="1" x14ac:dyDescent="0.3">
      <c r="D110" s="2685"/>
      <c r="F110" s="2685"/>
    </row>
    <row r="111" spans="4:6" ht="15.75" customHeight="1" x14ac:dyDescent="0.3">
      <c r="D111" s="2685"/>
      <c r="F111" s="2685"/>
    </row>
    <row r="112" spans="4:6" ht="15.75" customHeight="1" x14ac:dyDescent="0.3">
      <c r="D112" s="2685"/>
      <c r="F112" s="2685"/>
    </row>
    <row r="113" spans="4:6" ht="15.75" customHeight="1" x14ac:dyDescent="0.3">
      <c r="D113" s="2685"/>
      <c r="F113" s="2685"/>
    </row>
    <row r="114" spans="4:6" ht="15.75" customHeight="1" x14ac:dyDescent="0.3">
      <c r="D114" s="2685"/>
      <c r="F114" s="2685"/>
    </row>
    <row r="115" spans="4:6" ht="15.75" customHeight="1" x14ac:dyDescent="0.3">
      <c r="D115" s="2685"/>
      <c r="F115" s="2685"/>
    </row>
    <row r="116" spans="4:6" ht="15.75" customHeight="1" x14ac:dyDescent="0.3">
      <c r="D116" s="2685"/>
      <c r="F116" s="2685"/>
    </row>
    <row r="117" spans="4:6" ht="15.75" customHeight="1" x14ac:dyDescent="0.3">
      <c r="D117" s="2685"/>
      <c r="F117" s="2685"/>
    </row>
    <row r="118" spans="4:6" ht="15.75" customHeight="1" x14ac:dyDescent="0.3">
      <c r="D118" s="2685"/>
      <c r="F118" s="2685"/>
    </row>
    <row r="119" spans="4:6" ht="15.75" customHeight="1" x14ac:dyDescent="0.3">
      <c r="D119" s="2685"/>
      <c r="F119" s="2685"/>
    </row>
    <row r="120" spans="4:6" ht="15.75" customHeight="1" x14ac:dyDescent="0.3">
      <c r="D120" s="2685"/>
      <c r="F120" s="2685"/>
    </row>
    <row r="121" spans="4:6" ht="15.75" customHeight="1" x14ac:dyDescent="0.3">
      <c r="D121" s="2685"/>
      <c r="F121" s="2685"/>
    </row>
    <row r="122" spans="4:6" ht="15.75" customHeight="1" x14ac:dyDescent="0.3">
      <c r="D122" s="2685"/>
      <c r="F122" s="2685"/>
    </row>
    <row r="123" spans="4:6" ht="15.75" customHeight="1" x14ac:dyDescent="0.3">
      <c r="D123" s="2685"/>
      <c r="F123" s="2685"/>
    </row>
    <row r="124" spans="4:6" ht="15.75" customHeight="1" x14ac:dyDescent="0.3">
      <c r="D124" s="2685"/>
      <c r="F124" s="2685"/>
    </row>
    <row r="125" spans="4:6" ht="15.75" customHeight="1" x14ac:dyDescent="0.3">
      <c r="D125" s="2685"/>
      <c r="F125" s="2685"/>
    </row>
    <row r="126" spans="4:6" ht="15.75" customHeight="1" x14ac:dyDescent="0.3">
      <c r="D126" s="2685"/>
      <c r="F126" s="2685"/>
    </row>
    <row r="127" spans="4:6" ht="15.75" customHeight="1" x14ac:dyDescent="0.3">
      <c r="D127" s="2685"/>
      <c r="F127" s="2685"/>
    </row>
    <row r="128" spans="4:6" ht="15.75" customHeight="1" x14ac:dyDescent="0.3">
      <c r="D128" s="2685"/>
      <c r="F128" s="2685"/>
    </row>
    <row r="129" spans="4:6" ht="15.75" customHeight="1" x14ac:dyDescent="0.3">
      <c r="D129" s="2685"/>
      <c r="F129" s="2685"/>
    </row>
    <row r="130" spans="4:6" ht="15.75" customHeight="1" x14ac:dyDescent="0.3">
      <c r="D130" s="2685"/>
      <c r="F130" s="2685"/>
    </row>
    <row r="131" spans="4:6" ht="15.75" customHeight="1" x14ac:dyDescent="0.3">
      <c r="D131" s="2685"/>
      <c r="F131" s="2685"/>
    </row>
    <row r="132" spans="4:6" ht="15.75" customHeight="1" x14ac:dyDescent="0.3">
      <c r="D132" s="2685"/>
      <c r="F132" s="2685"/>
    </row>
    <row r="133" spans="4:6" ht="15.75" customHeight="1" x14ac:dyDescent="0.3">
      <c r="D133" s="2685"/>
      <c r="F133" s="2685"/>
    </row>
    <row r="134" spans="4:6" ht="15.75" customHeight="1" x14ac:dyDescent="0.3">
      <c r="D134" s="2685"/>
      <c r="F134" s="2685"/>
    </row>
    <row r="135" spans="4:6" ht="15.75" customHeight="1" x14ac:dyDescent="0.3">
      <c r="D135" s="2685"/>
      <c r="F135" s="2685"/>
    </row>
    <row r="136" spans="4:6" ht="15.75" customHeight="1" x14ac:dyDescent="0.3">
      <c r="D136" s="2685"/>
      <c r="F136" s="2685"/>
    </row>
    <row r="137" spans="4:6" ht="15.75" customHeight="1" x14ac:dyDescent="0.3">
      <c r="D137" s="2685"/>
      <c r="F137" s="2685"/>
    </row>
    <row r="138" spans="4:6" ht="15.75" customHeight="1" x14ac:dyDescent="0.3">
      <c r="D138" s="2685"/>
      <c r="F138" s="2685"/>
    </row>
    <row r="139" spans="4:6" ht="15.75" customHeight="1" x14ac:dyDescent="0.3">
      <c r="D139" s="2685"/>
      <c r="F139" s="2685"/>
    </row>
    <row r="140" spans="4:6" ht="15.75" customHeight="1" x14ac:dyDescent="0.3">
      <c r="D140" s="2685"/>
      <c r="F140" s="2685"/>
    </row>
    <row r="141" spans="4:6" ht="15.75" customHeight="1" x14ac:dyDescent="0.3">
      <c r="D141" s="2685"/>
      <c r="F141" s="2685"/>
    </row>
    <row r="142" spans="4:6" ht="15.75" customHeight="1" x14ac:dyDescent="0.3">
      <c r="D142" s="2685"/>
      <c r="F142" s="2685"/>
    </row>
    <row r="143" spans="4:6" ht="15.75" customHeight="1" x14ac:dyDescent="0.3">
      <c r="D143" s="2685"/>
      <c r="F143" s="2685"/>
    </row>
    <row r="144" spans="4:6" ht="15.75" customHeight="1" x14ac:dyDescent="0.3">
      <c r="D144" s="2685"/>
      <c r="F144" s="2685"/>
    </row>
    <row r="145" spans="4:6" ht="15.75" customHeight="1" x14ac:dyDescent="0.3">
      <c r="D145" s="2685"/>
      <c r="F145" s="2685"/>
    </row>
    <row r="146" spans="4:6" ht="15.75" customHeight="1" x14ac:dyDescent="0.3">
      <c r="D146" s="2685"/>
      <c r="F146" s="2685"/>
    </row>
    <row r="147" spans="4:6" ht="15.75" customHeight="1" x14ac:dyDescent="0.3">
      <c r="D147" s="2685"/>
      <c r="F147" s="2685"/>
    </row>
    <row r="148" spans="4:6" ht="15.75" customHeight="1" x14ac:dyDescent="0.3">
      <c r="D148" s="2685"/>
      <c r="F148" s="2685"/>
    </row>
    <row r="149" spans="4:6" ht="15.75" customHeight="1" x14ac:dyDescent="0.3">
      <c r="D149" s="2685"/>
      <c r="F149" s="2685"/>
    </row>
    <row r="150" spans="4:6" ht="15.75" customHeight="1" x14ac:dyDescent="0.3">
      <c r="D150" s="2685"/>
      <c r="F150" s="2685"/>
    </row>
    <row r="151" spans="4:6" ht="15.75" customHeight="1" x14ac:dyDescent="0.3">
      <c r="D151" s="2685"/>
      <c r="F151" s="2685"/>
    </row>
    <row r="152" spans="4:6" ht="15.75" customHeight="1" x14ac:dyDescent="0.3">
      <c r="D152" s="2685"/>
      <c r="F152" s="2685"/>
    </row>
    <row r="153" spans="4:6" ht="15.75" customHeight="1" x14ac:dyDescent="0.3">
      <c r="D153" s="2685"/>
      <c r="F153" s="2685"/>
    </row>
    <row r="154" spans="4:6" ht="15.75" customHeight="1" x14ac:dyDescent="0.3">
      <c r="D154" s="2685"/>
      <c r="F154" s="2685"/>
    </row>
    <row r="155" spans="4:6" ht="15.75" customHeight="1" x14ac:dyDescent="0.3">
      <c r="D155" s="2685"/>
      <c r="F155" s="2685"/>
    </row>
    <row r="156" spans="4:6" ht="15.75" customHeight="1" x14ac:dyDescent="0.3">
      <c r="D156" s="2685"/>
      <c r="F156" s="2685"/>
    </row>
    <row r="157" spans="4:6" ht="15.75" customHeight="1" x14ac:dyDescent="0.3">
      <c r="D157" s="2685"/>
      <c r="F157" s="2685"/>
    </row>
    <row r="158" spans="4:6" ht="15.75" customHeight="1" x14ac:dyDescent="0.3">
      <c r="D158" s="2685"/>
      <c r="F158" s="2685"/>
    </row>
    <row r="159" spans="4:6" ht="15.75" customHeight="1" x14ac:dyDescent="0.3">
      <c r="D159" s="2685"/>
      <c r="F159" s="2685"/>
    </row>
    <row r="160" spans="4:6" ht="15.75" customHeight="1" x14ac:dyDescent="0.3">
      <c r="D160" s="2685"/>
      <c r="F160" s="2685"/>
    </row>
    <row r="161" spans="4:6" ht="15.75" customHeight="1" x14ac:dyDescent="0.3">
      <c r="D161" s="2685"/>
      <c r="F161" s="2685"/>
    </row>
    <row r="162" spans="4:6" ht="15.75" customHeight="1" x14ac:dyDescent="0.3">
      <c r="D162" s="2685"/>
      <c r="F162" s="2685"/>
    </row>
    <row r="163" spans="4:6" ht="15.75" customHeight="1" x14ac:dyDescent="0.3">
      <c r="D163" s="2685"/>
      <c r="F163" s="2685"/>
    </row>
    <row r="164" spans="4:6" ht="15.75" customHeight="1" x14ac:dyDescent="0.3">
      <c r="D164" s="2685"/>
      <c r="F164" s="2685"/>
    </row>
    <row r="165" spans="4:6" ht="15.75" customHeight="1" x14ac:dyDescent="0.3">
      <c r="D165" s="2685"/>
      <c r="F165" s="2685"/>
    </row>
    <row r="166" spans="4:6" ht="15.75" customHeight="1" x14ac:dyDescent="0.3">
      <c r="D166" s="2685"/>
      <c r="F166" s="2685"/>
    </row>
    <row r="167" spans="4:6" ht="15.75" customHeight="1" x14ac:dyDescent="0.3">
      <c r="D167" s="2685"/>
      <c r="F167" s="2685"/>
    </row>
    <row r="168" spans="4:6" ht="15.75" customHeight="1" x14ac:dyDescent="0.3">
      <c r="D168" s="2685"/>
      <c r="F168" s="2685"/>
    </row>
    <row r="169" spans="4:6" ht="15.75" customHeight="1" x14ac:dyDescent="0.3">
      <c r="D169" s="2685"/>
      <c r="F169" s="2685"/>
    </row>
    <row r="170" spans="4:6" ht="15.75" customHeight="1" x14ac:dyDescent="0.3">
      <c r="D170" s="2685"/>
      <c r="F170" s="2685"/>
    </row>
    <row r="171" spans="4:6" ht="15.75" customHeight="1" x14ac:dyDescent="0.3">
      <c r="D171" s="2685"/>
      <c r="F171" s="2685"/>
    </row>
    <row r="172" spans="4:6" ht="15.75" customHeight="1" x14ac:dyDescent="0.3">
      <c r="D172" s="2685"/>
      <c r="F172" s="2685"/>
    </row>
    <row r="173" spans="4:6" ht="15.75" customHeight="1" x14ac:dyDescent="0.3">
      <c r="D173" s="2685"/>
      <c r="F173" s="2685"/>
    </row>
    <row r="174" spans="4:6" ht="15.75" customHeight="1" x14ac:dyDescent="0.3">
      <c r="D174" s="2685"/>
      <c r="F174" s="2685"/>
    </row>
    <row r="175" spans="4:6" ht="15.75" customHeight="1" x14ac:dyDescent="0.3">
      <c r="D175" s="2685"/>
      <c r="F175" s="2685"/>
    </row>
    <row r="176" spans="4:6" ht="15.75" customHeight="1" x14ac:dyDescent="0.3">
      <c r="D176" s="2685"/>
      <c r="F176" s="2685"/>
    </row>
    <row r="177" spans="4:6" ht="15.75" customHeight="1" x14ac:dyDescent="0.3">
      <c r="D177" s="2685"/>
      <c r="F177" s="2685"/>
    </row>
    <row r="178" spans="4:6" ht="15.75" customHeight="1" x14ac:dyDescent="0.3">
      <c r="D178" s="2685"/>
      <c r="F178" s="2685"/>
    </row>
    <row r="179" spans="4:6" ht="15.75" customHeight="1" x14ac:dyDescent="0.3">
      <c r="D179" s="2685"/>
      <c r="F179" s="2685"/>
    </row>
    <row r="180" spans="4:6" ht="15.75" customHeight="1" x14ac:dyDescent="0.3">
      <c r="D180" s="2685"/>
      <c r="F180" s="2685"/>
    </row>
    <row r="181" spans="4:6" ht="15.75" customHeight="1" x14ac:dyDescent="0.3">
      <c r="D181" s="2685"/>
      <c r="F181" s="2685"/>
    </row>
    <row r="182" spans="4:6" ht="15.75" customHeight="1" x14ac:dyDescent="0.3">
      <c r="D182" s="2685"/>
      <c r="F182" s="2685"/>
    </row>
    <row r="183" spans="4:6" ht="15.75" customHeight="1" x14ac:dyDescent="0.3">
      <c r="D183" s="2685"/>
      <c r="F183" s="2685"/>
    </row>
    <row r="184" spans="4:6" ht="15.75" customHeight="1" x14ac:dyDescent="0.3">
      <c r="D184" s="2685"/>
      <c r="F184" s="2685"/>
    </row>
    <row r="185" spans="4:6" ht="15.75" customHeight="1" x14ac:dyDescent="0.3">
      <c r="D185" s="2685"/>
      <c r="F185" s="2685"/>
    </row>
    <row r="186" spans="4:6" ht="15.75" customHeight="1" x14ac:dyDescent="0.3">
      <c r="D186" s="2685"/>
      <c r="F186" s="2685"/>
    </row>
    <row r="187" spans="4:6" ht="15.75" customHeight="1" x14ac:dyDescent="0.3">
      <c r="D187" s="2685"/>
      <c r="F187" s="2685"/>
    </row>
    <row r="188" spans="4:6" ht="15.75" customHeight="1" x14ac:dyDescent="0.3">
      <c r="D188" s="2685"/>
      <c r="F188" s="2685"/>
    </row>
    <row r="189" spans="4:6" ht="15.75" customHeight="1" x14ac:dyDescent="0.3">
      <c r="D189" s="2685"/>
      <c r="F189" s="2685"/>
    </row>
    <row r="190" spans="4:6" ht="15.75" customHeight="1" x14ac:dyDescent="0.3">
      <c r="D190" s="2685"/>
      <c r="F190" s="2685"/>
    </row>
    <row r="191" spans="4:6" ht="15.75" customHeight="1" x14ac:dyDescent="0.3">
      <c r="D191" s="2685"/>
      <c r="F191" s="2685"/>
    </row>
    <row r="192" spans="4:6" ht="15.75" customHeight="1" x14ac:dyDescent="0.3">
      <c r="D192" s="2685"/>
      <c r="F192" s="2685"/>
    </row>
    <row r="193" spans="4:6" ht="15.75" customHeight="1" x14ac:dyDescent="0.3">
      <c r="D193" s="2685"/>
      <c r="F193" s="2685"/>
    </row>
    <row r="194" spans="4:6" ht="15.75" customHeight="1" x14ac:dyDescent="0.3">
      <c r="D194" s="2685"/>
      <c r="F194" s="2685"/>
    </row>
    <row r="195" spans="4:6" ht="15.75" customHeight="1" x14ac:dyDescent="0.3">
      <c r="D195" s="2685"/>
      <c r="F195" s="2685"/>
    </row>
    <row r="196" spans="4:6" ht="15.75" customHeight="1" x14ac:dyDescent="0.3">
      <c r="D196" s="2685"/>
      <c r="F196" s="2685"/>
    </row>
    <row r="197" spans="4:6" ht="15.75" customHeight="1" x14ac:dyDescent="0.3">
      <c r="D197" s="2685"/>
      <c r="F197" s="2685"/>
    </row>
    <row r="198" spans="4:6" ht="15.75" customHeight="1" x14ac:dyDescent="0.3">
      <c r="D198" s="2685"/>
      <c r="F198" s="2685"/>
    </row>
    <row r="199" spans="4:6" ht="15.75" customHeight="1" x14ac:dyDescent="0.3">
      <c r="D199" s="2685"/>
      <c r="F199" s="2685"/>
    </row>
    <row r="200" spans="4:6" ht="15.75" customHeight="1" x14ac:dyDescent="0.3">
      <c r="D200" s="2685"/>
      <c r="F200" s="2685"/>
    </row>
    <row r="201" spans="4:6" ht="15.75" customHeight="1" x14ac:dyDescent="0.3">
      <c r="D201" s="2685"/>
      <c r="F201" s="2685"/>
    </row>
    <row r="202" spans="4:6" ht="15.75" customHeight="1" x14ac:dyDescent="0.3">
      <c r="D202" s="2685"/>
      <c r="F202" s="2685"/>
    </row>
    <row r="203" spans="4:6" ht="15.75" customHeight="1" x14ac:dyDescent="0.3">
      <c r="D203" s="2685"/>
      <c r="F203" s="2685"/>
    </row>
    <row r="204" spans="4:6" ht="15.75" customHeight="1" x14ac:dyDescent="0.3">
      <c r="D204" s="2685"/>
      <c r="F204" s="2685"/>
    </row>
    <row r="205" spans="4:6" ht="15.75" customHeight="1" x14ac:dyDescent="0.3">
      <c r="D205" s="2685"/>
      <c r="F205" s="2685"/>
    </row>
    <row r="206" spans="4:6" ht="15.75" customHeight="1" x14ac:dyDescent="0.3">
      <c r="D206" s="2685"/>
      <c r="F206" s="2685"/>
    </row>
    <row r="207" spans="4:6" ht="15.75" customHeight="1" x14ac:dyDescent="0.3">
      <c r="D207" s="2685"/>
      <c r="F207" s="2685"/>
    </row>
    <row r="208" spans="4:6" ht="15.75" customHeight="1" x14ac:dyDescent="0.3">
      <c r="D208" s="2685"/>
      <c r="F208" s="2685"/>
    </row>
    <row r="209" spans="4:6" ht="15.75" customHeight="1" x14ac:dyDescent="0.3">
      <c r="D209" s="2685"/>
      <c r="F209" s="2685"/>
    </row>
    <row r="210" spans="4:6" ht="15.75" customHeight="1" x14ac:dyDescent="0.3">
      <c r="D210" s="2685"/>
      <c r="F210" s="2685"/>
    </row>
    <row r="211" spans="4:6" ht="15.75" customHeight="1" x14ac:dyDescent="0.3">
      <c r="D211" s="2685"/>
      <c r="F211" s="2685"/>
    </row>
    <row r="212" spans="4:6" ht="15.75" customHeight="1" x14ac:dyDescent="0.3">
      <c r="D212" s="2685"/>
      <c r="F212" s="2685"/>
    </row>
    <row r="213" spans="4:6" ht="15.75" customHeight="1" x14ac:dyDescent="0.3">
      <c r="D213" s="2685"/>
      <c r="F213" s="2685"/>
    </row>
    <row r="214" spans="4:6" ht="15.75" customHeight="1" x14ac:dyDescent="0.3">
      <c r="D214" s="2685"/>
      <c r="F214" s="2685"/>
    </row>
    <row r="215" spans="4:6" ht="15.75" customHeight="1" x14ac:dyDescent="0.3">
      <c r="D215" s="2685"/>
      <c r="F215" s="2685"/>
    </row>
    <row r="216" spans="4:6" ht="15.75" customHeight="1" x14ac:dyDescent="0.3">
      <c r="D216" s="2685"/>
      <c r="F216" s="2685"/>
    </row>
    <row r="217" spans="4:6" ht="15.75" customHeight="1" x14ac:dyDescent="0.3">
      <c r="D217" s="2685"/>
      <c r="F217" s="2685"/>
    </row>
    <row r="218" spans="4:6" ht="15.75" customHeight="1" x14ac:dyDescent="0.3">
      <c r="D218" s="2685"/>
      <c r="F218" s="2685"/>
    </row>
    <row r="219" spans="4:6" ht="15.75" customHeight="1" x14ac:dyDescent="0.3">
      <c r="D219" s="2685"/>
      <c r="F219" s="2685"/>
    </row>
    <row r="220" spans="4:6" ht="15.75" customHeight="1" x14ac:dyDescent="0.3">
      <c r="D220" s="2685"/>
      <c r="F220" s="2685"/>
    </row>
    <row r="221" spans="4:6" ht="15.75" customHeight="1" x14ac:dyDescent="0.3">
      <c r="D221" s="2685"/>
      <c r="F221" s="2685"/>
    </row>
    <row r="222" spans="4:6" ht="15.75" customHeight="1" x14ac:dyDescent="0.3">
      <c r="D222" s="2685"/>
      <c r="F222" s="2685"/>
    </row>
    <row r="223" spans="4:6" ht="15.75" customHeight="1" x14ac:dyDescent="0.3">
      <c r="D223" s="2685"/>
      <c r="F223" s="2685"/>
    </row>
    <row r="224" spans="4:6" ht="15.75" customHeight="1" x14ac:dyDescent="0.3">
      <c r="D224" s="2685"/>
      <c r="F224" s="2685"/>
    </row>
    <row r="225" spans="4:6" ht="15.75" customHeight="1" x14ac:dyDescent="0.3">
      <c r="D225" s="2685"/>
      <c r="F225" s="2685"/>
    </row>
    <row r="226" spans="4:6" ht="15.75" customHeight="1" x14ac:dyDescent="0.3">
      <c r="D226" s="2685"/>
      <c r="F226" s="2685"/>
    </row>
    <row r="227" spans="4:6" ht="15.75" customHeight="1" x14ac:dyDescent="0.3">
      <c r="D227" s="2685"/>
      <c r="F227" s="2685"/>
    </row>
    <row r="228" spans="4:6" ht="15.75" customHeight="1" x14ac:dyDescent="0.3">
      <c r="D228" s="2685"/>
      <c r="F228" s="2685"/>
    </row>
    <row r="229" spans="4:6" ht="15.75" customHeight="1" x14ac:dyDescent="0.3">
      <c r="D229" s="2685"/>
      <c r="F229" s="2685"/>
    </row>
    <row r="230" spans="4:6" ht="15.75" customHeight="1" x14ac:dyDescent="0.3">
      <c r="D230" s="2685"/>
      <c r="F230" s="2685"/>
    </row>
    <row r="231" spans="4:6" ht="15.75" customHeight="1" x14ac:dyDescent="0.3">
      <c r="D231" s="2685"/>
      <c r="F231" s="2685"/>
    </row>
    <row r="232" spans="4:6" ht="15.75" customHeight="1" x14ac:dyDescent="0.3">
      <c r="D232" s="2685"/>
      <c r="F232" s="2685"/>
    </row>
    <row r="233" spans="4:6" ht="15.75" customHeight="1" x14ac:dyDescent="0.3">
      <c r="D233" s="2685"/>
      <c r="F233" s="2685"/>
    </row>
    <row r="234" spans="4:6" ht="15.75" customHeight="1" x14ac:dyDescent="0.3">
      <c r="D234" s="2685"/>
      <c r="F234" s="2685"/>
    </row>
    <row r="235" spans="4:6" ht="15.75" customHeight="1" x14ac:dyDescent="0.3">
      <c r="D235" s="2685"/>
      <c r="F235" s="2685"/>
    </row>
    <row r="236" spans="4:6" ht="15.75" customHeight="1" x14ac:dyDescent="0.3">
      <c r="D236" s="2685"/>
      <c r="F236" s="2685"/>
    </row>
    <row r="237" spans="4:6" ht="15.75" customHeight="1" x14ac:dyDescent="0.3">
      <c r="D237" s="2685"/>
      <c r="F237" s="2685"/>
    </row>
    <row r="238" spans="4:6" ht="15.75" customHeight="1" x14ac:dyDescent="0.3">
      <c r="D238" s="2685"/>
      <c r="F238" s="2685"/>
    </row>
    <row r="239" spans="4:6" ht="15.75" customHeight="1" x14ac:dyDescent="0.3">
      <c r="D239" s="2685"/>
      <c r="F239" s="2685"/>
    </row>
    <row r="240" spans="4:6" ht="15.75" customHeight="1" x14ac:dyDescent="0.3">
      <c r="D240" s="2685"/>
      <c r="F240" s="2685"/>
    </row>
    <row r="241" spans="4:6" ht="15.75" customHeight="1" x14ac:dyDescent="0.3">
      <c r="D241" s="2685"/>
      <c r="F241" s="2685"/>
    </row>
    <row r="242" spans="4:6" ht="15.75" customHeight="1" x14ac:dyDescent="0.3">
      <c r="D242" s="2685"/>
      <c r="F242" s="2685"/>
    </row>
    <row r="243" spans="4:6" ht="15.75" customHeight="1" x14ac:dyDescent="0.3"/>
    <row r="244" spans="4:6" ht="15.75" customHeight="1" x14ac:dyDescent="0.3"/>
    <row r="245" spans="4:6" ht="15.75" customHeight="1" x14ac:dyDescent="0.3"/>
    <row r="246" spans="4:6" ht="15.75" customHeight="1" x14ac:dyDescent="0.3"/>
    <row r="247" spans="4:6" ht="15.75" customHeight="1" x14ac:dyDescent="0.3"/>
    <row r="248" spans="4:6" ht="15.75" customHeight="1" x14ac:dyDescent="0.3"/>
    <row r="249" spans="4:6" ht="15.75" customHeight="1" x14ac:dyDescent="0.3"/>
    <row r="250" spans="4:6" ht="15.75" customHeight="1" x14ac:dyDescent="0.3"/>
    <row r="251" spans="4:6" ht="15.75" customHeight="1" x14ac:dyDescent="0.3"/>
    <row r="252" spans="4:6" ht="15.75" customHeight="1" x14ac:dyDescent="0.3"/>
    <row r="253" spans="4:6" ht="15.75" customHeight="1" x14ac:dyDescent="0.3"/>
    <row r="254" spans="4:6" ht="15.75" customHeight="1" x14ac:dyDescent="0.3"/>
    <row r="255" spans="4:6" ht="15.75" customHeight="1" x14ac:dyDescent="0.3"/>
    <row r="256" spans="4: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sheetData>
  <dataValidations count="1">
    <dataValidation type="list" allowBlank="1" showErrorMessage="1" sqref="B17 B24" xr:uid="{41B73DCA-6EC5-4713-9F0C-A62775BB58AC}">
      <formula1>$B$37:$B$42</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9EAB1-5EA0-411A-8BF2-C81B2006C89A}">
  <dimension ref="A1:AD996"/>
  <sheetViews>
    <sheetView zoomScale="84" workbookViewId="0">
      <selection activeCell="G16" sqref="G16"/>
    </sheetView>
  </sheetViews>
  <sheetFormatPr defaultColWidth="12.44140625" defaultRowHeight="15" customHeight="1" x14ac:dyDescent="0.3"/>
  <cols>
    <col min="1" max="1" width="3" style="2686" customWidth="1"/>
    <col min="2" max="2" width="5.77734375" style="2686" customWidth="1"/>
    <col min="3" max="3" width="33.6640625" style="2686" customWidth="1"/>
    <col min="4" max="4" width="29.109375" style="2686" customWidth="1"/>
    <col min="5" max="5" width="10.77734375" style="2686" customWidth="1"/>
    <col min="6" max="6" width="29.109375" style="2686" customWidth="1"/>
    <col min="7" max="7" width="14.109375" style="2686" customWidth="1"/>
    <col min="8" max="8" width="14.109375" style="2686" hidden="1" customWidth="1"/>
    <col min="9" max="9" width="14.109375" style="2686" customWidth="1"/>
    <col min="10" max="12" width="14.109375" style="2686" hidden="1" customWidth="1"/>
    <col min="13" max="25" width="13" style="2686" hidden="1" customWidth="1"/>
    <col min="26" max="30" width="13" style="2686" customWidth="1"/>
    <col min="31" max="16384" width="12.44140625" style="2686"/>
  </cols>
  <sheetData>
    <row r="1" spans="1:30" ht="23.25" customHeight="1" x14ac:dyDescent="0.35">
      <c r="A1" s="2780"/>
      <c r="B1" s="2781" t="s">
        <v>2337</v>
      </c>
    </row>
    <row r="2" spans="1:30" ht="13.5" customHeight="1" x14ac:dyDescent="0.3">
      <c r="A2" s="2780"/>
      <c r="B2" s="2782" t="s">
        <v>340</v>
      </c>
      <c r="C2" s="2688"/>
      <c r="D2" s="2688"/>
      <c r="E2" s="2688"/>
      <c r="F2" s="2688"/>
      <c r="G2" s="2688"/>
      <c r="H2" s="2688"/>
      <c r="I2" s="2688"/>
      <c r="J2" s="2688"/>
      <c r="K2" s="2688"/>
      <c r="L2" s="2688"/>
      <c r="M2" s="2688"/>
      <c r="N2" s="2688"/>
      <c r="O2" s="2688"/>
      <c r="P2" s="2688"/>
      <c r="Q2" s="2688"/>
      <c r="R2" s="2688"/>
      <c r="S2" s="2688"/>
      <c r="T2" s="2688"/>
      <c r="U2" s="2688"/>
      <c r="V2" s="2688"/>
      <c r="W2" s="2688"/>
      <c r="X2" s="2688"/>
      <c r="Y2" s="2688"/>
      <c r="Z2" s="2688"/>
    </row>
    <row r="3" spans="1:30" ht="15.75" customHeight="1" x14ac:dyDescent="0.3">
      <c r="B3" s="2783"/>
    </row>
    <row r="4" spans="1:30" ht="15.75" customHeight="1" x14ac:dyDescent="0.3">
      <c r="B4" s="2783"/>
    </row>
    <row r="5" spans="1:30" ht="15.75" customHeight="1" x14ac:dyDescent="0.3">
      <c r="B5" s="2784" t="s">
        <v>342</v>
      </c>
    </row>
    <row r="6" spans="1:30" ht="9" customHeight="1" x14ac:dyDescent="0.3">
      <c r="B6" s="2785"/>
      <c r="G6" s="2685"/>
      <c r="H6" s="2685"/>
      <c r="I6" s="2685"/>
      <c r="J6" s="2685"/>
      <c r="K6" s="2685"/>
      <c r="L6" s="2685"/>
      <c r="Z6" s="2685"/>
    </row>
    <row r="7" spans="1:30" ht="15.75" customHeight="1" x14ac:dyDescent="0.3">
      <c r="B7" s="2786" t="s">
        <v>301</v>
      </c>
      <c r="C7" s="2787" t="s">
        <v>343</v>
      </c>
      <c r="D7" s="2788" t="s">
        <v>344</v>
      </c>
      <c r="E7" s="2788" t="s">
        <v>345</v>
      </c>
      <c r="F7" s="2788" t="s">
        <v>346</v>
      </c>
      <c r="G7" s="2789" t="s">
        <v>347</v>
      </c>
      <c r="H7" s="2790">
        <v>2025</v>
      </c>
      <c r="I7" s="2790">
        <v>2024</v>
      </c>
      <c r="J7" s="2790">
        <v>2023</v>
      </c>
      <c r="K7" s="2790">
        <v>2022</v>
      </c>
      <c r="L7" s="2790">
        <v>2021</v>
      </c>
      <c r="M7" s="2790">
        <v>2020</v>
      </c>
      <c r="N7" s="2790">
        <v>2019</v>
      </c>
      <c r="O7" s="2791">
        <v>2018</v>
      </c>
      <c r="P7" s="2791">
        <v>2017</v>
      </c>
      <c r="Q7" s="2791">
        <v>2016</v>
      </c>
      <c r="R7" s="2791">
        <v>2015</v>
      </c>
      <c r="S7" s="2791">
        <v>2014</v>
      </c>
      <c r="T7" s="2791">
        <v>2013</v>
      </c>
      <c r="U7" s="2791">
        <v>2012</v>
      </c>
      <c r="V7" s="2791">
        <v>2011</v>
      </c>
      <c r="W7" s="2791">
        <v>2010</v>
      </c>
      <c r="X7" s="2791">
        <v>2009</v>
      </c>
      <c r="Y7" s="2791">
        <v>2008</v>
      </c>
      <c r="Z7" s="2792" t="s">
        <v>332</v>
      </c>
    </row>
    <row r="8" spans="1:30" ht="24" customHeight="1" x14ac:dyDescent="0.3">
      <c r="A8" s="2793"/>
      <c r="B8" s="2794">
        <v>1</v>
      </c>
      <c r="C8" s="2795" t="s">
        <v>1492</v>
      </c>
      <c r="D8" s="2796" t="s">
        <v>1493</v>
      </c>
      <c r="E8" s="2797" t="s">
        <v>846</v>
      </c>
      <c r="F8" s="2798" t="s">
        <v>1494</v>
      </c>
      <c r="G8" s="2799">
        <v>2008</v>
      </c>
      <c r="H8" s="2800"/>
      <c r="I8" s="2800">
        <v>1981592</v>
      </c>
      <c r="J8" s="2801">
        <v>1485071</v>
      </c>
      <c r="K8" s="2801">
        <v>1456966</v>
      </c>
      <c r="L8" s="2801">
        <v>1802233</v>
      </c>
      <c r="M8" s="2801">
        <v>1606662</v>
      </c>
      <c r="N8" s="2801">
        <v>1996753</v>
      </c>
      <c r="O8" s="2801">
        <v>4472739.03</v>
      </c>
      <c r="P8" s="2801">
        <v>1776876.12</v>
      </c>
      <c r="Q8" s="2802"/>
      <c r="R8" s="2802"/>
      <c r="S8" s="2802"/>
      <c r="T8" s="2802"/>
      <c r="U8" s="2803"/>
      <c r="V8" s="2802"/>
      <c r="W8" s="2803"/>
      <c r="X8" s="2802"/>
      <c r="Y8" s="2803"/>
      <c r="Z8" s="2802"/>
      <c r="AA8" s="2793"/>
      <c r="AB8" s="2793"/>
      <c r="AC8" s="2793"/>
      <c r="AD8" s="2793"/>
    </row>
    <row r="9" spans="1:30" ht="24" customHeight="1" x14ac:dyDescent="0.3">
      <c r="A9" s="2793"/>
      <c r="B9" s="2794"/>
      <c r="C9" s="2712"/>
      <c r="D9" s="2712"/>
      <c r="E9" s="2804"/>
      <c r="F9" s="2712"/>
      <c r="G9" s="2769"/>
      <c r="H9" s="2805"/>
      <c r="I9" s="2805"/>
      <c r="J9" s="2805"/>
      <c r="K9" s="2805"/>
      <c r="L9" s="2805"/>
      <c r="M9" s="2805"/>
      <c r="N9" s="2805"/>
      <c r="O9" s="2805"/>
      <c r="P9" s="2805"/>
      <c r="Q9" s="2805"/>
      <c r="R9" s="2805"/>
      <c r="S9" s="2805"/>
      <c r="T9" s="2805"/>
      <c r="U9" s="2806"/>
      <c r="V9" s="2805"/>
      <c r="W9" s="2806"/>
      <c r="X9" s="2805"/>
      <c r="Y9" s="2806"/>
      <c r="Z9" s="2805"/>
      <c r="AA9" s="2793"/>
      <c r="AB9" s="2793"/>
      <c r="AC9" s="2793"/>
      <c r="AD9" s="2793"/>
    </row>
    <row r="10" spans="1:30" ht="24" customHeight="1" x14ac:dyDescent="0.3">
      <c r="A10" s="2793"/>
      <c r="B10" s="2794"/>
      <c r="C10" s="2796"/>
      <c r="D10" s="2796"/>
      <c r="E10" s="2807"/>
      <c r="F10" s="2796"/>
      <c r="G10" s="2808"/>
      <c r="H10" s="2809"/>
      <c r="I10" s="2809"/>
      <c r="J10" s="2809"/>
      <c r="K10" s="2809"/>
      <c r="L10" s="2809"/>
      <c r="M10" s="2809"/>
      <c r="N10" s="2809"/>
      <c r="O10" s="2809"/>
      <c r="P10" s="2809"/>
      <c r="Q10" s="2809"/>
      <c r="R10" s="2809"/>
      <c r="S10" s="2809"/>
      <c r="T10" s="2809"/>
      <c r="U10" s="2810"/>
      <c r="V10" s="2809"/>
      <c r="W10" s="2810"/>
      <c r="X10" s="2809"/>
      <c r="Y10" s="2810"/>
      <c r="Z10" s="2809"/>
      <c r="AA10" s="2793"/>
      <c r="AB10" s="2793"/>
      <c r="AC10" s="2793"/>
      <c r="AD10" s="2793"/>
    </row>
    <row r="11" spans="1:30" ht="24" customHeight="1" x14ac:dyDescent="0.3">
      <c r="A11" s="2793"/>
      <c r="B11" s="2811"/>
      <c r="C11" s="2721"/>
      <c r="D11" s="2721"/>
      <c r="E11" s="2812"/>
      <c r="F11" s="2721"/>
      <c r="G11" s="2813"/>
      <c r="H11" s="2814"/>
      <c r="I11" s="2814"/>
      <c r="J11" s="2814"/>
      <c r="K11" s="2814"/>
      <c r="L11" s="2814"/>
      <c r="M11" s="2814"/>
      <c r="N11" s="2814"/>
      <c r="O11" s="2814"/>
      <c r="P11" s="2814"/>
      <c r="Q11" s="2814"/>
      <c r="R11" s="2814"/>
      <c r="S11" s="2814"/>
      <c r="T11" s="2814"/>
      <c r="U11" s="2815"/>
      <c r="V11" s="2814"/>
      <c r="W11" s="2815"/>
      <c r="X11" s="2814"/>
      <c r="Y11" s="2815"/>
      <c r="Z11" s="2814"/>
      <c r="AA11" s="2793"/>
      <c r="AB11" s="2793"/>
      <c r="AC11" s="2793"/>
      <c r="AD11" s="2793"/>
    </row>
    <row r="12" spans="1:30" ht="15.75" customHeight="1" x14ac:dyDescent="0.3">
      <c r="A12" s="2793"/>
      <c r="B12" s="2816"/>
      <c r="C12" s="2793"/>
      <c r="D12" s="2793"/>
      <c r="E12" s="2793"/>
      <c r="F12" s="2793"/>
      <c r="G12" s="2738"/>
      <c r="H12" s="2738"/>
      <c r="I12" s="2738"/>
      <c r="J12" s="2738"/>
      <c r="K12" s="2738"/>
      <c r="L12" s="2738"/>
      <c r="M12" s="2817"/>
      <c r="N12" s="2817"/>
      <c r="O12" s="2817"/>
      <c r="P12" s="2817"/>
      <c r="Q12" s="2817"/>
      <c r="R12" s="2817"/>
      <c r="S12" s="2817"/>
      <c r="T12" s="2817"/>
      <c r="U12" s="2817"/>
      <c r="V12" s="2817"/>
      <c r="W12" s="2817"/>
      <c r="X12" s="2817"/>
      <c r="Y12" s="2817"/>
      <c r="Z12" s="2817"/>
      <c r="AA12" s="2793"/>
      <c r="AB12" s="2793"/>
      <c r="AC12" s="2793"/>
      <c r="AD12" s="2793"/>
    </row>
    <row r="13" spans="1:30" ht="15.75" customHeight="1" x14ac:dyDescent="0.3">
      <c r="A13" s="2793"/>
      <c r="B13" s="2818" t="s">
        <v>355</v>
      </c>
      <c r="C13" s="2819" t="s">
        <v>356</v>
      </c>
      <c r="D13" s="2793"/>
      <c r="E13" s="2793"/>
      <c r="F13" s="2793"/>
      <c r="G13" s="2738"/>
      <c r="H13" s="2738"/>
      <c r="I13" s="2738"/>
      <c r="J13" s="2738"/>
      <c r="K13" s="2738"/>
      <c r="L13" s="2738"/>
      <c r="M13" s="2817"/>
      <c r="N13" s="2817"/>
      <c r="O13" s="2817"/>
      <c r="P13" s="2817"/>
      <c r="Q13" s="2817"/>
      <c r="R13" s="2817"/>
      <c r="S13" s="2817"/>
      <c r="T13" s="2817"/>
      <c r="U13" s="2817"/>
      <c r="V13" s="2817"/>
      <c r="W13" s="2817"/>
      <c r="X13" s="2817"/>
      <c r="Y13" s="2817"/>
      <c r="Z13" s="2817"/>
      <c r="AA13" s="2793"/>
      <c r="AB13" s="2793"/>
      <c r="AC13" s="2793"/>
      <c r="AD13" s="2793"/>
    </row>
    <row r="14" spans="1:30" ht="15.75" customHeight="1" x14ac:dyDescent="0.3">
      <c r="A14" s="2793"/>
      <c r="B14" s="2816"/>
      <c r="C14" s="2793"/>
      <c r="D14" s="2793"/>
      <c r="E14" s="2793"/>
      <c r="F14" s="2793"/>
      <c r="G14" s="2738"/>
      <c r="H14" s="2738"/>
      <c r="I14" s="2738"/>
      <c r="J14" s="2738"/>
      <c r="K14" s="2738"/>
      <c r="L14" s="2738"/>
      <c r="M14" s="2817"/>
      <c r="N14" s="2817"/>
      <c r="O14" s="2817"/>
      <c r="P14" s="2817"/>
      <c r="Q14" s="2817"/>
      <c r="R14" s="2817"/>
      <c r="S14" s="2817"/>
      <c r="T14" s="2817"/>
      <c r="U14" s="2817"/>
      <c r="V14" s="2817"/>
      <c r="W14" s="2817"/>
      <c r="X14" s="2817"/>
      <c r="Y14" s="2817"/>
      <c r="Z14" s="2817"/>
      <c r="AA14" s="2793"/>
      <c r="AB14" s="2793"/>
      <c r="AC14" s="2793"/>
      <c r="AD14" s="2793"/>
    </row>
    <row r="15" spans="1:30" ht="15.75" customHeight="1" x14ac:dyDescent="0.3">
      <c r="A15" s="2793"/>
      <c r="B15" s="4442" t="s">
        <v>357</v>
      </c>
      <c r="C15" s="4443"/>
      <c r="D15" s="2793"/>
      <c r="E15" s="2793"/>
      <c r="F15" s="2793"/>
      <c r="G15" s="2738"/>
      <c r="H15" s="2738"/>
      <c r="I15" s="2738"/>
      <c r="J15" s="2738"/>
      <c r="K15" s="2738"/>
      <c r="L15" s="2738"/>
      <c r="M15" s="2817"/>
      <c r="N15" s="2817"/>
      <c r="O15" s="2817"/>
      <c r="P15" s="2817"/>
      <c r="Q15" s="2817"/>
      <c r="R15" s="2817"/>
      <c r="S15" s="2817"/>
      <c r="T15" s="2817"/>
      <c r="U15" s="2817"/>
      <c r="V15" s="2817"/>
      <c r="W15" s="2817"/>
      <c r="X15" s="2817"/>
      <c r="Y15" s="2817"/>
      <c r="Z15" s="2817"/>
      <c r="AA15" s="2793"/>
      <c r="AB15" s="2793"/>
      <c r="AC15" s="2793"/>
      <c r="AD15" s="2793"/>
    </row>
    <row r="16" spans="1:30" ht="26.55" customHeight="1" x14ac:dyDescent="0.3">
      <c r="A16" s="2793"/>
      <c r="B16" s="2820" t="s">
        <v>301</v>
      </c>
      <c r="C16" s="4444" t="s">
        <v>1495</v>
      </c>
      <c r="D16" s="4443"/>
      <c r="E16" s="2822">
        <v>45.1</v>
      </c>
      <c r="F16" s="2823" t="s">
        <v>1496</v>
      </c>
      <c r="G16" s="2824" t="s">
        <v>1497</v>
      </c>
      <c r="H16" s="2738"/>
      <c r="I16" s="2738"/>
      <c r="J16" s="2738"/>
      <c r="K16" s="2738"/>
      <c r="L16" s="2738"/>
      <c r="M16" s="2817"/>
      <c r="N16" s="2817"/>
      <c r="O16" s="2817"/>
      <c r="P16" s="2817"/>
      <c r="Q16" s="2817"/>
      <c r="R16" s="2817"/>
      <c r="S16" s="2817"/>
      <c r="T16" s="2817"/>
      <c r="U16" s="2817"/>
      <c r="V16" s="2817"/>
      <c r="W16" s="2817"/>
      <c r="X16" s="2817"/>
      <c r="Y16" s="2817"/>
      <c r="Z16" s="2817"/>
      <c r="AA16" s="2793"/>
      <c r="AB16" s="2793"/>
      <c r="AC16" s="2793"/>
      <c r="AD16" s="2793"/>
    </row>
    <row r="17" spans="1:30" ht="34.200000000000003" customHeight="1" x14ac:dyDescent="0.3">
      <c r="A17" s="2793"/>
      <c r="B17" s="2820" t="s">
        <v>301</v>
      </c>
      <c r="C17" s="2821"/>
      <c r="D17" s="2821" t="s">
        <v>1498</v>
      </c>
      <c r="E17" s="2822">
        <v>6.0999999999999999E-2</v>
      </c>
      <c r="F17" s="2823" t="s">
        <v>1499</v>
      </c>
      <c r="G17" s="2738"/>
      <c r="H17" s="2738"/>
      <c r="I17" s="2738"/>
      <c r="J17" s="2738"/>
      <c r="K17" s="2738"/>
      <c r="L17" s="2738"/>
      <c r="M17" s="2817"/>
      <c r="N17" s="2817"/>
      <c r="O17" s="2817"/>
      <c r="P17" s="2817"/>
      <c r="Q17" s="2817"/>
      <c r="R17" s="2817"/>
      <c r="S17" s="2817"/>
      <c r="T17" s="2817"/>
      <c r="U17" s="2817"/>
      <c r="V17" s="2817"/>
      <c r="W17" s="2817"/>
      <c r="X17" s="2817"/>
      <c r="Y17" s="2817"/>
      <c r="Z17" s="2817"/>
      <c r="AA17" s="2793"/>
      <c r="AB17" s="2793"/>
      <c r="AC17" s="2793"/>
      <c r="AD17" s="2793"/>
    </row>
    <row r="18" spans="1:30" ht="28.95" customHeight="1" x14ac:dyDescent="0.3">
      <c r="C18" s="2825"/>
      <c r="D18" s="2825"/>
      <c r="E18" s="2826">
        <v>0.68</v>
      </c>
      <c r="F18" s="2827" t="s">
        <v>1500</v>
      </c>
      <c r="G18" s="2825"/>
      <c r="H18" s="2825"/>
      <c r="I18" s="2825"/>
      <c r="J18" s="2825"/>
      <c r="K18" s="2825"/>
      <c r="L18" s="2825"/>
      <c r="M18" s="2825"/>
      <c r="N18" s="2825"/>
      <c r="O18" s="2825"/>
      <c r="P18" s="2825"/>
    </row>
    <row r="19" spans="1:30" ht="15.75" hidden="1" customHeight="1" x14ac:dyDescent="0.3">
      <c r="B19" s="2828"/>
      <c r="C19" s="2689" t="s">
        <v>1501</v>
      </c>
    </row>
    <row r="20" spans="1:30" ht="15.75" hidden="1" customHeight="1" x14ac:dyDescent="0.3">
      <c r="B20" s="2828"/>
      <c r="C20" s="2829" t="s">
        <v>1502</v>
      </c>
    </row>
    <row r="21" spans="1:30" ht="15.75" hidden="1" customHeight="1" x14ac:dyDescent="0.3">
      <c r="B21" s="2828"/>
      <c r="C21" s="2829"/>
    </row>
    <row r="22" spans="1:30" ht="42" hidden="1" customHeight="1" x14ac:dyDescent="0.3">
      <c r="B22" s="2828"/>
      <c r="C22" s="2830" t="s">
        <v>1503</v>
      </c>
      <c r="D22" s="2831" t="s">
        <v>1504</v>
      </c>
      <c r="E22" s="2832"/>
      <c r="F22" s="2832"/>
      <c r="G22" s="2833" t="s">
        <v>1505</v>
      </c>
      <c r="H22" s="2834"/>
      <c r="I22" s="2834"/>
      <c r="J22" s="2834"/>
      <c r="K22" s="2834"/>
      <c r="L22" s="2834"/>
      <c r="M22" s="2835"/>
      <c r="N22" s="2835" t="s">
        <v>1506</v>
      </c>
      <c r="O22" s="2835"/>
      <c r="P22" s="2835"/>
      <c r="Q22" s="2835"/>
      <c r="R22" s="2836" t="s">
        <v>1507</v>
      </c>
      <c r="S22" s="2835" t="s">
        <v>1508</v>
      </c>
      <c r="T22" s="2837" t="s">
        <v>1509</v>
      </c>
      <c r="U22" s="2838" t="s">
        <v>1510</v>
      </c>
    </row>
    <row r="23" spans="1:30" ht="91.5" hidden="1" customHeight="1" x14ac:dyDescent="0.3">
      <c r="B23" s="2828"/>
      <c r="C23" s="2839" t="s">
        <v>599</v>
      </c>
      <c r="D23" s="2840">
        <v>10868.73</v>
      </c>
      <c r="E23" s="2841"/>
      <c r="F23" s="2841"/>
      <c r="G23" s="2842" t="e">
        <f t="shared" ref="G23:G28" si="0">D23*#REF!*#REF!</f>
        <v>#REF!</v>
      </c>
      <c r="H23" s="2843"/>
      <c r="I23" s="2843"/>
      <c r="J23" s="2843"/>
      <c r="K23" s="2843"/>
      <c r="L23" s="2843"/>
      <c r="M23" s="2844"/>
      <c r="N23" s="2844"/>
      <c r="O23" s="2844"/>
      <c r="P23" s="2844"/>
      <c r="Q23" s="2844"/>
      <c r="R23" s="2845"/>
      <c r="S23" s="2844"/>
      <c r="T23" s="2846"/>
      <c r="U23" s="2847" t="s">
        <v>1511</v>
      </c>
    </row>
    <row r="24" spans="1:30" ht="54" hidden="1" customHeight="1" x14ac:dyDescent="0.3">
      <c r="B24" s="2828"/>
      <c r="C24" s="2839" t="s">
        <v>600</v>
      </c>
      <c r="D24" s="2840">
        <v>9338</v>
      </c>
      <c r="E24" s="2841"/>
      <c r="F24" s="2841"/>
      <c r="G24" s="2842" t="e">
        <f t="shared" si="0"/>
        <v>#REF!</v>
      </c>
      <c r="H24" s="2843"/>
      <c r="I24" s="2843"/>
      <c r="J24" s="2843"/>
      <c r="K24" s="2843"/>
      <c r="L24" s="2843"/>
      <c r="M24" s="2844"/>
      <c r="N24" s="2844"/>
      <c r="O24" s="2844"/>
      <c r="P24" s="2844"/>
      <c r="Q24" s="2844"/>
      <c r="R24" s="2845"/>
      <c r="S24" s="2844"/>
      <c r="T24" s="2846"/>
      <c r="U24" s="2847" t="s">
        <v>1512</v>
      </c>
    </row>
    <row r="25" spans="1:30" ht="27" hidden="1" customHeight="1" x14ac:dyDescent="0.3">
      <c r="B25" s="2828"/>
      <c r="C25" s="2839" t="s">
        <v>1513</v>
      </c>
      <c r="D25" s="2840">
        <v>66.040000000000006</v>
      </c>
      <c r="E25" s="2841"/>
      <c r="F25" s="2841"/>
      <c r="G25" s="2842" t="e">
        <f t="shared" si="0"/>
        <v>#REF!</v>
      </c>
      <c r="H25" s="2843"/>
      <c r="I25" s="2843"/>
      <c r="J25" s="2843"/>
      <c r="K25" s="2843"/>
      <c r="L25" s="2843"/>
      <c r="M25" s="2844"/>
      <c r="N25" s="2844"/>
      <c r="O25" s="2844"/>
      <c r="P25" s="2844"/>
      <c r="Q25" s="2844"/>
      <c r="R25" s="2845"/>
      <c r="S25" s="2844"/>
      <c r="T25" s="2846"/>
      <c r="U25" s="2847" t="s">
        <v>1514</v>
      </c>
    </row>
    <row r="26" spans="1:30" ht="51" hidden="1" customHeight="1" x14ac:dyDescent="0.3">
      <c r="B26" s="2828"/>
      <c r="C26" s="2839" t="s">
        <v>602</v>
      </c>
      <c r="D26" s="2840">
        <v>181.11</v>
      </c>
      <c r="E26" s="2841"/>
      <c r="F26" s="2841"/>
      <c r="G26" s="2842" t="e">
        <f t="shared" si="0"/>
        <v>#REF!</v>
      </c>
      <c r="H26" s="2843"/>
      <c r="I26" s="2843"/>
      <c r="J26" s="2843"/>
      <c r="K26" s="2843"/>
      <c r="L26" s="2843"/>
      <c r="M26" s="2844"/>
      <c r="N26" s="2844"/>
      <c r="O26" s="2844"/>
      <c r="P26" s="2844"/>
      <c r="Q26" s="2844"/>
      <c r="R26" s="2845"/>
      <c r="S26" s="2844"/>
      <c r="T26" s="2846"/>
      <c r="U26" s="2847" t="s">
        <v>1515</v>
      </c>
    </row>
    <row r="27" spans="1:30" ht="35.25" hidden="1" customHeight="1" x14ac:dyDescent="0.3">
      <c r="B27" s="2828"/>
      <c r="C27" s="2839" t="s">
        <v>1516</v>
      </c>
      <c r="D27" s="2840">
        <v>1207.6199999999999</v>
      </c>
      <c r="E27" s="2841"/>
      <c r="F27" s="2841"/>
      <c r="G27" s="2842" t="e">
        <f t="shared" si="0"/>
        <v>#REF!</v>
      </c>
      <c r="H27" s="2843"/>
      <c r="I27" s="2843"/>
      <c r="J27" s="2843"/>
      <c r="K27" s="2843"/>
      <c r="L27" s="2843"/>
      <c r="M27" s="2844"/>
      <c r="N27" s="2844"/>
      <c r="O27" s="2844"/>
      <c r="P27" s="2844"/>
      <c r="Q27" s="2844"/>
      <c r="R27" s="2845"/>
      <c r="S27" s="2844"/>
      <c r="T27" s="2846"/>
      <c r="U27" s="2847" t="s">
        <v>1517</v>
      </c>
    </row>
    <row r="28" spans="1:30" ht="35.25" hidden="1" customHeight="1" x14ac:dyDescent="0.3">
      <c r="B28" s="2828"/>
      <c r="C28" s="2839" t="s">
        <v>603</v>
      </c>
      <c r="D28" s="2840">
        <v>2417.39</v>
      </c>
      <c r="E28" s="2841"/>
      <c r="F28" s="2841"/>
      <c r="G28" s="2842" t="e">
        <f t="shared" si="0"/>
        <v>#REF!</v>
      </c>
      <c r="H28" s="2843"/>
      <c r="I28" s="2843"/>
      <c r="J28" s="2843"/>
      <c r="K28" s="2843"/>
      <c r="L28" s="2843"/>
      <c r="M28" s="2844"/>
      <c r="N28" s="2844"/>
      <c r="O28" s="2844"/>
      <c r="P28" s="2844"/>
      <c r="Q28" s="2844"/>
      <c r="R28" s="2845"/>
      <c r="S28" s="2844"/>
      <c r="T28" s="2846"/>
      <c r="U28" s="2847"/>
    </row>
    <row r="29" spans="1:30" ht="30.75" hidden="1" customHeight="1" x14ac:dyDescent="0.3">
      <c r="B29" s="2828"/>
      <c r="C29" s="2848" t="s">
        <v>9</v>
      </c>
      <c r="D29" s="2849">
        <f>SUM(D23:D28)</f>
        <v>24078.89</v>
      </c>
      <c r="E29" s="2850"/>
      <c r="F29" s="2850"/>
      <c r="G29" s="2851" t="e">
        <f>SUM(G23:G28)</f>
        <v>#REF!</v>
      </c>
      <c r="H29" s="2850"/>
      <c r="I29" s="2850"/>
      <c r="J29" s="2850"/>
      <c r="K29" s="2850"/>
      <c r="L29" s="2850"/>
      <c r="M29" s="2852"/>
      <c r="N29" s="2852"/>
      <c r="O29" s="2852"/>
      <c r="P29" s="2852"/>
      <c r="Q29" s="2852"/>
      <c r="R29" s="2853"/>
      <c r="S29" s="2852"/>
      <c r="T29" s="2854"/>
      <c r="U29" s="2855"/>
    </row>
    <row r="30" spans="1:30" ht="30.75" hidden="1" customHeight="1" x14ac:dyDescent="0.3">
      <c r="A30" s="2685"/>
      <c r="B30" s="2828"/>
      <c r="C30" s="2856"/>
      <c r="D30" s="2857"/>
      <c r="E30" s="2857"/>
      <c r="F30" s="2857"/>
      <c r="G30" s="2857" t="e">
        <f>G29*6</f>
        <v>#REF!</v>
      </c>
      <c r="H30" s="2857"/>
      <c r="I30" s="2857"/>
      <c r="J30" s="2857"/>
      <c r="K30" s="2857"/>
      <c r="L30" s="2857"/>
      <c r="M30" s="2685"/>
      <c r="N30" s="2685"/>
      <c r="O30" s="2685"/>
      <c r="P30" s="2685"/>
      <c r="Q30" s="2685"/>
      <c r="R30" s="2685"/>
      <c r="S30" s="2685"/>
      <c r="T30" s="2685"/>
      <c r="U30" s="2858"/>
      <c r="V30" s="2685"/>
      <c r="W30" s="2685"/>
      <c r="X30" s="2685"/>
      <c r="Y30" s="2685"/>
      <c r="Z30" s="2685"/>
      <c r="AA30" s="2685"/>
      <c r="AB30" s="2685"/>
      <c r="AC30" s="2685"/>
      <c r="AD30" s="2685"/>
    </row>
    <row r="31" spans="1:30" ht="15.75" hidden="1" customHeight="1" x14ac:dyDescent="0.3">
      <c r="B31" s="2828"/>
      <c r="G31" s="2859" t="e">
        <v>#REF!</v>
      </c>
      <c r="H31" s="2859"/>
      <c r="I31" s="2859"/>
      <c r="J31" s="2859"/>
      <c r="K31" s="2859"/>
      <c r="L31" s="2859"/>
      <c r="M31" s="2860"/>
      <c r="N31" s="2860" t="s">
        <v>1518</v>
      </c>
      <c r="O31" s="2860"/>
      <c r="P31" s="2860"/>
      <c r="Q31" s="2860"/>
    </row>
    <row r="32" spans="1:30" ht="15.75" hidden="1" customHeight="1" x14ac:dyDescent="0.3">
      <c r="B32" s="2828"/>
      <c r="C32" s="2861" t="s">
        <v>1519</v>
      </c>
    </row>
    <row r="33" spans="2:21" ht="41.25" hidden="1" customHeight="1" x14ac:dyDescent="0.3">
      <c r="B33" s="2828"/>
      <c r="C33" s="2862" t="s">
        <v>603</v>
      </c>
      <c r="D33" s="4445" t="s">
        <v>1520</v>
      </c>
      <c r="E33" s="4443"/>
      <c r="F33" s="4443"/>
      <c r="G33" s="4443"/>
      <c r="H33" s="4443"/>
      <c r="I33" s="4443"/>
      <c r="J33" s="4443"/>
      <c r="K33" s="4443"/>
      <c r="L33" s="4443"/>
      <c r="M33" s="4443"/>
      <c r="N33" s="4443"/>
      <c r="O33" s="4443"/>
      <c r="P33" s="4443"/>
      <c r="Q33" s="4443"/>
      <c r="R33" s="4443"/>
      <c r="S33" s="4443"/>
      <c r="T33" s="4443"/>
      <c r="U33" s="4443"/>
    </row>
    <row r="34" spans="2:21" ht="48.75" hidden="1" customHeight="1" x14ac:dyDescent="0.3">
      <c r="B34" s="2828"/>
      <c r="C34" s="2862" t="s">
        <v>1521</v>
      </c>
      <c r="D34" s="4446" t="s">
        <v>1522</v>
      </c>
      <c r="E34" s="4443"/>
      <c r="F34" s="4443"/>
      <c r="G34" s="4443"/>
      <c r="H34" s="4443"/>
      <c r="I34" s="4443"/>
      <c r="J34" s="4443"/>
      <c r="K34" s="4443"/>
      <c r="L34" s="4443"/>
      <c r="M34" s="4443"/>
      <c r="N34" s="4443"/>
      <c r="O34" s="4443"/>
      <c r="P34" s="4443"/>
      <c r="Q34" s="4443"/>
      <c r="R34" s="4443"/>
      <c r="S34" s="4443"/>
      <c r="T34" s="4443"/>
      <c r="U34" s="4443"/>
    </row>
    <row r="35" spans="2:21" ht="15.75" hidden="1" customHeight="1" x14ac:dyDescent="0.3">
      <c r="B35" s="2828"/>
      <c r="C35" s="2863" t="s">
        <v>1523</v>
      </c>
      <c r="D35" s="2864" t="s">
        <v>1524</v>
      </c>
      <c r="E35" s="2865"/>
      <c r="F35" s="2865"/>
      <c r="G35" s="2865"/>
      <c r="H35" s="2865"/>
      <c r="I35" s="2865"/>
      <c r="J35" s="2865"/>
      <c r="K35" s="2865"/>
      <c r="L35" s="2865"/>
      <c r="U35" s="2866">
        <v>1</v>
      </c>
    </row>
    <row r="36" spans="2:21" ht="15.75" hidden="1" customHeight="1" x14ac:dyDescent="0.3">
      <c r="B36" s="2828"/>
    </row>
    <row r="37" spans="2:21" ht="15.75" hidden="1" customHeight="1" x14ac:dyDescent="0.3">
      <c r="B37" s="2828"/>
      <c r="D37" s="2685" t="s">
        <v>1525</v>
      </c>
      <c r="T37" s="2685" t="s">
        <v>1526</v>
      </c>
    </row>
    <row r="38" spans="2:21" ht="15.75" hidden="1" customHeight="1" x14ac:dyDescent="0.3">
      <c r="B38" s="2828"/>
      <c r="D38" s="2867">
        <f>D29-D23-D24</f>
        <v>3872.16</v>
      </c>
      <c r="E38" s="2867"/>
      <c r="F38" s="2867"/>
      <c r="G38" s="2867"/>
      <c r="H38" s="2867"/>
      <c r="I38" s="2867"/>
      <c r="J38" s="2867"/>
      <c r="K38" s="2867"/>
      <c r="L38" s="2867"/>
      <c r="R38" s="2685" t="s">
        <v>1527</v>
      </c>
      <c r="S38" s="2685">
        <v>0.97</v>
      </c>
      <c r="T38" s="2868">
        <f t="shared" ref="T38:T40" si="1">S38*D38</f>
        <v>3755.9951999999998</v>
      </c>
    </row>
    <row r="39" spans="2:21" ht="15.75" hidden="1" customHeight="1" x14ac:dyDescent="0.3">
      <c r="B39" s="2828"/>
      <c r="D39" s="2867">
        <f>D24</f>
        <v>9338</v>
      </c>
      <c r="E39" s="2867"/>
      <c r="F39" s="2867"/>
      <c r="G39" s="2867"/>
      <c r="H39" s="2867"/>
      <c r="I39" s="2867"/>
      <c r="J39" s="2867"/>
      <c r="K39" s="2867"/>
      <c r="L39" s="2867"/>
      <c r="R39" s="2685" t="s">
        <v>1528</v>
      </c>
      <c r="S39" s="2685">
        <v>1.45</v>
      </c>
      <c r="T39" s="2868">
        <f t="shared" si="1"/>
        <v>13540.1</v>
      </c>
    </row>
    <row r="40" spans="2:21" ht="15.75" hidden="1" customHeight="1" x14ac:dyDescent="0.3">
      <c r="B40" s="2828"/>
      <c r="D40" s="2867">
        <f>D23*U35</f>
        <v>10868.73</v>
      </c>
      <c r="E40" s="2867"/>
      <c r="F40" s="2867"/>
      <c r="G40" s="2867"/>
      <c r="H40" s="2867"/>
      <c r="I40" s="2867"/>
      <c r="J40" s="2867"/>
      <c r="K40" s="2867"/>
      <c r="L40" s="2867"/>
      <c r="R40" s="2685" t="s">
        <v>1529</v>
      </c>
      <c r="S40" s="2685">
        <v>1.45</v>
      </c>
      <c r="T40" s="2868">
        <f t="shared" si="1"/>
        <v>15759.6585</v>
      </c>
    </row>
    <row r="41" spans="2:21" ht="15.75" hidden="1" customHeight="1" x14ac:dyDescent="0.3">
      <c r="B41" s="2828"/>
      <c r="C41" s="2869" t="s">
        <v>1530</v>
      </c>
      <c r="D41" s="2867">
        <f>SUM(D38:D40)</f>
        <v>24078.89</v>
      </c>
      <c r="E41" s="2867"/>
      <c r="F41" s="2867"/>
      <c r="G41" s="2867"/>
      <c r="H41" s="2867"/>
      <c r="I41" s="2867"/>
      <c r="J41" s="2867"/>
      <c r="K41" s="2867"/>
      <c r="L41" s="2867"/>
      <c r="S41" s="2685" t="s">
        <v>1530</v>
      </c>
      <c r="T41" s="2868">
        <f>SUM(T38:T40)</f>
        <v>33055.753700000001</v>
      </c>
    </row>
    <row r="42" spans="2:21" ht="15.75" hidden="1" customHeight="1" x14ac:dyDescent="0.3">
      <c r="B42" s="2828"/>
      <c r="C42" s="2869" t="s">
        <v>9</v>
      </c>
      <c r="D42" s="2870">
        <f>D41*6</f>
        <v>144473.34</v>
      </c>
      <c r="E42" s="2870"/>
      <c r="F42" s="2870"/>
      <c r="G42" s="2870"/>
      <c r="H42" s="2870"/>
      <c r="I42" s="2870"/>
      <c r="J42" s="2870"/>
      <c r="K42" s="2870"/>
      <c r="L42" s="2870"/>
      <c r="S42" s="2685" t="s">
        <v>9</v>
      </c>
      <c r="T42" s="2871">
        <f>T41*6</f>
        <v>198334.52220000001</v>
      </c>
    </row>
    <row r="43" spans="2:21" ht="15.75" hidden="1" customHeight="1" x14ac:dyDescent="0.3">
      <c r="B43" s="2828"/>
    </row>
    <row r="44" spans="2:21" ht="15.75" hidden="1" customHeight="1" x14ac:dyDescent="0.3">
      <c r="B44" s="2828"/>
    </row>
    <row r="45" spans="2:21" ht="15.75" hidden="1" customHeight="1" x14ac:dyDescent="0.3">
      <c r="B45" s="2828"/>
    </row>
    <row r="46" spans="2:21" ht="15.75" hidden="1" customHeight="1" x14ac:dyDescent="0.3">
      <c r="B46" s="2828"/>
    </row>
    <row r="47" spans="2:21" ht="15.75" hidden="1" customHeight="1" x14ac:dyDescent="0.3">
      <c r="B47" s="2828"/>
    </row>
    <row r="48" spans="2:21" ht="15.75" hidden="1" customHeight="1" x14ac:dyDescent="0.3">
      <c r="B48" s="2828"/>
    </row>
    <row r="49" spans="2:21" ht="15.75" hidden="1" customHeight="1" x14ac:dyDescent="0.3">
      <c r="B49" s="2828"/>
    </row>
    <row r="50" spans="2:21" ht="15.75" hidden="1" customHeight="1" x14ac:dyDescent="0.3">
      <c r="B50" s="2828"/>
    </row>
    <row r="51" spans="2:21" ht="15.75" hidden="1" customHeight="1" x14ac:dyDescent="0.3">
      <c r="B51" s="2828"/>
    </row>
    <row r="52" spans="2:21" ht="15.75" hidden="1" customHeight="1" x14ac:dyDescent="0.3">
      <c r="B52" s="2828"/>
      <c r="C52" s="2872" t="s">
        <v>1531</v>
      </c>
    </row>
    <row r="53" spans="2:21" ht="15.75" hidden="1" customHeight="1" x14ac:dyDescent="0.3">
      <c r="B53" s="2828"/>
      <c r="C53" s="2873" t="s">
        <v>1532</v>
      </c>
    </row>
    <row r="54" spans="2:21" ht="15.75" hidden="1" customHeight="1" x14ac:dyDescent="0.3">
      <c r="B54" s="2828"/>
      <c r="C54" s="2689" t="s">
        <v>1533</v>
      </c>
    </row>
    <row r="55" spans="2:21" ht="15.75" hidden="1" customHeight="1" x14ac:dyDescent="0.3">
      <c r="B55" s="2828"/>
      <c r="D55" s="4447" t="s">
        <v>1504</v>
      </c>
      <c r="E55" s="4448"/>
      <c r="F55" s="4448"/>
      <c r="G55" s="4448"/>
      <c r="H55" s="4448"/>
      <c r="I55" s="4448"/>
      <c r="J55" s="4448"/>
      <c r="K55" s="4448"/>
      <c r="L55" s="4448"/>
      <c r="M55" s="4448"/>
      <c r="N55" s="4448"/>
      <c r="O55" s="4448"/>
      <c r="P55" s="4448"/>
      <c r="Q55" s="4448"/>
      <c r="R55" s="4448"/>
      <c r="S55" s="4448"/>
      <c r="T55" s="4449"/>
    </row>
    <row r="56" spans="2:21" ht="15.75" hidden="1" customHeight="1" x14ac:dyDescent="0.3">
      <c r="B56" s="2828"/>
      <c r="C56" s="2875" t="s">
        <v>1503</v>
      </c>
      <c r="D56" s="2876">
        <v>2010</v>
      </c>
      <c r="E56" s="2874"/>
      <c r="F56" s="2874"/>
      <c r="G56" s="2877">
        <v>2011</v>
      </c>
      <c r="H56" s="2878"/>
      <c r="I56" s="2878"/>
      <c r="J56" s="2878"/>
      <c r="K56" s="2878"/>
      <c r="L56" s="2878"/>
      <c r="M56" s="2876"/>
      <c r="N56" s="2876">
        <v>2012</v>
      </c>
      <c r="O56" s="2876"/>
      <c r="P56" s="2876"/>
      <c r="Q56" s="2876"/>
      <c r="R56" s="2875">
        <v>2013</v>
      </c>
      <c r="S56" s="2877">
        <v>2014</v>
      </c>
      <c r="T56" s="2878">
        <v>2015</v>
      </c>
      <c r="U56" s="2879" t="s">
        <v>1534</v>
      </c>
    </row>
    <row r="57" spans="2:21" ht="15.75" hidden="1" customHeight="1" x14ac:dyDescent="0.3">
      <c r="B57" s="2828"/>
      <c r="C57" s="2880" t="s">
        <v>599</v>
      </c>
      <c r="D57" s="2881">
        <v>8121.18</v>
      </c>
      <c r="E57" s="2882"/>
      <c r="F57" s="2882"/>
      <c r="G57" s="2883">
        <v>9823.1</v>
      </c>
      <c r="H57" s="2884"/>
      <c r="I57" s="2884"/>
      <c r="J57" s="2884"/>
      <c r="K57" s="2884"/>
      <c r="L57" s="2884"/>
      <c r="M57" s="2881"/>
      <c r="N57" s="2881">
        <v>7806.58</v>
      </c>
      <c r="O57" s="2881"/>
      <c r="P57" s="2881"/>
      <c r="Q57" s="2881"/>
      <c r="R57" s="2880">
        <v>7958.21</v>
      </c>
      <c r="S57" s="2885">
        <v>10368.120000000001</v>
      </c>
      <c r="T57" s="2881">
        <v>10868.73</v>
      </c>
      <c r="U57" s="2886">
        <v>2.08494</v>
      </c>
    </row>
    <row r="58" spans="2:21" ht="15.75" hidden="1" customHeight="1" x14ac:dyDescent="0.3">
      <c r="B58" s="2828"/>
      <c r="C58" s="2880" t="s">
        <v>600</v>
      </c>
      <c r="D58" s="2881">
        <v>5454.3</v>
      </c>
      <c r="E58" s="2882"/>
      <c r="F58" s="2882"/>
      <c r="G58" s="2883">
        <v>9150.4500000000007</v>
      </c>
      <c r="H58" s="2884"/>
      <c r="I58" s="2884"/>
      <c r="J58" s="2884"/>
      <c r="K58" s="2884"/>
      <c r="L58" s="2884"/>
      <c r="M58" s="2881"/>
      <c r="N58" s="2881">
        <v>12831.1</v>
      </c>
      <c r="O58" s="2881"/>
      <c r="P58" s="2881"/>
      <c r="Q58" s="2881"/>
      <c r="R58" s="2880">
        <v>8889.9699999999993</v>
      </c>
      <c r="S58" s="2885">
        <v>16753.099999999999</v>
      </c>
      <c r="T58" s="2881">
        <v>9338</v>
      </c>
      <c r="U58" s="2886">
        <f t="shared" ref="U58:U59" si="2">U57</f>
        <v>2.08494</v>
      </c>
    </row>
    <row r="59" spans="2:21" ht="15.75" hidden="1" customHeight="1" x14ac:dyDescent="0.3">
      <c r="B59" s="2828"/>
      <c r="C59" s="2880" t="s">
        <v>1535</v>
      </c>
      <c r="D59" s="2881">
        <v>0</v>
      </c>
      <c r="E59" s="2882"/>
      <c r="F59" s="2882"/>
      <c r="G59" s="2883">
        <v>0</v>
      </c>
      <c r="H59" s="2884"/>
      <c r="I59" s="2884"/>
      <c r="J59" s="2884"/>
      <c r="K59" s="2884"/>
      <c r="L59" s="2884"/>
      <c r="M59" s="2881"/>
      <c r="N59" s="2881">
        <v>0</v>
      </c>
      <c r="O59" s="2881"/>
      <c r="P59" s="2881"/>
      <c r="Q59" s="2881"/>
      <c r="R59" s="2880">
        <v>769.01</v>
      </c>
      <c r="S59" s="2885">
        <v>769.2</v>
      </c>
      <c r="T59" s="2881">
        <v>66.040000000000006</v>
      </c>
      <c r="U59" s="2886">
        <f t="shared" si="2"/>
        <v>2.08494</v>
      </c>
    </row>
    <row r="60" spans="2:21" ht="15.75" hidden="1" customHeight="1" x14ac:dyDescent="0.3">
      <c r="B60" s="2828"/>
      <c r="C60" s="2880" t="s">
        <v>602</v>
      </c>
      <c r="D60" s="2881">
        <v>0</v>
      </c>
      <c r="E60" s="2882"/>
      <c r="F60" s="2882"/>
      <c r="G60" s="2883">
        <v>0</v>
      </c>
      <c r="H60" s="2884"/>
      <c r="I60" s="2884"/>
      <c r="J60" s="2884"/>
      <c r="K60" s="2884"/>
      <c r="L60" s="2884"/>
      <c r="M60" s="2881"/>
      <c r="N60" s="2881">
        <v>37.090000000000003</v>
      </c>
      <c r="O60" s="2881"/>
      <c r="P60" s="2881"/>
      <c r="Q60" s="2881"/>
      <c r="R60" s="2880">
        <v>86.16</v>
      </c>
      <c r="S60" s="2885">
        <v>168.75</v>
      </c>
      <c r="T60" s="2881">
        <v>181.11</v>
      </c>
      <c r="U60" s="2887">
        <v>0</v>
      </c>
    </row>
    <row r="61" spans="2:21" ht="15.75" hidden="1" customHeight="1" x14ac:dyDescent="0.3">
      <c r="B61" s="2828"/>
      <c r="C61" s="2880" t="s">
        <v>1516</v>
      </c>
      <c r="D61" s="2881">
        <v>389.26</v>
      </c>
      <c r="E61" s="2882"/>
      <c r="F61" s="2882"/>
      <c r="G61" s="2883">
        <v>345.04</v>
      </c>
      <c r="H61" s="2884"/>
      <c r="I61" s="2884"/>
      <c r="J61" s="2884"/>
      <c r="K61" s="2884"/>
      <c r="L61" s="2884"/>
      <c r="M61" s="2881"/>
      <c r="N61" s="2881">
        <v>341.98</v>
      </c>
      <c r="O61" s="2881"/>
      <c r="P61" s="2881"/>
      <c r="Q61" s="2881"/>
      <c r="R61" s="2880">
        <v>311.83</v>
      </c>
      <c r="S61" s="2885">
        <v>920.33</v>
      </c>
      <c r="T61" s="2881">
        <v>1207.6199999999999</v>
      </c>
      <c r="U61" s="2888" t="e">
        <f>#REF!</f>
        <v>#REF!</v>
      </c>
    </row>
    <row r="62" spans="2:21" ht="15.75" hidden="1" customHeight="1" x14ac:dyDescent="0.3">
      <c r="B62" s="2828"/>
      <c r="C62" s="2880" t="s">
        <v>603</v>
      </c>
      <c r="D62" s="2889">
        <v>0</v>
      </c>
      <c r="E62" s="2882"/>
      <c r="F62" s="2882"/>
      <c r="G62" s="2883">
        <v>61.84</v>
      </c>
      <c r="H62" s="2884"/>
      <c r="I62" s="2884"/>
      <c r="J62" s="2884"/>
      <c r="K62" s="2884"/>
      <c r="L62" s="2884"/>
      <c r="M62" s="2881"/>
      <c r="N62" s="2881">
        <v>18.98</v>
      </c>
      <c r="O62" s="2881"/>
      <c r="P62" s="2881"/>
      <c r="Q62" s="2881"/>
      <c r="R62" s="2880">
        <v>5434.96</v>
      </c>
      <c r="S62" s="2885">
        <v>1621.28</v>
      </c>
      <c r="T62" s="2881">
        <v>2925.33</v>
      </c>
      <c r="U62" s="2888" t="e">
        <f>U61</f>
        <v>#REF!</v>
      </c>
    </row>
    <row r="63" spans="2:21" ht="15.75" hidden="1" customHeight="1" x14ac:dyDescent="0.3">
      <c r="B63" s="2828"/>
      <c r="C63" s="2880" t="s">
        <v>1536</v>
      </c>
      <c r="D63" s="2890">
        <v>0</v>
      </c>
      <c r="E63" s="2891"/>
      <c r="F63" s="2891"/>
      <c r="G63" s="2883">
        <v>0</v>
      </c>
      <c r="H63" s="2884"/>
      <c r="I63" s="2884"/>
      <c r="J63" s="2884"/>
      <c r="K63" s="2884"/>
      <c r="L63" s="2884"/>
      <c r="M63" s="2881"/>
      <c r="N63" s="2881">
        <f>C77/3</f>
        <v>31815</v>
      </c>
      <c r="O63" s="2881"/>
      <c r="P63" s="2881"/>
      <c r="Q63" s="2881"/>
      <c r="R63" s="2892">
        <f>N63</f>
        <v>31815</v>
      </c>
      <c r="S63" s="2893">
        <f>R63</f>
        <v>31815</v>
      </c>
      <c r="T63" s="2891">
        <v>0</v>
      </c>
      <c r="U63" s="2886">
        <f>U58</f>
        <v>2.08494</v>
      </c>
    </row>
    <row r="64" spans="2:21" ht="15.75" hidden="1" customHeight="1" x14ac:dyDescent="0.3">
      <c r="B64" s="2828"/>
      <c r="C64" s="2880" t="s">
        <v>1537</v>
      </c>
      <c r="D64" s="2890">
        <v>73.19</v>
      </c>
      <c r="E64" s="2891"/>
      <c r="F64" s="2891"/>
      <c r="G64" s="2883">
        <v>81.150000000000006</v>
      </c>
      <c r="H64" s="2884"/>
      <c r="I64" s="2884"/>
      <c r="J64" s="2884"/>
      <c r="K64" s="2884"/>
      <c r="L64" s="2884"/>
      <c r="M64" s="2881"/>
      <c r="N64" s="2881">
        <v>22.22</v>
      </c>
      <c r="O64" s="2881"/>
      <c r="P64" s="2881"/>
      <c r="Q64" s="2881"/>
      <c r="R64" s="2880">
        <v>0</v>
      </c>
      <c r="S64" s="2893">
        <v>0</v>
      </c>
      <c r="T64" s="2881">
        <v>0</v>
      </c>
      <c r="U64" s="2887">
        <v>0</v>
      </c>
    </row>
    <row r="65" spans="1:30" ht="15.75" hidden="1" customHeight="1" x14ac:dyDescent="0.3">
      <c r="B65" s="2828"/>
      <c r="C65" s="2880" t="s">
        <v>1538</v>
      </c>
      <c r="D65" s="2890">
        <v>0</v>
      </c>
      <c r="E65" s="2891"/>
      <c r="F65" s="2891"/>
      <c r="G65" s="2883">
        <v>2.5</v>
      </c>
      <c r="H65" s="2884"/>
      <c r="I65" s="2884"/>
      <c r="J65" s="2884"/>
      <c r="K65" s="2884"/>
      <c r="L65" s="2884"/>
      <c r="M65" s="2881"/>
      <c r="N65" s="2881">
        <v>0</v>
      </c>
      <c r="O65" s="2881"/>
      <c r="P65" s="2881"/>
      <c r="Q65" s="2881"/>
      <c r="R65" s="2880">
        <v>0</v>
      </c>
      <c r="S65" s="2893">
        <v>0</v>
      </c>
      <c r="T65" s="2891">
        <v>766.8</v>
      </c>
      <c r="U65" s="2886">
        <f>U67</f>
        <v>2.08494</v>
      </c>
    </row>
    <row r="66" spans="1:30" ht="15.75" hidden="1" customHeight="1" x14ac:dyDescent="0.3">
      <c r="B66" s="2828"/>
      <c r="C66" s="2880" t="s">
        <v>607</v>
      </c>
      <c r="D66" s="2890">
        <v>0</v>
      </c>
      <c r="E66" s="2891"/>
      <c r="F66" s="2891"/>
      <c r="G66" s="2883">
        <v>2.5</v>
      </c>
      <c r="H66" s="2884"/>
      <c r="I66" s="2884"/>
      <c r="J66" s="2884"/>
      <c r="K66" s="2884"/>
      <c r="L66" s="2884"/>
      <c r="M66" s="2881"/>
      <c r="N66" s="2881">
        <v>0</v>
      </c>
      <c r="O66" s="2881"/>
      <c r="P66" s="2881"/>
      <c r="Q66" s="2881"/>
      <c r="R66" s="2880">
        <v>0</v>
      </c>
      <c r="S66" s="2893">
        <v>296.3</v>
      </c>
      <c r="T66" s="2891">
        <v>541.21</v>
      </c>
      <c r="U66" s="2887">
        <v>0</v>
      </c>
    </row>
    <row r="67" spans="1:30" ht="15.75" hidden="1" customHeight="1" x14ac:dyDescent="0.3">
      <c r="B67" s="2828"/>
      <c r="C67" s="2880" t="s">
        <v>1539</v>
      </c>
      <c r="D67" s="2890">
        <v>0</v>
      </c>
      <c r="E67" s="2891"/>
      <c r="F67" s="2891"/>
      <c r="G67" s="2883">
        <v>0</v>
      </c>
      <c r="H67" s="2884"/>
      <c r="I67" s="2884"/>
      <c r="J67" s="2884"/>
      <c r="K67" s="2884"/>
      <c r="L67" s="2884"/>
      <c r="M67" s="2881"/>
      <c r="N67" s="2881">
        <v>0</v>
      </c>
      <c r="O67" s="2881"/>
      <c r="P67" s="2881"/>
      <c r="Q67" s="2881"/>
      <c r="R67" s="2880">
        <v>0</v>
      </c>
      <c r="S67" s="2893">
        <v>39.56</v>
      </c>
      <c r="T67" s="2891">
        <v>93.93</v>
      </c>
      <c r="U67" s="2886">
        <f>U59</f>
        <v>2.08494</v>
      </c>
    </row>
    <row r="68" spans="1:30" ht="15.75" hidden="1" customHeight="1" x14ac:dyDescent="0.3">
      <c r="B68" s="2828"/>
      <c r="C68" s="2880" t="s">
        <v>1540</v>
      </c>
      <c r="D68" s="2890">
        <v>0</v>
      </c>
      <c r="E68" s="2891"/>
      <c r="F68" s="2891"/>
      <c r="G68" s="2883">
        <v>0</v>
      </c>
      <c r="H68" s="2884"/>
      <c r="I68" s="2884"/>
      <c r="J68" s="2884"/>
      <c r="K68" s="2884"/>
      <c r="L68" s="2884"/>
      <c r="M68" s="2881"/>
      <c r="N68" s="2881">
        <v>0</v>
      </c>
      <c r="O68" s="2881"/>
      <c r="P68" s="2881"/>
      <c r="Q68" s="2881"/>
      <c r="R68" s="2880">
        <v>0</v>
      </c>
      <c r="S68" s="2893">
        <v>133.77000000000001</v>
      </c>
      <c r="T68" s="2891">
        <v>0</v>
      </c>
      <c r="U68" s="2886">
        <f>U67</f>
        <v>2.08494</v>
      </c>
    </row>
    <row r="69" spans="1:30" ht="15.75" hidden="1" customHeight="1" x14ac:dyDescent="0.3">
      <c r="B69" s="2828"/>
      <c r="C69" s="2894" t="s">
        <v>9</v>
      </c>
      <c r="D69" s="2895">
        <f>SUM(D57:D68)</f>
        <v>14037.93</v>
      </c>
      <c r="E69" s="2850"/>
      <c r="F69" s="2850"/>
      <c r="G69" s="2895">
        <f>SUM(G57:G68)</f>
        <v>19466.580000000005</v>
      </c>
      <c r="H69" s="2895"/>
      <c r="I69" s="2895"/>
      <c r="J69" s="2895"/>
      <c r="K69" s="2895"/>
      <c r="L69" s="2895"/>
      <c r="M69" s="2850"/>
      <c r="N69" s="2850">
        <f>SUM(N57:N68)</f>
        <v>52872.95</v>
      </c>
      <c r="O69" s="2850"/>
      <c r="P69" s="2850"/>
      <c r="Q69" s="2850"/>
      <c r="R69" s="2850">
        <f t="shared" ref="R69:T69" si="3">SUM(R57:R68)</f>
        <v>55265.14</v>
      </c>
      <c r="S69" s="2850">
        <f t="shared" si="3"/>
        <v>62885.409999999996</v>
      </c>
      <c r="T69" s="2850">
        <f t="shared" si="3"/>
        <v>25988.77</v>
      </c>
      <c r="U69" s="2896"/>
    </row>
    <row r="70" spans="1:30" ht="15.75" hidden="1" customHeight="1" x14ac:dyDescent="0.3">
      <c r="B70" s="2828"/>
      <c r="M70" s="2897"/>
      <c r="N70" s="2898">
        <f>N69-N63</f>
        <v>21057.949999999997</v>
      </c>
      <c r="O70" s="2899"/>
      <c r="P70" s="2899"/>
      <c r="Q70" s="2899"/>
      <c r="R70" s="2899">
        <f t="shared" ref="R70:S70" si="4">R69-R63</f>
        <v>23450.14</v>
      </c>
      <c r="S70" s="2900">
        <f t="shared" si="4"/>
        <v>31070.409999999996</v>
      </c>
      <c r="T70" s="2901" t="s">
        <v>1541</v>
      </c>
      <c r="U70" s="2902"/>
    </row>
    <row r="71" spans="1:30" ht="15.75" hidden="1" customHeight="1" x14ac:dyDescent="0.3">
      <c r="A71" s="2685"/>
      <c r="B71" s="2828"/>
      <c r="C71" s="2903" t="s">
        <v>1542</v>
      </c>
      <c r="D71" s="2904">
        <f>(D57+D58)/15</f>
        <v>905.03199999999993</v>
      </c>
      <c r="E71" s="2720"/>
      <c r="F71" s="2720"/>
      <c r="G71" s="2904">
        <f>(G57+G58)/15</f>
        <v>1264.9033333333334</v>
      </c>
      <c r="H71" s="2904"/>
      <c r="I71" s="2904"/>
      <c r="J71" s="2904"/>
      <c r="K71" s="2904"/>
      <c r="L71" s="2904"/>
      <c r="M71" s="2904"/>
      <c r="N71" s="2904">
        <f>(N57+N58)/15</f>
        <v>1375.8453333333334</v>
      </c>
      <c r="O71" s="2904"/>
      <c r="P71" s="2904"/>
      <c r="Q71" s="2904"/>
      <c r="R71" s="2904">
        <f t="shared" ref="R71:T71" si="5">(R57+R58)/15</f>
        <v>1123.212</v>
      </c>
      <c r="S71" s="2904">
        <f t="shared" si="5"/>
        <v>1808.0813333333333</v>
      </c>
      <c r="T71" s="2904">
        <f t="shared" si="5"/>
        <v>1347.1153333333334</v>
      </c>
      <c r="U71" s="2905">
        <f>SUM(D71:T71)</f>
        <v>7824.1893333333337</v>
      </c>
      <c r="V71" s="2685"/>
      <c r="W71" s="2685"/>
      <c r="X71" s="2685"/>
      <c r="Y71" s="2685"/>
      <c r="Z71" s="2685"/>
      <c r="AA71" s="2685"/>
      <c r="AB71" s="2685"/>
      <c r="AC71" s="2685"/>
      <c r="AD71" s="2685"/>
    </row>
    <row r="72" spans="1:30" ht="15.75" hidden="1" customHeight="1" x14ac:dyDescent="0.3">
      <c r="A72" s="2685"/>
      <c r="B72" s="2828"/>
      <c r="C72" s="2685"/>
      <c r="D72" s="2685"/>
      <c r="E72" s="2685"/>
      <c r="F72" s="2685"/>
      <c r="G72" s="2685"/>
      <c r="H72" s="2685"/>
      <c r="I72" s="2685"/>
      <c r="J72" s="2685"/>
      <c r="K72" s="2685"/>
      <c r="L72" s="2685"/>
      <c r="M72" s="2906"/>
      <c r="N72" s="2906"/>
      <c r="O72" s="2906"/>
      <c r="P72" s="2906"/>
      <c r="Q72" s="2906"/>
      <c r="R72" s="2906"/>
      <c r="S72" s="2906"/>
      <c r="T72" s="2829"/>
      <c r="U72" s="2829"/>
      <c r="V72" s="2685"/>
      <c r="W72" s="2685"/>
      <c r="X72" s="2685"/>
      <c r="Y72" s="2685"/>
      <c r="Z72" s="2685"/>
      <c r="AA72" s="2685"/>
      <c r="AB72" s="2685"/>
      <c r="AC72" s="2685"/>
      <c r="AD72" s="2685"/>
    </row>
    <row r="73" spans="1:30" ht="15.75" hidden="1" customHeight="1" x14ac:dyDescent="0.3">
      <c r="A73" s="2685"/>
      <c r="B73" s="2828"/>
      <c r="C73" s="2685"/>
      <c r="D73" s="2685"/>
      <c r="E73" s="2685"/>
      <c r="F73" s="2685"/>
      <c r="G73" s="2685"/>
      <c r="H73" s="2685"/>
      <c r="I73" s="2685"/>
      <c r="J73" s="2685"/>
      <c r="K73" s="2685"/>
      <c r="L73" s="2685"/>
      <c r="M73" s="2906"/>
      <c r="N73" s="2906"/>
      <c r="O73" s="2906"/>
      <c r="P73" s="2906"/>
      <c r="Q73" s="2906"/>
      <c r="R73" s="2906"/>
      <c r="S73" s="2906"/>
      <c r="T73" s="2829"/>
      <c r="U73" s="2829"/>
      <c r="V73" s="2685"/>
      <c r="W73" s="2685"/>
      <c r="X73" s="2685"/>
      <c r="Y73" s="2685"/>
      <c r="Z73" s="2685"/>
      <c r="AA73" s="2685"/>
      <c r="AB73" s="2685"/>
      <c r="AC73" s="2685"/>
      <c r="AD73" s="2685"/>
    </row>
    <row r="74" spans="1:30" ht="15.75" hidden="1" customHeight="1" x14ac:dyDescent="0.3">
      <c r="B74" s="2828"/>
      <c r="C74" s="2689" t="s">
        <v>604</v>
      </c>
    </row>
    <row r="75" spans="1:30" ht="15.75" hidden="1" customHeight="1" x14ac:dyDescent="0.3">
      <c r="B75" s="2828"/>
      <c r="C75" s="2907">
        <v>94500</v>
      </c>
      <c r="D75" s="2908" t="s">
        <v>642</v>
      </c>
      <c r="G75" s="2909" t="s">
        <v>1543</v>
      </c>
      <c r="H75" s="2909"/>
      <c r="I75" s="2909"/>
      <c r="J75" s="2909"/>
      <c r="K75" s="2909"/>
      <c r="L75" s="2909"/>
    </row>
    <row r="76" spans="1:30" ht="15.75" hidden="1" customHeight="1" x14ac:dyDescent="0.3">
      <c r="B76" s="2828"/>
      <c r="C76" s="2910">
        <v>1.01</v>
      </c>
      <c r="D76" s="2911" t="s">
        <v>1544</v>
      </c>
      <c r="G76" s="2912" t="s">
        <v>1545</v>
      </c>
      <c r="H76" s="2912"/>
      <c r="I76" s="2912"/>
      <c r="J76" s="2912"/>
      <c r="K76" s="2912"/>
      <c r="L76" s="2912"/>
    </row>
    <row r="77" spans="1:30" ht="15.75" hidden="1" customHeight="1" x14ac:dyDescent="0.3">
      <c r="B77" s="2828"/>
      <c r="C77" s="2913">
        <f>C75*C76</f>
        <v>95445</v>
      </c>
      <c r="D77" s="2914" t="s">
        <v>1546</v>
      </c>
    </row>
    <row r="78" spans="1:30" ht="15.75" hidden="1" customHeight="1" x14ac:dyDescent="0.3">
      <c r="B78" s="2828"/>
      <c r="C78" s="2843"/>
      <c r="D78" s="2873"/>
    </row>
    <row r="79" spans="1:30" ht="15.75" hidden="1" customHeight="1" x14ac:dyDescent="0.3">
      <c r="B79" s="2828"/>
      <c r="C79" s="2843"/>
      <c r="D79" s="2873"/>
    </row>
    <row r="80" spans="1:30" ht="15.75" hidden="1" customHeight="1" x14ac:dyDescent="0.4">
      <c r="B80" s="2828"/>
      <c r="C80" s="2689" t="s">
        <v>1547</v>
      </c>
      <c r="D80" s="2873"/>
      <c r="G80" s="2829" t="s">
        <v>1548</v>
      </c>
      <c r="H80" s="2829"/>
      <c r="I80" s="2829"/>
      <c r="J80" s="2829"/>
      <c r="K80" s="2829"/>
      <c r="L80" s="2829"/>
    </row>
    <row r="81" spans="1:30" ht="15.75" hidden="1" customHeight="1" x14ac:dyDescent="0.3">
      <c r="B81" s="2828"/>
      <c r="C81" s="2873" t="s">
        <v>1549</v>
      </c>
      <c r="G81" s="2829" t="s">
        <v>1550</v>
      </c>
      <c r="H81" s="2829"/>
      <c r="I81" s="2829"/>
      <c r="J81" s="2829"/>
      <c r="K81" s="2829"/>
      <c r="L81" s="2829"/>
    </row>
    <row r="82" spans="1:30" ht="15.75" hidden="1" customHeight="1" x14ac:dyDescent="0.3">
      <c r="B82" s="2828"/>
      <c r="C82" s="2875" t="s">
        <v>1503</v>
      </c>
      <c r="D82" s="2876">
        <v>2010</v>
      </c>
      <c r="E82" s="2874"/>
      <c r="F82" s="2874"/>
      <c r="G82" s="2877">
        <v>2011</v>
      </c>
      <c r="H82" s="2878"/>
      <c r="I82" s="2878"/>
      <c r="J82" s="2878"/>
      <c r="K82" s="2878"/>
      <c r="L82" s="2878"/>
      <c r="M82" s="2876"/>
      <c r="N82" s="2876">
        <v>2012</v>
      </c>
      <c r="O82" s="2876"/>
      <c r="P82" s="2876"/>
      <c r="Q82" s="2876"/>
      <c r="R82" s="2875">
        <v>2013</v>
      </c>
      <c r="S82" s="2877">
        <v>2014</v>
      </c>
      <c r="T82" s="2915">
        <v>2015</v>
      </c>
      <c r="U82" s="2879" t="s">
        <v>9</v>
      </c>
    </row>
    <row r="83" spans="1:30" ht="15.75" hidden="1" customHeight="1" x14ac:dyDescent="0.3">
      <c r="B83" s="2828"/>
      <c r="C83" s="2880" t="s">
        <v>599</v>
      </c>
      <c r="D83" s="2916">
        <f>D57*$U$57</f>
        <v>16932.173029199999</v>
      </c>
      <c r="E83" s="2917"/>
      <c r="F83" s="2917"/>
      <c r="G83" s="2918">
        <f>G57*$U$57</f>
        <v>20480.574113999999</v>
      </c>
      <c r="H83" s="2916"/>
      <c r="I83" s="2916"/>
      <c r="J83" s="2916"/>
      <c r="K83" s="2916"/>
      <c r="L83" s="2916"/>
      <c r="M83" s="2916"/>
      <c r="N83" s="2916">
        <f>N57*$U$57</f>
        <v>16276.2509052</v>
      </c>
      <c r="O83" s="2916"/>
      <c r="P83" s="2916"/>
      <c r="Q83" s="2916"/>
      <c r="R83" s="2918">
        <f t="shared" ref="R83:T83" si="6">R57*$U$57</f>
        <v>16592.3903574</v>
      </c>
      <c r="S83" s="2918">
        <f t="shared" si="6"/>
        <v>21616.908112800003</v>
      </c>
      <c r="T83" s="2916">
        <f t="shared" si="6"/>
        <v>22660.6499262</v>
      </c>
      <c r="U83" s="2919">
        <f t="shared" ref="U83:U94" si="7">D83+G83+N83+R83+S83+T83</f>
        <v>114558.94644480002</v>
      </c>
    </row>
    <row r="84" spans="1:30" ht="15.75" hidden="1" customHeight="1" x14ac:dyDescent="0.3">
      <c r="B84" s="2828"/>
      <c r="C84" s="2880" t="s">
        <v>600</v>
      </c>
      <c r="D84" s="2916">
        <f>D58*$U$58</f>
        <v>11371.888242000001</v>
      </c>
      <c r="E84" s="2917"/>
      <c r="F84" s="2917"/>
      <c r="G84" s="2918">
        <f>G58*$U$58</f>
        <v>19078.139223000002</v>
      </c>
      <c r="H84" s="2916"/>
      <c r="I84" s="2916"/>
      <c r="J84" s="2916"/>
      <c r="K84" s="2916"/>
      <c r="L84" s="2916"/>
      <c r="M84" s="2916"/>
      <c r="N84" s="2916">
        <f>N58*$U$58</f>
        <v>26752.073634</v>
      </c>
      <c r="O84" s="2916"/>
      <c r="P84" s="2916"/>
      <c r="Q84" s="2916"/>
      <c r="R84" s="2918">
        <f t="shared" ref="R84:T84" si="8">R58*$U$58</f>
        <v>18535.054051799998</v>
      </c>
      <c r="S84" s="2918">
        <f t="shared" si="8"/>
        <v>34929.208313999996</v>
      </c>
      <c r="T84" s="2916">
        <f t="shared" si="8"/>
        <v>19469.169720000002</v>
      </c>
      <c r="U84" s="2919">
        <f t="shared" si="7"/>
        <v>130135.53318480001</v>
      </c>
    </row>
    <row r="85" spans="1:30" ht="15.75" hidden="1" customHeight="1" x14ac:dyDescent="0.3">
      <c r="B85" s="2828"/>
      <c r="C85" s="2880" t="s">
        <v>1535</v>
      </c>
      <c r="D85" s="2916">
        <f>D59*$U$59</f>
        <v>0</v>
      </c>
      <c r="E85" s="2917"/>
      <c r="F85" s="2917"/>
      <c r="G85" s="2918">
        <f>G59*$U$59</f>
        <v>0</v>
      </c>
      <c r="H85" s="2916"/>
      <c r="I85" s="2916"/>
      <c r="J85" s="2916"/>
      <c r="K85" s="2916"/>
      <c r="L85" s="2916"/>
      <c r="M85" s="2916"/>
      <c r="N85" s="2916">
        <f>N59*$U$59</f>
        <v>0</v>
      </c>
      <c r="O85" s="2916"/>
      <c r="P85" s="2916"/>
      <c r="Q85" s="2916"/>
      <c r="R85" s="2918">
        <f t="shared" ref="R85:T85" si="9">R59*$U$59</f>
        <v>1603.3397093999999</v>
      </c>
      <c r="S85" s="2918">
        <f t="shared" si="9"/>
        <v>1603.735848</v>
      </c>
      <c r="T85" s="2916">
        <f t="shared" si="9"/>
        <v>137.68943760000002</v>
      </c>
      <c r="U85" s="2919">
        <f t="shared" si="7"/>
        <v>3344.764995</v>
      </c>
    </row>
    <row r="86" spans="1:30" ht="15.75" hidden="1" customHeight="1" x14ac:dyDescent="0.3">
      <c r="B86" s="2828"/>
      <c r="C86" s="2880" t="s">
        <v>602</v>
      </c>
      <c r="D86" s="2916">
        <f>D60*$U$60</f>
        <v>0</v>
      </c>
      <c r="E86" s="2917"/>
      <c r="F86" s="2917"/>
      <c r="G86" s="2918">
        <f>G60*$U$60</f>
        <v>0</v>
      </c>
      <c r="H86" s="2916"/>
      <c r="I86" s="2916"/>
      <c r="J86" s="2916"/>
      <c r="K86" s="2916"/>
      <c r="L86" s="2916"/>
      <c r="M86" s="2916"/>
      <c r="N86" s="2916">
        <f>N60*$U$60</f>
        <v>0</v>
      </c>
      <c r="O86" s="2916"/>
      <c r="P86" s="2916"/>
      <c r="Q86" s="2916"/>
      <c r="R86" s="2918">
        <f t="shared" ref="R86:T86" si="10">R60*$U$60</f>
        <v>0</v>
      </c>
      <c r="S86" s="2918">
        <f t="shared" si="10"/>
        <v>0</v>
      </c>
      <c r="T86" s="2916">
        <f t="shared" si="10"/>
        <v>0</v>
      </c>
      <c r="U86" s="2919">
        <f t="shared" si="7"/>
        <v>0</v>
      </c>
    </row>
    <row r="87" spans="1:30" ht="15.75" hidden="1" customHeight="1" x14ac:dyDescent="0.3">
      <c r="B87" s="2828"/>
      <c r="C87" s="2880" t="s">
        <v>1516</v>
      </c>
      <c r="D87" s="2916" t="e">
        <f>D61*$U$61</f>
        <v>#REF!</v>
      </c>
      <c r="E87" s="2917"/>
      <c r="F87" s="2917"/>
      <c r="G87" s="2918" t="e">
        <f>G61*$U$61</f>
        <v>#REF!</v>
      </c>
      <c r="H87" s="2916"/>
      <c r="I87" s="2916"/>
      <c r="J87" s="2916"/>
      <c r="K87" s="2916"/>
      <c r="L87" s="2916"/>
      <c r="M87" s="2916"/>
      <c r="N87" s="2916" t="e">
        <f>N61*$U$61</f>
        <v>#REF!</v>
      </c>
      <c r="O87" s="2916"/>
      <c r="P87" s="2916"/>
      <c r="Q87" s="2916"/>
      <c r="R87" s="2918" t="e">
        <f t="shared" ref="R87:T87" si="11">R61*$U$61</f>
        <v>#REF!</v>
      </c>
      <c r="S87" s="2918" t="e">
        <f t="shared" si="11"/>
        <v>#REF!</v>
      </c>
      <c r="T87" s="2916" t="e">
        <f t="shared" si="11"/>
        <v>#REF!</v>
      </c>
      <c r="U87" s="2919" t="e">
        <f t="shared" si="7"/>
        <v>#REF!</v>
      </c>
    </row>
    <row r="88" spans="1:30" ht="15.75" hidden="1" customHeight="1" x14ac:dyDescent="0.3">
      <c r="B88" s="2828"/>
      <c r="C88" s="2880" t="s">
        <v>603</v>
      </c>
      <c r="D88" s="2920" t="e">
        <f>D62*$U$62</f>
        <v>#REF!</v>
      </c>
      <c r="E88" s="2917"/>
      <c r="F88" s="2917"/>
      <c r="G88" s="2921" t="e">
        <f>G62*$U$62</f>
        <v>#REF!</v>
      </c>
      <c r="H88" s="2922"/>
      <c r="I88" s="2922"/>
      <c r="J88" s="2922"/>
      <c r="K88" s="2922"/>
      <c r="L88" s="2922"/>
      <c r="M88" s="2922"/>
      <c r="N88" s="2922" t="e">
        <f>N62*$U$62</f>
        <v>#REF!</v>
      </c>
      <c r="O88" s="2922"/>
      <c r="P88" s="2922"/>
      <c r="Q88" s="2922"/>
      <c r="R88" s="2921" t="e">
        <f t="shared" ref="R88:T88" si="12">R62*$U$62</f>
        <v>#REF!</v>
      </c>
      <c r="S88" s="2921" t="e">
        <f t="shared" si="12"/>
        <v>#REF!</v>
      </c>
      <c r="T88" s="2920" t="e">
        <f t="shared" si="12"/>
        <v>#REF!</v>
      </c>
      <c r="U88" s="2919" t="e">
        <f t="shared" si="7"/>
        <v>#REF!</v>
      </c>
    </row>
    <row r="89" spans="1:30" ht="15.75" hidden="1" customHeight="1" x14ac:dyDescent="0.3">
      <c r="B89" s="2828"/>
      <c r="C89" s="2880" t="s">
        <v>1536</v>
      </c>
      <c r="D89" s="2922">
        <f>D63*$U$63</f>
        <v>0</v>
      </c>
      <c r="E89" s="2916"/>
      <c r="F89" s="2916"/>
      <c r="G89" s="2921">
        <f>G63*$U$63</f>
        <v>0</v>
      </c>
      <c r="H89" s="2922"/>
      <c r="I89" s="2922"/>
      <c r="J89" s="2922"/>
      <c r="K89" s="2922"/>
      <c r="L89" s="2922"/>
      <c r="M89" s="2922"/>
      <c r="N89" s="2922">
        <f>N63*$U$63</f>
        <v>66332.366099999999</v>
      </c>
      <c r="O89" s="2922"/>
      <c r="P89" s="2922"/>
      <c r="Q89" s="2922"/>
      <c r="R89" s="2921">
        <f t="shared" ref="R89:T89" si="13">R63*$U$63</f>
        <v>66332.366099999999</v>
      </c>
      <c r="S89" s="2921">
        <f t="shared" si="13"/>
        <v>66332.366099999999</v>
      </c>
      <c r="T89" s="2922">
        <f t="shared" si="13"/>
        <v>0</v>
      </c>
      <c r="U89" s="2919">
        <f t="shared" si="7"/>
        <v>198997.09830000001</v>
      </c>
    </row>
    <row r="90" spans="1:30" ht="15.75" hidden="1" customHeight="1" x14ac:dyDescent="0.3">
      <c r="B90" s="2828"/>
      <c r="C90" s="2880" t="s">
        <v>1537</v>
      </c>
      <c r="D90" s="2922">
        <f>D64*$U$64</f>
        <v>0</v>
      </c>
      <c r="E90" s="2916"/>
      <c r="F90" s="2916"/>
      <c r="G90" s="2921">
        <f>G64*$U$64</f>
        <v>0</v>
      </c>
      <c r="H90" s="2922"/>
      <c r="I90" s="2922"/>
      <c r="J90" s="2922"/>
      <c r="K90" s="2922"/>
      <c r="L90" s="2922"/>
      <c r="M90" s="2922"/>
      <c r="N90" s="2922">
        <f>N64*$U$64</f>
        <v>0</v>
      </c>
      <c r="O90" s="2922"/>
      <c r="P90" s="2922"/>
      <c r="Q90" s="2922"/>
      <c r="R90" s="2921">
        <f t="shared" ref="R90:T90" si="14">R64*$U$64</f>
        <v>0</v>
      </c>
      <c r="S90" s="2921">
        <f t="shared" si="14"/>
        <v>0</v>
      </c>
      <c r="T90" s="2922">
        <f t="shared" si="14"/>
        <v>0</v>
      </c>
      <c r="U90" s="2919">
        <f t="shared" si="7"/>
        <v>0</v>
      </c>
    </row>
    <row r="91" spans="1:30" ht="15.75" hidden="1" customHeight="1" x14ac:dyDescent="0.3">
      <c r="B91" s="2828"/>
      <c r="C91" s="2880" t="s">
        <v>1538</v>
      </c>
      <c r="D91" s="2922">
        <f>D65*$U$65</f>
        <v>0</v>
      </c>
      <c r="E91" s="2916"/>
      <c r="F91" s="2916"/>
      <c r="G91" s="2921">
        <f>G65*$U$65</f>
        <v>5.2123499999999998</v>
      </c>
      <c r="H91" s="2922"/>
      <c r="I91" s="2922"/>
      <c r="J91" s="2922"/>
      <c r="K91" s="2922"/>
      <c r="L91" s="2922"/>
      <c r="M91" s="2922"/>
      <c r="N91" s="2922">
        <f>N65*$U$65</f>
        <v>0</v>
      </c>
      <c r="O91" s="2922"/>
      <c r="P91" s="2922"/>
      <c r="Q91" s="2922"/>
      <c r="R91" s="2921">
        <f t="shared" ref="R91:T91" si="15">R65*$U$65</f>
        <v>0</v>
      </c>
      <c r="S91" s="2921">
        <f t="shared" si="15"/>
        <v>0</v>
      </c>
      <c r="T91" s="2922">
        <f t="shared" si="15"/>
        <v>1598.731992</v>
      </c>
      <c r="U91" s="2919">
        <f t="shared" si="7"/>
        <v>1603.944342</v>
      </c>
    </row>
    <row r="92" spans="1:30" ht="15.75" hidden="1" customHeight="1" x14ac:dyDescent="0.3">
      <c r="B92" s="2828"/>
      <c r="C92" s="2880" t="s">
        <v>1551</v>
      </c>
      <c r="D92" s="2922">
        <f>D66*$U$66</f>
        <v>0</v>
      </c>
      <c r="E92" s="2916"/>
      <c r="F92" s="2916"/>
      <c r="G92" s="2921">
        <f>G66*$U$66</f>
        <v>0</v>
      </c>
      <c r="H92" s="2922"/>
      <c r="I92" s="2922"/>
      <c r="J92" s="2922"/>
      <c r="K92" s="2922"/>
      <c r="L92" s="2922"/>
      <c r="M92" s="2922"/>
      <c r="N92" s="2922">
        <f>N66*$U$66</f>
        <v>0</v>
      </c>
      <c r="O92" s="2922"/>
      <c r="P92" s="2922"/>
      <c r="Q92" s="2922"/>
      <c r="R92" s="2921">
        <f t="shared" ref="R92:T92" si="16">R66*$U$66</f>
        <v>0</v>
      </c>
      <c r="S92" s="2921">
        <f t="shared" si="16"/>
        <v>0</v>
      </c>
      <c r="T92" s="2922">
        <f t="shared" si="16"/>
        <v>0</v>
      </c>
      <c r="U92" s="2919">
        <f t="shared" si="7"/>
        <v>0</v>
      </c>
    </row>
    <row r="93" spans="1:30" ht="15.75" hidden="1" customHeight="1" x14ac:dyDescent="0.3">
      <c r="B93" s="2828"/>
      <c r="C93" s="2880" t="s">
        <v>1539</v>
      </c>
      <c r="D93" s="2922">
        <f>D67*$U$67</f>
        <v>0</v>
      </c>
      <c r="E93" s="2916"/>
      <c r="F93" s="2916"/>
      <c r="G93" s="2921">
        <f>G67*$U$67</f>
        <v>0</v>
      </c>
      <c r="H93" s="2922"/>
      <c r="I93" s="2922"/>
      <c r="J93" s="2922"/>
      <c r="K93" s="2922"/>
      <c r="L93" s="2922"/>
      <c r="M93" s="2922"/>
      <c r="N93" s="2922">
        <f>N67*$U$67</f>
        <v>0</v>
      </c>
      <c r="O93" s="2922"/>
      <c r="P93" s="2922"/>
      <c r="Q93" s="2922"/>
      <c r="R93" s="2921">
        <f t="shared" ref="R93:T93" si="17">R67*$U$67</f>
        <v>0</v>
      </c>
      <c r="S93" s="2921">
        <f t="shared" si="17"/>
        <v>82.480226400000006</v>
      </c>
      <c r="T93" s="2922">
        <f t="shared" si="17"/>
        <v>195.83841420000002</v>
      </c>
      <c r="U93" s="2919">
        <f t="shared" si="7"/>
        <v>278.31864060000004</v>
      </c>
    </row>
    <row r="94" spans="1:30" ht="15.75" hidden="1" customHeight="1" x14ac:dyDescent="0.3">
      <c r="B94" s="2828"/>
      <c r="C94" s="2880" t="s">
        <v>1540</v>
      </c>
      <c r="D94" s="2922">
        <f>D68*$U$68</f>
        <v>0</v>
      </c>
      <c r="E94" s="2916"/>
      <c r="F94" s="2916"/>
      <c r="G94" s="2923">
        <f>G68*$U$68</f>
        <v>0</v>
      </c>
      <c r="H94" s="2922"/>
      <c r="I94" s="2922"/>
      <c r="J94" s="2922"/>
      <c r="K94" s="2922"/>
      <c r="L94" s="2922"/>
      <c r="M94" s="2922"/>
      <c r="N94" s="2922">
        <f>N68*$U$68</f>
        <v>0</v>
      </c>
      <c r="O94" s="2922"/>
      <c r="P94" s="2922"/>
      <c r="Q94" s="2922"/>
      <c r="R94" s="2921">
        <f t="shared" ref="R94:T94" si="18">R68*$U$68</f>
        <v>0</v>
      </c>
      <c r="S94" s="2921">
        <f t="shared" si="18"/>
        <v>278.90242380000001</v>
      </c>
      <c r="T94" s="2922">
        <f t="shared" si="18"/>
        <v>0</v>
      </c>
      <c r="U94" s="2919">
        <f t="shared" si="7"/>
        <v>278.90242380000001</v>
      </c>
    </row>
    <row r="95" spans="1:30" ht="15.75" hidden="1" customHeight="1" x14ac:dyDescent="0.3">
      <c r="B95" s="2828"/>
      <c r="C95" s="2894" t="s">
        <v>9</v>
      </c>
      <c r="D95" s="2924" t="e">
        <f>SUM(D83:D94)</f>
        <v>#REF!</v>
      </c>
      <c r="E95" s="2925"/>
      <c r="F95" s="2925"/>
      <c r="G95" s="2926" t="e">
        <f>SUM(G83:G94)</f>
        <v>#REF!</v>
      </c>
      <c r="H95" s="2927"/>
      <c r="I95" s="2927"/>
      <c r="J95" s="2927"/>
      <c r="K95" s="2927"/>
      <c r="L95" s="2927"/>
      <c r="M95" s="2927"/>
      <c r="N95" s="2928" t="e">
        <f>SUM(N83:N94)</f>
        <v>#REF!</v>
      </c>
      <c r="O95" s="2928"/>
      <c r="P95" s="2928"/>
      <c r="Q95" s="2928"/>
      <c r="R95" s="2929" t="e">
        <f t="shared" ref="R95:U95" si="19">SUM(R83:R94)</f>
        <v>#REF!</v>
      </c>
      <c r="S95" s="2929" t="e">
        <f t="shared" si="19"/>
        <v>#REF!</v>
      </c>
      <c r="T95" s="2924" t="e">
        <f t="shared" si="19"/>
        <v>#REF!</v>
      </c>
      <c r="U95" s="2930" t="e">
        <f t="shared" si="19"/>
        <v>#REF!</v>
      </c>
      <c r="V95" s="2867" t="e">
        <f>U95-T95-S95-R95-N95-G95-D95</f>
        <v>#REF!</v>
      </c>
    </row>
    <row r="96" spans="1:30" ht="15.75" customHeight="1" x14ac:dyDescent="0.3">
      <c r="A96" s="2685"/>
      <c r="B96" s="2685"/>
      <c r="C96" s="2856"/>
      <c r="D96" s="2931"/>
      <c r="E96" s="2932"/>
      <c r="F96" s="2932"/>
      <c r="G96" s="2931"/>
      <c r="H96" s="2931"/>
      <c r="I96" s="2931"/>
      <c r="J96" s="2931"/>
      <c r="K96" s="2931"/>
      <c r="L96" s="2931"/>
      <c r="M96" s="2931"/>
      <c r="N96" s="2931"/>
      <c r="O96" s="2931"/>
      <c r="P96" s="2931"/>
      <c r="Q96" s="2931"/>
      <c r="R96" s="2931"/>
      <c r="S96" s="2931"/>
      <c r="T96" s="2931"/>
      <c r="U96" s="2933"/>
      <c r="V96" s="2867"/>
      <c r="W96" s="2685"/>
      <c r="X96" s="2685"/>
      <c r="Y96" s="2685"/>
      <c r="Z96" s="2685"/>
      <c r="AA96" s="2685"/>
      <c r="AB96" s="2685"/>
      <c r="AC96" s="2685"/>
      <c r="AD96" s="2685"/>
    </row>
    <row r="97" spans="2:26" ht="21" hidden="1" customHeight="1" x14ac:dyDescent="0.3">
      <c r="B97" s="2784" t="s">
        <v>1552</v>
      </c>
    </row>
    <row r="98" spans="2:26" ht="12" hidden="1" customHeight="1" x14ac:dyDescent="0.3"/>
    <row r="99" spans="2:26" ht="15.75" hidden="1" customHeight="1" x14ac:dyDescent="0.3">
      <c r="B99" s="2786" t="s">
        <v>301</v>
      </c>
      <c r="C99" s="2787" t="s">
        <v>343</v>
      </c>
      <c r="D99" s="2788" t="s">
        <v>344</v>
      </c>
      <c r="E99" s="2788" t="s">
        <v>345</v>
      </c>
      <c r="F99" s="2788" t="s">
        <v>346</v>
      </c>
      <c r="G99" s="2789" t="s">
        <v>347</v>
      </c>
      <c r="H99" s="2790">
        <v>2025</v>
      </c>
      <c r="I99" s="2790">
        <v>2024</v>
      </c>
      <c r="J99" s="2790">
        <v>2023</v>
      </c>
      <c r="K99" s="2790">
        <v>2022</v>
      </c>
      <c r="L99" s="2790">
        <v>2021</v>
      </c>
      <c r="M99" s="2790">
        <v>2020</v>
      </c>
      <c r="N99" s="2790">
        <v>2019</v>
      </c>
      <c r="O99" s="2791">
        <v>2018</v>
      </c>
      <c r="P99" s="2791">
        <v>2017</v>
      </c>
      <c r="Q99" s="2791">
        <v>2016</v>
      </c>
      <c r="R99" s="2791">
        <v>2015</v>
      </c>
      <c r="S99" s="2791">
        <v>2014</v>
      </c>
      <c r="T99" s="2791">
        <v>2013</v>
      </c>
      <c r="U99" s="2791">
        <v>2012</v>
      </c>
      <c r="V99" s="2791">
        <v>2011</v>
      </c>
      <c r="W99" s="2791">
        <v>2010</v>
      </c>
      <c r="X99" s="2791">
        <v>2009</v>
      </c>
      <c r="Y99" s="2791">
        <v>2008</v>
      </c>
      <c r="Z99" s="2792" t="s">
        <v>332</v>
      </c>
    </row>
    <row r="100" spans="2:26" ht="24" hidden="1" customHeight="1" x14ac:dyDescent="0.3">
      <c r="B100" s="2794">
        <v>1</v>
      </c>
      <c r="C100" s="2795"/>
      <c r="D100" s="2796"/>
      <c r="E100" s="2934"/>
      <c r="F100" s="2798"/>
      <c r="G100" s="2799"/>
      <c r="H100" s="2802"/>
      <c r="I100" s="2802"/>
      <c r="J100" s="2802"/>
      <c r="K100" s="2802"/>
      <c r="L100" s="2802"/>
      <c r="M100" s="2802"/>
      <c r="N100" s="2802"/>
      <c r="O100" s="2802"/>
      <c r="P100" s="2802"/>
      <c r="Q100" s="2802"/>
      <c r="R100" s="2802"/>
      <c r="S100" s="2802"/>
      <c r="T100" s="2802"/>
      <c r="U100" s="2803"/>
      <c r="V100" s="2802"/>
      <c r="W100" s="2803"/>
      <c r="X100" s="2802"/>
      <c r="Y100" s="2803"/>
      <c r="Z100" s="2802"/>
    </row>
    <row r="101" spans="2:26" ht="24" hidden="1" customHeight="1" x14ac:dyDescent="0.3">
      <c r="B101" s="2794">
        <v>2</v>
      </c>
      <c r="C101" s="2712"/>
      <c r="D101" s="2712"/>
      <c r="E101" s="2712"/>
      <c r="F101" s="2712"/>
      <c r="G101" s="2738"/>
      <c r="H101" s="2935"/>
      <c r="I101" s="2935"/>
      <c r="J101" s="2935"/>
      <c r="K101" s="2935"/>
      <c r="L101" s="2935"/>
      <c r="M101" s="2935"/>
      <c r="N101" s="2935"/>
      <c r="O101" s="2935"/>
      <c r="P101" s="2935"/>
      <c r="Q101" s="2935"/>
      <c r="R101" s="2935"/>
      <c r="S101" s="2935"/>
      <c r="T101" s="2935"/>
      <c r="U101" s="2817"/>
      <c r="V101" s="2935"/>
      <c r="W101" s="2817"/>
      <c r="X101" s="2935"/>
      <c r="Y101" s="2817"/>
      <c r="Z101" s="2935"/>
    </row>
    <row r="102" spans="2:26" ht="24" hidden="1" customHeight="1" x14ac:dyDescent="0.3">
      <c r="B102" s="2794">
        <v>3</v>
      </c>
      <c r="C102" s="2796"/>
      <c r="D102" s="2796"/>
      <c r="E102" s="2796"/>
      <c r="F102" s="2796"/>
      <c r="G102" s="2936"/>
      <c r="H102" s="2937"/>
      <c r="I102" s="2937"/>
      <c r="J102" s="2937"/>
      <c r="K102" s="2937"/>
      <c r="L102" s="2937"/>
      <c r="M102" s="2937"/>
      <c r="N102" s="2937"/>
      <c r="O102" s="2937"/>
      <c r="P102" s="2937"/>
      <c r="Q102" s="2937"/>
      <c r="R102" s="2937"/>
      <c r="S102" s="2937"/>
      <c r="T102" s="2937"/>
      <c r="U102" s="2938"/>
      <c r="V102" s="2937"/>
      <c r="W102" s="2938"/>
      <c r="X102" s="2937"/>
      <c r="Y102" s="2938"/>
      <c r="Z102" s="2937"/>
    </row>
    <row r="103" spans="2:26" ht="24" hidden="1" customHeight="1" x14ac:dyDescent="0.3">
      <c r="B103" s="2794">
        <v>4</v>
      </c>
      <c r="C103" s="2712"/>
      <c r="D103" s="2712"/>
      <c r="E103" s="2712"/>
      <c r="F103" s="2712"/>
      <c r="G103" s="2738"/>
      <c r="H103" s="2935"/>
      <c r="I103" s="2935"/>
      <c r="J103" s="2935"/>
      <c r="K103" s="2935"/>
      <c r="L103" s="2935"/>
      <c r="M103" s="2935"/>
      <c r="N103" s="2935"/>
      <c r="O103" s="2935"/>
      <c r="P103" s="2935"/>
      <c r="Q103" s="2935"/>
      <c r="R103" s="2935"/>
      <c r="S103" s="2935"/>
      <c r="T103" s="2935"/>
      <c r="U103" s="2817"/>
      <c r="V103" s="2935"/>
      <c r="W103" s="2817"/>
      <c r="X103" s="2935"/>
      <c r="Y103" s="2817"/>
      <c r="Z103" s="2935"/>
    </row>
    <row r="104" spans="2:26" ht="24" hidden="1" customHeight="1" x14ac:dyDescent="0.3">
      <c r="B104" s="2794">
        <v>5</v>
      </c>
      <c r="C104" s="2796"/>
      <c r="D104" s="2796"/>
      <c r="E104" s="2796"/>
      <c r="F104" s="2796"/>
      <c r="G104" s="2936"/>
      <c r="H104" s="2937"/>
      <c r="I104" s="2937"/>
      <c r="J104" s="2937"/>
      <c r="K104" s="2937"/>
      <c r="L104" s="2937"/>
      <c r="M104" s="2937"/>
      <c r="N104" s="2937"/>
      <c r="O104" s="2937"/>
      <c r="P104" s="2937"/>
      <c r="Q104" s="2937"/>
      <c r="R104" s="2937"/>
      <c r="S104" s="2937"/>
      <c r="T104" s="2937"/>
      <c r="U104" s="2938"/>
      <c r="V104" s="2937"/>
      <c r="W104" s="2938"/>
      <c r="X104" s="2937"/>
      <c r="Y104" s="2938"/>
      <c r="Z104" s="2937"/>
    </row>
    <row r="105" spans="2:26" ht="24" hidden="1" customHeight="1" x14ac:dyDescent="0.3">
      <c r="B105" s="2794">
        <v>6</v>
      </c>
      <c r="C105" s="2712"/>
      <c r="D105" s="2712"/>
      <c r="E105" s="2712"/>
      <c r="F105" s="2712"/>
      <c r="G105" s="2738"/>
      <c r="H105" s="2935"/>
      <c r="I105" s="2935"/>
      <c r="J105" s="2935"/>
      <c r="K105" s="2935"/>
      <c r="L105" s="2935"/>
      <c r="M105" s="2935"/>
      <c r="N105" s="2935"/>
      <c r="O105" s="2935"/>
      <c r="P105" s="2935"/>
      <c r="Q105" s="2935"/>
      <c r="R105" s="2935"/>
      <c r="S105" s="2935"/>
      <c r="T105" s="2935"/>
      <c r="U105" s="2817"/>
      <c r="V105" s="2935"/>
      <c r="W105" s="2817"/>
      <c r="X105" s="2935"/>
      <c r="Y105" s="2817"/>
      <c r="Z105" s="2935"/>
    </row>
    <row r="106" spans="2:26" ht="24" hidden="1" customHeight="1" x14ac:dyDescent="0.3">
      <c r="B106" s="2794">
        <v>7</v>
      </c>
      <c r="C106" s="2796"/>
      <c r="D106" s="2796"/>
      <c r="E106" s="2796"/>
      <c r="F106" s="2796"/>
      <c r="G106" s="2939"/>
      <c r="H106" s="2937"/>
      <c r="I106" s="2937"/>
      <c r="J106" s="2937"/>
      <c r="K106" s="2937"/>
      <c r="L106" s="2937"/>
      <c r="M106" s="2937"/>
      <c r="N106" s="2937"/>
      <c r="O106" s="2937"/>
      <c r="P106" s="2937"/>
      <c r="Q106" s="2937"/>
      <c r="R106" s="2937"/>
      <c r="S106" s="2937"/>
      <c r="T106" s="2937"/>
      <c r="U106" s="2938"/>
      <c r="V106" s="2937"/>
      <c r="W106" s="2938"/>
      <c r="X106" s="2937"/>
      <c r="Y106" s="2938"/>
      <c r="Z106" s="2937"/>
    </row>
    <row r="107" spans="2:26" ht="24" hidden="1" customHeight="1" x14ac:dyDescent="0.3">
      <c r="B107" s="2811">
        <v>8</v>
      </c>
      <c r="C107" s="2721"/>
      <c r="D107" s="2721"/>
      <c r="E107" s="2721"/>
      <c r="F107" s="2721"/>
      <c r="G107" s="2940"/>
      <c r="H107" s="2941"/>
      <c r="I107" s="2941"/>
      <c r="J107" s="2941"/>
      <c r="K107" s="2941"/>
      <c r="L107" s="2941"/>
      <c r="M107" s="2941"/>
      <c r="N107" s="2941"/>
      <c r="O107" s="2941"/>
      <c r="P107" s="2941"/>
      <c r="Q107" s="2941"/>
      <c r="R107" s="2941"/>
      <c r="S107" s="2941"/>
      <c r="T107" s="2941"/>
      <c r="U107" s="2942"/>
      <c r="V107" s="2941"/>
      <c r="W107" s="2942"/>
      <c r="X107" s="2941"/>
      <c r="Y107" s="2942"/>
      <c r="Z107" s="2941"/>
    </row>
    <row r="108" spans="2:26" ht="15.75" hidden="1" customHeight="1" x14ac:dyDescent="0.3"/>
    <row r="109" spans="2:26" ht="15.75" hidden="1" customHeight="1" x14ac:dyDescent="0.3">
      <c r="B109" s="2818" t="s">
        <v>355</v>
      </c>
      <c r="C109" s="2819" t="s">
        <v>356</v>
      </c>
    </row>
    <row r="110" spans="2:26" ht="15.75" hidden="1" customHeight="1" x14ac:dyDescent="0.3"/>
    <row r="111" spans="2:26" ht="15.75" hidden="1" customHeight="1" x14ac:dyDescent="0.3">
      <c r="B111" s="4442" t="s">
        <v>357</v>
      </c>
      <c r="C111" s="4443"/>
    </row>
    <row r="112" spans="2:26" ht="15.75" hidden="1" customHeight="1" x14ac:dyDescent="0.3">
      <c r="B112" s="2820" t="s">
        <v>301</v>
      </c>
    </row>
    <row r="113" spans="2:26" ht="15.75" hidden="1" customHeight="1" x14ac:dyDescent="0.3">
      <c r="B113" s="2820" t="s">
        <v>301</v>
      </c>
    </row>
    <row r="114" spans="2:26" ht="15.75" hidden="1" customHeight="1" x14ac:dyDescent="0.3"/>
    <row r="115" spans="2:26" ht="15.75" hidden="1" customHeight="1" x14ac:dyDescent="0.3"/>
    <row r="116" spans="2:26" ht="21" hidden="1" customHeight="1" x14ac:dyDescent="0.3">
      <c r="B116" s="2784" t="s">
        <v>409</v>
      </c>
    </row>
    <row r="117" spans="2:26" ht="12" hidden="1" customHeight="1" x14ac:dyDescent="0.3"/>
    <row r="118" spans="2:26" ht="15.75" hidden="1" customHeight="1" x14ac:dyDescent="0.3">
      <c r="B118" s="2786" t="s">
        <v>301</v>
      </c>
      <c r="C118" s="2787" t="s">
        <v>343</v>
      </c>
      <c r="D118" s="2788" t="s">
        <v>344</v>
      </c>
      <c r="E118" s="2788" t="s">
        <v>345</v>
      </c>
      <c r="F118" s="2788" t="s">
        <v>346</v>
      </c>
      <c r="G118" s="2789" t="s">
        <v>347</v>
      </c>
      <c r="H118" s="2790">
        <v>2025</v>
      </c>
      <c r="I118" s="2790">
        <v>2024</v>
      </c>
      <c r="J118" s="2790">
        <v>2023</v>
      </c>
      <c r="K118" s="2790">
        <v>2022</v>
      </c>
      <c r="L118" s="2790">
        <v>2021</v>
      </c>
      <c r="M118" s="2790">
        <v>2020</v>
      </c>
      <c r="N118" s="2790">
        <v>2019</v>
      </c>
      <c r="O118" s="2791">
        <v>2018</v>
      </c>
      <c r="P118" s="2791">
        <v>2017</v>
      </c>
      <c r="Q118" s="2791">
        <v>2016</v>
      </c>
      <c r="R118" s="2791">
        <v>2015</v>
      </c>
      <c r="S118" s="2791">
        <v>2014</v>
      </c>
      <c r="T118" s="2791">
        <v>2013</v>
      </c>
      <c r="U118" s="2791">
        <v>2012</v>
      </c>
      <c r="V118" s="2791">
        <v>2011</v>
      </c>
      <c r="W118" s="2791">
        <v>2010</v>
      </c>
      <c r="X118" s="2791">
        <v>2009</v>
      </c>
      <c r="Y118" s="2791">
        <v>2008</v>
      </c>
      <c r="Z118" s="2792" t="s">
        <v>332</v>
      </c>
    </row>
    <row r="119" spans="2:26" ht="24" hidden="1" customHeight="1" x14ac:dyDescent="0.3">
      <c r="B119" s="2794">
        <v>1</v>
      </c>
      <c r="C119" s="2795"/>
      <c r="D119" s="2796"/>
      <c r="E119" s="2934"/>
      <c r="F119" s="2798"/>
      <c r="G119" s="2799"/>
      <c r="H119" s="2802"/>
      <c r="I119" s="2802"/>
      <c r="J119" s="2802"/>
      <c r="K119" s="2802"/>
      <c r="L119" s="2802"/>
      <c r="M119" s="2802"/>
      <c r="N119" s="2802"/>
      <c r="O119" s="2802"/>
      <c r="P119" s="2802"/>
      <c r="Q119" s="2802"/>
      <c r="R119" s="2802"/>
      <c r="S119" s="2802"/>
      <c r="T119" s="2802"/>
      <c r="U119" s="2803"/>
      <c r="V119" s="2802"/>
      <c r="W119" s="2803"/>
      <c r="X119" s="2802"/>
      <c r="Y119" s="2803"/>
      <c r="Z119" s="2802"/>
    </row>
    <row r="120" spans="2:26" ht="24" hidden="1" customHeight="1" x14ac:dyDescent="0.3">
      <c r="B120" s="2794">
        <v>2</v>
      </c>
      <c r="C120" s="2712"/>
      <c r="D120" s="2712"/>
      <c r="E120" s="2712"/>
      <c r="F120" s="2712"/>
      <c r="G120" s="2738"/>
      <c r="H120" s="2935"/>
      <c r="I120" s="2935"/>
      <c r="J120" s="2935"/>
      <c r="K120" s="2935"/>
      <c r="L120" s="2935"/>
      <c r="M120" s="2935"/>
      <c r="N120" s="2935"/>
      <c r="O120" s="2935"/>
      <c r="P120" s="2935"/>
      <c r="Q120" s="2935"/>
      <c r="R120" s="2935"/>
      <c r="S120" s="2935"/>
      <c r="T120" s="2935"/>
      <c r="U120" s="2817"/>
      <c r="V120" s="2935"/>
      <c r="W120" s="2817"/>
      <c r="X120" s="2935"/>
      <c r="Y120" s="2817"/>
      <c r="Z120" s="2935"/>
    </row>
    <row r="121" spans="2:26" ht="24" hidden="1" customHeight="1" x14ac:dyDescent="0.3">
      <c r="B121" s="2794">
        <v>3</v>
      </c>
      <c r="C121" s="2796"/>
      <c r="D121" s="2796"/>
      <c r="E121" s="2796"/>
      <c r="F121" s="2796"/>
      <c r="G121" s="2936"/>
      <c r="H121" s="2937"/>
      <c r="I121" s="2937"/>
      <c r="J121" s="2937"/>
      <c r="K121" s="2937"/>
      <c r="L121" s="2937"/>
      <c r="M121" s="2937"/>
      <c r="N121" s="2937"/>
      <c r="O121" s="2937"/>
      <c r="P121" s="2937"/>
      <c r="Q121" s="2937"/>
      <c r="R121" s="2937"/>
      <c r="S121" s="2937"/>
      <c r="T121" s="2937"/>
      <c r="U121" s="2938"/>
      <c r="V121" s="2937"/>
      <c r="W121" s="2938"/>
      <c r="X121" s="2937"/>
      <c r="Y121" s="2938"/>
      <c r="Z121" s="2937"/>
    </row>
    <row r="122" spans="2:26" ht="24" hidden="1" customHeight="1" x14ac:dyDescent="0.3">
      <c r="B122" s="2794">
        <v>4</v>
      </c>
      <c r="C122" s="2712"/>
      <c r="D122" s="2712"/>
      <c r="E122" s="2712"/>
      <c r="F122" s="2712"/>
      <c r="G122" s="2738"/>
      <c r="H122" s="2935"/>
      <c r="I122" s="2935"/>
      <c r="J122" s="2935"/>
      <c r="K122" s="2935"/>
      <c r="L122" s="2935"/>
      <c r="M122" s="2935"/>
      <c r="N122" s="2935"/>
      <c r="O122" s="2935"/>
      <c r="P122" s="2935"/>
      <c r="Q122" s="2935"/>
      <c r="R122" s="2935"/>
      <c r="S122" s="2935"/>
      <c r="T122" s="2935"/>
      <c r="U122" s="2817"/>
      <c r="V122" s="2935"/>
      <c r="W122" s="2817"/>
      <c r="X122" s="2935"/>
      <c r="Y122" s="2817"/>
      <c r="Z122" s="2935"/>
    </row>
    <row r="123" spans="2:26" ht="24" hidden="1" customHeight="1" x14ac:dyDescent="0.3">
      <c r="B123" s="2794">
        <v>5</v>
      </c>
      <c r="C123" s="2796"/>
      <c r="D123" s="2796"/>
      <c r="E123" s="2796"/>
      <c r="F123" s="2796"/>
      <c r="G123" s="2936"/>
      <c r="H123" s="2937"/>
      <c r="I123" s="2937"/>
      <c r="J123" s="2937"/>
      <c r="K123" s="2937"/>
      <c r="L123" s="2937"/>
      <c r="M123" s="2937"/>
      <c r="N123" s="2937"/>
      <c r="O123" s="2937"/>
      <c r="P123" s="2937"/>
      <c r="Q123" s="2937"/>
      <c r="R123" s="2937"/>
      <c r="S123" s="2937"/>
      <c r="T123" s="2937"/>
      <c r="U123" s="2938"/>
      <c r="V123" s="2937"/>
      <c r="W123" s="2938"/>
      <c r="X123" s="2937"/>
      <c r="Y123" s="2938"/>
      <c r="Z123" s="2937"/>
    </row>
    <row r="124" spans="2:26" ht="24" hidden="1" customHeight="1" x14ac:dyDescent="0.3">
      <c r="B124" s="2794">
        <v>6</v>
      </c>
      <c r="C124" s="2712"/>
      <c r="D124" s="2712"/>
      <c r="E124" s="2712"/>
      <c r="F124" s="2712"/>
      <c r="G124" s="2738"/>
      <c r="H124" s="2935"/>
      <c r="I124" s="2935"/>
      <c r="J124" s="2935"/>
      <c r="K124" s="2935"/>
      <c r="L124" s="2935"/>
      <c r="M124" s="2935"/>
      <c r="N124" s="2935"/>
      <c r="O124" s="2935"/>
      <c r="P124" s="2935"/>
      <c r="Q124" s="2935"/>
      <c r="R124" s="2935"/>
      <c r="S124" s="2935"/>
      <c r="T124" s="2935"/>
      <c r="U124" s="2817"/>
      <c r="V124" s="2935"/>
      <c r="W124" s="2817"/>
      <c r="X124" s="2935"/>
      <c r="Y124" s="2817"/>
      <c r="Z124" s="2935"/>
    </row>
    <row r="125" spans="2:26" ht="24" hidden="1" customHeight="1" x14ac:dyDescent="0.3">
      <c r="B125" s="2794">
        <v>7</v>
      </c>
      <c r="C125" s="2796"/>
      <c r="D125" s="2796"/>
      <c r="E125" s="2796"/>
      <c r="F125" s="2796"/>
      <c r="G125" s="2939"/>
      <c r="H125" s="2937"/>
      <c r="I125" s="2937"/>
      <c r="J125" s="2937"/>
      <c r="K125" s="2937"/>
      <c r="L125" s="2937"/>
      <c r="M125" s="2937"/>
      <c r="N125" s="2937"/>
      <c r="O125" s="2937"/>
      <c r="P125" s="2937"/>
      <c r="Q125" s="2937"/>
      <c r="R125" s="2937"/>
      <c r="S125" s="2937"/>
      <c r="T125" s="2937"/>
      <c r="U125" s="2938"/>
      <c r="V125" s="2937"/>
      <c r="W125" s="2938"/>
      <c r="X125" s="2937"/>
      <c r="Y125" s="2938"/>
      <c r="Z125" s="2937"/>
    </row>
    <row r="126" spans="2:26" ht="24" hidden="1" customHeight="1" x14ac:dyDescent="0.3">
      <c r="B126" s="2811">
        <v>8</v>
      </c>
      <c r="C126" s="2721"/>
      <c r="D126" s="2721"/>
      <c r="E126" s="2721"/>
      <c r="F126" s="2721"/>
      <c r="G126" s="2940"/>
      <c r="H126" s="2941"/>
      <c r="I126" s="2941"/>
      <c r="J126" s="2941"/>
      <c r="K126" s="2941"/>
      <c r="L126" s="2941"/>
      <c r="M126" s="2941"/>
      <c r="N126" s="2941"/>
      <c r="O126" s="2941"/>
      <c r="P126" s="2941"/>
      <c r="Q126" s="2941"/>
      <c r="R126" s="2941"/>
      <c r="S126" s="2941"/>
      <c r="T126" s="2941"/>
      <c r="U126" s="2942"/>
      <c r="V126" s="2941"/>
      <c r="W126" s="2942"/>
      <c r="X126" s="2941"/>
      <c r="Y126" s="2942"/>
      <c r="Z126" s="2941"/>
    </row>
    <row r="127" spans="2:26" ht="15.75" hidden="1" customHeight="1" x14ac:dyDescent="0.3"/>
    <row r="128" spans="2:26" ht="15.75" hidden="1" customHeight="1" x14ac:dyDescent="0.3">
      <c r="B128" s="2818" t="s">
        <v>355</v>
      </c>
      <c r="C128" s="2819" t="s">
        <v>356</v>
      </c>
    </row>
    <row r="129" spans="2:3" ht="15.75" hidden="1" customHeight="1" x14ac:dyDescent="0.3"/>
    <row r="130" spans="2:3" ht="15.75" hidden="1" customHeight="1" x14ac:dyDescent="0.3">
      <c r="B130" s="4442" t="s">
        <v>357</v>
      </c>
      <c r="C130" s="4443"/>
    </row>
    <row r="131" spans="2:3" ht="15.75" hidden="1" customHeight="1" x14ac:dyDescent="0.3">
      <c r="B131" s="2820" t="s">
        <v>301</v>
      </c>
    </row>
    <row r="132" spans="2:3" ht="15.75" hidden="1" customHeight="1" x14ac:dyDescent="0.3">
      <c r="B132" s="2820" t="s">
        <v>301</v>
      </c>
    </row>
    <row r="133" spans="2:3" ht="15.75" customHeight="1" x14ac:dyDescent="0.3"/>
    <row r="134" spans="2:3" ht="15.75" customHeight="1" x14ac:dyDescent="0.3"/>
    <row r="135" spans="2:3" ht="15.75" customHeight="1" x14ac:dyDescent="0.3"/>
    <row r="136" spans="2:3" ht="15.75" customHeight="1" x14ac:dyDescent="0.3"/>
    <row r="137" spans="2:3" ht="15.75" customHeight="1" x14ac:dyDescent="0.3"/>
    <row r="138" spans="2:3" ht="15.75" customHeight="1" x14ac:dyDescent="0.3"/>
    <row r="139" spans="2:3" ht="15.75" customHeight="1" x14ac:dyDescent="0.3"/>
    <row r="140" spans="2:3" ht="15.75" customHeight="1" x14ac:dyDescent="0.3"/>
    <row r="141" spans="2:3" ht="15.75" customHeight="1" x14ac:dyDescent="0.3"/>
    <row r="142" spans="2:3" ht="15.75" customHeight="1" x14ac:dyDescent="0.3"/>
    <row r="143" spans="2:3" ht="15.75" customHeight="1" x14ac:dyDescent="0.3"/>
    <row r="144" spans="2:3"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7">
    <mergeCell ref="B130:C130"/>
    <mergeCell ref="B15:C15"/>
    <mergeCell ref="C16:D16"/>
    <mergeCell ref="D33:U33"/>
    <mergeCell ref="D34:U34"/>
    <mergeCell ref="D55:T55"/>
    <mergeCell ref="B111:C111"/>
  </mergeCells>
  <hyperlinks>
    <hyperlink ref="D35" r:id="rId1" xr:uid="{62FA1CB8-A1B6-4D1D-A410-366BD743BA2B}"/>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F2973-5F84-4500-BDF0-677505CE8F2E}">
  <dimension ref="A1:DH998"/>
  <sheetViews>
    <sheetView topLeftCell="BP14" zoomScale="70" zoomScaleNormal="70" workbookViewId="0">
      <selection activeCell="BU39" sqref="BU39"/>
    </sheetView>
  </sheetViews>
  <sheetFormatPr defaultColWidth="12.44140625" defaultRowHeight="15" customHeight="1" x14ac:dyDescent="0.3"/>
  <cols>
    <col min="1" max="1" width="2.77734375" style="1336" customWidth="1"/>
    <col min="2" max="2" width="34.21875" style="1336" customWidth="1"/>
    <col min="3" max="52" width="21.6640625" style="1336" customWidth="1"/>
    <col min="53" max="53" width="2.77734375" style="1336" customWidth="1"/>
    <col min="54" max="54" width="17" style="1336" customWidth="1"/>
    <col min="55" max="55" width="12.44140625" style="1336" customWidth="1"/>
    <col min="56" max="56" width="35.109375" style="1336" customWidth="1"/>
    <col min="57" max="109" width="20.6640625" style="1336" customWidth="1"/>
    <col min="110" max="110" width="6.88671875" style="1336" customWidth="1"/>
    <col min="111" max="111" width="18" style="1336" customWidth="1"/>
    <col min="112" max="16384" width="12.44140625" style="1336"/>
  </cols>
  <sheetData>
    <row r="1" spans="1:112" ht="21.75" customHeight="1" x14ac:dyDescent="0.35">
      <c r="A1" s="424"/>
      <c r="B1" s="425" t="s">
        <v>549</v>
      </c>
      <c r="BA1" s="427"/>
      <c r="BB1" s="428"/>
      <c r="BE1" s="3290"/>
      <c r="BI1" s="1344"/>
      <c r="BK1" s="1344"/>
      <c r="BQ1" s="1344"/>
    </row>
    <row r="2" spans="1:112" ht="15.75" customHeight="1" x14ac:dyDescent="0.3">
      <c r="A2" s="424"/>
      <c r="B2" s="429" t="s">
        <v>299</v>
      </c>
      <c r="BA2" s="427"/>
      <c r="BB2" s="427"/>
      <c r="BE2" s="1344"/>
      <c r="BF2" s="1344"/>
      <c r="BG2" s="1344"/>
      <c r="BH2" s="1344"/>
      <c r="BI2" s="1344"/>
      <c r="BJ2" s="1344"/>
      <c r="BK2" s="1344"/>
      <c r="BL2" s="1344"/>
      <c r="BM2" s="1344"/>
      <c r="BN2" s="1344"/>
      <c r="BO2" s="1344"/>
      <c r="BP2" s="1344"/>
      <c r="BQ2" s="1344"/>
      <c r="BR2" s="1344"/>
    </row>
    <row r="3" spans="1:112" ht="9.75" customHeight="1" x14ac:dyDescent="0.3">
      <c r="A3" s="427"/>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c r="AY3" s="431"/>
      <c r="AZ3" s="431"/>
      <c r="BA3" s="427"/>
      <c r="BB3" s="428"/>
      <c r="BD3" s="1759"/>
      <c r="BI3" s="1344"/>
      <c r="BK3" s="1344"/>
    </row>
    <row r="4" spans="1:112" ht="6" customHeight="1" x14ac:dyDescent="0.3">
      <c r="A4" s="428"/>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c r="AU4" s="427"/>
      <c r="AV4" s="427"/>
      <c r="AW4" s="427"/>
      <c r="AX4" s="427"/>
      <c r="AY4" s="427"/>
      <c r="AZ4" s="427"/>
      <c r="BA4" s="427"/>
      <c r="BB4" s="428"/>
      <c r="BD4" s="1344"/>
      <c r="BI4" s="1344"/>
      <c r="BK4" s="1344"/>
    </row>
    <row r="5" spans="1:112" ht="6" customHeight="1" x14ac:dyDescent="0.3">
      <c r="A5" s="428"/>
      <c r="B5" s="427"/>
      <c r="C5" s="427"/>
      <c r="D5" s="427"/>
      <c r="E5" s="427"/>
      <c r="F5" s="427"/>
      <c r="G5" s="427"/>
      <c r="H5" s="427"/>
      <c r="I5" s="427"/>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7"/>
      <c r="AI5" s="427"/>
      <c r="AJ5" s="427"/>
      <c r="AK5" s="427"/>
      <c r="AL5" s="427"/>
      <c r="AM5" s="427"/>
      <c r="AN5" s="427"/>
      <c r="AO5" s="427"/>
      <c r="AP5" s="427"/>
      <c r="AQ5" s="427"/>
      <c r="AR5" s="427"/>
      <c r="AS5" s="427"/>
      <c r="AT5" s="427"/>
      <c r="AU5" s="427"/>
      <c r="AV5" s="427"/>
      <c r="AW5" s="427"/>
      <c r="AX5" s="427"/>
      <c r="AY5" s="427"/>
      <c r="AZ5" s="427"/>
      <c r="BA5" s="427"/>
      <c r="BB5" s="428"/>
      <c r="BD5" s="1344"/>
      <c r="BI5" s="1344"/>
      <c r="BK5" s="1344"/>
    </row>
    <row r="6" spans="1:112" ht="21.6" customHeight="1" x14ac:dyDescent="0.3">
      <c r="A6" s="431"/>
      <c r="B6" s="428"/>
      <c r="C6" s="428"/>
      <c r="D6" s="428"/>
      <c r="E6" s="428"/>
      <c r="F6" s="428"/>
      <c r="G6" s="428"/>
      <c r="H6" s="428"/>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I6" s="428"/>
      <c r="AJ6" s="428"/>
      <c r="AK6" s="428"/>
      <c r="AL6" s="428"/>
      <c r="AM6" s="428"/>
      <c r="AN6" s="428"/>
      <c r="AO6" s="428"/>
      <c r="AP6" s="428"/>
      <c r="AQ6" s="428"/>
      <c r="AR6" s="428"/>
      <c r="AS6" s="428"/>
      <c r="AT6" s="428"/>
      <c r="AU6" s="428"/>
      <c r="AV6" s="428"/>
      <c r="AW6" s="428"/>
      <c r="AX6" s="428"/>
      <c r="AY6" s="428"/>
      <c r="AZ6" s="428"/>
      <c r="BA6" s="427"/>
      <c r="BB6" s="428"/>
      <c r="BD6" s="1344"/>
    </row>
    <row r="7" spans="1:112" ht="40.5" customHeight="1" x14ac:dyDescent="0.3">
      <c r="A7" s="432"/>
      <c r="B7" s="433">
        <v>2024</v>
      </c>
      <c r="C7" s="4385" t="s">
        <v>22</v>
      </c>
      <c r="D7" s="4393"/>
      <c r="E7" s="4393"/>
      <c r="F7" s="4393"/>
      <c r="G7" s="4393"/>
      <c r="H7" s="4393"/>
      <c r="I7" s="4393"/>
      <c r="J7" s="4393"/>
      <c r="K7" s="4393"/>
      <c r="L7" s="4393"/>
      <c r="M7" s="4393"/>
      <c r="N7" s="4393"/>
      <c r="O7" s="4393"/>
      <c r="P7" s="4393"/>
      <c r="Q7" s="4393"/>
      <c r="R7" s="4393"/>
      <c r="S7" s="4393"/>
      <c r="T7" s="4393"/>
      <c r="U7" s="4393"/>
      <c r="V7" s="4393"/>
      <c r="W7" s="4393"/>
      <c r="X7" s="4393"/>
      <c r="Y7" s="4393"/>
      <c r="Z7" s="4393"/>
      <c r="AA7" s="4393"/>
      <c r="AB7" s="4393"/>
      <c r="AC7" s="4393"/>
      <c r="AD7" s="4393"/>
      <c r="AE7" s="4393"/>
      <c r="AF7" s="4393"/>
      <c r="AG7" s="4393"/>
      <c r="AH7" s="4393"/>
      <c r="AI7" s="4393"/>
      <c r="AJ7" s="4393"/>
      <c r="AK7" s="4393"/>
      <c r="AL7" s="4393"/>
      <c r="AM7" s="4393"/>
      <c r="AN7" s="4393"/>
      <c r="AO7" s="4393"/>
      <c r="AP7" s="4393"/>
      <c r="AQ7" s="4393"/>
      <c r="AR7" s="4393"/>
      <c r="AS7" s="4393"/>
      <c r="AT7" s="4393"/>
      <c r="AU7" s="4393"/>
      <c r="AV7" s="4393"/>
      <c r="AW7" s="4393"/>
      <c r="AX7" s="4393"/>
      <c r="AY7" s="4393"/>
      <c r="AZ7" s="4393"/>
      <c r="BA7" s="1980"/>
      <c r="BB7" s="435" t="s">
        <v>300</v>
      </c>
      <c r="BD7" s="3291">
        <v>2024</v>
      </c>
      <c r="BE7" s="4416" t="s">
        <v>1616</v>
      </c>
      <c r="BF7" s="4417"/>
      <c r="BG7" s="4417"/>
      <c r="BH7" s="4417"/>
      <c r="BI7" s="4417"/>
      <c r="BJ7" s="4417"/>
      <c r="BK7" s="4417"/>
      <c r="BL7" s="4417"/>
      <c r="BM7" s="4417"/>
      <c r="BN7" s="4417"/>
      <c r="BO7" s="4417"/>
      <c r="BP7" s="4417"/>
      <c r="BQ7" s="4417"/>
      <c r="BR7" s="4417"/>
      <c r="BS7" s="4417"/>
      <c r="BT7" s="4417"/>
      <c r="BU7" s="4417"/>
      <c r="BV7" s="4417"/>
      <c r="BW7" s="4417"/>
      <c r="BX7" s="4417"/>
      <c r="BY7" s="4417"/>
      <c r="BZ7" s="4417"/>
      <c r="CA7" s="4417"/>
      <c r="CB7" s="4417"/>
      <c r="CC7" s="4417"/>
      <c r="CD7" s="4417"/>
      <c r="CE7" s="4417"/>
      <c r="CF7" s="4417"/>
      <c r="CG7" s="4417"/>
      <c r="CH7" s="4417"/>
      <c r="CI7" s="4417"/>
      <c r="CJ7" s="4417"/>
      <c r="CK7" s="4417"/>
      <c r="CL7" s="4417"/>
      <c r="CM7" s="4417"/>
      <c r="CN7" s="4417"/>
      <c r="CO7" s="4417"/>
      <c r="CP7" s="4417"/>
      <c r="CQ7" s="4417"/>
      <c r="CR7" s="4417"/>
      <c r="CS7" s="4417"/>
      <c r="CT7" s="4417"/>
      <c r="CU7" s="4417"/>
      <c r="CV7" s="4417"/>
      <c r="CW7" s="4417"/>
      <c r="CX7" s="4417"/>
      <c r="CY7" s="4417"/>
      <c r="CZ7" s="4417"/>
      <c r="DA7" s="4417"/>
      <c r="DB7" s="4417"/>
      <c r="DC7" s="4417"/>
      <c r="DD7" s="4417"/>
      <c r="DE7" s="4418"/>
      <c r="DF7" s="3292"/>
      <c r="DG7" s="1763" t="s">
        <v>300</v>
      </c>
    </row>
    <row r="8" spans="1:112" ht="18" customHeight="1" x14ac:dyDescent="0.35">
      <c r="A8" s="428"/>
      <c r="B8" s="436" t="s">
        <v>301</v>
      </c>
      <c r="C8" s="3544">
        <v>1</v>
      </c>
      <c r="D8" s="3544">
        <v>2</v>
      </c>
      <c r="E8" s="3544">
        <v>3</v>
      </c>
      <c r="F8" s="3544">
        <v>4</v>
      </c>
      <c r="G8" s="3544">
        <v>5</v>
      </c>
      <c r="H8" s="3544">
        <v>6</v>
      </c>
      <c r="I8" s="3544">
        <v>7</v>
      </c>
      <c r="J8" s="3544">
        <v>8</v>
      </c>
      <c r="K8" s="3544">
        <v>9</v>
      </c>
      <c r="L8" s="3544">
        <v>10</v>
      </c>
      <c r="M8" s="3544">
        <v>11</v>
      </c>
      <c r="N8" s="3544">
        <v>12</v>
      </c>
      <c r="O8" s="3544">
        <v>13</v>
      </c>
      <c r="P8" s="3544">
        <v>14</v>
      </c>
      <c r="Q8" s="3544">
        <v>15</v>
      </c>
      <c r="R8" s="3544">
        <v>16</v>
      </c>
      <c r="S8" s="3544">
        <v>17</v>
      </c>
      <c r="T8" s="3544">
        <v>18</v>
      </c>
      <c r="U8" s="3544">
        <v>19</v>
      </c>
      <c r="V8" s="3544">
        <v>20</v>
      </c>
      <c r="W8" s="3544">
        <v>21</v>
      </c>
      <c r="X8" s="3544">
        <v>22</v>
      </c>
      <c r="Y8" s="3544">
        <v>23</v>
      </c>
      <c r="Z8" s="3544">
        <v>24</v>
      </c>
      <c r="AA8" s="3544">
        <v>25</v>
      </c>
      <c r="AB8" s="3544">
        <v>26</v>
      </c>
      <c r="AC8" s="3544">
        <v>27</v>
      </c>
      <c r="AD8" s="3544">
        <v>28</v>
      </c>
      <c r="AE8" s="3544">
        <v>29</v>
      </c>
      <c r="AF8" s="3544">
        <v>30</v>
      </c>
      <c r="AG8" s="3544">
        <v>31</v>
      </c>
      <c r="AH8" s="3544">
        <v>32</v>
      </c>
      <c r="AI8" s="3544">
        <v>33</v>
      </c>
      <c r="AJ8" s="3544">
        <v>34</v>
      </c>
      <c r="AK8" s="3544">
        <v>35</v>
      </c>
      <c r="AL8" s="3544">
        <v>36</v>
      </c>
      <c r="AM8" s="3544">
        <v>37</v>
      </c>
      <c r="AN8" s="3544">
        <v>38</v>
      </c>
      <c r="AO8" s="3544">
        <v>39</v>
      </c>
      <c r="AP8" s="3544">
        <v>40</v>
      </c>
      <c r="AQ8" s="3544">
        <v>41</v>
      </c>
      <c r="AR8" s="3544">
        <v>42</v>
      </c>
      <c r="AS8" s="3544">
        <v>43</v>
      </c>
      <c r="AT8" s="3544">
        <v>44</v>
      </c>
      <c r="AU8" s="3544">
        <v>45</v>
      </c>
      <c r="AV8" s="3544">
        <v>46</v>
      </c>
      <c r="AW8" s="3544">
        <v>47</v>
      </c>
      <c r="AX8" s="3544">
        <v>48</v>
      </c>
      <c r="AY8" s="3544">
        <v>49</v>
      </c>
      <c r="AZ8" s="3544">
        <v>50</v>
      </c>
      <c r="BA8" s="2944"/>
      <c r="BB8" s="438"/>
      <c r="BD8" s="1764" t="s">
        <v>301</v>
      </c>
      <c r="BE8" s="3545">
        <v>1</v>
      </c>
      <c r="BF8" s="3545">
        <v>2</v>
      </c>
      <c r="BG8" s="3545">
        <v>3</v>
      </c>
      <c r="BH8" s="3545">
        <v>4</v>
      </c>
      <c r="BI8" s="3545">
        <v>5</v>
      </c>
      <c r="BJ8" s="3545">
        <v>6</v>
      </c>
      <c r="BK8" s="3545">
        <v>7</v>
      </c>
      <c r="BL8" s="3545">
        <v>8</v>
      </c>
      <c r="BM8" s="3545">
        <v>9</v>
      </c>
      <c r="BN8" s="3545">
        <v>10</v>
      </c>
      <c r="BO8" s="3545">
        <v>11</v>
      </c>
      <c r="BP8" s="3545">
        <v>12</v>
      </c>
      <c r="BQ8" s="3545">
        <v>13</v>
      </c>
      <c r="BR8" s="3545">
        <v>14</v>
      </c>
      <c r="BS8" s="3545">
        <v>15</v>
      </c>
      <c r="BT8" s="3545">
        <v>16</v>
      </c>
      <c r="BU8" s="3545">
        <v>17</v>
      </c>
      <c r="BV8" s="3545">
        <v>18</v>
      </c>
      <c r="BW8" s="3545">
        <v>19</v>
      </c>
      <c r="BX8" s="3545">
        <v>20</v>
      </c>
      <c r="BY8" s="3545">
        <v>21</v>
      </c>
      <c r="BZ8" s="3545">
        <v>22</v>
      </c>
      <c r="CA8" s="3545">
        <v>23</v>
      </c>
      <c r="CB8" s="3545">
        <v>24</v>
      </c>
      <c r="CC8" s="3545">
        <v>25</v>
      </c>
      <c r="CD8" s="3545">
        <v>26</v>
      </c>
      <c r="CE8" s="3545">
        <v>27</v>
      </c>
      <c r="CF8" s="3545">
        <v>28</v>
      </c>
      <c r="CG8" s="3545">
        <v>29</v>
      </c>
      <c r="CH8" s="3545">
        <v>30</v>
      </c>
      <c r="CI8" s="3545">
        <v>31</v>
      </c>
      <c r="CJ8" s="3545">
        <v>32</v>
      </c>
      <c r="CK8" s="3545">
        <v>33</v>
      </c>
      <c r="CL8" s="3545">
        <v>34</v>
      </c>
      <c r="CM8" s="3545">
        <v>35</v>
      </c>
      <c r="CN8" s="3545">
        <v>36</v>
      </c>
      <c r="CO8" s="3545">
        <v>37</v>
      </c>
      <c r="CP8" s="3545">
        <v>38</v>
      </c>
      <c r="CQ8" s="3546">
        <v>39</v>
      </c>
      <c r="CR8" s="3546">
        <v>40</v>
      </c>
      <c r="CS8" s="3546">
        <v>41</v>
      </c>
      <c r="CT8" s="3546">
        <v>42</v>
      </c>
      <c r="CU8" s="3545">
        <v>43</v>
      </c>
      <c r="CV8" s="3545">
        <v>44</v>
      </c>
      <c r="CW8" s="3545">
        <v>45</v>
      </c>
      <c r="CX8" s="3545">
        <v>46</v>
      </c>
      <c r="CY8" s="3545">
        <v>47</v>
      </c>
      <c r="CZ8" s="3545">
        <v>48</v>
      </c>
      <c r="DA8" s="3545">
        <v>49</v>
      </c>
      <c r="DB8" s="3547">
        <v>50</v>
      </c>
      <c r="DC8" s="3295">
        <v>51</v>
      </c>
      <c r="DD8" s="3545">
        <v>52</v>
      </c>
      <c r="DE8" s="3548">
        <v>53</v>
      </c>
      <c r="DG8" s="1770"/>
    </row>
    <row r="9" spans="1:112" ht="77.400000000000006" customHeight="1" x14ac:dyDescent="0.3">
      <c r="A9" s="428"/>
      <c r="B9" s="439" t="s">
        <v>302</v>
      </c>
      <c r="C9" s="3549" t="s">
        <v>1169</v>
      </c>
      <c r="D9" s="3549" t="s">
        <v>1170</v>
      </c>
      <c r="E9" s="3549" t="s">
        <v>1172</v>
      </c>
      <c r="F9" s="3549" t="s">
        <v>1173</v>
      </c>
      <c r="G9" s="3549" t="s">
        <v>1174</v>
      </c>
      <c r="H9" s="3549" t="s">
        <v>2191</v>
      </c>
      <c r="I9" s="3549" t="s">
        <v>2192</v>
      </c>
      <c r="J9" s="3549" t="s">
        <v>2193</v>
      </c>
      <c r="K9" s="3549" t="s">
        <v>2194</v>
      </c>
      <c r="L9" s="3549" t="s">
        <v>2195</v>
      </c>
      <c r="M9" s="3549" t="s">
        <v>2196</v>
      </c>
      <c r="N9" s="3549" t="s">
        <v>2197</v>
      </c>
      <c r="O9" s="3549" t="s">
        <v>2198</v>
      </c>
      <c r="P9" s="3549" t="s">
        <v>2199</v>
      </c>
      <c r="Q9" s="3549" t="s">
        <v>2200</v>
      </c>
      <c r="R9" s="3549" t="s">
        <v>2201</v>
      </c>
      <c r="S9" s="3549" t="s">
        <v>2202</v>
      </c>
      <c r="T9" s="3549" t="s">
        <v>2203</v>
      </c>
      <c r="U9" s="3549" t="s">
        <v>2204</v>
      </c>
      <c r="V9" s="3549" t="s">
        <v>2205</v>
      </c>
      <c r="W9" s="3549" t="s">
        <v>2206</v>
      </c>
      <c r="X9" s="3549" t="s">
        <v>2207</v>
      </c>
      <c r="Y9" s="3549" t="s">
        <v>2208</v>
      </c>
      <c r="Z9" s="3549" t="s">
        <v>2209</v>
      </c>
      <c r="AA9" s="3549" t="s">
        <v>2210</v>
      </c>
      <c r="AB9" s="3549" t="s">
        <v>2211</v>
      </c>
      <c r="AC9" s="3549" t="s">
        <v>2212</v>
      </c>
      <c r="AD9" s="3549" t="s">
        <v>2213</v>
      </c>
      <c r="AE9" s="3549" t="s">
        <v>2214</v>
      </c>
      <c r="AF9" s="3549" t="s">
        <v>2215</v>
      </c>
      <c r="AG9" s="3549" t="s">
        <v>2216</v>
      </c>
      <c r="AH9" s="3549" t="s">
        <v>2217</v>
      </c>
      <c r="AI9" s="3549" t="s">
        <v>2218</v>
      </c>
      <c r="AJ9" s="3549" t="s">
        <v>2219</v>
      </c>
      <c r="AK9" s="3549" t="s">
        <v>2220</v>
      </c>
      <c r="AL9" s="3549" t="s">
        <v>2221</v>
      </c>
      <c r="AM9" s="3549" t="s">
        <v>2222</v>
      </c>
      <c r="AN9" s="3549" t="s">
        <v>2223</v>
      </c>
      <c r="AO9" s="3549" t="s">
        <v>2224</v>
      </c>
      <c r="AP9" s="3549" t="s">
        <v>2225</v>
      </c>
      <c r="AQ9" s="3549" t="s">
        <v>2226</v>
      </c>
      <c r="AR9" s="3549" t="s">
        <v>2227</v>
      </c>
      <c r="AS9" s="3549" t="s">
        <v>2228</v>
      </c>
      <c r="AT9" s="3549" t="s">
        <v>2229</v>
      </c>
      <c r="AU9" s="3549" t="s">
        <v>2230</v>
      </c>
      <c r="AV9" s="3549" t="s">
        <v>2231</v>
      </c>
      <c r="AW9" s="3549" t="s">
        <v>2232</v>
      </c>
      <c r="AX9" s="3549" t="s">
        <v>2233</v>
      </c>
      <c r="AY9" s="3549" t="s">
        <v>2234</v>
      </c>
      <c r="AZ9" s="3549" t="s">
        <v>2235</v>
      </c>
      <c r="BA9" s="441"/>
      <c r="BB9" s="442"/>
      <c r="BD9" s="1771" t="s">
        <v>302</v>
      </c>
      <c r="BE9" s="3549" t="s">
        <v>1169</v>
      </c>
      <c r="BF9" s="3549" t="s">
        <v>1170</v>
      </c>
      <c r="BG9" s="3549" t="s">
        <v>1172</v>
      </c>
      <c r="BH9" s="3549" t="s">
        <v>1173</v>
      </c>
      <c r="BI9" s="3549" t="s">
        <v>1174</v>
      </c>
      <c r="BJ9" s="3549" t="s">
        <v>2191</v>
      </c>
      <c r="BK9" s="3549" t="s">
        <v>2192</v>
      </c>
      <c r="BL9" s="3549" t="s">
        <v>2193</v>
      </c>
      <c r="BM9" s="3549" t="s">
        <v>2194</v>
      </c>
      <c r="BN9" s="3549" t="s">
        <v>2195</v>
      </c>
      <c r="BO9" s="3549" t="s">
        <v>2196</v>
      </c>
      <c r="BP9" s="3549" t="s">
        <v>2197</v>
      </c>
      <c r="BQ9" s="3549" t="s">
        <v>2198</v>
      </c>
      <c r="BR9" s="3549" t="s">
        <v>2199</v>
      </c>
      <c r="BS9" s="3549" t="s">
        <v>2200</v>
      </c>
      <c r="BT9" s="3549" t="s">
        <v>2201</v>
      </c>
      <c r="BU9" s="3549" t="s">
        <v>2202</v>
      </c>
      <c r="BV9" s="3549" t="s">
        <v>2203</v>
      </c>
      <c r="BW9" s="3549" t="s">
        <v>2204</v>
      </c>
      <c r="BX9" s="3549" t="s">
        <v>2205</v>
      </c>
      <c r="BY9" s="3549" t="s">
        <v>2206</v>
      </c>
      <c r="BZ9" s="3549" t="s">
        <v>2207</v>
      </c>
      <c r="CA9" s="3549" t="s">
        <v>2208</v>
      </c>
      <c r="CB9" s="3549" t="s">
        <v>2209</v>
      </c>
      <c r="CC9" s="3549" t="s">
        <v>2210</v>
      </c>
      <c r="CD9" s="3549" t="s">
        <v>2211</v>
      </c>
      <c r="CE9" s="3549" t="s">
        <v>2212</v>
      </c>
      <c r="CF9" s="3549" t="s">
        <v>2213</v>
      </c>
      <c r="CG9" s="3549" t="s">
        <v>2214</v>
      </c>
      <c r="CH9" s="3549" t="s">
        <v>2215</v>
      </c>
      <c r="CI9" s="3549" t="s">
        <v>2216</v>
      </c>
      <c r="CJ9" s="3549" t="s">
        <v>2217</v>
      </c>
      <c r="CK9" s="3549" t="s">
        <v>2218</v>
      </c>
      <c r="CL9" s="3549" t="s">
        <v>2219</v>
      </c>
      <c r="CM9" s="3549" t="s">
        <v>2220</v>
      </c>
      <c r="CN9" s="3549" t="s">
        <v>2221</v>
      </c>
      <c r="CO9" s="3549" t="s">
        <v>2222</v>
      </c>
      <c r="CP9" s="3549" t="s">
        <v>2223</v>
      </c>
      <c r="CQ9" s="3549" t="s">
        <v>2224</v>
      </c>
      <c r="CR9" s="3549" t="s">
        <v>2225</v>
      </c>
      <c r="CS9" s="3549" t="s">
        <v>2226</v>
      </c>
      <c r="CT9" s="3549" t="s">
        <v>2227</v>
      </c>
      <c r="CU9" s="3549" t="s">
        <v>2228</v>
      </c>
      <c r="CV9" s="3549" t="s">
        <v>2229</v>
      </c>
      <c r="CW9" s="3549" t="s">
        <v>2230</v>
      </c>
      <c r="CX9" s="3549" t="s">
        <v>2231</v>
      </c>
      <c r="CY9" s="3549" t="s">
        <v>2232</v>
      </c>
      <c r="CZ9" s="3549" t="s">
        <v>2233</v>
      </c>
      <c r="DA9" s="3549" t="s">
        <v>2234</v>
      </c>
      <c r="DB9" s="3549" t="s">
        <v>2235</v>
      </c>
      <c r="DC9" s="3549" t="s">
        <v>1728</v>
      </c>
      <c r="DD9" s="3550" t="s">
        <v>1729</v>
      </c>
      <c r="DE9" s="3551" t="s">
        <v>1730</v>
      </c>
      <c r="DG9" s="1777"/>
    </row>
    <row r="10" spans="1:112" ht="90.6" customHeight="1" x14ac:dyDescent="0.3">
      <c r="A10" s="428"/>
      <c r="B10" s="444" t="s">
        <v>304</v>
      </c>
      <c r="C10" s="3552" t="s">
        <v>1731</v>
      </c>
      <c r="D10" s="3552" t="s">
        <v>1731</v>
      </c>
      <c r="E10" s="3552" t="s">
        <v>1731</v>
      </c>
      <c r="F10" s="3552" t="s">
        <v>1731</v>
      </c>
      <c r="G10" s="3552" t="s">
        <v>1731</v>
      </c>
      <c r="H10" s="3552" t="s">
        <v>1731</v>
      </c>
      <c r="I10" s="3552" t="s">
        <v>1731</v>
      </c>
      <c r="J10" s="3552" t="s">
        <v>1731</v>
      </c>
      <c r="K10" s="3552" t="s">
        <v>1731</v>
      </c>
      <c r="L10" s="3552" t="s">
        <v>1731</v>
      </c>
      <c r="M10" s="3552" t="s">
        <v>1731</v>
      </c>
      <c r="N10" s="3552" t="s">
        <v>1731</v>
      </c>
      <c r="O10" s="3552" t="s">
        <v>1731</v>
      </c>
      <c r="P10" s="3552" t="s">
        <v>1731</v>
      </c>
      <c r="Q10" s="3552" t="s">
        <v>1731</v>
      </c>
      <c r="R10" s="3552" t="s">
        <v>1731</v>
      </c>
      <c r="S10" s="3552" t="s">
        <v>1731</v>
      </c>
      <c r="T10" s="3552" t="s">
        <v>1731</v>
      </c>
      <c r="U10" s="3552" t="s">
        <v>1731</v>
      </c>
      <c r="V10" s="3552" t="s">
        <v>1731</v>
      </c>
      <c r="W10" s="3552" t="s">
        <v>1731</v>
      </c>
      <c r="X10" s="3552" t="s">
        <v>1731</v>
      </c>
      <c r="Y10" s="3552" t="s">
        <v>1731</v>
      </c>
      <c r="Z10" s="3552" t="s">
        <v>1731</v>
      </c>
      <c r="AA10" s="3552" t="s">
        <v>1731</v>
      </c>
      <c r="AB10" s="3552" t="s">
        <v>1731</v>
      </c>
      <c r="AC10" s="3552" t="s">
        <v>1731</v>
      </c>
      <c r="AD10" s="3552" t="s">
        <v>1731</v>
      </c>
      <c r="AE10" s="3552" t="s">
        <v>1731</v>
      </c>
      <c r="AF10" s="3552" t="s">
        <v>1731</v>
      </c>
      <c r="AG10" s="3552" t="s">
        <v>1731</v>
      </c>
      <c r="AH10" s="3552" t="s">
        <v>1731</v>
      </c>
      <c r="AI10" s="3552" t="s">
        <v>1731</v>
      </c>
      <c r="AJ10" s="3552" t="s">
        <v>1731</v>
      </c>
      <c r="AK10" s="3552" t="s">
        <v>1731</v>
      </c>
      <c r="AL10" s="3552" t="s">
        <v>1731</v>
      </c>
      <c r="AM10" s="3552" t="s">
        <v>1731</v>
      </c>
      <c r="AN10" s="3552" t="s">
        <v>1731</v>
      </c>
      <c r="AO10" s="3552" t="s">
        <v>1731</v>
      </c>
      <c r="AP10" s="3552" t="s">
        <v>1731</v>
      </c>
      <c r="AQ10" s="3552" t="s">
        <v>1731</v>
      </c>
      <c r="AR10" s="3552" t="s">
        <v>1731</v>
      </c>
      <c r="AS10" s="3552" t="s">
        <v>1731</v>
      </c>
      <c r="AT10" s="3552" t="s">
        <v>1731</v>
      </c>
      <c r="AU10" s="3552" t="s">
        <v>1731</v>
      </c>
      <c r="AV10" s="3552" t="s">
        <v>1731</v>
      </c>
      <c r="AW10" s="3552" t="s">
        <v>1731</v>
      </c>
      <c r="AX10" s="3552" t="s">
        <v>1731</v>
      </c>
      <c r="AY10" s="3552" t="s">
        <v>1731</v>
      </c>
      <c r="AZ10" s="3552" t="s">
        <v>1731</v>
      </c>
      <c r="BA10" s="441"/>
      <c r="BB10" s="446"/>
      <c r="BD10" s="1778"/>
      <c r="BE10" s="1296" t="s">
        <v>1732</v>
      </c>
      <c r="BF10" s="1296" t="s">
        <v>1732</v>
      </c>
      <c r="BG10" s="1296" t="s">
        <v>1732</v>
      </c>
      <c r="BH10" s="1296" t="s">
        <v>1732</v>
      </c>
      <c r="BI10" s="1296" t="s">
        <v>1732</v>
      </c>
      <c r="BJ10" s="1296" t="s">
        <v>1732</v>
      </c>
      <c r="BK10" s="1296" t="s">
        <v>1732</v>
      </c>
      <c r="BL10" s="1296" t="s">
        <v>1732</v>
      </c>
      <c r="BM10" s="1296" t="s">
        <v>1732</v>
      </c>
      <c r="BN10" s="1296" t="s">
        <v>1732</v>
      </c>
      <c r="BO10" s="1296" t="s">
        <v>1732</v>
      </c>
      <c r="BP10" s="1296" t="s">
        <v>1732</v>
      </c>
      <c r="BQ10" s="1296" t="s">
        <v>1732</v>
      </c>
      <c r="BR10" s="1296" t="s">
        <v>1732</v>
      </c>
      <c r="BS10" s="1296" t="s">
        <v>1732</v>
      </c>
      <c r="BT10" s="1296" t="s">
        <v>1732</v>
      </c>
      <c r="BU10" s="1296" t="s">
        <v>1732</v>
      </c>
      <c r="BV10" s="1296" t="s">
        <v>1732</v>
      </c>
      <c r="BW10" s="1296" t="s">
        <v>1732</v>
      </c>
      <c r="BX10" s="1296" t="s">
        <v>1732</v>
      </c>
      <c r="BY10" s="1296" t="s">
        <v>1732</v>
      </c>
      <c r="BZ10" s="1296" t="s">
        <v>1732</v>
      </c>
      <c r="CA10" s="1296" t="s">
        <v>1732</v>
      </c>
      <c r="CB10" s="1296" t="s">
        <v>1732</v>
      </c>
      <c r="CC10" s="1296" t="s">
        <v>1732</v>
      </c>
      <c r="CD10" s="1296" t="s">
        <v>1732</v>
      </c>
      <c r="CE10" s="1296" t="s">
        <v>1732</v>
      </c>
      <c r="CF10" s="1296" t="s">
        <v>1732</v>
      </c>
      <c r="CG10" s="1296" t="s">
        <v>1732</v>
      </c>
      <c r="CH10" s="1296" t="s">
        <v>1732</v>
      </c>
      <c r="CI10" s="1296" t="s">
        <v>1732</v>
      </c>
      <c r="CJ10" s="1296" t="s">
        <v>1732</v>
      </c>
      <c r="CK10" s="1296" t="s">
        <v>1732</v>
      </c>
      <c r="CL10" s="1296" t="s">
        <v>1732</v>
      </c>
      <c r="CM10" s="1296" t="s">
        <v>1732</v>
      </c>
      <c r="CN10" s="1296" t="s">
        <v>1732</v>
      </c>
      <c r="CO10" s="1296" t="s">
        <v>1732</v>
      </c>
      <c r="CP10" s="1296" t="s">
        <v>1732</v>
      </c>
      <c r="CQ10" s="1296" t="s">
        <v>1732</v>
      </c>
      <c r="CR10" s="1296" t="s">
        <v>1732</v>
      </c>
      <c r="CS10" s="1296" t="s">
        <v>1732</v>
      </c>
      <c r="CT10" s="1296" t="s">
        <v>1732</v>
      </c>
      <c r="CU10" s="1296" t="s">
        <v>1732</v>
      </c>
      <c r="CV10" s="1296" t="s">
        <v>1732</v>
      </c>
      <c r="CW10" s="1296" t="s">
        <v>1732</v>
      </c>
      <c r="CX10" s="1296" t="s">
        <v>1732</v>
      </c>
      <c r="CY10" s="1296" t="s">
        <v>1732</v>
      </c>
      <c r="CZ10" s="1296" t="s">
        <v>1732</v>
      </c>
      <c r="DA10" s="1296" t="s">
        <v>1732</v>
      </c>
      <c r="DB10" s="1296" t="s">
        <v>1732</v>
      </c>
      <c r="DC10" s="1296" t="s">
        <v>1733</v>
      </c>
      <c r="DD10" s="3417" t="s">
        <v>1734</v>
      </c>
      <c r="DE10" s="3418" t="s">
        <v>1735</v>
      </c>
      <c r="DG10" s="1781"/>
    </row>
    <row r="11" spans="1:112" ht="18.75" customHeight="1" x14ac:dyDescent="0.3">
      <c r="A11" s="447"/>
      <c r="B11" s="448" t="s">
        <v>306</v>
      </c>
      <c r="C11" s="3553">
        <f>C17*C18</f>
        <v>286.89405827962503</v>
      </c>
      <c r="D11" s="3553">
        <f t="shared" ref="D11:AZ11" si="0">D17*D18</f>
        <v>665.33182851157414</v>
      </c>
      <c r="E11" s="3553">
        <f t="shared" si="0"/>
        <v>806.9424656791449</v>
      </c>
      <c r="F11" s="3553">
        <f t="shared" si="0"/>
        <v>295.44722931455073</v>
      </c>
      <c r="G11" s="3553">
        <f t="shared" si="0"/>
        <v>2191.37184598875</v>
      </c>
      <c r="H11" s="3553">
        <f t="shared" si="0"/>
        <v>0</v>
      </c>
      <c r="I11" s="3553">
        <f t="shared" si="0"/>
        <v>5090.1294100901223</v>
      </c>
      <c r="J11" s="3553">
        <f t="shared" si="0"/>
        <v>606.79319755299412</v>
      </c>
      <c r="K11" s="3553">
        <f t="shared" si="0"/>
        <v>87.571765550480052</v>
      </c>
      <c r="L11" s="3553">
        <f t="shared" si="0"/>
        <v>21.687566702933147</v>
      </c>
      <c r="M11" s="3553">
        <f t="shared" si="0"/>
        <v>264.85119337218356</v>
      </c>
      <c r="N11" s="3553">
        <f t="shared" si="0"/>
        <v>1173.2932511349895</v>
      </c>
      <c r="O11" s="3553">
        <f t="shared" si="0"/>
        <v>0</v>
      </c>
      <c r="P11" s="3553">
        <f t="shared" si="0"/>
        <v>144.02515887720602</v>
      </c>
      <c r="Q11" s="3553">
        <f t="shared" si="0"/>
        <v>0</v>
      </c>
      <c r="R11" s="3553">
        <f t="shared" si="0"/>
        <v>296.88553668964107</v>
      </c>
      <c r="S11" s="3553">
        <f t="shared" si="0"/>
        <v>0</v>
      </c>
      <c r="T11" s="3553">
        <f t="shared" si="0"/>
        <v>1431.7586609779762</v>
      </c>
      <c r="U11" s="3553">
        <f t="shared" si="0"/>
        <v>14.444686156309642</v>
      </c>
      <c r="V11" s="3553">
        <f t="shared" si="0"/>
        <v>1623.3458584995312</v>
      </c>
      <c r="W11" s="3553">
        <f t="shared" si="0"/>
        <v>0</v>
      </c>
      <c r="X11" s="3553">
        <f t="shared" si="0"/>
        <v>494.83181903138404</v>
      </c>
      <c r="Y11" s="3553">
        <f t="shared" si="0"/>
        <v>943.84865340282181</v>
      </c>
      <c r="Z11" s="3553">
        <f t="shared" si="0"/>
        <v>43.101300492950472</v>
      </c>
      <c r="AA11" s="3553">
        <f t="shared" si="0"/>
        <v>280.61027751048914</v>
      </c>
      <c r="AB11" s="3553">
        <f t="shared" si="0"/>
        <v>257.99852472646512</v>
      </c>
      <c r="AC11" s="3553">
        <f t="shared" si="0"/>
        <v>328.54472891640393</v>
      </c>
      <c r="AD11" s="3553">
        <f t="shared" si="0"/>
        <v>732.44485255583072</v>
      </c>
      <c r="AE11" s="3553">
        <f t="shared" si="0"/>
        <v>139.29401072430292</v>
      </c>
      <c r="AF11" s="3553">
        <f t="shared" si="0"/>
        <v>126.14386966380283</v>
      </c>
      <c r="AG11" s="3553">
        <f t="shared" si="0"/>
        <v>209.45000301333664</v>
      </c>
      <c r="AH11" s="3553">
        <f t="shared" si="0"/>
        <v>18.124315923616006</v>
      </c>
      <c r="AI11" s="3553">
        <f t="shared" si="0"/>
        <v>375.00185175713784</v>
      </c>
      <c r="AJ11" s="3553">
        <f t="shared" si="0"/>
        <v>0</v>
      </c>
      <c r="AK11" s="3553">
        <f t="shared" si="0"/>
        <v>329.86802646806962</v>
      </c>
      <c r="AL11" s="3553">
        <f t="shared" si="0"/>
        <v>19.468835526032695</v>
      </c>
      <c r="AM11" s="3553">
        <f t="shared" si="0"/>
        <v>2112.1074864338539</v>
      </c>
      <c r="AN11" s="3553">
        <f t="shared" si="0"/>
        <v>0</v>
      </c>
      <c r="AO11" s="3553">
        <f t="shared" si="0"/>
        <v>171.22908961082845</v>
      </c>
      <c r="AP11" s="3553">
        <f t="shared" si="0"/>
        <v>169.98862651531977</v>
      </c>
      <c r="AQ11" s="3553">
        <f t="shared" si="0"/>
        <v>10.511760944556139</v>
      </c>
      <c r="AR11" s="3553">
        <f t="shared" si="0"/>
        <v>234.90345685114465</v>
      </c>
      <c r="AS11" s="3553">
        <f t="shared" si="0"/>
        <v>0</v>
      </c>
      <c r="AT11" s="3553">
        <f t="shared" si="0"/>
        <v>0</v>
      </c>
      <c r="AU11" s="3553">
        <f t="shared" si="0"/>
        <v>23.244991395141888</v>
      </c>
      <c r="AV11" s="3553">
        <f t="shared" si="0"/>
        <v>25.714279687360317</v>
      </c>
      <c r="AW11" s="3553">
        <f t="shared" si="0"/>
        <v>32.93525360095056</v>
      </c>
      <c r="AX11" s="3553">
        <f t="shared" si="0"/>
        <v>35.700966021400369</v>
      </c>
      <c r="AY11" s="3553">
        <f t="shared" si="0"/>
        <v>86.969333142065253</v>
      </c>
      <c r="AZ11" s="3553">
        <f t="shared" si="0"/>
        <v>38.672053126537044</v>
      </c>
      <c r="BA11" s="450"/>
      <c r="BB11" s="451">
        <f>SUM(C11:AZ11)</f>
        <v>22241.482080419806</v>
      </c>
      <c r="BD11" s="1783" t="s">
        <v>306</v>
      </c>
      <c r="BE11" s="3553">
        <f>BE17*BE18</f>
        <v>301.8475451156184</v>
      </c>
      <c r="BF11" s="3553">
        <f t="shared" ref="BF11:CV11" si="1">BF17*BF18</f>
        <v>700.01024185646907</v>
      </c>
      <c r="BG11" s="3553">
        <f t="shared" si="1"/>
        <v>849.00190605339014</v>
      </c>
      <c r="BH11" s="3553">
        <f t="shared" si="1"/>
        <v>310.84652437412223</v>
      </c>
      <c r="BI11" s="3553">
        <f t="shared" si="1"/>
        <v>2305.5904890943557</v>
      </c>
      <c r="BJ11" s="3553">
        <f t="shared" si="1"/>
        <v>0</v>
      </c>
      <c r="BK11" s="3553">
        <f t="shared" si="1"/>
        <v>5000</v>
      </c>
      <c r="BL11" s="3553">
        <f t="shared" si="1"/>
        <v>638.42046145030099</v>
      </c>
      <c r="BM11" s="3553">
        <f t="shared" si="1"/>
        <v>92.136179505987897</v>
      </c>
      <c r="BN11" s="3553">
        <f t="shared" si="1"/>
        <v>22.817965656267173</v>
      </c>
      <c r="BO11" s="3553">
        <f t="shared" si="1"/>
        <v>278.65576240835367</v>
      </c>
      <c r="BP11" s="3553">
        <f t="shared" si="1"/>
        <v>1234.4476204196494</v>
      </c>
      <c r="BQ11" s="3553">
        <f t="shared" si="1"/>
        <v>0</v>
      </c>
      <c r="BR11" s="3553">
        <f t="shared" si="1"/>
        <v>151.53203556275608</v>
      </c>
      <c r="BS11" s="3553">
        <f t="shared" si="1"/>
        <v>0</v>
      </c>
      <c r="BT11" s="3553">
        <f t="shared" si="1"/>
        <v>312.3597991797983</v>
      </c>
      <c r="BU11" s="3553">
        <f t="shared" si="1"/>
        <v>0</v>
      </c>
      <c r="BV11" s="3553">
        <f t="shared" si="1"/>
        <v>1506.3847596069913</v>
      </c>
      <c r="BW11" s="3553">
        <f t="shared" si="1"/>
        <v>15.197571822829463</v>
      </c>
      <c r="BX11" s="3553">
        <f t="shared" si="1"/>
        <v>1707.9578615186997</v>
      </c>
      <c r="BY11" s="3553">
        <f t="shared" si="1"/>
        <v>0</v>
      </c>
      <c r="BZ11" s="3553">
        <f t="shared" si="1"/>
        <v>520.6234340138891</v>
      </c>
      <c r="CA11" s="3553">
        <f t="shared" si="1"/>
        <v>993.04391557891381</v>
      </c>
      <c r="CB11" s="3553">
        <f t="shared" si="1"/>
        <v>45.347825685561276</v>
      </c>
      <c r="CC11" s="3553">
        <f t="shared" si="1"/>
        <v>295.23624124065384</v>
      </c>
      <c r="CD11" s="3553">
        <f t="shared" si="1"/>
        <v>271.44591909335259</v>
      </c>
      <c r="CE11" s="3553">
        <f t="shared" si="1"/>
        <v>345.66913124228984</v>
      </c>
      <c r="CF11" s="3553">
        <f t="shared" si="1"/>
        <v>770.62132970723144</v>
      </c>
      <c r="CG11" s="3553">
        <f t="shared" si="1"/>
        <v>146.55429059272888</v>
      </c>
      <c r="CH11" s="3553">
        <f t="shared" si="1"/>
        <v>132.71873812141459</v>
      </c>
      <c r="CI11" s="3553">
        <f t="shared" si="1"/>
        <v>220.36695222322948</v>
      </c>
      <c r="CJ11" s="3553">
        <f t="shared" si="1"/>
        <v>19.068991185280094</v>
      </c>
      <c r="CK11" s="3553">
        <f t="shared" si="1"/>
        <v>394.54769138640609</v>
      </c>
      <c r="CL11" s="3553">
        <f t="shared" si="1"/>
        <v>0</v>
      </c>
      <c r="CM11" s="3553">
        <f t="shared" si="1"/>
        <v>347.06140168463719</v>
      </c>
      <c r="CN11" s="3553">
        <f t="shared" si="1"/>
        <v>20.48358981371787</v>
      </c>
      <c r="CO11" s="3553">
        <f t="shared" si="1"/>
        <v>2222.1947140466632</v>
      </c>
      <c r="CP11" s="3553">
        <f t="shared" si="1"/>
        <v>0</v>
      </c>
      <c r="CQ11" s="3553">
        <f t="shared" si="1"/>
        <v>180.15388907439578</v>
      </c>
      <c r="CR11" s="3553">
        <f t="shared" si="1"/>
        <v>178.84877058420776</v>
      </c>
      <c r="CS11" s="3553">
        <f t="shared" si="1"/>
        <v>11.059654755428738</v>
      </c>
      <c r="CT11" s="3553">
        <f t="shared" si="1"/>
        <v>247.14709051444382</v>
      </c>
      <c r="CU11" s="3553">
        <f t="shared" si="1"/>
        <v>0</v>
      </c>
      <c r="CV11" s="3553">
        <f t="shared" si="1"/>
        <v>0</v>
      </c>
      <c r="CW11" s="1786">
        <f t="shared" ref="CW11:DD11" si="2">(CW17*CW18)</f>
        <v>24.456566409676508</v>
      </c>
      <c r="CX11" s="1786">
        <f t="shared" si="2"/>
        <v>27.054558900906169</v>
      </c>
      <c r="CY11" s="3554">
        <f t="shared" si="2"/>
        <v>34.651904284186038</v>
      </c>
      <c r="CZ11" s="1786">
        <f t="shared" si="2"/>
        <v>37.561771116614047</v>
      </c>
      <c r="DA11" s="1786">
        <f t="shared" si="2"/>
        <v>91.502347126647152</v>
      </c>
      <c r="DB11" s="1786">
        <f t="shared" si="2"/>
        <v>40.687717169271863</v>
      </c>
      <c r="DC11" s="3302">
        <f t="shared" si="2"/>
        <v>492.48834972359776</v>
      </c>
      <c r="DD11" s="3554">
        <f t="shared" si="2"/>
        <v>17.677556019984003</v>
      </c>
      <c r="DE11" s="3302">
        <f>(DE17*DE18)</f>
        <v>133.23558900869702</v>
      </c>
      <c r="DG11" s="1791">
        <f>SUM(BE11:DE11)</f>
        <v>23688.716653929616</v>
      </c>
    </row>
    <row r="12" spans="1:112" ht="18.75" customHeight="1" x14ac:dyDescent="0.3">
      <c r="A12" s="447"/>
      <c r="B12" s="453" t="s">
        <v>307</v>
      </c>
      <c r="C12" s="3526">
        <f>C27*C28</f>
        <v>16.040915671572897</v>
      </c>
      <c r="D12" s="3526">
        <f t="shared" ref="D12:AZ12" si="3">D27*D28</f>
        <v>37.200253706075145</v>
      </c>
      <c r="E12" s="3526">
        <f t="shared" si="3"/>
        <v>45.118034585275865</v>
      </c>
      <c r="F12" s="3526">
        <f t="shared" si="3"/>
        <v>16.519143405247526</v>
      </c>
      <c r="G12" s="3526">
        <f t="shared" si="3"/>
        <v>122.52470893734439</v>
      </c>
      <c r="H12" s="3526">
        <f t="shared" si="3"/>
        <v>0</v>
      </c>
      <c r="I12" s="3526">
        <f t="shared" si="3"/>
        <v>284.60100259402088</v>
      </c>
      <c r="J12" s="3526">
        <f t="shared" si="3"/>
        <v>33.927222370512638</v>
      </c>
      <c r="K12" s="3526">
        <f t="shared" si="3"/>
        <v>4.8963415792907892</v>
      </c>
      <c r="L12" s="3526">
        <f t="shared" si="3"/>
        <v>1.2126024173853363</v>
      </c>
      <c r="M12" s="3526">
        <f t="shared" si="3"/>
        <v>14.808447703220926</v>
      </c>
      <c r="N12" s="3526">
        <f t="shared" si="3"/>
        <v>65.601561120997943</v>
      </c>
      <c r="O12" s="3526">
        <f t="shared" si="3"/>
        <v>0</v>
      </c>
      <c r="P12" s="3526">
        <f t="shared" si="3"/>
        <v>8.0527824172726188</v>
      </c>
      <c r="Q12" s="3526">
        <f t="shared" si="3"/>
        <v>0</v>
      </c>
      <c r="R12" s="3526">
        <f t="shared" si="3"/>
        <v>16.599562523900513</v>
      </c>
      <c r="S12" s="3526">
        <f t="shared" si="3"/>
        <v>0</v>
      </c>
      <c r="T12" s="3526">
        <f t="shared" si="3"/>
        <v>80.052964779099867</v>
      </c>
      <c r="U12" s="3526">
        <f t="shared" si="3"/>
        <v>0.80763607976106688</v>
      </c>
      <c r="V12" s="3526">
        <f t="shared" si="3"/>
        <v>90.765051664499481</v>
      </c>
      <c r="W12" s="3526">
        <f t="shared" si="3"/>
        <v>0</v>
      </c>
      <c r="X12" s="3526">
        <f t="shared" si="3"/>
        <v>27.667200667352304</v>
      </c>
      <c r="Y12" s="3526">
        <f t="shared" si="3"/>
        <v>52.772778727978078</v>
      </c>
      <c r="Z12" s="3526">
        <f t="shared" si="3"/>
        <v>2.4098941981875246</v>
      </c>
      <c r="AA12" s="3526">
        <f t="shared" si="3"/>
        <v>15.689574838581102</v>
      </c>
      <c r="AB12" s="3526">
        <f t="shared" si="3"/>
        <v>14.425299022727641</v>
      </c>
      <c r="AC12" s="3526">
        <f t="shared" si="3"/>
        <v>18.369701772461195</v>
      </c>
      <c r="AD12" s="3526">
        <f t="shared" si="3"/>
        <v>40.952699349647482</v>
      </c>
      <c r="AE12" s="3526">
        <f t="shared" si="3"/>
        <v>7.7882528937072779</v>
      </c>
      <c r="AF12" s="3526">
        <f t="shared" si="3"/>
        <v>7.0529978483930433</v>
      </c>
      <c r="AG12" s="3526">
        <f t="shared" si="3"/>
        <v>11.710837986309841</v>
      </c>
      <c r="AH12" s="3526">
        <f t="shared" si="3"/>
        <v>1.0133727588471206</v>
      </c>
      <c r="AI12" s="3526">
        <f t="shared" si="3"/>
        <v>20.967227821975197</v>
      </c>
      <c r="AJ12" s="3526">
        <f t="shared" si="3"/>
        <v>0</v>
      </c>
      <c r="AK12" s="3526">
        <f t="shared" si="3"/>
        <v>18.443690423749256</v>
      </c>
      <c r="AL12" s="3526">
        <f t="shared" si="3"/>
        <v>1.0885479844703783</v>
      </c>
      <c r="AM12" s="3526">
        <f t="shared" si="3"/>
        <v>118.09285379539484</v>
      </c>
      <c r="AN12" s="3526">
        <f t="shared" si="3"/>
        <v>0</v>
      </c>
      <c r="AO12" s="3526">
        <f t="shared" si="3"/>
        <v>9.5738176086254754</v>
      </c>
      <c r="AP12" s="3526">
        <f t="shared" si="3"/>
        <v>9.5044604249038152</v>
      </c>
      <c r="AQ12" s="3526">
        <f t="shared" si="3"/>
        <v>0.58773706183560093</v>
      </c>
      <c r="AR12" s="3526">
        <f t="shared" si="3"/>
        <v>13.133999933304924</v>
      </c>
      <c r="AS12" s="3526">
        <f t="shared" si="3"/>
        <v>0</v>
      </c>
      <c r="AT12" s="3526">
        <f t="shared" si="3"/>
        <v>0</v>
      </c>
      <c r="AU12" s="3526">
        <f t="shared" si="3"/>
        <v>1.2996816629519916</v>
      </c>
      <c r="AV12" s="3526">
        <f t="shared" si="3"/>
        <v>1.4377453283405304</v>
      </c>
      <c r="AW12" s="3526">
        <f t="shared" si="3"/>
        <v>1.841486815038148</v>
      </c>
      <c r="AX12" s="3526">
        <f t="shared" si="3"/>
        <v>1.9961242445279448</v>
      </c>
      <c r="AY12" s="3526">
        <f t="shared" si="3"/>
        <v>4.8626581788078642</v>
      </c>
      <c r="AZ12" s="3526">
        <f t="shared" si="3"/>
        <v>2.1622446514551026</v>
      </c>
      <c r="BA12" s="455"/>
      <c r="BB12" s="456">
        <f>SUM(C12:AZ12)</f>
        <v>1243.5731175550516</v>
      </c>
      <c r="BD12" s="1367" t="s">
        <v>307</v>
      </c>
      <c r="BE12" s="3526">
        <f t="shared" ref="BE12:CV12" si="4">BE27*BE28</f>
        <v>0</v>
      </c>
      <c r="BF12" s="3526">
        <f t="shared" si="4"/>
        <v>0</v>
      </c>
      <c r="BG12" s="3526">
        <f t="shared" si="4"/>
        <v>0</v>
      </c>
      <c r="BH12" s="3526">
        <f t="shared" si="4"/>
        <v>0</v>
      </c>
      <c r="BI12" s="3526">
        <f t="shared" si="4"/>
        <v>0</v>
      </c>
      <c r="BJ12" s="3526">
        <f t="shared" si="4"/>
        <v>0</v>
      </c>
      <c r="BK12" s="3526">
        <f t="shared" si="4"/>
        <v>0</v>
      </c>
      <c r="BL12" s="3526">
        <f t="shared" si="4"/>
        <v>0</v>
      </c>
      <c r="BM12" s="3526">
        <f t="shared" si="4"/>
        <v>0</v>
      </c>
      <c r="BN12" s="3526">
        <f t="shared" si="4"/>
        <v>0</v>
      </c>
      <c r="BO12" s="3526">
        <f t="shared" si="4"/>
        <v>0</v>
      </c>
      <c r="BP12" s="3526">
        <f t="shared" si="4"/>
        <v>0</v>
      </c>
      <c r="BQ12" s="3526">
        <f t="shared" si="4"/>
        <v>0</v>
      </c>
      <c r="BR12" s="3526">
        <f t="shared" si="4"/>
        <v>0</v>
      </c>
      <c r="BS12" s="3526">
        <f t="shared" si="4"/>
        <v>0</v>
      </c>
      <c r="BT12" s="3526">
        <f t="shared" si="4"/>
        <v>0</v>
      </c>
      <c r="BU12" s="3526">
        <f t="shared" si="4"/>
        <v>0</v>
      </c>
      <c r="BV12" s="3526">
        <f t="shared" si="4"/>
        <v>0</v>
      </c>
      <c r="BW12" s="3526">
        <f t="shared" si="4"/>
        <v>0</v>
      </c>
      <c r="BX12" s="3526">
        <f t="shared" si="4"/>
        <v>0</v>
      </c>
      <c r="BY12" s="3526">
        <f t="shared" si="4"/>
        <v>0</v>
      </c>
      <c r="BZ12" s="3526">
        <f t="shared" si="4"/>
        <v>0</v>
      </c>
      <c r="CA12" s="3526">
        <f t="shared" si="4"/>
        <v>0</v>
      </c>
      <c r="CB12" s="3526">
        <f t="shared" si="4"/>
        <v>0</v>
      </c>
      <c r="CC12" s="3526">
        <f t="shared" si="4"/>
        <v>0</v>
      </c>
      <c r="CD12" s="3526">
        <f t="shared" si="4"/>
        <v>0</v>
      </c>
      <c r="CE12" s="3526">
        <f t="shared" si="4"/>
        <v>0</v>
      </c>
      <c r="CF12" s="3526">
        <f t="shared" si="4"/>
        <v>0</v>
      </c>
      <c r="CG12" s="3526">
        <f t="shared" si="4"/>
        <v>0</v>
      </c>
      <c r="CH12" s="3526">
        <f t="shared" si="4"/>
        <v>0</v>
      </c>
      <c r="CI12" s="3526">
        <f t="shared" si="4"/>
        <v>0</v>
      </c>
      <c r="CJ12" s="3526">
        <f t="shared" si="4"/>
        <v>0</v>
      </c>
      <c r="CK12" s="3526">
        <f t="shared" si="4"/>
        <v>0</v>
      </c>
      <c r="CL12" s="3526">
        <f t="shared" si="4"/>
        <v>0</v>
      </c>
      <c r="CM12" s="3526">
        <f t="shared" si="4"/>
        <v>0</v>
      </c>
      <c r="CN12" s="3526">
        <f t="shared" si="4"/>
        <v>0</v>
      </c>
      <c r="CO12" s="3526">
        <f t="shared" si="4"/>
        <v>0</v>
      </c>
      <c r="CP12" s="3526">
        <f t="shared" si="4"/>
        <v>0</v>
      </c>
      <c r="CQ12" s="3526">
        <f t="shared" si="4"/>
        <v>0</v>
      </c>
      <c r="CR12" s="3526">
        <f t="shared" si="4"/>
        <v>0</v>
      </c>
      <c r="CS12" s="3526">
        <f t="shared" si="4"/>
        <v>0</v>
      </c>
      <c r="CT12" s="3526">
        <f t="shared" si="4"/>
        <v>0</v>
      </c>
      <c r="CU12" s="3526">
        <f t="shared" si="4"/>
        <v>0</v>
      </c>
      <c r="CV12" s="3526">
        <f t="shared" si="4"/>
        <v>0</v>
      </c>
      <c r="CW12" s="1794">
        <f t="shared" ref="CW12:DE12" si="5">(CW27*CW28)</f>
        <v>0</v>
      </c>
      <c r="CX12" s="1794">
        <f t="shared" si="5"/>
        <v>0</v>
      </c>
      <c r="CY12" s="3555">
        <f t="shared" si="5"/>
        <v>0</v>
      </c>
      <c r="CZ12" s="1794">
        <f t="shared" si="5"/>
        <v>0</v>
      </c>
      <c r="DA12" s="1794">
        <f t="shared" si="5"/>
        <v>0</v>
      </c>
      <c r="DB12" s="1794">
        <f t="shared" si="5"/>
        <v>0</v>
      </c>
      <c r="DC12" s="3304">
        <f t="shared" si="5"/>
        <v>0</v>
      </c>
      <c r="DD12" s="3304">
        <f t="shared" si="5"/>
        <v>0</v>
      </c>
      <c r="DE12" s="3555">
        <f t="shared" si="5"/>
        <v>0</v>
      </c>
      <c r="DG12" s="1797">
        <f>SUM(BE12:DE12)</f>
        <v>0</v>
      </c>
    </row>
    <row r="13" spans="1:112" ht="18.75" customHeight="1" x14ac:dyDescent="0.3">
      <c r="A13" s="447"/>
      <c r="B13" s="448" t="s">
        <v>308</v>
      </c>
      <c r="C13" s="3556" t="s">
        <v>8</v>
      </c>
      <c r="D13" s="3556" t="s">
        <v>8</v>
      </c>
      <c r="E13" s="3556" t="s">
        <v>8</v>
      </c>
      <c r="F13" s="3556" t="s">
        <v>8</v>
      </c>
      <c r="G13" s="3556" t="s">
        <v>8</v>
      </c>
      <c r="H13" s="3556" t="s">
        <v>8</v>
      </c>
      <c r="I13" s="3556" t="s">
        <v>8</v>
      </c>
      <c r="J13" s="3556" t="s">
        <v>8</v>
      </c>
      <c r="K13" s="3556" t="s">
        <v>8</v>
      </c>
      <c r="L13" s="3556" t="s">
        <v>8</v>
      </c>
      <c r="M13" s="3556" t="s">
        <v>8</v>
      </c>
      <c r="N13" s="3556" t="s">
        <v>8</v>
      </c>
      <c r="O13" s="3556" t="s">
        <v>8</v>
      </c>
      <c r="P13" s="3556" t="s">
        <v>8</v>
      </c>
      <c r="Q13" s="3556" t="s">
        <v>8</v>
      </c>
      <c r="R13" s="3556" t="s">
        <v>8</v>
      </c>
      <c r="S13" s="3556" t="s">
        <v>8</v>
      </c>
      <c r="T13" s="3556" t="s">
        <v>8</v>
      </c>
      <c r="U13" s="3556" t="s">
        <v>8</v>
      </c>
      <c r="V13" s="3556" t="s">
        <v>8</v>
      </c>
      <c r="W13" s="3556" t="s">
        <v>8</v>
      </c>
      <c r="X13" s="3556" t="s">
        <v>8</v>
      </c>
      <c r="Y13" s="3556" t="s">
        <v>8</v>
      </c>
      <c r="Z13" s="3556" t="s">
        <v>8</v>
      </c>
      <c r="AA13" s="3556" t="s">
        <v>8</v>
      </c>
      <c r="AB13" s="3556" t="s">
        <v>8</v>
      </c>
      <c r="AC13" s="3556" t="s">
        <v>8</v>
      </c>
      <c r="AD13" s="3556" t="s">
        <v>8</v>
      </c>
      <c r="AE13" s="3556" t="s">
        <v>8</v>
      </c>
      <c r="AF13" s="3556" t="s">
        <v>8</v>
      </c>
      <c r="AG13" s="3556" t="s">
        <v>8</v>
      </c>
      <c r="AH13" s="3556" t="s">
        <v>8</v>
      </c>
      <c r="AI13" s="3556" t="s">
        <v>8</v>
      </c>
      <c r="AJ13" s="3556" t="s">
        <v>8</v>
      </c>
      <c r="AK13" s="3556" t="s">
        <v>8</v>
      </c>
      <c r="AL13" s="3556" t="s">
        <v>8</v>
      </c>
      <c r="AM13" s="3556" t="s">
        <v>8</v>
      </c>
      <c r="AN13" s="3556" t="s">
        <v>8</v>
      </c>
      <c r="AO13" s="3556" t="s">
        <v>8</v>
      </c>
      <c r="AP13" s="3556" t="s">
        <v>8</v>
      </c>
      <c r="AQ13" s="3556" t="s">
        <v>8</v>
      </c>
      <c r="AR13" s="3556" t="s">
        <v>8</v>
      </c>
      <c r="AS13" s="3556" t="s">
        <v>8</v>
      </c>
      <c r="AT13" s="3556" t="s">
        <v>8</v>
      </c>
      <c r="AU13" s="3556" t="s">
        <v>8</v>
      </c>
      <c r="AV13" s="3556" t="s">
        <v>8</v>
      </c>
      <c r="AW13" s="3556" t="s">
        <v>8</v>
      </c>
      <c r="AX13" s="3556" t="s">
        <v>8</v>
      </c>
      <c r="AY13" s="3556" t="s">
        <v>8</v>
      </c>
      <c r="AZ13" s="3556" t="s">
        <v>8</v>
      </c>
      <c r="BA13" s="459"/>
      <c r="BB13" s="3556" t="s">
        <v>8</v>
      </c>
      <c r="BD13" s="1783" t="s">
        <v>308</v>
      </c>
      <c r="BE13" s="3556" t="s">
        <v>8</v>
      </c>
      <c r="BF13" s="3557" t="s">
        <v>8</v>
      </c>
      <c r="BG13" s="3558" t="s">
        <v>8</v>
      </c>
      <c r="BH13" s="3559" t="s">
        <v>8</v>
      </c>
      <c r="BI13" s="3557" t="s">
        <v>8</v>
      </c>
      <c r="BJ13" s="3558" t="s">
        <v>8</v>
      </c>
      <c r="BK13" s="3559" t="s">
        <v>8</v>
      </c>
      <c r="BL13" s="3557" t="s">
        <v>8</v>
      </c>
      <c r="BM13" s="3557" t="s">
        <v>8</v>
      </c>
      <c r="BN13" s="3559" t="s">
        <v>8</v>
      </c>
      <c r="BO13" s="3557" t="s">
        <v>8</v>
      </c>
      <c r="BP13" s="3557" t="s">
        <v>8</v>
      </c>
      <c r="BQ13" s="3558" t="s">
        <v>8</v>
      </c>
      <c r="BR13" s="3560" t="s">
        <v>8</v>
      </c>
      <c r="BS13" s="3560" t="s">
        <v>8</v>
      </c>
      <c r="BT13" s="3560" t="s">
        <v>8</v>
      </c>
      <c r="BU13" s="3560" t="s">
        <v>8</v>
      </c>
      <c r="BV13" s="3560" t="s">
        <v>8</v>
      </c>
      <c r="BW13" s="3560" t="s">
        <v>8</v>
      </c>
      <c r="BX13" s="3560" t="s">
        <v>8</v>
      </c>
      <c r="BY13" s="3560" t="s">
        <v>8</v>
      </c>
      <c r="BZ13" s="3560" t="s">
        <v>8</v>
      </c>
      <c r="CA13" s="3560" t="s">
        <v>8</v>
      </c>
      <c r="CB13" s="3560" t="s">
        <v>8</v>
      </c>
      <c r="CC13" s="3560" t="s">
        <v>8</v>
      </c>
      <c r="CD13" s="3560" t="s">
        <v>8</v>
      </c>
      <c r="CE13" s="3560" t="s">
        <v>8</v>
      </c>
      <c r="CF13" s="3560" t="s">
        <v>8</v>
      </c>
      <c r="CG13" s="3560" t="s">
        <v>8</v>
      </c>
      <c r="CH13" s="3560" t="s">
        <v>8</v>
      </c>
      <c r="CI13" s="3560" t="s">
        <v>8</v>
      </c>
      <c r="CJ13" s="3560" t="s">
        <v>8</v>
      </c>
      <c r="CK13" s="3560" t="s">
        <v>8</v>
      </c>
      <c r="CL13" s="3560" t="s">
        <v>8</v>
      </c>
      <c r="CM13" s="3560" t="s">
        <v>8</v>
      </c>
      <c r="CN13" s="3560" t="s">
        <v>8</v>
      </c>
      <c r="CO13" s="3560" t="s">
        <v>8</v>
      </c>
      <c r="CP13" s="3560" t="s">
        <v>8</v>
      </c>
      <c r="CQ13" s="3560" t="s">
        <v>8</v>
      </c>
      <c r="CR13" s="3560" t="s">
        <v>8</v>
      </c>
      <c r="CS13" s="3560" t="s">
        <v>8</v>
      </c>
      <c r="CT13" s="3560" t="s">
        <v>8</v>
      </c>
      <c r="CU13" s="3560" t="s">
        <v>8</v>
      </c>
      <c r="CV13" s="3560" t="s">
        <v>8</v>
      </c>
      <c r="CW13" s="1799" t="s">
        <v>8</v>
      </c>
      <c r="CX13" s="1799" t="s">
        <v>8</v>
      </c>
      <c r="CY13" s="3561" t="s">
        <v>8</v>
      </c>
      <c r="CZ13" s="1799" t="s">
        <v>8</v>
      </c>
      <c r="DA13" s="1799" t="s">
        <v>8</v>
      </c>
      <c r="DB13" s="1799" t="s">
        <v>8</v>
      </c>
      <c r="DC13" s="1800" t="s">
        <v>8</v>
      </c>
      <c r="DD13" s="1799" t="s">
        <v>8</v>
      </c>
      <c r="DE13" s="3561" t="s">
        <v>8</v>
      </c>
      <c r="DG13" s="3562" t="s">
        <v>8</v>
      </c>
      <c r="DH13" s="3563"/>
    </row>
    <row r="14" spans="1:112" ht="18.75" customHeight="1" x14ac:dyDescent="0.3">
      <c r="A14" s="447"/>
      <c r="B14" s="462" t="s">
        <v>309</v>
      </c>
      <c r="C14" s="3564">
        <f t="shared" ref="C14:AZ14" si="6">C11-C12</f>
        <v>270.85314260805211</v>
      </c>
      <c r="D14" s="3564">
        <f t="shared" si="6"/>
        <v>628.13157480549899</v>
      </c>
      <c r="E14" s="3564">
        <f t="shared" si="6"/>
        <v>761.82443109386907</v>
      </c>
      <c r="F14" s="3564">
        <f t="shared" si="6"/>
        <v>278.92808590930321</v>
      </c>
      <c r="G14" s="3564">
        <f t="shared" si="6"/>
        <v>2068.8471370514058</v>
      </c>
      <c r="H14" s="3564">
        <f t="shared" si="6"/>
        <v>0</v>
      </c>
      <c r="I14" s="3564">
        <f t="shared" si="6"/>
        <v>4805.5284074961019</v>
      </c>
      <c r="J14" s="3564">
        <f t="shared" si="6"/>
        <v>572.86597518248152</v>
      </c>
      <c r="K14" s="3564">
        <f t="shared" si="6"/>
        <v>82.675423971189261</v>
      </c>
      <c r="L14" s="3564">
        <f t="shared" si="6"/>
        <v>20.474964285547809</v>
      </c>
      <c r="M14" s="3564">
        <f t="shared" si="6"/>
        <v>250.04274566896262</v>
      </c>
      <c r="N14" s="3564">
        <f t="shared" si="6"/>
        <v>1107.6916900139915</v>
      </c>
      <c r="O14" s="3564">
        <f t="shared" si="6"/>
        <v>0</v>
      </c>
      <c r="P14" s="3564">
        <f t="shared" si="6"/>
        <v>135.9723764599334</v>
      </c>
      <c r="Q14" s="3564">
        <f t="shared" si="6"/>
        <v>0</v>
      </c>
      <c r="R14" s="3564">
        <f t="shared" si="6"/>
        <v>280.28597416574058</v>
      </c>
      <c r="S14" s="3564">
        <f t="shared" si="6"/>
        <v>0</v>
      </c>
      <c r="T14" s="3564">
        <f t="shared" si="6"/>
        <v>1351.7056961988762</v>
      </c>
      <c r="U14" s="3564">
        <f t="shared" si="6"/>
        <v>13.637050076548574</v>
      </c>
      <c r="V14" s="3564">
        <f t="shared" si="6"/>
        <v>1532.5808068350318</v>
      </c>
      <c r="W14" s="3564">
        <f t="shared" si="6"/>
        <v>0</v>
      </c>
      <c r="X14" s="3564">
        <f t="shared" si="6"/>
        <v>467.16461836403175</v>
      </c>
      <c r="Y14" s="3564">
        <f t="shared" si="6"/>
        <v>891.0758746748437</v>
      </c>
      <c r="Z14" s="3564">
        <f t="shared" si="6"/>
        <v>40.691406294762949</v>
      </c>
      <c r="AA14" s="3564">
        <f t="shared" si="6"/>
        <v>264.92070267190803</v>
      </c>
      <c r="AB14" s="3564">
        <f t="shared" si="6"/>
        <v>243.57322570373748</v>
      </c>
      <c r="AC14" s="3564">
        <f t="shared" si="6"/>
        <v>310.17502714394271</v>
      </c>
      <c r="AD14" s="3564">
        <f t="shared" si="6"/>
        <v>691.49215320618327</v>
      </c>
      <c r="AE14" s="3564">
        <f t="shared" si="6"/>
        <v>131.50575783059566</v>
      </c>
      <c r="AF14" s="3564">
        <f t="shared" si="6"/>
        <v>119.09087181540978</v>
      </c>
      <c r="AG14" s="3564">
        <f t="shared" si="6"/>
        <v>197.73916502702679</v>
      </c>
      <c r="AH14" s="3564">
        <f t="shared" si="6"/>
        <v>17.110943164768884</v>
      </c>
      <c r="AI14" s="3564">
        <f t="shared" si="6"/>
        <v>354.03462393516264</v>
      </c>
      <c r="AJ14" s="3564">
        <f t="shared" si="6"/>
        <v>0</v>
      </c>
      <c r="AK14" s="3564">
        <f t="shared" si="6"/>
        <v>311.42433604432034</v>
      </c>
      <c r="AL14" s="3564">
        <f t="shared" si="6"/>
        <v>18.380287541562318</v>
      </c>
      <c r="AM14" s="3564">
        <f t="shared" si="6"/>
        <v>1994.014632638459</v>
      </c>
      <c r="AN14" s="3564">
        <f t="shared" si="6"/>
        <v>0</v>
      </c>
      <c r="AO14" s="3564">
        <f t="shared" si="6"/>
        <v>161.65527200220299</v>
      </c>
      <c r="AP14" s="3564">
        <f t="shared" si="6"/>
        <v>160.48416609041595</v>
      </c>
      <c r="AQ14" s="3564">
        <f t="shared" si="6"/>
        <v>9.9240238827205385</v>
      </c>
      <c r="AR14" s="3564">
        <f t="shared" si="6"/>
        <v>221.76945691783973</v>
      </c>
      <c r="AS14" s="3564">
        <f t="shared" si="6"/>
        <v>0</v>
      </c>
      <c r="AT14" s="3564">
        <f t="shared" si="6"/>
        <v>0</v>
      </c>
      <c r="AU14" s="3564">
        <f t="shared" si="6"/>
        <v>21.945309732189898</v>
      </c>
      <c r="AV14" s="3564">
        <f t="shared" si="6"/>
        <v>24.276534359019788</v>
      </c>
      <c r="AW14" s="3564">
        <f t="shared" si="6"/>
        <v>31.093766785912411</v>
      </c>
      <c r="AX14" s="3564">
        <f t="shared" si="6"/>
        <v>33.704841776872421</v>
      </c>
      <c r="AY14" s="3564">
        <f t="shared" si="6"/>
        <v>82.10667496325739</v>
      </c>
      <c r="AZ14" s="3564">
        <f t="shared" si="6"/>
        <v>36.50980847508194</v>
      </c>
      <c r="BA14" s="455"/>
      <c r="BB14" s="464">
        <f>SUM(C14:AZ14)</f>
        <v>20997.908962864763</v>
      </c>
      <c r="BD14" s="1412" t="s">
        <v>309</v>
      </c>
      <c r="BE14" s="3564">
        <f t="shared" ref="BE14:DD14" si="7">BE11-BE12</f>
        <v>301.8475451156184</v>
      </c>
      <c r="BF14" s="3564">
        <f t="shared" si="7"/>
        <v>700.01024185646907</v>
      </c>
      <c r="BG14" s="3564">
        <f t="shared" si="7"/>
        <v>849.00190605339014</v>
      </c>
      <c r="BH14" s="3564">
        <f t="shared" si="7"/>
        <v>310.84652437412223</v>
      </c>
      <c r="BI14" s="3564">
        <f t="shared" si="7"/>
        <v>2305.5904890943557</v>
      </c>
      <c r="BJ14" s="3564">
        <f t="shared" si="7"/>
        <v>0</v>
      </c>
      <c r="BK14" s="3565">
        <f t="shared" si="7"/>
        <v>5000</v>
      </c>
      <c r="BL14" s="3564">
        <f t="shared" si="7"/>
        <v>638.42046145030099</v>
      </c>
      <c r="BM14" s="3564">
        <f t="shared" si="7"/>
        <v>92.136179505987897</v>
      </c>
      <c r="BN14" s="3564">
        <f t="shared" si="7"/>
        <v>22.817965656267173</v>
      </c>
      <c r="BO14" s="3564">
        <f t="shared" si="7"/>
        <v>278.65576240835367</v>
      </c>
      <c r="BP14" s="3564">
        <f t="shared" si="7"/>
        <v>1234.4476204196494</v>
      </c>
      <c r="BQ14" s="3564">
        <f t="shared" si="7"/>
        <v>0</v>
      </c>
      <c r="BR14" s="3564">
        <f t="shared" si="7"/>
        <v>151.53203556275608</v>
      </c>
      <c r="BS14" s="3564">
        <f t="shared" si="7"/>
        <v>0</v>
      </c>
      <c r="BT14" s="3564">
        <f t="shared" si="7"/>
        <v>312.3597991797983</v>
      </c>
      <c r="BU14" s="3564">
        <f t="shared" si="7"/>
        <v>0</v>
      </c>
      <c r="BV14" s="3564">
        <f t="shared" si="7"/>
        <v>1506.3847596069913</v>
      </c>
      <c r="BW14" s="3564">
        <f t="shared" si="7"/>
        <v>15.197571822829463</v>
      </c>
      <c r="BX14" s="3564">
        <f t="shared" si="7"/>
        <v>1707.9578615186997</v>
      </c>
      <c r="BY14" s="3564">
        <f t="shared" si="7"/>
        <v>0</v>
      </c>
      <c r="BZ14" s="3564">
        <f t="shared" si="7"/>
        <v>520.6234340138891</v>
      </c>
      <c r="CA14" s="3564">
        <f t="shared" si="7"/>
        <v>993.04391557891381</v>
      </c>
      <c r="CB14" s="3564">
        <f t="shared" si="7"/>
        <v>45.347825685561276</v>
      </c>
      <c r="CC14" s="3564">
        <f t="shared" si="7"/>
        <v>295.23624124065384</v>
      </c>
      <c r="CD14" s="3564">
        <f t="shared" si="7"/>
        <v>271.44591909335259</v>
      </c>
      <c r="CE14" s="3564">
        <f t="shared" si="7"/>
        <v>345.66913124228984</v>
      </c>
      <c r="CF14" s="3564">
        <f t="shared" si="7"/>
        <v>770.62132970723144</v>
      </c>
      <c r="CG14" s="3564">
        <f t="shared" si="7"/>
        <v>146.55429059272888</v>
      </c>
      <c r="CH14" s="3564">
        <f t="shared" si="7"/>
        <v>132.71873812141459</v>
      </c>
      <c r="CI14" s="3564">
        <f t="shared" si="7"/>
        <v>220.36695222322948</v>
      </c>
      <c r="CJ14" s="3564">
        <f t="shared" si="7"/>
        <v>19.068991185280094</v>
      </c>
      <c r="CK14" s="3564">
        <f t="shared" si="7"/>
        <v>394.54769138640609</v>
      </c>
      <c r="CL14" s="3564">
        <f t="shared" si="7"/>
        <v>0</v>
      </c>
      <c r="CM14" s="3564">
        <f t="shared" si="7"/>
        <v>347.06140168463719</v>
      </c>
      <c r="CN14" s="3564">
        <f t="shared" si="7"/>
        <v>20.48358981371787</v>
      </c>
      <c r="CO14" s="3564">
        <f t="shared" si="7"/>
        <v>2222.1947140466632</v>
      </c>
      <c r="CP14" s="3564">
        <f t="shared" si="7"/>
        <v>0</v>
      </c>
      <c r="CQ14" s="3564">
        <f t="shared" si="7"/>
        <v>180.15388907439578</v>
      </c>
      <c r="CR14" s="3564">
        <f t="shared" si="7"/>
        <v>178.84877058420776</v>
      </c>
      <c r="CS14" s="3564">
        <f t="shared" si="7"/>
        <v>11.059654755428738</v>
      </c>
      <c r="CT14" s="3564">
        <f t="shared" si="7"/>
        <v>247.14709051444382</v>
      </c>
      <c r="CU14" s="3564">
        <f t="shared" si="7"/>
        <v>0</v>
      </c>
      <c r="CV14" s="3564">
        <f t="shared" si="7"/>
        <v>0</v>
      </c>
      <c r="CW14" s="3311">
        <f t="shared" si="7"/>
        <v>24.456566409676508</v>
      </c>
      <c r="CX14" s="3311">
        <f t="shared" si="7"/>
        <v>27.054558900906169</v>
      </c>
      <c r="CY14" s="3566">
        <f t="shared" si="7"/>
        <v>34.651904284186038</v>
      </c>
      <c r="CZ14" s="3311">
        <f t="shared" si="7"/>
        <v>37.561771116614047</v>
      </c>
      <c r="DA14" s="3311">
        <f t="shared" si="7"/>
        <v>91.502347126647152</v>
      </c>
      <c r="DB14" s="3311">
        <f t="shared" si="7"/>
        <v>40.687717169271863</v>
      </c>
      <c r="DC14" s="1805">
        <f t="shared" si="7"/>
        <v>492.48834972359776</v>
      </c>
      <c r="DD14" s="1805">
        <f t="shared" si="7"/>
        <v>17.677556019984003</v>
      </c>
      <c r="DE14" s="3566">
        <f>DE11-DE12</f>
        <v>133.23558900869702</v>
      </c>
      <c r="DG14" s="1810">
        <f>SUM(BE14:DE14)</f>
        <v>23688.716653929616</v>
      </c>
    </row>
    <row r="15" spans="1:112" ht="19.5" customHeight="1" x14ac:dyDescent="0.4">
      <c r="A15" s="428"/>
      <c r="B15" s="465" t="s">
        <v>310</v>
      </c>
      <c r="C15" s="3567"/>
      <c r="D15" s="3568"/>
      <c r="E15" s="3569"/>
      <c r="F15" s="3569"/>
      <c r="G15" s="3570"/>
      <c r="H15" s="3570"/>
      <c r="I15" s="3570"/>
      <c r="J15" s="3570"/>
      <c r="K15" s="3570"/>
      <c r="L15" s="3571"/>
      <c r="M15" s="3570"/>
      <c r="N15" s="3570"/>
      <c r="O15" s="3570"/>
      <c r="P15" s="3570"/>
      <c r="Q15" s="3570"/>
      <c r="R15" s="3570"/>
      <c r="S15" s="3570"/>
      <c r="T15" s="3570"/>
      <c r="U15" s="3570"/>
      <c r="V15" s="3572"/>
      <c r="W15" s="3570"/>
      <c r="X15" s="3570"/>
      <c r="Y15" s="3570"/>
      <c r="Z15" s="3570"/>
      <c r="AA15" s="3570"/>
      <c r="AB15" s="3570"/>
      <c r="AC15" s="3570"/>
      <c r="AD15" s="3570"/>
      <c r="AE15" s="3570"/>
      <c r="AF15" s="3570"/>
      <c r="AG15" s="3570"/>
      <c r="AH15" s="3570"/>
      <c r="AI15" s="3570"/>
      <c r="AJ15" s="3570"/>
      <c r="AK15" s="3570"/>
      <c r="AL15" s="3570"/>
      <c r="AM15" s="3570"/>
      <c r="AN15" s="3570"/>
      <c r="AO15" s="3570"/>
      <c r="AP15" s="3570"/>
      <c r="AQ15" s="3570"/>
      <c r="AR15" s="3570"/>
      <c r="AS15" s="3570"/>
      <c r="AT15" s="3570"/>
      <c r="AU15" s="3573"/>
      <c r="AV15" s="3573"/>
      <c r="AW15" s="3573"/>
      <c r="AX15" s="3573"/>
      <c r="AY15" s="3574"/>
      <c r="AZ15" s="3567"/>
      <c r="BA15" s="2947"/>
      <c r="BB15" s="468"/>
      <c r="BD15" s="1811" t="s">
        <v>395</v>
      </c>
      <c r="BE15" s="3567"/>
      <c r="BF15" s="3568"/>
      <c r="BG15" s="3569"/>
      <c r="BH15" s="3569"/>
      <c r="BI15" s="3570"/>
      <c r="BJ15" s="3570"/>
      <c r="BK15" s="3570"/>
      <c r="BL15" s="3570"/>
      <c r="BM15" s="3569"/>
      <c r="BN15" s="3567"/>
      <c r="BO15" s="3570"/>
      <c r="BP15" s="3570"/>
      <c r="BQ15" s="3570"/>
      <c r="BR15" s="3570"/>
      <c r="BS15" s="3570"/>
      <c r="BT15" s="3570"/>
      <c r="BU15" s="3570"/>
      <c r="BV15" s="3570"/>
      <c r="BW15" s="3570"/>
      <c r="BX15" s="3570"/>
      <c r="BY15" s="3570"/>
      <c r="BZ15" s="3570"/>
      <c r="CA15" s="3570"/>
      <c r="CB15" s="3570"/>
      <c r="CC15" s="3570"/>
      <c r="CD15" s="3570"/>
      <c r="CE15" s="3570"/>
      <c r="CF15" s="3570"/>
      <c r="CG15" s="3570"/>
      <c r="CH15" s="3570"/>
      <c r="CI15" s="3570"/>
      <c r="CJ15" s="3570"/>
      <c r="CK15" s="3570"/>
      <c r="CL15" s="3570"/>
      <c r="CM15" s="3570"/>
      <c r="CN15" s="3570"/>
      <c r="CO15" s="3570"/>
      <c r="CP15" s="3570"/>
      <c r="CQ15" s="3570"/>
      <c r="CR15" s="3570"/>
      <c r="CS15" s="3570"/>
      <c r="CT15" s="3570"/>
      <c r="CU15" s="3570"/>
      <c r="CV15" s="3570"/>
      <c r="CW15" s="3314"/>
      <c r="CX15" s="3575"/>
      <c r="CY15" s="3576"/>
      <c r="CZ15" s="1813"/>
      <c r="DA15" s="3314"/>
      <c r="DB15" s="3314"/>
      <c r="DC15" s="1816"/>
      <c r="DD15" s="3576"/>
      <c r="DE15" s="3576"/>
      <c r="DG15" s="1819"/>
    </row>
    <row r="16" spans="1:112" ht="42" customHeight="1" x14ac:dyDescent="0.3">
      <c r="A16" s="447"/>
      <c r="B16" s="469" t="s">
        <v>311</v>
      </c>
      <c r="C16" s="3577" t="s">
        <v>1736</v>
      </c>
      <c r="D16" s="3577" t="s">
        <v>1736</v>
      </c>
      <c r="E16" s="3577" t="s">
        <v>1736</v>
      </c>
      <c r="F16" s="3577" t="s">
        <v>1736</v>
      </c>
      <c r="G16" s="3577" t="s">
        <v>1736</v>
      </c>
      <c r="H16" s="3577" t="s">
        <v>1736</v>
      </c>
      <c r="I16" s="3577" t="s">
        <v>1736</v>
      </c>
      <c r="J16" s="3577" t="s">
        <v>1736</v>
      </c>
      <c r="K16" s="3577" t="s">
        <v>1736</v>
      </c>
      <c r="L16" s="3577" t="s">
        <v>1736</v>
      </c>
      <c r="M16" s="3577" t="s">
        <v>1736</v>
      </c>
      <c r="N16" s="3577" t="s">
        <v>1736</v>
      </c>
      <c r="O16" s="3577" t="s">
        <v>1736</v>
      </c>
      <c r="P16" s="3577" t="s">
        <v>1736</v>
      </c>
      <c r="Q16" s="3577" t="s">
        <v>1736</v>
      </c>
      <c r="R16" s="3577" t="s">
        <v>1736</v>
      </c>
      <c r="S16" s="3577" t="s">
        <v>1736</v>
      </c>
      <c r="T16" s="3577" t="s">
        <v>1736</v>
      </c>
      <c r="U16" s="3577" t="s">
        <v>1736</v>
      </c>
      <c r="V16" s="3577" t="s">
        <v>1736</v>
      </c>
      <c r="W16" s="3577" t="s">
        <v>1736</v>
      </c>
      <c r="X16" s="3577" t="s">
        <v>1736</v>
      </c>
      <c r="Y16" s="3577" t="s">
        <v>1736</v>
      </c>
      <c r="Z16" s="3577" t="s">
        <v>1736</v>
      </c>
      <c r="AA16" s="3577" t="s">
        <v>1736</v>
      </c>
      <c r="AB16" s="3577" t="s">
        <v>1736</v>
      </c>
      <c r="AC16" s="3577" t="s">
        <v>1736</v>
      </c>
      <c r="AD16" s="3577" t="s">
        <v>1736</v>
      </c>
      <c r="AE16" s="3577" t="s">
        <v>1736</v>
      </c>
      <c r="AF16" s="3577" t="s">
        <v>1736</v>
      </c>
      <c r="AG16" s="3577" t="s">
        <v>1736</v>
      </c>
      <c r="AH16" s="3577" t="s">
        <v>1736</v>
      </c>
      <c r="AI16" s="3577" t="s">
        <v>1736</v>
      </c>
      <c r="AJ16" s="3577" t="s">
        <v>1736</v>
      </c>
      <c r="AK16" s="3577" t="s">
        <v>1736</v>
      </c>
      <c r="AL16" s="3577" t="s">
        <v>1736</v>
      </c>
      <c r="AM16" s="3577" t="s">
        <v>1736</v>
      </c>
      <c r="AN16" s="3577" t="s">
        <v>1736</v>
      </c>
      <c r="AO16" s="3577" t="s">
        <v>1736</v>
      </c>
      <c r="AP16" s="3577" t="s">
        <v>1736</v>
      </c>
      <c r="AQ16" s="3577" t="s">
        <v>1736</v>
      </c>
      <c r="AR16" s="3577" t="s">
        <v>1736</v>
      </c>
      <c r="AS16" s="3577" t="s">
        <v>1736</v>
      </c>
      <c r="AT16" s="3577" t="s">
        <v>1736</v>
      </c>
      <c r="AU16" s="3577" t="s">
        <v>1736</v>
      </c>
      <c r="AV16" s="3577" t="s">
        <v>1736</v>
      </c>
      <c r="AW16" s="3577" t="s">
        <v>1736</v>
      </c>
      <c r="AX16" s="3577" t="s">
        <v>1736</v>
      </c>
      <c r="AY16" s="3577" t="s">
        <v>1736</v>
      </c>
      <c r="AZ16" s="3577" t="s">
        <v>1736</v>
      </c>
      <c r="BA16" s="457"/>
      <c r="BB16" s="471"/>
      <c r="BD16" s="1820" t="s">
        <v>311</v>
      </c>
      <c r="BE16" s="3577" t="s">
        <v>1737</v>
      </c>
      <c r="BF16" s="3577" t="s">
        <v>1737</v>
      </c>
      <c r="BG16" s="3577" t="s">
        <v>1737</v>
      </c>
      <c r="BH16" s="3577" t="s">
        <v>1737</v>
      </c>
      <c r="BI16" s="3577" t="s">
        <v>1737</v>
      </c>
      <c r="BJ16" s="3577" t="s">
        <v>1737</v>
      </c>
      <c r="BK16" s="3577" t="s">
        <v>1737</v>
      </c>
      <c r="BL16" s="3577" t="s">
        <v>1737</v>
      </c>
      <c r="BM16" s="3577" t="s">
        <v>1737</v>
      </c>
      <c r="BN16" s="3577" t="s">
        <v>1737</v>
      </c>
      <c r="BO16" s="3577" t="s">
        <v>1737</v>
      </c>
      <c r="BP16" s="3577" t="s">
        <v>1737</v>
      </c>
      <c r="BQ16" s="3577" t="s">
        <v>1737</v>
      </c>
      <c r="BR16" s="3577" t="s">
        <v>1737</v>
      </c>
      <c r="BS16" s="3577" t="s">
        <v>1737</v>
      </c>
      <c r="BT16" s="3577" t="s">
        <v>1737</v>
      </c>
      <c r="BU16" s="3577" t="s">
        <v>1737</v>
      </c>
      <c r="BV16" s="3577" t="s">
        <v>1737</v>
      </c>
      <c r="BW16" s="3577" t="s">
        <v>1737</v>
      </c>
      <c r="BX16" s="3577" t="s">
        <v>1737</v>
      </c>
      <c r="BY16" s="3577" t="s">
        <v>1737</v>
      </c>
      <c r="BZ16" s="3577" t="s">
        <v>1737</v>
      </c>
      <c r="CA16" s="3577" t="s">
        <v>1737</v>
      </c>
      <c r="CB16" s="3577" t="s">
        <v>1737</v>
      </c>
      <c r="CC16" s="3577" t="s">
        <v>1737</v>
      </c>
      <c r="CD16" s="3577" t="s">
        <v>1737</v>
      </c>
      <c r="CE16" s="3577" t="s">
        <v>1737</v>
      </c>
      <c r="CF16" s="3577" t="s">
        <v>1737</v>
      </c>
      <c r="CG16" s="3577" t="s">
        <v>1737</v>
      </c>
      <c r="CH16" s="3577" t="s">
        <v>1737</v>
      </c>
      <c r="CI16" s="3577" t="s">
        <v>1737</v>
      </c>
      <c r="CJ16" s="3577" t="s">
        <v>1737</v>
      </c>
      <c r="CK16" s="3577" t="s">
        <v>1737</v>
      </c>
      <c r="CL16" s="3577" t="s">
        <v>1737</v>
      </c>
      <c r="CM16" s="3577" t="s">
        <v>1737</v>
      </c>
      <c r="CN16" s="3577" t="s">
        <v>1737</v>
      </c>
      <c r="CO16" s="3577" t="s">
        <v>1737</v>
      </c>
      <c r="CP16" s="3577" t="s">
        <v>1737</v>
      </c>
      <c r="CQ16" s="3577" t="s">
        <v>1737</v>
      </c>
      <c r="CR16" s="3577" t="s">
        <v>1737</v>
      </c>
      <c r="CS16" s="3577" t="s">
        <v>1737</v>
      </c>
      <c r="CT16" s="3577" t="s">
        <v>1737</v>
      </c>
      <c r="CU16" s="3577" t="s">
        <v>1737</v>
      </c>
      <c r="CV16" s="3578" t="s">
        <v>1737</v>
      </c>
      <c r="CW16" s="3579" t="s">
        <v>1737</v>
      </c>
      <c r="CX16" s="3580" t="s">
        <v>1737</v>
      </c>
      <c r="CY16" s="3580" t="s">
        <v>1737</v>
      </c>
      <c r="CZ16" s="3579" t="s">
        <v>1737</v>
      </c>
      <c r="DA16" s="3579" t="s">
        <v>1737</v>
      </c>
      <c r="DB16" s="3579" t="s">
        <v>1737</v>
      </c>
      <c r="DC16" s="1859" t="s">
        <v>397</v>
      </c>
      <c r="DD16" s="3581" t="s">
        <v>397</v>
      </c>
      <c r="DE16" s="3581" t="s">
        <v>397</v>
      </c>
      <c r="DG16" s="2618"/>
    </row>
    <row r="17" spans="1:111" ht="24" customHeight="1" x14ac:dyDescent="0.3">
      <c r="A17" s="447"/>
      <c r="B17" s="3316" t="s">
        <v>1738</v>
      </c>
      <c r="C17" s="3582">
        <f>SUM('CF-1603|GDS'!$I$13:$I$14)/1000</f>
        <v>419.07900000000001</v>
      </c>
      <c r="D17" s="3583">
        <f>'CF-1603|GDS'!$I$15/1000</f>
        <v>971.88</v>
      </c>
      <c r="E17" s="3583">
        <f>'CF-1603|GDS'!$I$16/1000</f>
        <v>1178.7370000000001</v>
      </c>
      <c r="F17" s="3583">
        <f>SUM('CF-1603|GDS'!$I$18:$I$20)/1000</f>
        <v>431.57299999999998</v>
      </c>
      <c r="G17" s="3583">
        <f>SUM('CF-1603|GDS'!$I$27:$I$28,'CF-1603|GDS'!$I$24)/1000</f>
        <v>3201.0349999999999</v>
      </c>
      <c r="H17" s="3584">
        <v>0</v>
      </c>
      <c r="I17" s="3583">
        <f>'CF-1603|GDS'!$I$31/1000</f>
        <v>7435.38</v>
      </c>
      <c r="J17" s="3583">
        <f>'CF-1603|GDS'!$I$33/1000</f>
        <v>886.37</v>
      </c>
      <c r="K17" s="3583">
        <f>'CF-1603|GDS'!$I$34/1000</f>
        <v>127.92</v>
      </c>
      <c r="L17" s="3583">
        <f>'CF-1603|GDS'!$I$39/1000</f>
        <v>31.68</v>
      </c>
      <c r="M17" s="3583">
        <f>'CF-1603|GDS'!$I$40/1000</f>
        <v>386.88</v>
      </c>
      <c r="N17" s="3583">
        <f>SUM('CF-1603|GDS'!$I$41:$I$45)/1000</f>
        <v>1713.8820000000001</v>
      </c>
      <c r="O17" s="3582">
        <v>0</v>
      </c>
      <c r="P17" s="3583">
        <f>'CF-1603|GDS'!$I$50/1000</f>
        <v>210.38399999999999</v>
      </c>
      <c r="Q17" s="3582">
        <v>0</v>
      </c>
      <c r="R17" s="3583">
        <f>SUM('CF-1603|GDS'!$I$52:$I$53)/1000</f>
        <v>433.67399999999998</v>
      </c>
      <c r="S17" s="3582">
        <v>0</v>
      </c>
      <c r="T17" s="3583">
        <f>SUM('CF-1603|GDS'!$I$59:$I$67)/1000</f>
        <v>2091.4340000000002</v>
      </c>
      <c r="U17" s="3583">
        <f>'CF-1603|GDS'!$I$68/1000</f>
        <v>21.1</v>
      </c>
      <c r="V17" s="3583">
        <f>SUM('CF-1603|GDS'!$I$69:$I$77)/1000</f>
        <v>2371.2939999999999</v>
      </c>
      <c r="W17" s="3582">
        <v>0</v>
      </c>
      <c r="X17" s="3583">
        <f>'CF-1603|GDS'!$I$90/1000</f>
        <v>722.82299999999998</v>
      </c>
      <c r="Y17" s="3583">
        <f>SUM('CF-1603|GDS'!$I$91:$I$101)/1000</f>
        <v>1378.722</v>
      </c>
      <c r="Z17" s="3583">
        <f>'CF-1603|GDS'!$I$102/1000</f>
        <v>62.96</v>
      </c>
      <c r="AA17" s="3583">
        <f>'CF-1603|GDS'!$I$103/1000</f>
        <v>409.9</v>
      </c>
      <c r="AB17" s="3583">
        <f>'CF-1603|GDS'!$I$105/1000</f>
        <v>376.87</v>
      </c>
      <c r="AC17" s="3583">
        <f>'CF-1603|GDS'!$I$116/1000</f>
        <v>479.92</v>
      </c>
      <c r="AD17" s="3583">
        <f>SUM('CF-1603|GDS'!$I$117:$I$124)/1000</f>
        <v>1069.915</v>
      </c>
      <c r="AE17" s="3583">
        <f>'CF-1603|GDS'!$I$125/1000</f>
        <v>203.47300000000001</v>
      </c>
      <c r="AF17" s="3583">
        <f>SUM('CF-1603|GDS'!$I$129:$I$130)/1000</f>
        <v>184.26400000000001</v>
      </c>
      <c r="AG17" s="3583">
        <f>SUM('CF-1603|GDS'!$I$131)/1000</f>
        <v>305.95299999999997</v>
      </c>
      <c r="AH17" s="3583">
        <f>'CF-1603|GDS'!$I$133/1000</f>
        <v>26.475000000000001</v>
      </c>
      <c r="AI17" s="3583">
        <f>'CF-1603|GDS'!$I$137/1000</f>
        <v>547.78200000000004</v>
      </c>
      <c r="AJ17" s="3585">
        <v>0</v>
      </c>
      <c r="AK17" s="3583">
        <f>SUM('CF-1603|GDS'!$I$141:$I$142)/1000</f>
        <v>481.85300000000001</v>
      </c>
      <c r="AL17" s="3583">
        <f>'CF-1603|GDS'!$I$144/1000</f>
        <v>28.439</v>
      </c>
      <c r="AM17" s="3583">
        <f>SUM('CF-1603|GDS'!$I$146:$I$150)/1000</f>
        <v>3085.25</v>
      </c>
      <c r="AN17" s="3586">
        <v>0</v>
      </c>
      <c r="AO17" s="3583">
        <f>'CF-1603|GDS'!$I$153/1000</f>
        <v>250.12200000000001</v>
      </c>
      <c r="AP17" s="3583">
        <f>'CF-1603|GDS'!$I$154/1000</f>
        <v>248.31</v>
      </c>
      <c r="AQ17" s="3583">
        <f>'CF-1603|GDS'!$I$160/1000</f>
        <v>15.355</v>
      </c>
      <c r="AR17" s="3583">
        <f>'CF-1603|GDS'!$I$163/1000</f>
        <v>343.13400000000001</v>
      </c>
      <c r="AS17" s="3587">
        <v>0</v>
      </c>
      <c r="AT17" s="3588">
        <v>0</v>
      </c>
      <c r="AU17" s="1827">
        <f>'CF-1603|GDS'!$I$168/1000</f>
        <v>33.954999999999998</v>
      </c>
      <c r="AV17" s="3589">
        <f>'CF-1603|GDS'!$I$169/1000</f>
        <v>37.561999999999998</v>
      </c>
      <c r="AW17" s="3589">
        <f>'CF-1603|GDS'!$I$170/1000</f>
        <v>48.11</v>
      </c>
      <c r="AX17" s="1826">
        <f>'CF-1603|GDS'!$I$171/1000</f>
        <v>52.15</v>
      </c>
      <c r="AY17" s="1826">
        <f>'CF-1603|GDS'!$I$172/1000</f>
        <v>127.04</v>
      </c>
      <c r="AZ17" s="1827">
        <f>'CF-1603|GDS'!$I$173/1000</f>
        <v>56.49</v>
      </c>
      <c r="BA17" s="3590"/>
      <c r="BB17" s="428"/>
      <c r="BD17" s="1823" t="s">
        <v>398</v>
      </c>
      <c r="BE17" s="3582">
        <f>SUM('CF-1603|GDS'!$I$13:$I$14)/1000</f>
        <v>419.07900000000001</v>
      </c>
      <c r="BF17" s="3583">
        <f>'CF-1603|GDS'!$I$15/1000</f>
        <v>971.88</v>
      </c>
      <c r="BG17" s="3583">
        <f>'CF-1603|GDS'!$I$16/1000</f>
        <v>1178.7370000000001</v>
      </c>
      <c r="BH17" s="3583">
        <f>SUM('CF-1603|GDS'!$I$18:$I$20)/1000</f>
        <v>431.57299999999998</v>
      </c>
      <c r="BI17" s="3583">
        <f>SUM('CF-1603|GDS'!$I$27:$I$28,'CF-1603|GDS'!$I$24)/1000</f>
        <v>3201.0349999999999</v>
      </c>
      <c r="BJ17" s="3582">
        <v>0</v>
      </c>
      <c r="BK17" s="3583">
        <f>'CF-1603|GDS'!I32</f>
        <v>6941.8984315323451</v>
      </c>
      <c r="BL17" s="3583">
        <f>'CF-1603|GDS'!$I$33/1000</f>
        <v>886.37</v>
      </c>
      <c r="BM17" s="3583">
        <f>'CF-1603|GDS'!$I$34/1000</f>
        <v>127.92</v>
      </c>
      <c r="BN17" s="3583">
        <f>'CF-1603|GDS'!$I$39/1000</f>
        <v>31.68</v>
      </c>
      <c r="BO17" s="3583">
        <f>'CF-1603|GDS'!$I$40/1000</f>
        <v>386.88</v>
      </c>
      <c r="BP17" s="3583">
        <f>SUM('CF-1603|GDS'!$I$41:$I$45)/1000</f>
        <v>1713.8820000000001</v>
      </c>
      <c r="BQ17" s="3582">
        <v>0</v>
      </c>
      <c r="BR17" s="3583">
        <f>'CF-1603|GDS'!$I$50/1000</f>
        <v>210.38399999999999</v>
      </c>
      <c r="BS17" s="3582">
        <v>0</v>
      </c>
      <c r="BT17" s="3583">
        <f>SUM('CF-1603|GDS'!$I$52:$I$53)/1000</f>
        <v>433.67399999999998</v>
      </c>
      <c r="BU17" s="3582">
        <v>0</v>
      </c>
      <c r="BV17" s="3583">
        <f>SUM('CF-1603|GDS'!$I$59:$I$67)/1000</f>
        <v>2091.4340000000002</v>
      </c>
      <c r="BW17" s="3583">
        <f>'CF-1603|GDS'!$I$68/1000</f>
        <v>21.1</v>
      </c>
      <c r="BX17" s="3583">
        <f>SUM('CF-1603|GDS'!$I$69:$I$77)/1000</f>
        <v>2371.2939999999999</v>
      </c>
      <c r="BY17" s="3582">
        <v>0</v>
      </c>
      <c r="BZ17" s="3583">
        <f>'CF-1603|GDS'!$I$90/1000</f>
        <v>722.82299999999998</v>
      </c>
      <c r="CA17" s="3583">
        <f>SUM('CF-1603|GDS'!$I$91:$I$101)/1000</f>
        <v>1378.722</v>
      </c>
      <c r="CB17" s="3583">
        <f>'CF-1603|GDS'!$I$102/1000</f>
        <v>62.96</v>
      </c>
      <c r="CC17" s="3583">
        <f>'CF-1603|GDS'!$I$103/1000</f>
        <v>409.9</v>
      </c>
      <c r="CD17" s="3583">
        <f>'CF-1603|GDS'!$I$105/1000</f>
        <v>376.87</v>
      </c>
      <c r="CE17" s="3583">
        <f>'CF-1603|GDS'!$I$116/1000</f>
        <v>479.92</v>
      </c>
      <c r="CF17" s="3583">
        <f>SUM('CF-1603|GDS'!$I$117:$I$124)/1000</f>
        <v>1069.915</v>
      </c>
      <c r="CG17" s="3583">
        <f>'CF-1603|GDS'!$I$125/1000</f>
        <v>203.47300000000001</v>
      </c>
      <c r="CH17" s="3583">
        <f>SUM('CF-1603|GDS'!$I$129:$I$130)/1000</f>
        <v>184.26400000000001</v>
      </c>
      <c r="CI17" s="3583">
        <f>SUM('CF-1603|GDS'!$I$131)/1000</f>
        <v>305.95299999999997</v>
      </c>
      <c r="CJ17" s="3583">
        <f>'CF-1603|GDS'!$I$133/1000</f>
        <v>26.475000000000001</v>
      </c>
      <c r="CK17" s="3583">
        <f>'CF-1603|GDS'!$I$137/1000</f>
        <v>547.78200000000004</v>
      </c>
      <c r="CL17" s="3582">
        <v>0</v>
      </c>
      <c r="CM17" s="3583">
        <f>SUM('CF-1603|GDS'!$I$141:$I$142)/1000</f>
        <v>481.85300000000001</v>
      </c>
      <c r="CN17" s="3583">
        <f>'CF-1603|GDS'!$I$144/1000</f>
        <v>28.439</v>
      </c>
      <c r="CO17" s="3583">
        <f>SUM('CF-1603|GDS'!$I$146:$I$150)/1000</f>
        <v>3085.25</v>
      </c>
      <c r="CP17" s="3582">
        <v>0</v>
      </c>
      <c r="CQ17" s="3583">
        <f>'CF-1603|GDS'!$I$153/1000</f>
        <v>250.12200000000001</v>
      </c>
      <c r="CR17" s="3583">
        <f>'CF-1603|GDS'!$I$154/1000</f>
        <v>248.31</v>
      </c>
      <c r="CS17" s="3583">
        <f>'CF-1603|GDS'!$I$160/1000</f>
        <v>15.355</v>
      </c>
      <c r="CT17" s="3583">
        <f>'CF-1603|GDS'!$I$163/1000</f>
        <v>343.13400000000001</v>
      </c>
      <c r="CU17" s="3582">
        <v>0</v>
      </c>
      <c r="CV17" s="3582">
        <v>0</v>
      </c>
      <c r="CW17" s="1826">
        <f>'CF-1603|GDS'!$I$168/1000</f>
        <v>33.954999999999998</v>
      </c>
      <c r="CX17" s="3317">
        <f>'CF-1603|GDS'!$I$169/1000</f>
        <v>37.561999999999998</v>
      </c>
      <c r="CY17" s="3317">
        <f>'CF-1603|GDS'!$I$170/1000</f>
        <v>48.11</v>
      </c>
      <c r="CZ17" s="1826">
        <f>'CF-1603|GDS'!$I$171/1000</f>
        <v>52.15</v>
      </c>
      <c r="DA17" s="1826">
        <f>'CF-1603|GDS'!$I$172/1000</f>
        <v>127.04</v>
      </c>
      <c r="DB17" s="1826">
        <f>'CF-1603|GDS'!$I$173/1000</f>
        <v>56.49</v>
      </c>
      <c r="DC17" s="3317">
        <f>'CF-1603|GDS'!I190/1000</f>
        <v>607.06816000000003</v>
      </c>
      <c r="DD17" s="3317">
        <f>'CF-1603|GDS'!I192/1000</f>
        <v>16.960999999999999</v>
      </c>
      <c r="DE17" s="3317">
        <f>'CF-1603|GDS'!I191/1000</f>
        <v>36.450000000000003</v>
      </c>
    </row>
    <row r="18" spans="1:111" ht="24" customHeight="1" x14ac:dyDescent="0.3">
      <c r="A18" s="447"/>
      <c r="B18" s="476" t="s">
        <v>314</v>
      </c>
      <c r="C18" s="3591">
        <v>0.68458228228955642</v>
      </c>
      <c r="D18" s="3591">
        <v>0.68458228228955642</v>
      </c>
      <c r="E18" s="3591">
        <v>0.68458228228955642</v>
      </c>
      <c r="F18" s="3591">
        <v>0.68458228228955642</v>
      </c>
      <c r="G18" s="3591">
        <v>0.68458228228955642</v>
      </c>
      <c r="H18" s="3592">
        <v>0</v>
      </c>
      <c r="I18" s="3591">
        <v>0.68458228228955642</v>
      </c>
      <c r="J18" s="3591">
        <v>0.68458228228955642</v>
      </c>
      <c r="K18" s="3591">
        <v>0.68458228228955642</v>
      </c>
      <c r="L18" s="3591">
        <v>0.68458228228955642</v>
      </c>
      <c r="M18" s="3591">
        <v>0.68458228228955642</v>
      </c>
      <c r="N18" s="3591">
        <v>0.68458228228955642</v>
      </c>
      <c r="O18" s="3591">
        <v>0</v>
      </c>
      <c r="P18" s="3591">
        <v>0.68458228228955642</v>
      </c>
      <c r="Q18" s="3591">
        <v>0</v>
      </c>
      <c r="R18" s="3591">
        <v>0.68458228228955642</v>
      </c>
      <c r="S18" s="3591">
        <v>0</v>
      </c>
      <c r="T18" s="3591">
        <v>0.68458228228955642</v>
      </c>
      <c r="U18" s="3591">
        <v>0.68458228228955642</v>
      </c>
      <c r="V18" s="3591">
        <v>0.68458228228955642</v>
      </c>
      <c r="W18" s="3591">
        <v>0</v>
      </c>
      <c r="X18" s="3591">
        <v>0.68458228228955642</v>
      </c>
      <c r="Y18" s="3591">
        <v>0.68458228228955642</v>
      </c>
      <c r="Z18" s="3591">
        <v>0.68458228228955642</v>
      </c>
      <c r="AA18" s="3591">
        <v>0.68458228228955642</v>
      </c>
      <c r="AB18" s="3591">
        <v>0.68458228228955642</v>
      </c>
      <c r="AC18" s="3591">
        <v>0.68458228228955642</v>
      </c>
      <c r="AD18" s="3591">
        <v>0.68458228228955642</v>
      </c>
      <c r="AE18" s="3591">
        <v>0.68458228228955642</v>
      </c>
      <c r="AF18" s="3591">
        <v>0.68458228228955642</v>
      </c>
      <c r="AG18" s="3591">
        <v>0.68458228228955642</v>
      </c>
      <c r="AH18" s="3591">
        <v>0.68458228228955642</v>
      </c>
      <c r="AI18" s="3591">
        <v>0.68458228228955642</v>
      </c>
      <c r="AJ18" s="3591">
        <v>0</v>
      </c>
      <c r="AK18" s="3591">
        <v>0.68458228228955642</v>
      </c>
      <c r="AL18" s="3591">
        <v>0.68458228228955642</v>
      </c>
      <c r="AM18" s="3591">
        <v>0.68458228228955642</v>
      </c>
      <c r="AN18" s="3591">
        <v>0</v>
      </c>
      <c r="AO18" s="3591">
        <v>0.68458228228955642</v>
      </c>
      <c r="AP18" s="3591">
        <v>0.68458228228955642</v>
      </c>
      <c r="AQ18" s="3591">
        <v>0.68458228228955642</v>
      </c>
      <c r="AR18" s="3591">
        <v>0.68458228228955642</v>
      </c>
      <c r="AS18" s="3591">
        <v>0</v>
      </c>
      <c r="AT18" s="3591">
        <v>0</v>
      </c>
      <c r="AU18" s="3591">
        <v>0.68458228228955642</v>
      </c>
      <c r="AV18" s="3591">
        <v>0.68458228228955642</v>
      </c>
      <c r="AW18" s="3591">
        <v>0.68458228228955642</v>
      </c>
      <c r="AX18" s="3591">
        <v>0.68458228228955642</v>
      </c>
      <c r="AY18" s="3591">
        <v>0.68458228228955642</v>
      </c>
      <c r="AZ18" s="3591">
        <v>0.68458228228955642</v>
      </c>
      <c r="BA18" s="478"/>
      <c r="BB18" s="428"/>
      <c r="BD18" s="1836" t="s">
        <v>314</v>
      </c>
      <c r="BE18" s="3591">
        <v>0.7202640674326759</v>
      </c>
      <c r="BF18" s="3591">
        <v>0.7202640674326759</v>
      </c>
      <c r="BG18" s="3591">
        <v>0.7202640674326759</v>
      </c>
      <c r="BH18" s="3591">
        <v>0.7202640674326759</v>
      </c>
      <c r="BI18" s="3591">
        <v>0.7202640674326759</v>
      </c>
      <c r="BJ18" s="3591">
        <v>0.7202640674326759</v>
      </c>
      <c r="BK18" s="3591">
        <v>0.7202640674326759</v>
      </c>
      <c r="BL18" s="3591">
        <v>0.7202640674326759</v>
      </c>
      <c r="BM18" s="3591">
        <v>0.7202640674326759</v>
      </c>
      <c r="BN18" s="3591">
        <v>0.7202640674326759</v>
      </c>
      <c r="BO18" s="3591">
        <v>0.7202640674326759</v>
      </c>
      <c r="BP18" s="3591">
        <v>0.7202640674326759</v>
      </c>
      <c r="BQ18" s="3591">
        <v>0.7202640674326759</v>
      </c>
      <c r="BR18" s="3591">
        <v>0.7202640674326759</v>
      </c>
      <c r="BS18" s="3591">
        <v>0.7202640674326759</v>
      </c>
      <c r="BT18" s="3591">
        <v>0.7202640674326759</v>
      </c>
      <c r="BU18" s="3591">
        <v>0.7202640674326759</v>
      </c>
      <c r="BV18" s="3591">
        <v>0.7202640674326759</v>
      </c>
      <c r="BW18" s="3591">
        <v>0.7202640674326759</v>
      </c>
      <c r="BX18" s="3591">
        <v>0.7202640674326759</v>
      </c>
      <c r="BY18" s="3591">
        <v>0.7202640674326759</v>
      </c>
      <c r="BZ18" s="3591">
        <v>0.7202640674326759</v>
      </c>
      <c r="CA18" s="3591">
        <v>0.7202640674326759</v>
      </c>
      <c r="CB18" s="3591">
        <v>0.7202640674326759</v>
      </c>
      <c r="CC18" s="3591">
        <v>0.7202640674326759</v>
      </c>
      <c r="CD18" s="3591">
        <v>0.7202640674326759</v>
      </c>
      <c r="CE18" s="3591">
        <v>0.7202640674326759</v>
      </c>
      <c r="CF18" s="3591">
        <v>0.7202640674326759</v>
      </c>
      <c r="CG18" s="3591">
        <v>0.7202640674326759</v>
      </c>
      <c r="CH18" s="3591">
        <v>0.7202640674326759</v>
      </c>
      <c r="CI18" s="3591">
        <v>0.7202640674326759</v>
      </c>
      <c r="CJ18" s="3591">
        <v>0.7202640674326759</v>
      </c>
      <c r="CK18" s="3591">
        <v>0.7202640674326759</v>
      </c>
      <c r="CL18" s="3591">
        <v>0.7202640674326759</v>
      </c>
      <c r="CM18" s="3591">
        <v>0.7202640674326759</v>
      </c>
      <c r="CN18" s="3591">
        <v>0.7202640674326759</v>
      </c>
      <c r="CO18" s="3591">
        <v>0.7202640674326759</v>
      </c>
      <c r="CP18" s="3591">
        <v>0.7202640674326759</v>
      </c>
      <c r="CQ18" s="3591">
        <v>0.7202640674326759</v>
      </c>
      <c r="CR18" s="3591">
        <v>0.7202640674326759</v>
      </c>
      <c r="CS18" s="3591">
        <v>0.7202640674326759</v>
      </c>
      <c r="CT18" s="3591">
        <v>0.7202640674326759</v>
      </c>
      <c r="CU18" s="3591">
        <v>0.7202640674326759</v>
      </c>
      <c r="CV18" s="3591">
        <v>0.7202640674326759</v>
      </c>
      <c r="CW18" s="3591">
        <v>0.7202640674326759</v>
      </c>
      <c r="CX18" s="3591">
        <v>0.7202640674326759</v>
      </c>
      <c r="CY18" s="3591">
        <v>0.7202640674326759</v>
      </c>
      <c r="CZ18" s="3591">
        <v>0.7202640674326759</v>
      </c>
      <c r="DA18" s="3591">
        <v>0.7202640674326759</v>
      </c>
      <c r="DB18" s="3591">
        <v>0.7202640674326759</v>
      </c>
      <c r="DC18" s="3594">
        <v>0.81125709133484736</v>
      </c>
      <c r="DD18" s="3593">
        <v>1.0422472743342965</v>
      </c>
      <c r="DE18" s="3593">
        <v>3.6552973664937451</v>
      </c>
      <c r="DG18" s="4052"/>
    </row>
    <row r="19" spans="1:111" ht="24" customHeight="1" x14ac:dyDescent="0.3">
      <c r="A19" s="447"/>
      <c r="B19" s="480" t="s">
        <v>315</v>
      </c>
      <c r="C19" s="3595">
        <f>C17*C18</f>
        <v>286.89405827962503</v>
      </c>
      <c r="D19" s="3595">
        <f t="shared" ref="D19:AZ19" si="8">D17*D18</f>
        <v>665.33182851157414</v>
      </c>
      <c r="E19" s="3595">
        <f t="shared" si="8"/>
        <v>806.9424656791449</v>
      </c>
      <c r="F19" s="3595">
        <f t="shared" si="8"/>
        <v>295.44722931455073</v>
      </c>
      <c r="G19" s="3595">
        <f t="shared" si="8"/>
        <v>2191.37184598875</v>
      </c>
      <c r="H19" s="3596">
        <f t="shared" si="8"/>
        <v>0</v>
      </c>
      <c r="I19" s="3595">
        <f t="shared" si="8"/>
        <v>5090.1294100901223</v>
      </c>
      <c r="J19" s="3595">
        <f t="shared" si="8"/>
        <v>606.79319755299412</v>
      </c>
      <c r="K19" s="3595">
        <f t="shared" si="8"/>
        <v>87.571765550480052</v>
      </c>
      <c r="L19" s="3595">
        <f t="shared" si="8"/>
        <v>21.687566702933147</v>
      </c>
      <c r="M19" s="3595">
        <f t="shared" si="8"/>
        <v>264.85119337218356</v>
      </c>
      <c r="N19" s="3595">
        <f t="shared" si="8"/>
        <v>1173.2932511349895</v>
      </c>
      <c r="O19" s="3595">
        <f t="shared" si="8"/>
        <v>0</v>
      </c>
      <c r="P19" s="3595">
        <f t="shared" si="8"/>
        <v>144.02515887720602</v>
      </c>
      <c r="Q19" s="3595">
        <f t="shared" si="8"/>
        <v>0</v>
      </c>
      <c r="R19" s="3595">
        <f t="shared" si="8"/>
        <v>296.88553668964107</v>
      </c>
      <c r="S19" s="3595">
        <f t="shared" si="8"/>
        <v>0</v>
      </c>
      <c r="T19" s="3595">
        <f t="shared" si="8"/>
        <v>1431.7586609779762</v>
      </c>
      <c r="U19" s="3595">
        <f t="shared" si="8"/>
        <v>14.444686156309642</v>
      </c>
      <c r="V19" s="3595">
        <f t="shared" si="8"/>
        <v>1623.3458584995312</v>
      </c>
      <c r="W19" s="3595">
        <f t="shared" si="8"/>
        <v>0</v>
      </c>
      <c r="X19" s="3595">
        <f t="shared" si="8"/>
        <v>494.83181903138404</v>
      </c>
      <c r="Y19" s="3595">
        <f t="shared" si="8"/>
        <v>943.84865340282181</v>
      </c>
      <c r="Z19" s="3595">
        <f t="shared" si="8"/>
        <v>43.101300492950472</v>
      </c>
      <c r="AA19" s="3595">
        <f t="shared" si="8"/>
        <v>280.61027751048914</v>
      </c>
      <c r="AB19" s="3595">
        <f t="shared" si="8"/>
        <v>257.99852472646512</v>
      </c>
      <c r="AC19" s="3595">
        <f t="shared" si="8"/>
        <v>328.54472891640393</v>
      </c>
      <c r="AD19" s="3595">
        <f t="shared" si="8"/>
        <v>732.44485255583072</v>
      </c>
      <c r="AE19" s="3595">
        <f t="shared" si="8"/>
        <v>139.29401072430292</v>
      </c>
      <c r="AF19" s="3595">
        <f t="shared" si="8"/>
        <v>126.14386966380283</v>
      </c>
      <c r="AG19" s="3595">
        <f t="shared" si="8"/>
        <v>209.45000301333664</v>
      </c>
      <c r="AH19" s="3595">
        <f t="shared" si="8"/>
        <v>18.124315923616006</v>
      </c>
      <c r="AI19" s="3595">
        <f t="shared" si="8"/>
        <v>375.00185175713784</v>
      </c>
      <c r="AJ19" s="3595">
        <f t="shared" si="8"/>
        <v>0</v>
      </c>
      <c r="AK19" s="3595">
        <f t="shared" si="8"/>
        <v>329.86802646806962</v>
      </c>
      <c r="AL19" s="3595">
        <f t="shared" si="8"/>
        <v>19.468835526032695</v>
      </c>
      <c r="AM19" s="3595">
        <f t="shared" si="8"/>
        <v>2112.1074864338539</v>
      </c>
      <c r="AN19" s="3595">
        <f t="shared" si="8"/>
        <v>0</v>
      </c>
      <c r="AO19" s="3595">
        <f t="shared" si="8"/>
        <v>171.22908961082845</v>
      </c>
      <c r="AP19" s="3595">
        <f t="shared" si="8"/>
        <v>169.98862651531977</v>
      </c>
      <c r="AQ19" s="3595">
        <f t="shared" si="8"/>
        <v>10.511760944556139</v>
      </c>
      <c r="AR19" s="3595">
        <f t="shared" si="8"/>
        <v>234.90345685114465</v>
      </c>
      <c r="AS19" s="3595">
        <f t="shared" si="8"/>
        <v>0</v>
      </c>
      <c r="AT19" s="3595">
        <f t="shared" si="8"/>
        <v>0</v>
      </c>
      <c r="AU19" s="3595">
        <f t="shared" si="8"/>
        <v>23.244991395141888</v>
      </c>
      <c r="AV19" s="3595">
        <f t="shared" si="8"/>
        <v>25.714279687360317</v>
      </c>
      <c r="AW19" s="3595">
        <f t="shared" si="8"/>
        <v>32.93525360095056</v>
      </c>
      <c r="AX19" s="3595">
        <f t="shared" si="8"/>
        <v>35.700966021400369</v>
      </c>
      <c r="AY19" s="3595">
        <f t="shared" si="8"/>
        <v>86.969333142065253</v>
      </c>
      <c r="AZ19" s="3595">
        <f t="shared" si="8"/>
        <v>38.672053126537044</v>
      </c>
      <c r="BA19" s="478"/>
      <c r="BB19" s="428"/>
      <c r="BD19" s="1843" t="s">
        <v>315</v>
      </c>
      <c r="BE19" s="3595">
        <f>BE17*BE18</f>
        <v>301.8475451156184</v>
      </c>
      <c r="BF19" s="3595">
        <f t="shared" ref="BF19:DD19" si="9">BF17*BF18</f>
        <v>700.01024185646907</v>
      </c>
      <c r="BG19" s="3595">
        <f t="shared" si="9"/>
        <v>849.00190605339014</v>
      </c>
      <c r="BH19" s="3595">
        <f t="shared" si="9"/>
        <v>310.84652437412223</v>
      </c>
      <c r="BI19" s="3595">
        <f t="shared" si="9"/>
        <v>2305.5904890943557</v>
      </c>
      <c r="BJ19" s="3595">
        <f t="shared" si="9"/>
        <v>0</v>
      </c>
      <c r="BK19" s="3595">
        <f t="shared" si="9"/>
        <v>5000</v>
      </c>
      <c r="BL19" s="3595">
        <f t="shared" si="9"/>
        <v>638.42046145030099</v>
      </c>
      <c r="BM19" s="3595">
        <f t="shared" si="9"/>
        <v>92.136179505987897</v>
      </c>
      <c r="BN19" s="3595">
        <f t="shared" si="9"/>
        <v>22.817965656267173</v>
      </c>
      <c r="BO19" s="3595">
        <f t="shared" si="9"/>
        <v>278.65576240835367</v>
      </c>
      <c r="BP19" s="3595">
        <f t="shared" si="9"/>
        <v>1234.4476204196494</v>
      </c>
      <c r="BQ19" s="3595">
        <f t="shared" si="9"/>
        <v>0</v>
      </c>
      <c r="BR19" s="3595">
        <f t="shared" si="9"/>
        <v>151.53203556275608</v>
      </c>
      <c r="BS19" s="3595">
        <f t="shared" si="9"/>
        <v>0</v>
      </c>
      <c r="BT19" s="3595">
        <f t="shared" si="9"/>
        <v>312.3597991797983</v>
      </c>
      <c r="BU19" s="3595">
        <f t="shared" si="9"/>
        <v>0</v>
      </c>
      <c r="BV19" s="3595">
        <f t="shared" si="9"/>
        <v>1506.3847596069913</v>
      </c>
      <c r="BW19" s="3595">
        <f t="shared" si="9"/>
        <v>15.197571822829463</v>
      </c>
      <c r="BX19" s="3595">
        <f t="shared" si="9"/>
        <v>1707.9578615186997</v>
      </c>
      <c r="BY19" s="3595">
        <f t="shared" si="9"/>
        <v>0</v>
      </c>
      <c r="BZ19" s="3595">
        <f t="shared" si="9"/>
        <v>520.6234340138891</v>
      </c>
      <c r="CA19" s="3595">
        <f t="shared" si="9"/>
        <v>993.04391557891381</v>
      </c>
      <c r="CB19" s="3595">
        <f t="shared" si="9"/>
        <v>45.347825685561276</v>
      </c>
      <c r="CC19" s="3595">
        <f t="shared" si="9"/>
        <v>295.23624124065384</v>
      </c>
      <c r="CD19" s="3595">
        <f t="shared" si="9"/>
        <v>271.44591909335259</v>
      </c>
      <c r="CE19" s="3595">
        <f t="shared" si="9"/>
        <v>345.66913124228984</v>
      </c>
      <c r="CF19" s="3595">
        <f t="shared" si="9"/>
        <v>770.62132970723144</v>
      </c>
      <c r="CG19" s="3595">
        <f t="shared" si="9"/>
        <v>146.55429059272888</v>
      </c>
      <c r="CH19" s="3595">
        <f t="shared" si="9"/>
        <v>132.71873812141459</v>
      </c>
      <c r="CI19" s="3595">
        <f t="shared" si="9"/>
        <v>220.36695222322948</v>
      </c>
      <c r="CJ19" s="3595">
        <f t="shared" si="9"/>
        <v>19.068991185280094</v>
      </c>
      <c r="CK19" s="3595">
        <f t="shared" si="9"/>
        <v>394.54769138640609</v>
      </c>
      <c r="CL19" s="3595">
        <f t="shared" si="9"/>
        <v>0</v>
      </c>
      <c r="CM19" s="3595">
        <f t="shared" si="9"/>
        <v>347.06140168463719</v>
      </c>
      <c r="CN19" s="3595">
        <f t="shared" si="9"/>
        <v>20.48358981371787</v>
      </c>
      <c r="CO19" s="3595">
        <f t="shared" si="9"/>
        <v>2222.1947140466632</v>
      </c>
      <c r="CP19" s="3595">
        <f t="shared" si="9"/>
        <v>0</v>
      </c>
      <c r="CQ19" s="3595">
        <f t="shared" si="9"/>
        <v>180.15388907439578</v>
      </c>
      <c r="CR19" s="3595">
        <f t="shared" si="9"/>
        <v>178.84877058420776</v>
      </c>
      <c r="CS19" s="3595">
        <f t="shared" si="9"/>
        <v>11.059654755428738</v>
      </c>
      <c r="CT19" s="3595">
        <f t="shared" si="9"/>
        <v>247.14709051444382</v>
      </c>
      <c r="CU19" s="3595">
        <f t="shared" si="9"/>
        <v>0</v>
      </c>
      <c r="CV19" s="3595">
        <f t="shared" si="9"/>
        <v>0</v>
      </c>
      <c r="CW19" s="3597">
        <f t="shared" si="9"/>
        <v>24.456566409676508</v>
      </c>
      <c r="CX19" s="3598">
        <f t="shared" si="9"/>
        <v>27.054558900906169</v>
      </c>
      <c r="CY19" s="3597">
        <f t="shared" si="9"/>
        <v>34.651904284186038</v>
      </c>
      <c r="CZ19" s="3597">
        <f t="shared" si="9"/>
        <v>37.561771116614047</v>
      </c>
      <c r="DA19" s="3320">
        <f t="shared" si="9"/>
        <v>91.502347126647152</v>
      </c>
      <c r="DB19" s="3320">
        <f t="shared" si="9"/>
        <v>40.687717169271863</v>
      </c>
      <c r="DC19" s="3599">
        <f t="shared" si="9"/>
        <v>492.48834972359776</v>
      </c>
      <c r="DD19" s="3599">
        <f t="shared" si="9"/>
        <v>17.677556019984003</v>
      </c>
      <c r="DE19" s="3600">
        <f>DE17*DE18</f>
        <v>133.23558900869702</v>
      </c>
      <c r="DG19" s="4052"/>
    </row>
    <row r="20" spans="1:111" ht="18.600000000000001" hidden="1" customHeight="1" x14ac:dyDescent="0.4">
      <c r="A20" s="428"/>
      <c r="B20" s="465" t="s">
        <v>1739</v>
      </c>
      <c r="C20" s="3601"/>
      <c r="D20" s="3601"/>
      <c r="E20" s="3601"/>
      <c r="F20" s="3601"/>
      <c r="G20" s="3601"/>
      <c r="H20" s="3601"/>
      <c r="I20" s="3601"/>
      <c r="J20" s="3601"/>
      <c r="K20" s="3601"/>
      <c r="L20" s="3601"/>
      <c r="M20" s="3601"/>
      <c r="N20" s="3601"/>
      <c r="O20" s="3601"/>
      <c r="P20" s="3601"/>
      <c r="Q20" s="3601"/>
      <c r="R20" s="3601"/>
      <c r="S20" s="3601"/>
      <c r="T20" s="3601"/>
      <c r="U20" s="3601"/>
      <c r="V20" s="3601"/>
      <c r="W20" s="3601"/>
      <c r="X20" s="3601"/>
      <c r="Y20" s="3601"/>
      <c r="Z20" s="3601"/>
      <c r="AA20" s="3601"/>
      <c r="AB20" s="3601"/>
      <c r="AC20" s="3601"/>
      <c r="AD20" s="3601"/>
      <c r="AE20" s="3601"/>
      <c r="AF20" s="3601"/>
      <c r="AG20" s="3601"/>
      <c r="AH20" s="3601"/>
      <c r="AI20" s="3601"/>
      <c r="AJ20" s="3601"/>
      <c r="AK20" s="3601"/>
      <c r="AL20" s="3601"/>
      <c r="AM20" s="3601"/>
      <c r="AN20" s="3601"/>
      <c r="AO20" s="3601"/>
      <c r="AP20" s="3601"/>
      <c r="AQ20" s="3601"/>
      <c r="AR20" s="3601"/>
      <c r="AS20" s="3601"/>
      <c r="AT20" s="3601"/>
      <c r="AU20" s="3601"/>
      <c r="AV20" s="3601"/>
      <c r="AW20" s="3601"/>
      <c r="AX20" s="3601"/>
      <c r="AY20" s="3601"/>
      <c r="AZ20" s="3601"/>
      <c r="BA20" s="467"/>
      <c r="BB20" s="428"/>
      <c r="CX20" s="3602"/>
      <c r="CY20" s="3602"/>
      <c r="CZ20" s="3603"/>
      <c r="DA20" s="3603"/>
      <c r="DB20" s="3603"/>
      <c r="DC20" s="3602"/>
      <c r="DD20" s="3602"/>
      <c r="DE20" s="3602"/>
    </row>
    <row r="21" spans="1:111" ht="19.5" hidden="1" customHeight="1" x14ac:dyDescent="0.3">
      <c r="A21" s="447"/>
      <c r="B21" s="469" t="s">
        <v>311</v>
      </c>
      <c r="C21" s="3604"/>
      <c r="D21" s="3604"/>
      <c r="E21" s="3604"/>
      <c r="F21" s="3604"/>
      <c r="G21" s="3604"/>
      <c r="H21" s="3604"/>
      <c r="I21" s="3604"/>
      <c r="J21" s="3604"/>
      <c r="K21" s="3604"/>
      <c r="L21" s="3604"/>
      <c r="M21" s="3604"/>
      <c r="N21" s="3604"/>
      <c r="O21" s="3604"/>
      <c r="P21" s="3604"/>
      <c r="Q21" s="3604"/>
      <c r="R21" s="3604"/>
      <c r="S21" s="3604"/>
      <c r="T21" s="3604"/>
      <c r="U21" s="3604"/>
      <c r="V21" s="3604"/>
      <c r="W21" s="3604"/>
      <c r="X21" s="3604"/>
      <c r="Y21" s="3604"/>
      <c r="Z21" s="3604"/>
      <c r="AA21" s="3604"/>
      <c r="AB21" s="3604"/>
      <c r="AC21" s="3604"/>
      <c r="AD21" s="3604"/>
      <c r="AE21" s="3604"/>
      <c r="AF21" s="3604"/>
      <c r="AG21" s="3604"/>
      <c r="AH21" s="3604"/>
      <c r="AI21" s="3604"/>
      <c r="AJ21" s="3604"/>
      <c r="AK21" s="3604"/>
      <c r="AL21" s="3604"/>
      <c r="AM21" s="3604"/>
      <c r="AN21" s="3604"/>
      <c r="AO21" s="3604"/>
      <c r="AP21" s="3604"/>
      <c r="AQ21" s="3604"/>
      <c r="AR21" s="3604"/>
      <c r="AS21" s="3604"/>
      <c r="AT21" s="3604"/>
      <c r="AU21" s="3604"/>
      <c r="AV21" s="3604"/>
      <c r="AW21" s="3604"/>
      <c r="AX21" s="3604"/>
      <c r="AY21" s="3604"/>
      <c r="AZ21" s="3604"/>
      <c r="BA21" s="2388"/>
      <c r="BB21" s="428"/>
      <c r="CX21" s="3602"/>
      <c r="CY21" s="3602"/>
      <c r="CZ21" s="3603"/>
      <c r="DA21" s="3603"/>
      <c r="DB21" s="3603"/>
      <c r="DC21" s="3602"/>
      <c r="DD21" s="3602"/>
      <c r="DE21" s="3602"/>
    </row>
    <row r="22" spans="1:111" ht="19.5" hidden="1" customHeight="1" x14ac:dyDescent="0.3">
      <c r="A22" s="447"/>
      <c r="B22" s="472"/>
      <c r="C22" s="3605"/>
      <c r="D22" s="3605"/>
      <c r="E22" s="3605"/>
      <c r="F22" s="3605"/>
      <c r="G22" s="3605"/>
      <c r="H22" s="3605"/>
      <c r="I22" s="3605"/>
      <c r="J22" s="3605"/>
      <c r="K22" s="3605"/>
      <c r="L22" s="3605"/>
      <c r="M22" s="3605"/>
      <c r="N22" s="3605"/>
      <c r="O22" s="3605"/>
      <c r="P22" s="3605"/>
      <c r="Q22" s="3605"/>
      <c r="R22" s="3605"/>
      <c r="S22" s="3605"/>
      <c r="T22" s="3605"/>
      <c r="U22" s="3605"/>
      <c r="V22" s="3605"/>
      <c r="W22" s="3605"/>
      <c r="X22" s="3605"/>
      <c r="Y22" s="3605"/>
      <c r="Z22" s="3605"/>
      <c r="AA22" s="3605"/>
      <c r="AB22" s="3605"/>
      <c r="AC22" s="3605"/>
      <c r="AD22" s="3605"/>
      <c r="AE22" s="3605"/>
      <c r="AF22" s="3605"/>
      <c r="AG22" s="3605"/>
      <c r="AH22" s="3605"/>
      <c r="AI22" s="3605"/>
      <c r="AJ22" s="3605"/>
      <c r="AK22" s="3605"/>
      <c r="AL22" s="3605"/>
      <c r="AM22" s="3605"/>
      <c r="AN22" s="3605"/>
      <c r="AO22" s="3605"/>
      <c r="AP22" s="3605"/>
      <c r="AQ22" s="3605"/>
      <c r="AR22" s="3605"/>
      <c r="AS22" s="3605"/>
      <c r="AT22" s="3605"/>
      <c r="AU22" s="3605"/>
      <c r="AV22" s="3605"/>
      <c r="AW22" s="3605"/>
      <c r="AX22" s="3605"/>
      <c r="AY22" s="3605"/>
      <c r="AZ22" s="3605"/>
      <c r="BA22" s="474"/>
      <c r="BB22" s="428"/>
      <c r="CX22" s="3602"/>
      <c r="CY22" s="3602"/>
      <c r="CZ22" s="3603"/>
      <c r="DA22" s="3603"/>
      <c r="DB22" s="3603"/>
      <c r="DC22" s="3602"/>
      <c r="DD22" s="3602"/>
      <c r="DE22" s="3602"/>
    </row>
    <row r="23" spans="1:111" ht="30" hidden="1" customHeight="1" x14ac:dyDescent="0.3">
      <c r="A23" s="447"/>
      <c r="B23" s="476" t="s">
        <v>314</v>
      </c>
      <c r="C23" s="3606"/>
      <c r="D23" s="3606"/>
      <c r="E23" s="3606"/>
      <c r="F23" s="3606"/>
      <c r="G23" s="3606"/>
      <c r="H23" s="3606"/>
      <c r="I23" s="3606"/>
      <c r="J23" s="3606"/>
      <c r="K23" s="3606"/>
      <c r="L23" s="3606"/>
      <c r="M23" s="3606"/>
      <c r="N23" s="3606"/>
      <c r="O23" s="3606"/>
      <c r="P23" s="3606"/>
      <c r="Q23" s="3606"/>
      <c r="R23" s="3606"/>
      <c r="S23" s="3606"/>
      <c r="T23" s="3606"/>
      <c r="U23" s="3606"/>
      <c r="V23" s="3606"/>
      <c r="W23" s="3606"/>
      <c r="X23" s="3606"/>
      <c r="Y23" s="3606"/>
      <c r="Z23" s="3606"/>
      <c r="AA23" s="3606"/>
      <c r="AB23" s="3606"/>
      <c r="AC23" s="3606"/>
      <c r="AD23" s="3606"/>
      <c r="AE23" s="3606"/>
      <c r="AF23" s="3606"/>
      <c r="AG23" s="3606"/>
      <c r="AH23" s="3606"/>
      <c r="AI23" s="3606"/>
      <c r="AJ23" s="3606"/>
      <c r="AK23" s="3606"/>
      <c r="AL23" s="3606"/>
      <c r="AM23" s="3606"/>
      <c r="AN23" s="3606"/>
      <c r="AO23" s="3606"/>
      <c r="AP23" s="3606"/>
      <c r="AQ23" s="3606"/>
      <c r="AR23" s="3606"/>
      <c r="AS23" s="3606"/>
      <c r="AT23" s="3606"/>
      <c r="AU23" s="3606"/>
      <c r="AV23" s="3606"/>
      <c r="AW23" s="3606"/>
      <c r="AX23" s="3606"/>
      <c r="AY23" s="3606"/>
      <c r="AZ23" s="3606"/>
      <c r="BA23" s="478"/>
      <c r="BB23" s="1095"/>
      <c r="CX23" s="3602"/>
      <c r="CY23" s="3602"/>
      <c r="CZ23" s="3603"/>
      <c r="DA23" s="3603"/>
      <c r="DB23" s="3603"/>
      <c r="DC23" s="3602"/>
      <c r="DD23" s="3602"/>
      <c r="DE23" s="3602"/>
    </row>
    <row r="24" spans="1:111" ht="21" hidden="1" customHeight="1" x14ac:dyDescent="0.3">
      <c r="A24" s="447"/>
      <c r="B24" s="480" t="s">
        <v>315</v>
      </c>
      <c r="C24" s="3607"/>
      <c r="D24" s="3607"/>
      <c r="E24" s="3607"/>
      <c r="F24" s="3607"/>
      <c r="G24" s="3607"/>
      <c r="H24" s="3607"/>
      <c r="I24" s="3607"/>
      <c r="J24" s="3607"/>
      <c r="K24" s="3607"/>
      <c r="L24" s="3607"/>
      <c r="M24" s="3607"/>
      <c r="N24" s="3607"/>
      <c r="O24" s="3607"/>
      <c r="P24" s="3607"/>
      <c r="Q24" s="3607"/>
      <c r="R24" s="3607"/>
      <c r="S24" s="3607"/>
      <c r="T24" s="3607"/>
      <c r="U24" s="3607"/>
      <c r="V24" s="3607"/>
      <c r="W24" s="3607"/>
      <c r="X24" s="3607"/>
      <c r="Y24" s="3607"/>
      <c r="Z24" s="3607"/>
      <c r="AA24" s="3607"/>
      <c r="AB24" s="3607"/>
      <c r="AC24" s="3607"/>
      <c r="AD24" s="3607"/>
      <c r="AE24" s="3607"/>
      <c r="AF24" s="3607"/>
      <c r="AG24" s="3607"/>
      <c r="AH24" s="3607"/>
      <c r="AI24" s="3607"/>
      <c r="AJ24" s="3607"/>
      <c r="AK24" s="3607"/>
      <c r="AL24" s="3607"/>
      <c r="AM24" s="3607"/>
      <c r="AN24" s="3607"/>
      <c r="AO24" s="3607"/>
      <c r="AP24" s="3607"/>
      <c r="AQ24" s="3607"/>
      <c r="AR24" s="3607"/>
      <c r="AS24" s="3607"/>
      <c r="AT24" s="3607"/>
      <c r="AU24" s="3607"/>
      <c r="AV24" s="3607"/>
      <c r="AW24" s="3607"/>
      <c r="AX24" s="3607"/>
      <c r="AY24" s="3607"/>
      <c r="AZ24" s="3607"/>
      <c r="BA24" s="478"/>
      <c r="BB24" s="1096"/>
      <c r="CX24" s="3602"/>
      <c r="CY24" s="3602"/>
      <c r="CZ24" s="3603"/>
      <c r="DA24" s="3603"/>
      <c r="DB24" s="3603"/>
      <c r="DC24" s="3602"/>
      <c r="DD24" s="3602"/>
      <c r="DE24" s="3602"/>
    </row>
    <row r="25" spans="1:111" ht="19.5" customHeight="1" x14ac:dyDescent="0.4">
      <c r="A25" s="428"/>
      <c r="B25" s="465" t="s">
        <v>316</v>
      </c>
      <c r="C25" s="3601"/>
      <c r="D25" s="3601"/>
      <c r="E25" s="3601"/>
      <c r="F25" s="3601"/>
      <c r="G25" s="3601"/>
      <c r="H25" s="3601"/>
      <c r="I25" s="3601"/>
      <c r="J25" s="3601"/>
      <c r="K25" s="3601"/>
      <c r="L25" s="3601"/>
      <c r="M25" s="3601"/>
      <c r="N25" s="3601"/>
      <c r="O25" s="3601"/>
      <c r="P25" s="3601"/>
      <c r="Q25" s="3601"/>
      <c r="R25" s="3601"/>
      <c r="S25" s="3601"/>
      <c r="T25" s="3601"/>
      <c r="U25" s="3601"/>
      <c r="V25" s="3601"/>
      <c r="W25" s="3601"/>
      <c r="X25" s="3601"/>
      <c r="Y25" s="3601"/>
      <c r="Z25" s="3601"/>
      <c r="AA25" s="3601"/>
      <c r="AB25" s="3601"/>
      <c r="AC25" s="3601"/>
      <c r="AD25" s="3601"/>
      <c r="AE25" s="3601"/>
      <c r="AF25" s="3601"/>
      <c r="AG25" s="3601"/>
      <c r="AH25" s="3601"/>
      <c r="AI25" s="3601"/>
      <c r="AJ25" s="3601"/>
      <c r="AK25" s="3601"/>
      <c r="AL25" s="3601"/>
      <c r="AM25" s="3601"/>
      <c r="AN25" s="3601"/>
      <c r="AO25" s="3601"/>
      <c r="AP25" s="3601"/>
      <c r="AQ25" s="3601"/>
      <c r="AR25" s="3601"/>
      <c r="AS25" s="3601"/>
      <c r="AT25" s="3601"/>
      <c r="AU25" s="3601"/>
      <c r="AV25" s="3601"/>
      <c r="AW25" s="3601"/>
      <c r="AX25" s="3601"/>
      <c r="AY25" s="3601"/>
      <c r="AZ25" s="3601"/>
      <c r="BA25" s="2955"/>
      <c r="BB25" s="484"/>
      <c r="BD25" s="1850" t="s">
        <v>316</v>
      </c>
      <c r="BE25" s="3608"/>
      <c r="BF25" s="3608"/>
      <c r="BG25" s="3608"/>
      <c r="BH25" s="3608"/>
      <c r="BI25" s="3608"/>
      <c r="BJ25" s="3608"/>
      <c r="BK25" s="3608"/>
      <c r="BL25" s="3608"/>
      <c r="BM25" s="3608"/>
      <c r="BN25" s="3608"/>
      <c r="BO25" s="3608"/>
      <c r="BP25" s="3608"/>
      <c r="BQ25" s="3608"/>
      <c r="BR25" s="3608"/>
      <c r="BS25" s="3608"/>
      <c r="BT25" s="3608"/>
      <c r="BU25" s="3608"/>
      <c r="BV25" s="3608"/>
      <c r="BW25" s="3608"/>
      <c r="BX25" s="3608"/>
      <c r="BY25" s="3608"/>
      <c r="BZ25" s="3608"/>
      <c r="CA25" s="3608"/>
      <c r="CB25" s="3608"/>
      <c r="CC25" s="3608"/>
      <c r="CD25" s="3608"/>
      <c r="CE25" s="3608"/>
      <c r="CF25" s="3608"/>
      <c r="CG25" s="3608"/>
      <c r="CH25" s="3608"/>
      <c r="CI25" s="3608"/>
      <c r="CJ25" s="3608"/>
      <c r="CK25" s="3608"/>
      <c r="CL25" s="3608"/>
      <c r="CM25" s="3608"/>
      <c r="CN25" s="3608"/>
      <c r="CO25" s="3608"/>
      <c r="CP25" s="3608"/>
      <c r="CQ25" s="3608"/>
      <c r="CR25" s="3608"/>
      <c r="CS25" s="3608"/>
      <c r="CT25" s="3608"/>
      <c r="CU25" s="3608"/>
      <c r="CV25" s="3609"/>
      <c r="CW25" s="3324"/>
      <c r="CX25" s="3610"/>
      <c r="CY25" s="3610"/>
      <c r="CZ25" s="1852"/>
      <c r="DA25" s="3324"/>
      <c r="DB25" s="3324"/>
      <c r="DC25" s="3610"/>
      <c r="DD25" s="3610"/>
      <c r="DE25" s="3324"/>
      <c r="DG25" s="2627"/>
    </row>
    <row r="26" spans="1:111" ht="36.75" customHeight="1" x14ac:dyDescent="0.3">
      <c r="A26" s="447"/>
      <c r="B26" s="469" t="s">
        <v>183</v>
      </c>
      <c r="C26" s="3577" t="s">
        <v>1740</v>
      </c>
      <c r="D26" s="3577" t="s">
        <v>1740</v>
      </c>
      <c r="E26" s="3577" t="s">
        <v>1740</v>
      </c>
      <c r="F26" s="3577" t="s">
        <v>1740</v>
      </c>
      <c r="G26" s="3577" t="s">
        <v>1740</v>
      </c>
      <c r="H26" s="3577" t="s">
        <v>1740</v>
      </c>
      <c r="I26" s="3577" t="s">
        <v>1740</v>
      </c>
      <c r="J26" s="3577" t="s">
        <v>1740</v>
      </c>
      <c r="K26" s="3577" t="s">
        <v>1740</v>
      </c>
      <c r="L26" s="3577" t="s">
        <v>1740</v>
      </c>
      <c r="M26" s="3577" t="s">
        <v>1740</v>
      </c>
      <c r="N26" s="3577" t="s">
        <v>1740</v>
      </c>
      <c r="O26" s="3577" t="s">
        <v>1740</v>
      </c>
      <c r="P26" s="3577" t="s">
        <v>1740</v>
      </c>
      <c r="Q26" s="3577" t="s">
        <v>1740</v>
      </c>
      <c r="R26" s="3577" t="s">
        <v>1740</v>
      </c>
      <c r="S26" s="3577" t="s">
        <v>1740</v>
      </c>
      <c r="T26" s="3577" t="s">
        <v>1740</v>
      </c>
      <c r="U26" s="3577" t="s">
        <v>1740</v>
      </c>
      <c r="V26" s="3577" t="s">
        <v>1740</v>
      </c>
      <c r="W26" s="3577" t="s">
        <v>1740</v>
      </c>
      <c r="X26" s="3577" t="s">
        <v>1740</v>
      </c>
      <c r="Y26" s="3577" t="s">
        <v>1740</v>
      </c>
      <c r="Z26" s="3577" t="s">
        <v>1740</v>
      </c>
      <c r="AA26" s="3577" t="s">
        <v>1740</v>
      </c>
      <c r="AB26" s="3577" t="s">
        <v>1740</v>
      </c>
      <c r="AC26" s="3577" t="s">
        <v>1740</v>
      </c>
      <c r="AD26" s="3577" t="s">
        <v>1740</v>
      </c>
      <c r="AE26" s="3577" t="s">
        <v>1740</v>
      </c>
      <c r="AF26" s="3577" t="s">
        <v>1740</v>
      </c>
      <c r="AG26" s="3577" t="s">
        <v>1740</v>
      </c>
      <c r="AH26" s="3577" t="s">
        <v>1740</v>
      </c>
      <c r="AI26" s="3577" t="s">
        <v>1740</v>
      </c>
      <c r="AJ26" s="3577" t="s">
        <v>1740</v>
      </c>
      <c r="AK26" s="3577" t="s">
        <v>1740</v>
      </c>
      <c r="AL26" s="3577" t="s">
        <v>1740</v>
      </c>
      <c r="AM26" s="3577" t="s">
        <v>1740</v>
      </c>
      <c r="AN26" s="3577" t="s">
        <v>1740</v>
      </c>
      <c r="AO26" s="3577" t="s">
        <v>1740</v>
      </c>
      <c r="AP26" s="3577" t="s">
        <v>1740</v>
      </c>
      <c r="AQ26" s="3577" t="s">
        <v>1740</v>
      </c>
      <c r="AR26" s="3577" t="s">
        <v>1740</v>
      </c>
      <c r="AS26" s="3577" t="s">
        <v>1740</v>
      </c>
      <c r="AT26" s="3577" t="s">
        <v>1740</v>
      </c>
      <c r="AU26" s="3577" t="s">
        <v>1740</v>
      </c>
      <c r="AV26" s="3577" t="s">
        <v>1740</v>
      </c>
      <c r="AW26" s="3577" t="s">
        <v>1740</v>
      </c>
      <c r="AX26" s="3577" t="s">
        <v>1740</v>
      </c>
      <c r="AY26" s="3577" t="s">
        <v>1740</v>
      </c>
      <c r="AZ26" s="3577" t="s">
        <v>1740</v>
      </c>
      <c r="BA26" s="479"/>
      <c r="BB26" s="485"/>
      <c r="BD26" s="1820" t="s">
        <v>183</v>
      </c>
      <c r="BE26" s="3577" t="s">
        <v>1741</v>
      </c>
      <c r="BF26" s="3577" t="s">
        <v>1741</v>
      </c>
      <c r="BG26" s="3577" t="s">
        <v>1741</v>
      </c>
      <c r="BH26" s="3577" t="s">
        <v>1741</v>
      </c>
      <c r="BI26" s="3577" t="s">
        <v>1741</v>
      </c>
      <c r="BJ26" s="3577" t="s">
        <v>1741</v>
      </c>
      <c r="BK26" s="3577" t="s">
        <v>1741</v>
      </c>
      <c r="BL26" s="3577" t="s">
        <v>1741</v>
      </c>
      <c r="BM26" s="3577" t="s">
        <v>1741</v>
      </c>
      <c r="BN26" s="3577" t="s">
        <v>1741</v>
      </c>
      <c r="BO26" s="3577" t="s">
        <v>1741</v>
      </c>
      <c r="BP26" s="3577" t="s">
        <v>1741</v>
      </c>
      <c r="BQ26" s="3577" t="s">
        <v>1741</v>
      </c>
      <c r="BR26" s="3577" t="s">
        <v>1741</v>
      </c>
      <c r="BS26" s="3577" t="s">
        <v>1741</v>
      </c>
      <c r="BT26" s="3577" t="s">
        <v>1741</v>
      </c>
      <c r="BU26" s="3577" t="s">
        <v>1741</v>
      </c>
      <c r="BV26" s="3577" t="s">
        <v>1741</v>
      </c>
      <c r="BW26" s="3577" t="s">
        <v>1741</v>
      </c>
      <c r="BX26" s="3577" t="s">
        <v>1741</v>
      </c>
      <c r="BY26" s="3577" t="s">
        <v>1741</v>
      </c>
      <c r="BZ26" s="3577" t="s">
        <v>1741</v>
      </c>
      <c r="CA26" s="3577" t="s">
        <v>1741</v>
      </c>
      <c r="CB26" s="3577" t="s">
        <v>1741</v>
      </c>
      <c r="CC26" s="3577" t="s">
        <v>1741</v>
      </c>
      <c r="CD26" s="3577" t="s">
        <v>1741</v>
      </c>
      <c r="CE26" s="3577" t="s">
        <v>1741</v>
      </c>
      <c r="CF26" s="3577" t="s">
        <v>1741</v>
      </c>
      <c r="CG26" s="3577" t="s">
        <v>1741</v>
      </c>
      <c r="CH26" s="3577" t="s">
        <v>1741</v>
      </c>
      <c r="CI26" s="3577" t="s">
        <v>1741</v>
      </c>
      <c r="CJ26" s="3577" t="s">
        <v>1741</v>
      </c>
      <c r="CK26" s="3577" t="s">
        <v>1741</v>
      </c>
      <c r="CL26" s="3577" t="s">
        <v>1741</v>
      </c>
      <c r="CM26" s="3577" t="s">
        <v>1741</v>
      </c>
      <c r="CN26" s="3577" t="s">
        <v>1741</v>
      </c>
      <c r="CO26" s="3577" t="s">
        <v>1741</v>
      </c>
      <c r="CP26" s="3577" t="s">
        <v>1741</v>
      </c>
      <c r="CQ26" s="3577" t="s">
        <v>1741</v>
      </c>
      <c r="CR26" s="3577" t="s">
        <v>1741</v>
      </c>
      <c r="CS26" s="3577" t="s">
        <v>1741</v>
      </c>
      <c r="CT26" s="3577" t="s">
        <v>1741</v>
      </c>
      <c r="CU26" s="3577" t="s">
        <v>1741</v>
      </c>
      <c r="CV26" s="3578" t="s">
        <v>1741</v>
      </c>
      <c r="CW26" s="3579" t="s">
        <v>1741</v>
      </c>
      <c r="CX26" s="3611" t="s">
        <v>1741</v>
      </c>
      <c r="CY26" s="3612" t="s">
        <v>1741</v>
      </c>
      <c r="CZ26" s="3579" t="s">
        <v>1741</v>
      </c>
      <c r="DA26" s="3579" t="s">
        <v>1741</v>
      </c>
      <c r="DB26" s="3611" t="s">
        <v>1741</v>
      </c>
      <c r="DC26" s="3581" t="s">
        <v>1742</v>
      </c>
      <c r="DD26" s="3581" t="s">
        <v>1729</v>
      </c>
      <c r="DE26" s="3581" t="s">
        <v>1743</v>
      </c>
      <c r="DG26" s="2627"/>
    </row>
    <row r="27" spans="1:111" ht="22.2" customHeight="1" x14ac:dyDescent="0.3">
      <c r="A27" s="447"/>
      <c r="B27" s="3325" t="s">
        <v>1744</v>
      </c>
      <c r="C27" s="3613">
        <f>C17*'CF-1603|GDS'!$I$12</f>
        <v>8284.2661491738127</v>
      </c>
      <c r="D27" s="3613">
        <f>D17*'CF-1603|GDS'!$I$12</f>
        <v>19211.920867089604</v>
      </c>
      <c r="E27" s="3613">
        <f>E17*'CF-1603|GDS'!$I$12</f>
        <v>23301.026841904972</v>
      </c>
      <c r="F27" s="3613">
        <f>F17*'CF-1603|GDS'!$I$12</f>
        <v>8531.2449318562594</v>
      </c>
      <c r="G27" s="3613">
        <f>G17*'CF-1603|GDS'!$I$12</f>
        <v>63277.391357764514</v>
      </c>
      <c r="H27" s="3613">
        <f>H17*'CF-1603|GDS'!$I$12</f>
        <v>0</v>
      </c>
      <c r="I27" s="3613">
        <f>I17*'CF-1603|GDS'!$I$12</f>
        <v>146981.03899323035</v>
      </c>
      <c r="J27" s="3613">
        <f>J17*'CF-1603|GDS'!$I$12</f>
        <v>17521.577045481143</v>
      </c>
      <c r="K27" s="3613">
        <f>K17*'CF-1603|GDS'!$I$12</f>
        <v>2528.6958444644424</v>
      </c>
      <c r="L27" s="3613">
        <f>L17*'CF-1603|GDS'!$I$12</f>
        <v>626.24362376980559</v>
      </c>
      <c r="M27" s="3613">
        <f>M17*'CF-1603|GDS'!$I$12</f>
        <v>7647.7630417948994</v>
      </c>
      <c r="N27" s="3613">
        <f>N17*'CF-1603|GDS'!$I$12</f>
        <v>33879.661439199561</v>
      </c>
      <c r="O27" s="3613">
        <f>O17*'CF-1603|GDS'!$I$12</f>
        <v>0</v>
      </c>
      <c r="P27" s="3613">
        <f>P17*'CF-1603|GDS'!$I$12</f>
        <v>4158.826974216754</v>
      </c>
      <c r="Q27" s="3613">
        <f>Q17*'CF-1603|GDS'!$I$12</f>
        <v>0</v>
      </c>
      <c r="R27" s="3613">
        <f>R17*'CF-1603|GDS'!$I$12</f>
        <v>8572.7770610715488</v>
      </c>
      <c r="S27" s="3613">
        <f>S17*'CF-1603|GDS'!$I$12</f>
        <v>0</v>
      </c>
      <c r="T27" s="3613">
        <f>T17*'CF-1603|GDS'!$I$12</f>
        <v>41343.030525106689</v>
      </c>
      <c r="U27" s="3613">
        <f>U17*'CF-1603|GDS'!$I$12</f>
        <v>417.10039335678346</v>
      </c>
      <c r="V27" s="3613">
        <f>V17*'CF-1603|GDS'!$I$12</f>
        <v>46875.244557563048</v>
      </c>
      <c r="W27" s="3613">
        <f>W17*'CF-1603|GDS'!$I$12</f>
        <v>0</v>
      </c>
      <c r="X27" s="3613">
        <f>X17*'CF-1603|GDS'!$I$12</f>
        <v>14288.614105560677</v>
      </c>
      <c r="Y27" s="3613">
        <f>Y17*'CF-1603|GDS'!$I$12</f>
        <v>27254.288555907639</v>
      </c>
      <c r="Z27" s="3613">
        <f>Z17*'CF-1603|GDS'!$I$12</f>
        <v>1244.5801310778713</v>
      </c>
      <c r="AA27" s="3613">
        <f>AA17*'CF-1603|GDS'!$I$12</f>
        <v>8102.8175941680338</v>
      </c>
      <c r="AB27" s="3613">
        <f>AB17*'CF-1603|GDS'!$I$12</f>
        <v>7449.8874523398563</v>
      </c>
      <c r="AC27" s="3613">
        <f>AC17*'CF-1603|GDS'!$I$12</f>
        <v>9486.9583307956163</v>
      </c>
      <c r="AD27" s="3613">
        <f>AD17*'CF-1603|GDS'!$I$12</f>
        <v>21149.856272906301</v>
      </c>
      <c r="AE27" s="3613">
        <f>AE17*'CF-1603|GDS'!$I$12</f>
        <v>4022.2117695490429</v>
      </c>
      <c r="AF27" s="3613">
        <f>AF17*'CF-1603|GDS'!$I$12</f>
        <v>3642.4922692651348</v>
      </c>
      <c r="AG27" s="3613">
        <f>AG17*'CF-1603|GDS'!$I$12</f>
        <v>6048.0150070468226</v>
      </c>
      <c r="AH27" s="3613">
        <f>AH17*'CF-1603|GDS'!$I$12</f>
        <v>523.35227081141431</v>
      </c>
      <c r="AI27" s="3613">
        <f>AI17*'CF-1603|GDS'!$I$12</f>
        <v>10828.440174112111</v>
      </c>
      <c r="AJ27" s="3613">
        <f>AJ17*'CF-1603|GDS'!$I$12</f>
        <v>0</v>
      </c>
      <c r="AK27" s="3613">
        <f>AK17*'CF-1603|GDS'!$I$12</f>
        <v>9525.169471096975</v>
      </c>
      <c r="AL27" s="3613">
        <f>AL17*'CF-1603|GDS'!$I$12</f>
        <v>562.17621263855756</v>
      </c>
      <c r="AM27" s="3613">
        <f>AM17*'CF-1603|GDS'!$I$12</f>
        <v>60988.577658958107</v>
      </c>
      <c r="AN27" s="3613">
        <f>AN17*'CF-1603|GDS'!$I$12</f>
        <v>0</v>
      </c>
      <c r="AO27" s="3613">
        <f>AO17*'CF-1603|GDS'!$I$12</f>
        <v>4944.359459108312</v>
      </c>
      <c r="AP27" s="3613">
        <f>AP17*'CF-1603|GDS'!$I$12</f>
        <v>4908.5402215366303</v>
      </c>
      <c r="AQ27" s="3613">
        <f>AQ17*'CF-1603|GDS'!$I$12</f>
        <v>303.53443317504309</v>
      </c>
      <c r="AR27" s="3613">
        <f>AR17*'CF-1603|GDS'!$I$12</f>
        <v>6783.0012499567074</v>
      </c>
      <c r="AS27" s="3613">
        <f>AS17*'CF-1603|GDS'!$I$12</f>
        <v>0</v>
      </c>
      <c r="AT27" s="3613">
        <f>AT17*'CF-1603|GDS'!$I$12</f>
        <v>0</v>
      </c>
      <c r="AU27" s="3613">
        <f>AU17*'CF-1603|GDS'!$I$12</f>
        <v>671.21534864595174</v>
      </c>
      <c r="AV27" s="3613">
        <f>AV17*'CF-1603|GDS'!$I$12</f>
        <v>742.51777133969188</v>
      </c>
      <c r="AW27" s="3613">
        <f>AW17*'CF-1603|GDS'!$I$12</f>
        <v>951.0284324357749</v>
      </c>
      <c r="AX27" s="3613">
        <f>AX17*'CF-1603|GDS'!$I$12</f>
        <v>1030.8903086993487</v>
      </c>
      <c r="AY27" s="3613">
        <f>AY17*'CF-1603|GDS'!$I$12</f>
        <v>2511.3001882486146</v>
      </c>
      <c r="AZ27" s="3613">
        <f>AZ17*'CF-1603|GDS'!$I$12</f>
        <v>1116.6825223092274</v>
      </c>
      <c r="BA27" s="479"/>
      <c r="BB27" s="488"/>
      <c r="BD27" s="1862" t="s">
        <v>398</v>
      </c>
      <c r="BE27" s="3614">
        <f t="shared" ref="BE27:CJ27" si="10">BE17</f>
        <v>419.07900000000001</v>
      </c>
      <c r="BF27" s="3615">
        <f t="shared" si="10"/>
        <v>971.88</v>
      </c>
      <c r="BG27" s="3616">
        <f t="shared" si="10"/>
        <v>1178.7370000000001</v>
      </c>
      <c r="BH27" s="3615">
        <f t="shared" si="10"/>
        <v>431.57299999999998</v>
      </c>
      <c r="BI27" s="3617">
        <f t="shared" si="10"/>
        <v>3201.0349999999999</v>
      </c>
      <c r="BJ27" s="3618">
        <f t="shared" si="10"/>
        <v>0</v>
      </c>
      <c r="BK27" s="3616">
        <f t="shared" si="10"/>
        <v>6941.8984315323451</v>
      </c>
      <c r="BL27" s="3619">
        <f t="shared" si="10"/>
        <v>886.37</v>
      </c>
      <c r="BM27" s="3619">
        <f t="shared" si="10"/>
        <v>127.92</v>
      </c>
      <c r="BN27" s="3619">
        <f t="shared" si="10"/>
        <v>31.68</v>
      </c>
      <c r="BO27" s="3619">
        <f t="shared" si="10"/>
        <v>386.88</v>
      </c>
      <c r="BP27" s="3620">
        <f t="shared" si="10"/>
        <v>1713.8820000000001</v>
      </c>
      <c r="BQ27" s="3614">
        <f t="shared" si="10"/>
        <v>0</v>
      </c>
      <c r="BR27" s="3619">
        <f t="shared" si="10"/>
        <v>210.38399999999999</v>
      </c>
      <c r="BS27" s="3618">
        <f t="shared" si="10"/>
        <v>0</v>
      </c>
      <c r="BT27" s="3614">
        <f t="shared" si="10"/>
        <v>433.67399999999998</v>
      </c>
      <c r="BU27" s="3615">
        <f t="shared" si="10"/>
        <v>0</v>
      </c>
      <c r="BV27" s="3620">
        <f t="shared" si="10"/>
        <v>2091.4340000000002</v>
      </c>
      <c r="BW27" s="3619">
        <f t="shared" si="10"/>
        <v>21.1</v>
      </c>
      <c r="BX27" s="3621">
        <f t="shared" si="10"/>
        <v>2371.2939999999999</v>
      </c>
      <c r="BY27" s="3619">
        <f t="shared" si="10"/>
        <v>0</v>
      </c>
      <c r="BZ27" s="3619">
        <f t="shared" si="10"/>
        <v>722.82299999999998</v>
      </c>
      <c r="CA27" s="3620">
        <f t="shared" si="10"/>
        <v>1378.722</v>
      </c>
      <c r="CB27" s="3614">
        <f t="shared" si="10"/>
        <v>62.96</v>
      </c>
      <c r="CC27" s="3615">
        <f t="shared" si="10"/>
        <v>409.9</v>
      </c>
      <c r="CD27" s="3614">
        <f t="shared" si="10"/>
        <v>376.87</v>
      </c>
      <c r="CE27" s="3619">
        <f t="shared" si="10"/>
        <v>479.92</v>
      </c>
      <c r="CF27" s="3619">
        <f t="shared" si="10"/>
        <v>1069.915</v>
      </c>
      <c r="CG27" s="3619">
        <f t="shared" si="10"/>
        <v>203.47300000000001</v>
      </c>
      <c r="CH27" s="3619">
        <f t="shared" si="10"/>
        <v>184.26400000000001</v>
      </c>
      <c r="CI27" s="3619">
        <f t="shared" si="10"/>
        <v>305.95299999999997</v>
      </c>
      <c r="CJ27" s="3619">
        <f t="shared" si="10"/>
        <v>26.475000000000001</v>
      </c>
      <c r="CK27" s="3619">
        <f t="shared" ref="CK27:DE27" si="11">CK17</f>
        <v>547.78200000000004</v>
      </c>
      <c r="CL27" s="3619">
        <f t="shared" si="11"/>
        <v>0</v>
      </c>
      <c r="CM27" s="3620">
        <f t="shared" si="11"/>
        <v>481.85300000000001</v>
      </c>
      <c r="CN27" s="3614">
        <f t="shared" si="11"/>
        <v>28.439</v>
      </c>
      <c r="CO27" s="3621">
        <f t="shared" si="11"/>
        <v>3085.25</v>
      </c>
      <c r="CP27" s="3619">
        <f t="shared" si="11"/>
        <v>0</v>
      </c>
      <c r="CQ27" s="3619">
        <f t="shared" si="11"/>
        <v>250.12200000000001</v>
      </c>
      <c r="CR27" s="3615">
        <f t="shared" si="11"/>
        <v>248.31</v>
      </c>
      <c r="CS27" s="3615">
        <f t="shared" si="11"/>
        <v>15.355</v>
      </c>
      <c r="CT27" s="3614">
        <f t="shared" si="11"/>
        <v>343.13400000000001</v>
      </c>
      <c r="CU27" s="3619">
        <f t="shared" si="11"/>
        <v>0</v>
      </c>
      <c r="CV27" s="3619">
        <f t="shared" si="11"/>
        <v>0</v>
      </c>
      <c r="CW27" s="1865">
        <f t="shared" si="11"/>
        <v>33.954999999999998</v>
      </c>
      <c r="CX27" s="3622">
        <f t="shared" si="11"/>
        <v>37.561999999999998</v>
      </c>
      <c r="CY27" s="3622">
        <f t="shared" si="11"/>
        <v>48.11</v>
      </c>
      <c r="CZ27" s="1865">
        <f t="shared" si="11"/>
        <v>52.15</v>
      </c>
      <c r="DA27" s="1864">
        <f t="shared" si="11"/>
        <v>127.04</v>
      </c>
      <c r="DB27" s="1865">
        <f t="shared" si="11"/>
        <v>56.49</v>
      </c>
      <c r="DC27" s="1865">
        <f t="shared" si="11"/>
        <v>607.06816000000003</v>
      </c>
      <c r="DD27" s="3622">
        <f t="shared" si="11"/>
        <v>16.960999999999999</v>
      </c>
      <c r="DE27" s="3622">
        <f t="shared" si="11"/>
        <v>36.450000000000003</v>
      </c>
      <c r="DF27" s="1430"/>
      <c r="DG27" s="3335"/>
    </row>
    <row r="28" spans="1:111" ht="22.2" customHeight="1" x14ac:dyDescent="0.3">
      <c r="A28" s="447"/>
      <c r="B28" s="489" t="s">
        <v>314</v>
      </c>
      <c r="C28" s="3623">
        <v>1.9363110000000002E-3</v>
      </c>
      <c r="D28" s="3623">
        <v>1.9363110000000002E-3</v>
      </c>
      <c r="E28" s="3623">
        <v>1.9363110000000002E-3</v>
      </c>
      <c r="F28" s="3623">
        <v>1.9363110000000002E-3</v>
      </c>
      <c r="G28" s="3623">
        <v>1.9363110000000002E-3</v>
      </c>
      <c r="H28" s="3623">
        <v>0</v>
      </c>
      <c r="I28" s="3623">
        <v>1.9363110000000002E-3</v>
      </c>
      <c r="J28" s="3623">
        <v>1.9363110000000002E-3</v>
      </c>
      <c r="K28" s="3623">
        <v>1.9363110000000002E-3</v>
      </c>
      <c r="L28" s="3623">
        <v>1.9363110000000002E-3</v>
      </c>
      <c r="M28" s="3623">
        <v>1.9363110000000002E-3</v>
      </c>
      <c r="N28" s="3623">
        <v>1.9363110000000002E-3</v>
      </c>
      <c r="O28" s="3623">
        <v>0</v>
      </c>
      <c r="P28" s="3623">
        <v>1.9363110000000002E-3</v>
      </c>
      <c r="Q28" s="3623">
        <v>0</v>
      </c>
      <c r="R28" s="3623">
        <v>1.9363110000000002E-3</v>
      </c>
      <c r="S28" s="3623">
        <v>0</v>
      </c>
      <c r="T28" s="3623">
        <v>1.9363110000000002E-3</v>
      </c>
      <c r="U28" s="3623">
        <v>1.9363110000000002E-3</v>
      </c>
      <c r="V28" s="3623">
        <v>1.9363110000000002E-3</v>
      </c>
      <c r="W28" s="3623">
        <v>0</v>
      </c>
      <c r="X28" s="3623">
        <v>1.9363110000000002E-3</v>
      </c>
      <c r="Y28" s="3623">
        <v>1.9363110000000002E-3</v>
      </c>
      <c r="Z28" s="3623">
        <v>1.9363110000000002E-3</v>
      </c>
      <c r="AA28" s="3623">
        <v>1.9363110000000002E-3</v>
      </c>
      <c r="AB28" s="3623">
        <v>1.9363110000000002E-3</v>
      </c>
      <c r="AC28" s="3623">
        <v>1.9363110000000002E-3</v>
      </c>
      <c r="AD28" s="3623">
        <v>1.9363110000000002E-3</v>
      </c>
      <c r="AE28" s="3623">
        <v>1.9363110000000002E-3</v>
      </c>
      <c r="AF28" s="3623">
        <v>1.9363110000000002E-3</v>
      </c>
      <c r="AG28" s="3623">
        <v>1.9363110000000002E-3</v>
      </c>
      <c r="AH28" s="3623">
        <v>1.9363110000000002E-3</v>
      </c>
      <c r="AI28" s="3623">
        <v>1.9363110000000002E-3</v>
      </c>
      <c r="AJ28" s="3623">
        <v>0</v>
      </c>
      <c r="AK28" s="3623">
        <v>1.9363110000000002E-3</v>
      </c>
      <c r="AL28" s="3623">
        <v>1.9363110000000002E-3</v>
      </c>
      <c r="AM28" s="3623">
        <v>1.9363110000000002E-3</v>
      </c>
      <c r="AN28" s="3623">
        <v>0</v>
      </c>
      <c r="AO28" s="3623">
        <v>1.9363110000000002E-3</v>
      </c>
      <c r="AP28" s="3623">
        <v>1.9363110000000002E-3</v>
      </c>
      <c r="AQ28" s="3623">
        <v>1.9363110000000002E-3</v>
      </c>
      <c r="AR28" s="3623">
        <v>1.9363110000000002E-3</v>
      </c>
      <c r="AS28" s="3623">
        <v>0</v>
      </c>
      <c r="AT28" s="3623">
        <v>0</v>
      </c>
      <c r="AU28" s="3623">
        <v>1.9363110000000002E-3</v>
      </c>
      <c r="AV28" s="3623">
        <v>1.9363110000000002E-3</v>
      </c>
      <c r="AW28" s="3623">
        <v>1.9363110000000002E-3</v>
      </c>
      <c r="AX28" s="3623">
        <v>1.9363110000000002E-3</v>
      </c>
      <c r="AY28" s="3623">
        <v>1.9363110000000002E-3</v>
      </c>
      <c r="AZ28" s="3623">
        <v>1.9363110000000002E-3</v>
      </c>
      <c r="BA28" s="2951"/>
      <c r="BB28" s="491"/>
      <c r="BD28" s="1868" t="s">
        <v>314</v>
      </c>
      <c r="BE28" s="4053">
        <v>0</v>
      </c>
      <c r="BF28" s="4053">
        <v>0</v>
      </c>
      <c r="BG28" s="4053">
        <v>0</v>
      </c>
      <c r="BH28" s="4053">
        <v>0</v>
      </c>
      <c r="BI28" s="4053">
        <v>0</v>
      </c>
      <c r="BJ28" s="4053">
        <v>0</v>
      </c>
      <c r="BK28" s="4053">
        <v>0</v>
      </c>
      <c r="BL28" s="4053">
        <v>0</v>
      </c>
      <c r="BM28" s="4053">
        <v>0</v>
      </c>
      <c r="BN28" s="4053">
        <v>0</v>
      </c>
      <c r="BO28" s="4053">
        <v>0</v>
      </c>
      <c r="BP28" s="4053">
        <v>0</v>
      </c>
      <c r="BQ28" s="4053">
        <v>0</v>
      </c>
      <c r="BR28" s="4053">
        <v>0</v>
      </c>
      <c r="BS28" s="4053">
        <v>0</v>
      </c>
      <c r="BT28" s="4053">
        <v>0</v>
      </c>
      <c r="BU28" s="4053">
        <v>0</v>
      </c>
      <c r="BV28" s="4053">
        <v>0</v>
      </c>
      <c r="BW28" s="4053">
        <v>0</v>
      </c>
      <c r="BX28" s="4053">
        <v>0</v>
      </c>
      <c r="BY28" s="4053">
        <v>0</v>
      </c>
      <c r="BZ28" s="4053">
        <v>0</v>
      </c>
      <c r="CA28" s="4053">
        <v>0</v>
      </c>
      <c r="CB28" s="4053">
        <v>0</v>
      </c>
      <c r="CC28" s="4053">
        <v>0</v>
      </c>
      <c r="CD28" s="4053">
        <v>0</v>
      </c>
      <c r="CE28" s="4053">
        <v>0</v>
      </c>
      <c r="CF28" s="4053">
        <v>0</v>
      </c>
      <c r="CG28" s="4053">
        <v>0</v>
      </c>
      <c r="CH28" s="4053">
        <v>0</v>
      </c>
      <c r="CI28" s="4053">
        <v>0</v>
      </c>
      <c r="CJ28" s="4053">
        <v>0</v>
      </c>
      <c r="CK28" s="4053">
        <v>0</v>
      </c>
      <c r="CL28" s="4053">
        <v>0</v>
      </c>
      <c r="CM28" s="4053">
        <v>0</v>
      </c>
      <c r="CN28" s="4053">
        <v>0</v>
      </c>
      <c r="CO28" s="4053">
        <v>0</v>
      </c>
      <c r="CP28" s="4053">
        <v>0</v>
      </c>
      <c r="CQ28" s="4053">
        <v>0</v>
      </c>
      <c r="CR28" s="4053">
        <v>0</v>
      </c>
      <c r="CS28" s="4053">
        <v>0</v>
      </c>
      <c r="CT28" s="4053">
        <v>0</v>
      </c>
      <c r="CU28" s="4053">
        <v>0</v>
      </c>
      <c r="CV28" s="4054">
        <v>0</v>
      </c>
      <c r="CW28" s="1871">
        <v>0</v>
      </c>
      <c r="CX28" s="3624">
        <v>0</v>
      </c>
      <c r="CY28" s="3624">
        <v>0</v>
      </c>
      <c r="CZ28" s="3624">
        <v>0</v>
      </c>
      <c r="DA28" s="1872">
        <v>0</v>
      </c>
      <c r="DB28" s="1870">
        <v>0</v>
      </c>
      <c r="DC28" s="1870">
        <v>0</v>
      </c>
      <c r="DD28" s="3625">
        <v>0</v>
      </c>
      <c r="DE28" s="3624">
        <v>0</v>
      </c>
      <c r="DF28" s="1430"/>
      <c r="DG28" s="3336"/>
    </row>
    <row r="29" spans="1:111" ht="22.2" customHeight="1" x14ac:dyDescent="0.3">
      <c r="A29" s="447"/>
      <c r="B29" s="492" t="s">
        <v>315</v>
      </c>
      <c r="C29" s="3626">
        <f t="shared" ref="C29:AZ29" si="12">C27*C28</f>
        <v>16.040915671572897</v>
      </c>
      <c r="D29" s="3626">
        <f t="shared" si="12"/>
        <v>37.200253706075145</v>
      </c>
      <c r="E29" s="3626">
        <f t="shared" si="12"/>
        <v>45.118034585275865</v>
      </c>
      <c r="F29" s="3626">
        <f t="shared" si="12"/>
        <v>16.519143405247526</v>
      </c>
      <c r="G29" s="3626">
        <f t="shared" si="12"/>
        <v>122.52470893734439</v>
      </c>
      <c r="H29" s="3627">
        <f t="shared" si="12"/>
        <v>0</v>
      </c>
      <c r="I29" s="3626">
        <f t="shared" si="12"/>
        <v>284.60100259402088</v>
      </c>
      <c r="J29" s="3626">
        <f t="shared" si="12"/>
        <v>33.927222370512638</v>
      </c>
      <c r="K29" s="3626">
        <f t="shared" si="12"/>
        <v>4.8963415792907892</v>
      </c>
      <c r="L29" s="3626">
        <f t="shared" si="12"/>
        <v>1.2126024173853363</v>
      </c>
      <c r="M29" s="3626">
        <f t="shared" si="12"/>
        <v>14.808447703220926</v>
      </c>
      <c r="N29" s="3626">
        <f t="shared" si="12"/>
        <v>65.601561120997943</v>
      </c>
      <c r="O29" s="3626">
        <f t="shared" si="12"/>
        <v>0</v>
      </c>
      <c r="P29" s="3626">
        <f t="shared" si="12"/>
        <v>8.0527824172726188</v>
      </c>
      <c r="Q29" s="3626">
        <f t="shared" si="12"/>
        <v>0</v>
      </c>
      <c r="R29" s="3626">
        <f t="shared" si="12"/>
        <v>16.599562523900513</v>
      </c>
      <c r="S29" s="3626">
        <f t="shared" si="12"/>
        <v>0</v>
      </c>
      <c r="T29" s="3626">
        <f t="shared" si="12"/>
        <v>80.052964779099867</v>
      </c>
      <c r="U29" s="3626">
        <f t="shared" si="12"/>
        <v>0.80763607976106688</v>
      </c>
      <c r="V29" s="3626">
        <f t="shared" si="12"/>
        <v>90.765051664499481</v>
      </c>
      <c r="W29" s="3626">
        <f t="shared" si="12"/>
        <v>0</v>
      </c>
      <c r="X29" s="3626">
        <f t="shared" si="12"/>
        <v>27.667200667352304</v>
      </c>
      <c r="Y29" s="3626">
        <f t="shared" si="12"/>
        <v>52.772778727978078</v>
      </c>
      <c r="Z29" s="3626">
        <f t="shared" si="12"/>
        <v>2.4098941981875246</v>
      </c>
      <c r="AA29" s="3626">
        <f t="shared" si="12"/>
        <v>15.689574838581102</v>
      </c>
      <c r="AB29" s="3626">
        <f t="shared" si="12"/>
        <v>14.425299022727641</v>
      </c>
      <c r="AC29" s="3626">
        <f t="shared" si="12"/>
        <v>18.369701772461195</v>
      </c>
      <c r="AD29" s="3626">
        <f t="shared" si="12"/>
        <v>40.952699349647482</v>
      </c>
      <c r="AE29" s="3626">
        <f t="shared" si="12"/>
        <v>7.7882528937072779</v>
      </c>
      <c r="AF29" s="3626">
        <f t="shared" si="12"/>
        <v>7.0529978483930433</v>
      </c>
      <c r="AG29" s="3626">
        <f t="shared" si="12"/>
        <v>11.710837986309841</v>
      </c>
      <c r="AH29" s="3626">
        <f t="shared" si="12"/>
        <v>1.0133727588471206</v>
      </c>
      <c r="AI29" s="3626">
        <f t="shared" si="12"/>
        <v>20.967227821975197</v>
      </c>
      <c r="AJ29" s="3626">
        <f t="shared" si="12"/>
        <v>0</v>
      </c>
      <c r="AK29" s="3626">
        <f t="shared" si="12"/>
        <v>18.443690423749256</v>
      </c>
      <c r="AL29" s="3626">
        <f t="shared" si="12"/>
        <v>1.0885479844703783</v>
      </c>
      <c r="AM29" s="3626">
        <f t="shared" si="12"/>
        <v>118.09285379539484</v>
      </c>
      <c r="AN29" s="3626">
        <f t="shared" si="12"/>
        <v>0</v>
      </c>
      <c r="AO29" s="3626">
        <f t="shared" si="12"/>
        <v>9.5738176086254754</v>
      </c>
      <c r="AP29" s="3626">
        <f t="shared" si="12"/>
        <v>9.5044604249038152</v>
      </c>
      <c r="AQ29" s="3626">
        <f t="shared" si="12"/>
        <v>0.58773706183560093</v>
      </c>
      <c r="AR29" s="3626">
        <f t="shared" si="12"/>
        <v>13.133999933304924</v>
      </c>
      <c r="AS29" s="3626">
        <f t="shared" si="12"/>
        <v>0</v>
      </c>
      <c r="AT29" s="3626">
        <f t="shared" si="12"/>
        <v>0</v>
      </c>
      <c r="AU29" s="3626">
        <f t="shared" si="12"/>
        <v>1.2996816629519916</v>
      </c>
      <c r="AV29" s="3626">
        <f t="shared" si="12"/>
        <v>1.4377453283405304</v>
      </c>
      <c r="AW29" s="3626">
        <f t="shared" si="12"/>
        <v>1.841486815038148</v>
      </c>
      <c r="AX29" s="3626">
        <f t="shared" si="12"/>
        <v>1.9961242445279448</v>
      </c>
      <c r="AY29" s="3626">
        <f t="shared" si="12"/>
        <v>4.8626581788078642</v>
      </c>
      <c r="AZ29" s="3626">
        <f t="shared" si="12"/>
        <v>2.1622446514551026</v>
      </c>
      <c r="BA29" s="479"/>
      <c r="BB29" s="494"/>
      <c r="BD29" s="1874" t="s">
        <v>315</v>
      </c>
      <c r="BE29" s="4055">
        <f t="shared" ref="BE29:DD29" si="13">BE27*BE28</f>
        <v>0</v>
      </c>
      <c r="BF29" s="4055">
        <f t="shared" si="13"/>
        <v>0</v>
      </c>
      <c r="BG29" s="4055">
        <f t="shared" si="13"/>
        <v>0</v>
      </c>
      <c r="BH29" s="4055">
        <f t="shared" si="13"/>
        <v>0</v>
      </c>
      <c r="BI29" s="4055">
        <f t="shared" si="13"/>
        <v>0</v>
      </c>
      <c r="BJ29" s="4055">
        <f t="shared" si="13"/>
        <v>0</v>
      </c>
      <c r="BK29" s="4055">
        <f t="shared" si="13"/>
        <v>0</v>
      </c>
      <c r="BL29" s="4055">
        <f t="shared" si="13"/>
        <v>0</v>
      </c>
      <c r="BM29" s="4055">
        <f t="shared" si="13"/>
        <v>0</v>
      </c>
      <c r="BN29" s="4055">
        <f t="shared" si="13"/>
        <v>0</v>
      </c>
      <c r="BO29" s="4055">
        <f t="shared" si="13"/>
        <v>0</v>
      </c>
      <c r="BP29" s="4055">
        <f t="shared" si="13"/>
        <v>0</v>
      </c>
      <c r="BQ29" s="4055">
        <f t="shared" si="13"/>
        <v>0</v>
      </c>
      <c r="BR29" s="4055">
        <f t="shared" si="13"/>
        <v>0</v>
      </c>
      <c r="BS29" s="4055">
        <f t="shared" si="13"/>
        <v>0</v>
      </c>
      <c r="BT29" s="4055">
        <f t="shared" si="13"/>
        <v>0</v>
      </c>
      <c r="BU29" s="4055">
        <f t="shared" si="13"/>
        <v>0</v>
      </c>
      <c r="BV29" s="4055">
        <f t="shared" si="13"/>
        <v>0</v>
      </c>
      <c r="BW29" s="4055">
        <f t="shared" si="13"/>
        <v>0</v>
      </c>
      <c r="BX29" s="4055">
        <f t="shared" si="13"/>
        <v>0</v>
      </c>
      <c r="BY29" s="4055">
        <f t="shared" si="13"/>
        <v>0</v>
      </c>
      <c r="BZ29" s="4055">
        <f t="shared" si="13"/>
        <v>0</v>
      </c>
      <c r="CA29" s="4055">
        <f t="shared" si="13"/>
        <v>0</v>
      </c>
      <c r="CB29" s="4055">
        <f t="shared" si="13"/>
        <v>0</v>
      </c>
      <c r="CC29" s="4055">
        <f t="shared" si="13"/>
        <v>0</v>
      </c>
      <c r="CD29" s="4055">
        <f t="shared" si="13"/>
        <v>0</v>
      </c>
      <c r="CE29" s="4055">
        <f t="shared" si="13"/>
        <v>0</v>
      </c>
      <c r="CF29" s="4055">
        <f t="shared" si="13"/>
        <v>0</v>
      </c>
      <c r="CG29" s="4055">
        <f t="shared" si="13"/>
        <v>0</v>
      </c>
      <c r="CH29" s="4055">
        <f t="shared" si="13"/>
        <v>0</v>
      </c>
      <c r="CI29" s="4055">
        <f t="shared" si="13"/>
        <v>0</v>
      </c>
      <c r="CJ29" s="4055">
        <f t="shared" si="13"/>
        <v>0</v>
      </c>
      <c r="CK29" s="4055">
        <f t="shared" si="13"/>
        <v>0</v>
      </c>
      <c r="CL29" s="4055">
        <f t="shared" si="13"/>
        <v>0</v>
      </c>
      <c r="CM29" s="4055">
        <f t="shared" si="13"/>
        <v>0</v>
      </c>
      <c r="CN29" s="4055">
        <f t="shared" si="13"/>
        <v>0</v>
      </c>
      <c r="CO29" s="4055">
        <f t="shared" si="13"/>
        <v>0</v>
      </c>
      <c r="CP29" s="4055">
        <f t="shared" si="13"/>
        <v>0</v>
      </c>
      <c r="CQ29" s="4055">
        <f t="shared" si="13"/>
        <v>0</v>
      </c>
      <c r="CR29" s="4055">
        <f t="shared" si="13"/>
        <v>0</v>
      </c>
      <c r="CS29" s="4055">
        <f t="shared" si="13"/>
        <v>0</v>
      </c>
      <c r="CT29" s="4055">
        <f t="shared" si="13"/>
        <v>0</v>
      </c>
      <c r="CU29" s="4055">
        <f t="shared" si="13"/>
        <v>0</v>
      </c>
      <c r="CV29" s="4056">
        <f t="shared" si="13"/>
        <v>0</v>
      </c>
      <c r="CW29" s="3329">
        <f t="shared" si="13"/>
        <v>0</v>
      </c>
      <c r="CX29" s="3628">
        <f t="shared" si="13"/>
        <v>0</v>
      </c>
      <c r="CY29" s="3628">
        <f t="shared" si="13"/>
        <v>0</v>
      </c>
      <c r="CZ29" s="3628">
        <f t="shared" si="13"/>
        <v>0</v>
      </c>
      <c r="DA29" s="3628">
        <f t="shared" si="13"/>
        <v>0</v>
      </c>
      <c r="DB29" s="3628">
        <f t="shared" si="13"/>
        <v>0</v>
      </c>
      <c r="DC29" s="3328">
        <f t="shared" si="13"/>
        <v>0</v>
      </c>
      <c r="DD29" s="3328">
        <f t="shared" si="13"/>
        <v>0</v>
      </c>
      <c r="DE29" s="3628">
        <f>DE27*DE28</f>
        <v>0</v>
      </c>
      <c r="DG29" s="2625"/>
    </row>
    <row r="30" spans="1:111" ht="30" hidden="1" customHeight="1" x14ac:dyDescent="0.4">
      <c r="A30" s="428"/>
      <c r="B30" s="465" t="s">
        <v>316</v>
      </c>
      <c r="C30" s="3601"/>
      <c r="D30" s="3601"/>
      <c r="E30" s="3601"/>
      <c r="F30" s="3601"/>
      <c r="G30" s="3601"/>
      <c r="H30" s="3601"/>
      <c r="I30" s="3601"/>
      <c r="J30" s="3601"/>
      <c r="K30" s="3601"/>
      <c r="L30" s="3601"/>
      <c r="M30" s="3601"/>
      <c r="N30" s="3601"/>
      <c r="O30" s="3601"/>
      <c r="P30" s="3601"/>
      <c r="Q30" s="3601"/>
      <c r="R30" s="3601"/>
      <c r="S30" s="3601"/>
      <c r="T30" s="3601"/>
      <c r="U30" s="3601"/>
      <c r="V30" s="3601"/>
      <c r="W30" s="3601"/>
      <c r="X30" s="3601"/>
      <c r="Y30" s="3601"/>
      <c r="Z30" s="3601"/>
      <c r="AA30" s="3601"/>
      <c r="AB30" s="3601"/>
      <c r="AC30" s="3601"/>
      <c r="AD30" s="3601"/>
      <c r="AE30" s="3601"/>
      <c r="AF30" s="3601"/>
      <c r="AG30" s="3601"/>
      <c r="AH30" s="3601"/>
      <c r="AI30" s="3601"/>
      <c r="AJ30" s="3601"/>
      <c r="AK30" s="3601"/>
      <c r="AL30" s="3601"/>
      <c r="AM30" s="3601"/>
      <c r="AN30" s="3601"/>
      <c r="AO30" s="3601"/>
      <c r="AP30" s="3601"/>
      <c r="AQ30" s="3601"/>
      <c r="AR30" s="3601"/>
      <c r="AS30" s="3601"/>
      <c r="AT30" s="3601"/>
      <c r="AU30" s="3601"/>
      <c r="AV30" s="3601"/>
      <c r="AW30" s="3601"/>
      <c r="AX30" s="3601"/>
      <c r="AY30" s="3601"/>
      <c r="AZ30" s="3601"/>
      <c r="BA30" s="483"/>
      <c r="BB30" s="495"/>
      <c r="CW30" s="3603"/>
      <c r="CX30" s="3602"/>
      <c r="CY30" s="3602"/>
      <c r="CZ30" s="3602"/>
      <c r="DA30" s="3602"/>
      <c r="DD30" s="3602"/>
      <c r="DE30" s="3602"/>
      <c r="DG30" s="2627"/>
    </row>
    <row r="31" spans="1:111" ht="21" hidden="1" customHeight="1" x14ac:dyDescent="0.3">
      <c r="A31" s="447"/>
      <c r="B31" s="469" t="s">
        <v>183</v>
      </c>
      <c r="C31" s="3604"/>
      <c r="D31" s="3604"/>
      <c r="E31" s="3604"/>
      <c r="F31" s="3604"/>
      <c r="G31" s="3604"/>
      <c r="H31" s="3604"/>
      <c r="I31" s="3604"/>
      <c r="J31" s="3604"/>
      <c r="K31" s="3604"/>
      <c r="L31" s="3604"/>
      <c r="M31" s="3604"/>
      <c r="N31" s="3604"/>
      <c r="O31" s="3604"/>
      <c r="P31" s="3604"/>
      <c r="Q31" s="3604"/>
      <c r="R31" s="3604"/>
      <c r="S31" s="3604"/>
      <c r="T31" s="3604"/>
      <c r="U31" s="3604"/>
      <c r="V31" s="3604"/>
      <c r="W31" s="3604"/>
      <c r="X31" s="3604"/>
      <c r="Y31" s="3604"/>
      <c r="Z31" s="3604"/>
      <c r="AA31" s="3604"/>
      <c r="AB31" s="3604"/>
      <c r="AC31" s="3604"/>
      <c r="AD31" s="3604"/>
      <c r="AE31" s="3604"/>
      <c r="AF31" s="3604"/>
      <c r="AG31" s="3604"/>
      <c r="AH31" s="3604"/>
      <c r="AI31" s="3604"/>
      <c r="AJ31" s="3604"/>
      <c r="AK31" s="3604"/>
      <c r="AL31" s="3604"/>
      <c r="AM31" s="3604"/>
      <c r="AN31" s="3604"/>
      <c r="AO31" s="3604"/>
      <c r="AP31" s="3604"/>
      <c r="AQ31" s="3604"/>
      <c r="AR31" s="3604"/>
      <c r="AS31" s="3604"/>
      <c r="AT31" s="3604"/>
      <c r="AU31" s="3604"/>
      <c r="AV31" s="3604"/>
      <c r="AW31" s="3604"/>
      <c r="AX31" s="3604"/>
      <c r="AY31" s="3604"/>
      <c r="AZ31" s="3604"/>
      <c r="BA31" s="479"/>
      <c r="BB31" s="496"/>
      <c r="CW31" s="3603"/>
      <c r="CX31" s="3602"/>
      <c r="CY31" s="3602"/>
      <c r="CZ31" s="3602"/>
      <c r="DA31" s="3602"/>
      <c r="DD31" s="3602"/>
      <c r="DE31" s="3602"/>
      <c r="DG31" s="2628"/>
    </row>
    <row r="32" spans="1:111" ht="21" hidden="1" customHeight="1" x14ac:dyDescent="0.3">
      <c r="A32" s="447"/>
      <c r="B32" s="486" t="s">
        <v>2342</v>
      </c>
      <c r="C32" s="3629"/>
      <c r="D32" s="3629"/>
      <c r="E32" s="3629"/>
      <c r="F32" s="3629"/>
      <c r="G32" s="3629"/>
      <c r="H32" s="3629"/>
      <c r="I32" s="3629"/>
      <c r="J32" s="3629"/>
      <c r="K32" s="3629"/>
      <c r="L32" s="3629"/>
      <c r="M32" s="3629"/>
      <c r="N32" s="3629"/>
      <c r="O32" s="3629"/>
      <c r="P32" s="3629"/>
      <c r="Q32" s="3629"/>
      <c r="R32" s="3629"/>
      <c r="S32" s="3629"/>
      <c r="T32" s="3629"/>
      <c r="U32" s="3629"/>
      <c r="V32" s="3629"/>
      <c r="W32" s="3629"/>
      <c r="X32" s="3629"/>
      <c r="Y32" s="3629"/>
      <c r="Z32" s="3629"/>
      <c r="AA32" s="3629"/>
      <c r="AB32" s="3629"/>
      <c r="AC32" s="3629"/>
      <c r="AD32" s="3629"/>
      <c r="AE32" s="3629"/>
      <c r="AF32" s="3629"/>
      <c r="AG32" s="3629"/>
      <c r="AH32" s="3629"/>
      <c r="AI32" s="3629"/>
      <c r="AJ32" s="3629"/>
      <c r="AK32" s="3629"/>
      <c r="AL32" s="3629"/>
      <c r="AM32" s="3629"/>
      <c r="AN32" s="3629"/>
      <c r="AO32" s="3629"/>
      <c r="AP32" s="3629"/>
      <c r="AQ32" s="3629"/>
      <c r="AR32" s="3629"/>
      <c r="AS32" s="3629"/>
      <c r="AT32" s="3629"/>
      <c r="AU32" s="3629"/>
      <c r="AV32" s="3629"/>
      <c r="AW32" s="3629"/>
      <c r="AX32" s="3629"/>
      <c r="AY32" s="3629"/>
      <c r="AZ32" s="3629"/>
      <c r="BA32" s="479"/>
      <c r="BB32" s="488"/>
      <c r="CW32" s="3603"/>
      <c r="CX32" s="3602"/>
      <c r="CY32" s="3602"/>
      <c r="CZ32" s="3602"/>
      <c r="DA32" s="3602"/>
      <c r="DD32" s="3602"/>
      <c r="DE32" s="3602"/>
      <c r="DG32" s="1842"/>
    </row>
    <row r="33" spans="1:111" ht="21" hidden="1" customHeight="1" x14ac:dyDescent="0.3">
      <c r="A33" s="447"/>
      <c r="B33" s="489" t="s">
        <v>314</v>
      </c>
      <c r="C33" s="3630"/>
      <c r="D33" s="3630"/>
      <c r="E33" s="3630"/>
      <c r="F33" s="3630"/>
      <c r="G33" s="3630"/>
      <c r="H33" s="3630"/>
      <c r="I33" s="3630"/>
      <c r="J33" s="3630"/>
      <c r="K33" s="3630"/>
      <c r="L33" s="3630"/>
      <c r="M33" s="3630"/>
      <c r="N33" s="3630"/>
      <c r="O33" s="3630"/>
      <c r="P33" s="3630"/>
      <c r="Q33" s="3630"/>
      <c r="R33" s="3630"/>
      <c r="S33" s="3630"/>
      <c r="T33" s="3630"/>
      <c r="U33" s="3630"/>
      <c r="V33" s="3630"/>
      <c r="W33" s="3630"/>
      <c r="X33" s="3630"/>
      <c r="Y33" s="3630"/>
      <c r="Z33" s="3630"/>
      <c r="AA33" s="3630"/>
      <c r="AB33" s="3630"/>
      <c r="AC33" s="3630"/>
      <c r="AD33" s="3630"/>
      <c r="AE33" s="3630"/>
      <c r="AF33" s="3630"/>
      <c r="AG33" s="3630"/>
      <c r="AH33" s="3630"/>
      <c r="AI33" s="3630"/>
      <c r="AJ33" s="3630"/>
      <c r="AK33" s="3630"/>
      <c r="AL33" s="3630"/>
      <c r="AM33" s="3630"/>
      <c r="AN33" s="3630"/>
      <c r="AO33" s="3630"/>
      <c r="AP33" s="3630"/>
      <c r="AQ33" s="3630"/>
      <c r="AR33" s="3630"/>
      <c r="AS33" s="3630"/>
      <c r="AT33" s="3630"/>
      <c r="AU33" s="3630"/>
      <c r="AV33" s="3630"/>
      <c r="AW33" s="3630"/>
      <c r="AX33" s="3630"/>
      <c r="AY33" s="3630"/>
      <c r="AZ33" s="3630"/>
      <c r="BA33" s="479"/>
      <c r="BB33" s="491"/>
      <c r="CW33" s="3603"/>
      <c r="CX33" s="3602"/>
      <c r="CY33" s="3602"/>
      <c r="CZ33" s="3602"/>
      <c r="DA33" s="3602"/>
      <c r="DD33" s="3602"/>
      <c r="DE33" s="3602"/>
      <c r="DG33" s="1849"/>
    </row>
    <row r="34" spans="1:111" ht="21" hidden="1" customHeight="1" x14ac:dyDescent="0.3">
      <c r="A34" s="447"/>
      <c r="B34" s="492" t="s">
        <v>315</v>
      </c>
      <c r="C34" s="3631"/>
      <c r="D34" s="3631"/>
      <c r="E34" s="3631"/>
      <c r="F34" s="3631"/>
      <c r="G34" s="3631"/>
      <c r="H34" s="3631"/>
      <c r="I34" s="3631"/>
      <c r="J34" s="3631"/>
      <c r="K34" s="3631"/>
      <c r="L34" s="3631"/>
      <c r="M34" s="3631"/>
      <c r="N34" s="3631"/>
      <c r="O34" s="3631"/>
      <c r="P34" s="3631"/>
      <c r="Q34" s="3631"/>
      <c r="R34" s="3631"/>
      <c r="S34" s="3631"/>
      <c r="T34" s="3631"/>
      <c r="U34" s="3631"/>
      <c r="V34" s="3631"/>
      <c r="W34" s="3631"/>
      <c r="X34" s="3631"/>
      <c r="Y34" s="3631"/>
      <c r="Z34" s="3631"/>
      <c r="AA34" s="3631"/>
      <c r="AB34" s="3631"/>
      <c r="AC34" s="3631"/>
      <c r="AD34" s="3631"/>
      <c r="AE34" s="3631"/>
      <c r="AF34" s="3631"/>
      <c r="AG34" s="3631"/>
      <c r="AH34" s="3631"/>
      <c r="AI34" s="3631"/>
      <c r="AJ34" s="3631"/>
      <c r="AK34" s="3631"/>
      <c r="AL34" s="3631"/>
      <c r="AM34" s="3631"/>
      <c r="AN34" s="3631"/>
      <c r="AO34" s="3631"/>
      <c r="AP34" s="3631"/>
      <c r="AQ34" s="3631"/>
      <c r="AR34" s="3631"/>
      <c r="AS34" s="3631"/>
      <c r="AT34" s="3631"/>
      <c r="AU34" s="3631"/>
      <c r="AV34" s="3631"/>
      <c r="AW34" s="3631"/>
      <c r="AX34" s="3631"/>
      <c r="AY34" s="3631"/>
      <c r="AZ34" s="3631"/>
      <c r="BA34" s="479"/>
      <c r="BB34" s="494"/>
      <c r="CW34" s="3603"/>
      <c r="CX34" s="3602"/>
      <c r="CY34" s="3602"/>
      <c r="CZ34" s="3602"/>
      <c r="DA34" s="3602"/>
      <c r="DD34" s="3602"/>
      <c r="DE34" s="3602"/>
      <c r="DG34" s="1857"/>
    </row>
    <row r="35" spans="1:111" ht="28.2" customHeight="1" x14ac:dyDescent="0.3">
      <c r="A35" s="447"/>
      <c r="B35" s="498" t="s">
        <v>320</v>
      </c>
      <c r="C35" s="3632" t="s">
        <v>1745</v>
      </c>
      <c r="D35" s="3632" t="s">
        <v>1745</v>
      </c>
      <c r="E35" s="3632" t="s">
        <v>1745</v>
      </c>
      <c r="F35" s="3632" t="s">
        <v>1745</v>
      </c>
      <c r="G35" s="3632" t="s">
        <v>1745</v>
      </c>
      <c r="H35" s="3632" t="s">
        <v>1745</v>
      </c>
      <c r="I35" s="3632" t="s">
        <v>1745</v>
      </c>
      <c r="J35" s="3632" t="s">
        <v>1745</v>
      </c>
      <c r="K35" s="3632" t="s">
        <v>1745</v>
      </c>
      <c r="L35" s="3632" t="s">
        <v>1745</v>
      </c>
      <c r="M35" s="3632" t="s">
        <v>1745</v>
      </c>
      <c r="N35" s="3632" t="s">
        <v>1745</v>
      </c>
      <c r="O35" s="3632" t="s">
        <v>1745</v>
      </c>
      <c r="P35" s="3632" t="s">
        <v>1745</v>
      </c>
      <c r="Q35" s="3632" t="s">
        <v>1745</v>
      </c>
      <c r="R35" s="3632" t="s">
        <v>1745</v>
      </c>
      <c r="S35" s="3632" t="s">
        <v>1745</v>
      </c>
      <c r="T35" s="3632" t="s">
        <v>1745</v>
      </c>
      <c r="U35" s="3632" t="s">
        <v>1745</v>
      </c>
      <c r="V35" s="3632" t="s">
        <v>1745</v>
      </c>
      <c r="W35" s="3632" t="s">
        <v>1745</v>
      </c>
      <c r="X35" s="3632" t="s">
        <v>1745</v>
      </c>
      <c r="Y35" s="3632" t="s">
        <v>1745</v>
      </c>
      <c r="Z35" s="3632" t="s">
        <v>1745</v>
      </c>
      <c r="AA35" s="3632" t="s">
        <v>1745</v>
      </c>
      <c r="AB35" s="3632" t="s">
        <v>1745</v>
      </c>
      <c r="AC35" s="3632" t="s">
        <v>1745</v>
      </c>
      <c r="AD35" s="3632" t="s">
        <v>1745</v>
      </c>
      <c r="AE35" s="3632" t="s">
        <v>1745</v>
      </c>
      <c r="AF35" s="3632" t="s">
        <v>1745</v>
      </c>
      <c r="AG35" s="3632" t="s">
        <v>1745</v>
      </c>
      <c r="AH35" s="3632" t="s">
        <v>1745</v>
      </c>
      <c r="AI35" s="3632" t="s">
        <v>1746</v>
      </c>
      <c r="AJ35" s="3632" t="s">
        <v>1745</v>
      </c>
      <c r="AK35" s="3632" t="s">
        <v>1745</v>
      </c>
      <c r="AL35" s="3632" t="s">
        <v>1745</v>
      </c>
      <c r="AM35" s="3632" t="s">
        <v>1745</v>
      </c>
      <c r="AN35" s="3632" t="s">
        <v>1745</v>
      </c>
      <c r="AO35" s="3632" t="s">
        <v>1745</v>
      </c>
      <c r="AP35" s="3632" t="s">
        <v>1745</v>
      </c>
      <c r="AQ35" s="3632" t="s">
        <v>1745</v>
      </c>
      <c r="AR35" s="3632" t="s">
        <v>1745</v>
      </c>
      <c r="AS35" s="3632" t="s">
        <v>1747</v>
      </c>
      <c r="AT35" s="3632" t="s">
        <v>1748</v>
      </c>
      <c r="AU35" s="3632" t="s">
        <v>1749</v>
      </c>
      <c r="AV35" s="3632" t="s">
        <v>1750</v>
      </c>
      <c r="AW35" s="3632" t="s">
        <v>1751</v>
      </c>
      <c r="AX35" s="3632" t="s">
        <v>1752</v>
      </c>
      <c r="AY35" s="3632" t="s">
        <v>1753</v>
      </c>
      <c r="AZ35" s="3632" t="s">
        <v>1754</v>
      </c>
      <c r="BA35" s="500"/>
      <c r="BB35" s="501"/>
      <c r="BD35" s="498" t="s">
        <v>320</v>
      </c>
      <c r="BE35" s="3633" t="s">
        <v>1477</v>
      </c>
      <c r="BF35" s="3634" t="s">
        <v>1477</v>
      </c>
      <c r="BG35" s="3633" t="s">
        <v>1477</v>
      </c>
      <c r="BH35" s="3633" t="s">
        <v>1477</v>
      </c>
      <c r="BI35" s="3633" t="s">
        <v>1477</v>
      </c>
      <c r="BJ35" s="3633" t="s">
        <v>1477</v>
      </c>
      <c r="BK35" s="3633" t="s">
        <v>1477</v>
      </c>
      <c r="BL35" s="3633" t="s">
        <v>1477</v>
      </c>
      <c r="BM35" s="3633" t="s">
        <v>1477</v>
      </c>
      <c r="BN35" s="3633" t="s">
        <v>1477</v>
      </c>
      <c r="BO35" s="3633" t="s">
        <v>1477</v>
      </c>
      <c r="BP35" s="3633" t="s">
        <v>1477</v>
      </c>
      <c r="BQ35" s="3633" t="s">
        <v>1477</v>
      </c>
      <c r="BR35" s="3633" t="s">
        <v>1477</v>
      </c>
      <c r="BS35" s="3633" t="s">
        <v>1625</v>
      </c>
      <c r="BT35" s="3633" t="s">
        <v>1477</v>
      </c>
      <c r="BU35" s="3633" t="s">
        <v>1477</v>
      </c>
      <c r="BV35" s="3633" t="s">
        <v>1477</v>
      </c>
      <c r="BW35" s="3633" t="s">
        <v>1477</v>
      </c>
      <c r="BX35" s="3633" t="s">
        <v>1477</v>
      </c>
      <c r="BY35" s="3633" t="s">
        <v>1477</v>
      </c>
      <c r="BZ35" s="3633" t="s">
        <v>1477</v>
      </c>
      <c r="CA35" s="3633" t="s">
        <v>1477</v>
      </c>
      <c r="CB35" s="3635" t="s">
        <v>1477</v>
      </c>
      <c r="CC35" s="3636" t="s">
        <v>1477</v>
      </c>
      <c r="CD35" s="3637" t="s">
        <v>1626</v>
      </c>
      <c r="CE35" s="3636" t="s">
        <v>1755</v>
      </c>
      <c r="CF35" s="3637" t="s">
        <v>1756</v>
      </c>
      <c r="CG35" s="3636" t="s">
        <v>1757</v>
      </c>
      <c r="CH35" s="3637" t="s">
        <v>1758</v>
      </c>
      <c r="CI35" s="3636" t="s">
        <v>1759</v>
      </c>
      <c r="CJ35" s="3637" t="s">
        <v>1760</v>
      </c>
      <c r="CK35" s="3636" t="s">
        <v>1761</v>
      </c>
      <c r="CL35" s="3636" t="s">
        <v>1762</v>
      </c>
      <c r="CM35" s="3637" t="s">
        <v>1763</v>
      </c>
      <c r="CN35" s="3636" t="s">
        <v>1764</v>
      </c>
      <c r="CO35" s="3637" t="s">
        <v>1765</v>
      </c>
      <c r="CP35" s="3638" t="s">
        <v>1766</v>
      </c>
      <c r="CQ35" s="3637" t="s">
        <v>1767</v>
      </c>
      <c r="CR35" s="3639" t="s">
        <v>1768</v>
      </c>
      <c r="CS35" s="3636" t="s">
        <v>1769</v>
      </c>
      <c r="CT35" s="3640" t="s">
        <v>1770</v>
      </c>
      <c r="CU35" s="3637" t="s">
        <v>1771</v>
      </c>
      <c r="CV35" s="3636" t="s">
        <v>1772</v>
      </c>
      <c r="CW35" s="3641" t="s">
        <v>1773</v>
      </c>
      <c r="CX35" s="3639" t="s">
        <v>1774</v>
      </c>
      <c r="CY35" s="3639" t="s">
        <v>1775</v>
      </c>
      <c r="CZ35" s="3639" t="s">
        <v>1776</v>
      </c>
      <c r="DA35" s="3639" t="s">
        <v>1777</v>
      </c>
      <c r="DB35" s="3639" t="s">
        <v>1778</v>
      </c>
      <c r="DC35" s="3641" t="s">
        <v>1779</v>
      </c>
      <c r="DD35" s="3639" t="s">
        <v>1780</v>
      </c>
      <c r="DE35" s="3639" t="s">
        <v>1781</v>
      </c>
      <c r="DG35" s="1369"/>
    </row>
    <row r="36" spans="1:111" ht="27.6" customHeight="1" x14ac:dyDescent="0.3">
      <c r="A36" s="428"/>
      <c r="B36" s="502" t="s">
        <v>322</v>
      </c>
      <c r="C36" s="3642">
        <v>3</v>
      </c>
      <c r="D36" s="3642">
        <v>3</v>
      </c>
      <c r="E36" s="3642">
        <v>3</v>
      </c>
      <c r="F36" s="3642">
        <v>3</v>
      </c>
      <c r="G36" s="3642">
        <v>3</v>
      </c>
      <c r="H36" s="3642">
        <v>3</v>
      </c>
      <c r="I36" s="3642">
        <v>3</v>
      </c>
      <c r="J36" s="3642">
        <v>3</v>
      </c>
      <c r="K36" s="3642">
        <v>3</v>
      </c>
      <c r="L36" s="3642">
        <v>3</v>
      </c>
      <c r="M36" s="3642">
        <v>3</v>
      </c>
      <c r="N36" s="3642">
        <v>3</v>
      </c>
      <c r="O36" s="3642">
        <v>3</v>
      </c>
      <c r="P36" s="3642">
        <v>3</v>
      </c>
      <c r="Q36" s="3642">
        <v>3</v>
      </c>
      <c r="R36" s="3642">
        <v>3</v>
      </c>
      <c r="S36" s="3642">
        <v>3</v>
      </c>
      <c r="T36" s="3642">
        <v>3</v>
      </c>
      <c r="U36" s="3642">
        <v>3</v>
      </c>
      <c r="V36" s="3642">
        <v>3</v>
      </c>
      <c r="W36" s="3642">
        <v>3</v>
      </c>
      <c r="X36" s="3642">
        <v>3</v>
      </c>
      <c r="Y36" s="3642">
        <v>3</v>
      </c>
      <c r="Z36" s="3642">
        <v>3</v>
      </c>
      <c r="AA36" s="3642">
        <v>3</v>
      </c>
      <c r="AB36" s="3642">
        <v>3</v>
      </c>
      <c r="AC36" s="3642">
        <v>3</v>
      </c>
      <c r="AD36" s="3642">
        <v>3</v>
      </c>
      <c r="AE36" s="3642">
        <v>3</v>
      </c>
      <c r="AF36" s="3642">
        <v>3</v>
      </c>
      <c r="AG36" s="3642">
        <v>3</v>
      </c>
      <c r="AH36" s="3642">
        <v>3</v>
      </c>
      <c r="AI36" s="3642">
        <v>3</v>
      </c>
      <c r="AJ36" s="3642">
        <v>3</v>
      </c>
      <c r="AK36" s="3642">
        <v>3</v>
      </c>
      <c r="AL36" s="3642">
        <v>3</v>
      </c>
      <c r="AM36" s="3642">
        <v>3</v>
      </c>
      <c r="AN36" s="3642">
        <v>3</v>
      </c>
      <c r="AO36" s="3642">
        <v>3</v>
      </c>
      <c r="AP36" s="3642">
        <v>3</v>
      </c>
      <c r="AQ36" s="3642">
        <v>3</v>
      </c>
      <c r="AR36" s="3642">
        <v>3</v>
      </c>
      <c r="AS36" s="3642">
        <v>3</v>
      </c>
      <c r="AT36" s="3642">
        <v>3</v>
      </c>
      <c r="AU36" s="3642">
        <v>3</v>
      </c>
      <c r="AV36" s="3642">
        <v>3</v>
      </c>
      <c r="AW36" s="3642">
        <v>3</v>
      </c>
      <c r="AX36" s="3642">
        <v>3</v>
      </c>
      <c r="AY36" s="3642">
        <v>3</v>
      </c>
      <c r="AZ36" s="3642">
        <v>3</v>
      </c>
      <c r="BA36" s="504"/>
      <c r="BB36" s="505"/>
      <c r="BD36" s="502" t="s">
        <v>322</v>
      </c>
      <c r="BE36" s="3643">
        <v>13</v>
      </c>
      <c r="BF36" s="3644">
        <v>13</v>
      </c>
      <c r="BG36" s="3645">
        <v>13</v>
      </c>
      <c r="BH36" s="3646">
        <v>13</v>
      </c>
      <c r="BI36" s="3646">
        <v>13</v>
      </c>
      <c r="BJ36" s="3644">
        <v>13</v>
      </c>
      <c r="BK36" s="3646">
        <v>13</v>
      </c>
      <c r="BL36" s="3646">
        <v>13</v>
      </c>
      <c r="BM36" s="3646">
        <v>13</v>
      </c>
      <c r="BN36" s="3646">
        <v>13</v>
      </c>
      <c r="BO36" s="3646">
        <v>13</v>
      </c>
      <c r="BP36" s="3646">
        <v>13</v>
      </c>
      <c r="BQ36" s="3645">
        <v>13</v>
      </c>
      <c r="BR36" s="3646">
        <v>13</v>
      </c>
      <c r="BS36" s="3645">
        <v>13</v>
      </c>
      <c r="BT36" s="3646">
        <v>13</v>
      </c>
      <c r="BU36" s="3645">
        <v>13</v>
      </c>
      <c r="BV36" s="3646">
        <v>13</v>
      </c>
      <c r="BW36" s="3646">
        <v>13</v>
      </c>
      <c r="BX36" s="3646">
        <v>13</v>
      </c>
      <c r="BY36" s="3645">
        <v>13</v>
      </c>
      <c r="BZ36" s="3646">
        <v>13</v>
      </c>
      <c r="CA36" s="3646">
        <v>13</v>
      </c>
      <c r="CB36" s="3646">
        <v>13</v>
      </c>
      <c r="CC36" s="3646">
        <v>13</v>
      </c>
      <c r="CD36" s="3644">
        <v>13</v>
      </c>
      <c r="CE36" s="3646">
        <v>13</v>
      </c>
      <c r="CF36" s="3644">
        <v>13</v>
      </c>
      <c r="CG36" s="3645">
        <v>13</v>
      </c>
      <c r="CH36" s="3644">
        <v>13</v>
      </c>
      <c r="CI36" s="3645">
        <v>13</v>
      </c>
      <c r="CJ36" s="3644">
        <v>13</v>
      </c>
      <c r="CK36" s="3645">
        <v>13</v>
      </c>
      <c r="CL36" s="3645">
        <v>13</v>
      </c>
      <c r="CM36" s="3644">
        <v>13</v>
      </c>
      <c r="CN36" s="3645">
        <v>13</v>
      </c>
      <c r="CO36" s="3644">
        <v>13</v>
      </c>
      <c r="CP36" s="3645">
        <v>13</v>
      </c>
      <c r="CQ36" s="3644">
        <v>13</v>
      </c>
      <c r="CR36" s="3647">
        <v>13</v>
      </c>
      <c r="CS36" s="3647">
        <v>13</v>
      </c>
      <c r="CT36" s="3645">
        <v>13</v>
      </c>
      <c r="CU36" s="3644">
        <v>13</v>
      </c>
      <c r="CV36" s="3645">
        <v>13</v>
      </c>
      <c r="CW36" s="3644">
        <v>13</v>
      </c>
      <c r="CX36" s="3647">
        <v>13</v>
      </c>
      <c r="CY36" s="3647">
        <v>13</v>
      </c>
      <c r="CZ36" s="3647">
        <v>13</v>
      </c>
      <c r="DA36" s="3647">
        <v>13</v>
      </c>
      <c r="DB36" s="3647">
        <v>13</v>
      </c>
      <c r="DC36" s="3646">
        <v>13</v>
      </c>
      <c r="DD36" s="3644">
        <v>13</v>
      </c>
      <c r="DE36" s="3647">
        <v>13</v>
      </c>
      <c r="DG36" s="2628"/>
    </row>
    <row r="37" spans="1:111" ht="30" customHeight="1" x14ac:dyDescent="0.3">
      <c r="A37" s="447"/>
      <c r="B37" s="506" t="s">
        <v>323</v>
      </c>
      <c r="C37" s="3648" t="s">
        <v>324</v>
      </c>
      <c r="D37" s="3649" t="s">
        <v>324</v>
      </c>
      <c r="E37" s="3649" t="s">
        <v>324</v>
      </c>
      <c r="F37" s="3649" t="s">
        <v>324</v>
      </c>
      <c r="G37" s="3649" t="s">
        <v>324</v>
      </c>
      <c r="H37" s="3649" t="s">
        <v>324</v>
      </c>
      <c r="I37" s="3649" t="s">
        <v>324</v>
      </c>
      <c r="J37" s="3649" t="s">
        <v>324</v>
      </c>
      <c r="K37" s="3649" t="s">
        <v>324</v>
      </c>
      <c r="L37" s="3649" t="s">
        <v>324</v>
      </c>
      <c r="M37" s="3649" t="s">
        <v>324</v>
      </c>
      <c r="N37" s="3649" t="s">
        <v>324</v>
      </c>
      <c r="O37" s="3649" t="s">
        <v>324</v>
      </c>
      <c r="P37" s="3649" t="s">
        <v>324</v>
      </c>
      <c r="Q37" s="3649" t="s">
        <v>324</v>
      </c>
      <c r="R37" s="3649" t="s">
        <v>324</v>
      </c>
      <c r="S37" s="3649" t="s">
        <v>324</v>
      </c>
      <c r="T37" s="3649" t="s">
        <v>324</v>
      </c>
      <c r="U37" s="3649" t="s">
        <v>324</v>
      </c>
      <c r="V37" s="3649" t="s">
        <v>324</v>
      </c>
      <c r="W37" s="3649" t="s">
        <v>324</v>
      </c>
      <c r="X37" s="3649" t="s">
        <v>324</v>
      </c>
      <c r="Y37" s="3649" t="s">
        <v>324</v>
      </c>
      <c r="Z37" s="3649" t="s">
        <v>324</v>
      </c>
      <c r="AA37" s="3649" t="s">
        <v>324</v>
      </c>
      <c r="AB37" s="3649" t="s">
        <v>324</v>
      </c>
      <c r="AC37" s="3649" t="s">
        <v>324</v>
      </c>
      <c r="AD37" s="3649" t="s">
        <v>324</v>
      </c>
      <c r="AE37" s="3649" t="s">
        <v>324</v>
      </c>
      <c r="AF37" s="3649" t="s">
        <v>324</v>
      </c>
      <c r="AG37" s="3649" t="s">
        <v>324</v>
      </c>
      <c r="AH37" s="3649" t="s">
        <v>324</v>
      </c>
      <c r="AI37" s="3649" t="s">
        <v>324</v>
      </c>
      <c r="AJ37" s="3649" t="s">
        <v>324</v>
      </c>
      <c r="AK37" s="3649" t="s">
        <v>324</v>
      </c>
      <c r="AL37" s="3649" t="s">
        <v>324</v>
      </c>
      <c r="AM37" s="3649" t="s">
        <v>324</v>
      </c>
      <c r="AN37" s="3649" t="s">
        <v>324</v>
      </c>
      <c r="AO37" s="3649" t="s">
        <v>324</v>
      </c>
      <c r="AP37" s="3649" t="s">
        <v>324</v>
      </c>
      <c r="AQ37" s="3649" t="s">
        <v>324</v>
      </c>
      <c r="AR37" s="3649" t="s">
        <v>324</v>
      </c>
      <c r="AS37" s="3649" t="s">
        <v>324</v>
      </c>
      <c r="AT37" s="3649" t="s">
        <v>324</v>
      </c>
      <c r="AU37" s="3649" t="s">
        <v>324</v>
      </c>
      <c r="AV37" s="3649" t="s">
        <v>324</v>
      </c>
      <c r="AW37" s="3649" t="s">
        <v>324</v>
      </c>
      <c r="AX37" s="3649" t="s">
        <v>324</v>
      </c>
      <c r="AY37" s="3649" t="s">
        <v>324</v>
      </c>
      <c r="AZ37" s="3649" t="s">
        <v>324</v>
      </c>
      <c r="BA37" s="479"/>
      <c r="BB37" s="496"/>
      <c r="BD37" s="506" t="s">
        <v>323</v>
      </c>
      <c r="BE37" s="1397" t="s">
        <v>324</v>
      </c>
      <c r="BF37" s="1894" t="s">
        <v>324</v>
      </c>
      <c r="BG37" s="1397" t="s">
        <v>324</v>
      </c>
      <c r="BH37" s="1397" t="s">
        <v>324</v>
      </c>
      <c r="BI37" s="1397" t="s">
        <v>324</v>
      </c>
      <c r="BJ37" s="1397" t="s">
        <v>324</v>
      </c>
      <c r="BK37" s="1397" t="s">
        <v>324</v>
      </c>
      <c r="BL37" s="1397" t="s">
        <v>324</v>
      </c>
      <c r="BM37" s="1397" t="s">
        <v>324</v>
      </c>
      <c r="BN37" s="1397" t="s">
        <v>324</v>
      </c>
      <c r="BO37" s="1397" t="s">
        <v>324</v>
      </c>
      <c r="BP37" s="1397" t="s">
        <v>324</v>
      </c>
      <c r="BQ37" s="1397" t="s">
        <v>324</v>
      </c>
      <c r="BR37" s="1397" t="s">
        <v>324</v>
      </c>
      <c r="BS37" s="1397" t="s">
        <v>324</v>
      </c>
      <c r="BT37" s="1397" t="s">
        <v>324</v>
      </c>
      <c r="BU37" s="1397" t="s">
        <v>324</v>
      </c>
      <c r="BV37" s="1397" t="s">
        <v>324</v>
      </c>
      <c r="BW37" s="1397" t="s">
        <v>324</v>
      </c>
      <c r="BX37" s="1397" t="s">
        <v>324</v>
      </c>
      <c r="BY37" s="1397" t="s">
        <v>324</v>
      </c>
      <c r="BZ37" s="1397" t="s">
        <v>324</v>
      </c>
      <c r="CA37" s="1397" t="s">
        <v>324</v>
      </c>
      <c r="CB37" s="1893" t="s">
        <v>324</v>
      </c>
      <c r="CC37" s="1369" t="s">
        <v>324</v>
      </c>
      <c r="CD37" s="1886" t="s">
        <v>324</v>
      </c>
      <c r="CE37" s="1369" t="s">
        <v>324</v>
      </c>
      <c r="CF37" s="1886" t="s">
        <v>324</v>
      </c>
      <c r="CG37" s="1369" t="s">
        <v>324</v>
      </c>
      <c r="CH37" s="1886" t="s">
        <v>324</v>
      </c>
      <c r="CI37" s="1369" t="s">
        <v>324</v>
      </c>
      <c r="CJ37" s="1886" t="s">
        <v>324</v>
      </c>
      <c r="CK37" s="1369" t="s">
        <v>324</v>
      </c>
      <c r="CL37" s="1369" t="s">
        <v>324</v>
      </c>
      <c r="CM37" s="1886" t="s">
        <v>324</v>
      </c>
      <c r="CN37" s="1369" t="s">
        <v>324</v>
      </c>
      <c r="CO37" s="1886" t="s">
        <v>324</v>
      </c>
      <c r="CP37" s="1369" t="s">
        <v>324</v>
      </c>
      <c r="CQ37" s="1886" t="s">
        <v>324</v>
      </c>
      <c r="CR37" s="2395" t="s">
        <v>324</v>
      </c>
      <c r="CS37" s="2395" t="s">
        <v>324</v>
      </c>
      <c r="CT37" s="1369" t="s">
        <v>324</v>
      </c>
      <c r="CU37" s="1886" t="s">
        <v>324</v>
      </c>
      <c r="CV37" s="1369" t="s">
        <v>324</v>
      </c>
      <c r="CW37" s="1886" t="s">
        <v>324</v>
      </c>
      <c r="CX37" s="2395" t="s">
        <v>324</v>
      </c>
      <c r="CY37" s="2395" t="s">
        <v>324</v>
      </c>
      <c r="CZ37" s="2395" t="s">
        <v>324</v>
      </c>
      <c r="DA37" s="2395" t="s">
        <v>324</v>
      </c>
      <c r="DB37" s="2395" t="s">
        <v>324</v>
      </c>
      <c r="DC37" s="2395" t="s">
        <v>324</v>
      </c>
      <c r="DD37" s="2395" t="s">
        <v>324</v>
      </c>
      <c r="DE37" s="2395" t="s">
        <v>324</v>
      </c>
      <c r="DG37" s="1842"/>
    </row>
    <row r="38" spans="1:111" ht="30" customHeight="1" x14ac:dyDescent="0.3">
      <c r="A38" s="447"/>
      <c r="B38" s="508" t="s">
        <v>325</v>
      </c>
      <c r="C38" s="3650" t="s">
        <v>326</v>
      </c>
      <c r="D38" s="3651" t="s">
        <v>326</v>
      </c>
      <c r="E38" s="3650" t="s">
        <v>326</v>
      </c>
      <c r="F38" s="3651" t="s">
        <v>326</v>
      </c>
      <c r="G38" s="3651" t="s">
        <v>326</v>
      </c>
      <c r="H38" s="3650" t="s">
        <v>326</v>
      </c>
      <c r="I38" s="3651" t="s">
        <v>326</v>
      </c>
      <c r="J38" s="3650" t="s">
        <v>326</v>
      </c>
      <c r="K38" s="3651" t="s">
        <v>326</v>
      </c>
      <c r="L38" s="3651" t="s">
        <v>326</v>
      </c>
      <c r="M38" s="3650" t="s">
        <v>326</v>
      </c>
      <c r="N38" s="3651" t="s">
        <v>326</v>
      </c>
      <c r="O38" s="3651" t="s">
        <v>326</v>
      </c>
      <c r="P38" s="3651" t="s">
        <v>326</v>
      </c>
      <c r="Q38" s="3650" t="s">
        <v>326</v>
      </c>
      <c r="R38" s="3651" t="s">
        <v>326</v>
      </c>
      <c r="S38" s="3650" t="s">
        <v>326</v>
      </c>
      <c r="T38" s="3651" t="s">
        <v>326</v>
      </c>
      <c r="U38" s="3650" t="s">
        <v>326</v>
      </c>
      <c r="V38" s="3651" t="s">
        <v>326</v>
      </c>
      <c r="W38" s="3651" t="s">
        <v>326</v>
      </c>
      <c r="X38" s="3651" t="s">
        <v>326</v>
      </c>
      <c r="Y38" s="3650" t="s">
        <v>326</v>
      </c>
      <c r="Z38" s="3651" t="s">
        <v>326</v>
      </c>
      <c r="AA38" s="3652" t="s">
        <v>326</v>
      </c>
      <c r="AB38" s="3650" t="s">
        <v>326</v>
      </c>
      <c r="AC38" s="3650" t="s">
        <v>326</v>
      </c>
      <c r="AD38" s="3651" t="s">
        <v>326</v>
      </c>
      <c r="AE38" s="3650" t="s">
        <v>326</v>
      </c>
      <c r="AF38" s="3653" t="s">
        <v>326</v>
      </c>
      <c r="AG38" s="3651" t="s">
        <v>326</v>
      </c>
      <c r="AH38" s="3651" t="s">
        <v>326</v>
      </c>
      <c r="AI38" s="3650" t="s">
        <v>326</v>
      </c>
      <c r="AJ38" s="3654" t="s">
        <v>326</v>
      </c>
      <c r="AK38" s="3653" t="s">
        <v>326</v>
      </c>
      <c r="AL38" s="3651" t="s">
        <v>326</v>
      </c>
      <c r="AM38" s="3650" t="s">
        <v>326</v>
      </c>
      <c r="AN38" s="3651" t="s">
        <v>326</v>
      </c>
      <c r="AO38" s="3650" t="s">
        <v>326</v>
      </c>
      <c r="AP38" s="3651" t="s">
        <v>326</v>
      </c>
      <c r="AQ38" s="3651" t="s">
        <v>326</v>
      </c>
      <c r="AR38" s="3650" t="s">
        <v>326</v>
      </c>
      <c r="AS38" s="3655" t="s">
        <v>326</v>
      </c>
      <c r="AT38" s="3655" t="s">
        <v>326</v>
      </c>
      <c r="AU38" s="3650" t="s">
        <v>326</v>
      </c>
      <c r="AV38" s="3655" t="s">
        <v>326</v>
      </c>
      <c r="AW38" s="3650" t="s">
        <v>326</v>
      </c>
      <c r="AX38" s="3655" t="s">
        <v>326</v>
      </c>
      <c r="AY38" s="3650" t="s">
        <v>326</v>
      </c>
      <c r="AZ38" s="3656" t="s">
        <v>326</v>
      </c>
      <c r="BA38" s="479"/>
      <c r="BB38" s="496"/>
      <c r="BD38" s="508" t="s">
        <v>325</v>
      </c>
      <c r="BE38" s="1889" t="s">
        <v>326</v>
      </c>
      <c r="BF38" s="1896" t="s">
        <v>326</v>
      </c>
      <c r="BG38" s="1889" t="s">
        <v>326</v>
      </c>
      <c r="BH38" s="1889" t="s">
        <v>326</v>
      </c>
      <c r="BI38" s="1889" t="s">
        <v>326</v>
      </c>
      <c r="BJ38" s="1889" t="s">
        <v>326</v>
      </c>
      <c r="BK38" s="1889" t="s">
        <v>326</v>
      </c>
      <c r="BL38" s="1889" t="s">
        <v>326</v>
      </c>
      <c r="BM38" s="1889" t="s">
        <v>326</v>
      </c>
      <c r="BN38" s="1889" t="s">
        <v>326</v>
      </c>
      <c r="BO38" s="1889" t="s">
        <v>326</v>
      </c>
      <c r="BP38" s="1889" t="s">
        <v>326</v>
      </c>
      <c r="BQ38" s="1889" t="s">
        <v>326</v>
      </c>
      <c r="BR38" s="1889" t="s">
        <v>326</v>
      </c>
      <c r="BS38" s="1889" t="s">
        <v>326</v>
      </c>
      <c r="BT38" s="1889" t="s">
        <v>326</v>
      </c>
      <c r="BU38" s="1889" t="s">
        <v>326</v>
      </c>
      <c r="BV38" s="1889" t="s">
        <v>326</v>
      </c>
      <c r="BW38" s="1889" t="s">
        <v>326</v>
      </c>
      <c r="BX38" s="1889" t="s">
        <v>326</v>
      </c>
      <c r="BY38" s="1889" t="s">
        <v>326</v>
      </c>
      <c r="BZ38" s="1889" t="s">
        <v>326</v>
      </c>
      <c r="CA38" s="1889" t="s">
        <v>326</v>
      </c>
      <c r="CB38" s="1891" t="s">
        <v>326</v>
      </c>
      <c r="CC38" s="1888" t="s">
        <v>326</v>
      </c>
      <c r="CD38" s="1892" t="s">
        <v>326</v>
      </c>
      <c r="CE38" s="1888" t="s">
        <v>326</v>
      </c>
      <c r="CF38" s="1892" t="s">
        <v>326</v>
      </c>
      <c r="CG38" s="1888" t="s">
        <v>326</v>
      </c>
      <c r="CH38" s="1892" t="s">
        <v>326</v>
      </c>
      <c r="CI38" s="1888" t="s">
        <v>326</v>
      </c>
      <c r="CJ38" s="1892" t="s">
        <v>326</v>
      </c>
      <c r="CK38" s="1888" t="s">
        <v>326</v>
      </c>
      <c r="CL38" s="1888" t="s">
        <v>326</v>
      </c>
      <c r="CM38" s="1892" t="s">
        <v>326</v>
      </c>
      <c r="CN38" s="1888" t="s">
        <v>326</v>
      </c>
      <c r="CO38" s="1892" t="s">
        <v>326</v>
      </c>
      <c r="CP38" s="1888" t="s">
        <v>326</v>
      </c>
      <c r="CQ38" s="1892" t="s">
        <v>326</v>
      </c>
      <c r="CR38" s="3657" t="s">
        <v>326</v>
      </c>
      <c r="CS38" s="1888" t="s">
        <v>326</v>
      </c>
      <c r="CT38" s="3658" t="s">
        <v>326</v>
      </c>
      <c r="CU38" s="1892" t="s">
        <v>326</v>
      </c>
      <c r="CV38" s="1888" t="s">
        <v>326</v>
      </c>
      <c r="CW38" s="1892" t="s">
        <v>326</v>
      </c>
      <c r="CX38" s="3657" t="s">
        <v>326</v>
      </c>
      <c r="CY38" s="3657" t="s">
        <v>326</v>
      </c>
      <c r="CZ38" s="3657" t="s">
        <v>326</v>
      </c>
      <c r="DA38" s="3657" t="s">
        <v>326</v>
      </c>
      <c r="DB38" s="3657" t="s">
        <v>326</v>
      </c>
      <c r="DC38" s="3657" t="s">
        <v>326</v>
      </c>
      <c r="DD38" s="3657" t="s">
        <v>326</v>
      </c>
      <c r="DE38" s="3657" t="s">
        <v>326</v>
      </c>
      <c r="DG38" s="1849"/>
    </row>
    <row r="39" spans="1:111" ht="30" customHeight="1" x14ac:dyDescent="0.3">
      <c r="A39" s="447"/>
      <c r="B39" s="506" t="s">
        <v>327</v>
      </c>
      <c r="C39" s="3526" t="s">
        <v>66</v>
      </c>
      <c r="D39" s="3526" t="s">
        <v>66</v>
      </c>
      <c r="E39" s="3526" t="s">
        <v>66</v>
      </c>
      <c r="F39" s="3526" t="s">
        <v>66</v>
      </c>
      <c r="G39" s="3526" t="s">
        <v>66</v>
      </c>
      <c r="H39" s="3526" t="s">
        <v>66</v>
      </c>
      <c r="I39" s="3526" t="s">
        <v>66</v>
      </c>
      <c r="J39" s="3526" t="s">
        <v>66</v>
      </c>
      <c r="K39" s="3526" t="s">
        <v>66</v>
      </c>
      <c r="L39" s="3526" t="s">
        <v>66</v>
      </c>
      <c r="M39" s="3526" t="s">
        <v>66</v>
      </c>
      <c r="N39" s="3526" t="s">
        <v>66</v>
      </c>
      <c r="O39" s="3526" t="s">
        <v>66</v>
      </c>
      <c r="P39" s="3526" t="s">
        <v>66</v>
      </c>
      <c r="Q39" s="3526" t="s">
        <v>66</v>
      </c>
      <c r="R39" s="3526" t="s">
        <v>66</v>
      </c>
      <c r="S39" s="3526" t="s">
        <v>66</v>
      </c>
      <c r="T39" s="3526" t="s">
        <v>66</v>
      </c>
      <c r="U39" s="3526" t="s">
        <v>66</v>
      </c>
      <c r="V39" s="3526" t="s">
        <v>66</v>
      </c>
      <c r="W39" s="3526" t="s">
        <v>66</v>
      </c>
      <c r="X39" s="3526" t="s">
        <v>66</v>
      </c>
      <c r="Y39" s="3526" t="s">
        <v>66</v>
      </c>
      <c r="Z39" s="3526" t="s">
        <v>66</v>
      </c>
      <c r="AA39" s="3526" t="s">
        <v>66</v>
      </c>
      <c r="AB39" s="3526" t="s">
        <v>66</v>
      </c>
      <c r="AC39" s="3526" t="s">
        <v>66</v>
      </c>
      <c r="AD39" s="3526" t="s">
        <v>66</v>
      </c>
      <c r="AE39" s="3526" t="s">
        <v>66</v>
      </c>
      <c r="AF39" s="3526" t="s">
        <v>66</v>
      </c>
      <c r="AG39" s="3526" t="s">
        <v>66</v>
      </c>
      <c r="AH39" s="3526" t="s">
        <v>66</v>
      </c>
      <c r="AI39" s="3526" t="s">
        <v>66</v>
      </c>
      <c r="AJ39" s="3526" t="s">
        <v>66</v>
      </c>
      <c r="AK39" s="3526" t="s">
        <v>66</v>
      </c>
      <c r="AL39" s="3526" t="s">
        <v>66</v>
      </c>
      <c r="AM39" s="3526" t="s">
        <v>66</v>
      </c>
      <c r="AN39" s="3526" t="s">
        <v>66</v>
      </c>
      <c r="AO39" s="3526" t="s">
        <v>66</v>
      </c>
      <c r="AP39" s="3526" t="s">
        <v>66</v>
      </c>
      <c r="AQ39" s="3526" t="s">
        <v>66</v>
      </c>
      <c r="AR39" s="3526" t="s">
        <v>66</v>
      </c>
      <c r="AS39" s="3526" t="s">
        <v>66</v>
      </c>
      <c r="AT39" s="3526" t="s">
        <v>66</v>
      </c>
      <c r="AU39" s="3526" t="s">
        <v>66</v>
      </c>
      <c r="AV39" s="3526" t="s">
        <v>66</v>
      </c>
      <c r="AW39" s="3526" t="s">
        <v>66</v>
      </c>
      <c r="AX39" s="3526" t="s">
        <v>66</v>
      </c>
      <c r="AY39" s="3526" t="s">
        <v>66</v>
      </c>
      <c r="AZ39" s="3526" t="s">
        <v>66</v>
      </c>
      <c r="BA39" s="479"/>
      <c r="BB39" s="496"/>
      <c r="BD39" s="506" t="s">
        <v>327</v>
      </c>
      <c r="BE39" s="1397" t="s">
        <v>402</v>
      </c>
      <c r="BF39" s="1894" t="s">
        <v>402</v>
      </c>
      <c r="BG39" s="1397" t="s">
        <v>402</v>
      </c>
      <c r="BH39" s="1397" t="s">
        <v>402</v>
      </c>
      <c r="BI39" s="1397" t="s">
        <v>402</v>
      </c>
      <c r="BJ39" s="1397" t="s">
        <v>402</v>
      </c>
      <c r="BK39" s="1397" t="s">
        <v>402</v>
      </c>
      <c r="BL39" s="1397" t="s">
        <v>402</v>
      </c>
      <c r="BM39" s="1397" t="s">
        <v>402</v>
      </c>
      <c r="BN39" s="1397" t="s">
        <v>402</v>
      </c>
      <c r="BO39" s="1397" t="s">
        <v>402</v>
      </c>
      <c r="BP39" s="1397" t="s">
        <v>402</v>
      </c>
      <c r="BQ39" s="1397" t="s">
        <v>402</v>
      </c>
      <c r="BR39" s="1397" t="s">
        <v>402</v>
      </c>
      <c r="BS39" s="1397" t="s">
        <v>402</v>
      </c>
      <c r="BT39" s="1397" t="s">
        <v>402</v>
      </c>
      <c r="BU39" s="1397" t="s">
        <v>402</v>
      </c>
      <c r="BV39" s="1397" t="s">
        <v>402</v>
      </c>
      <c r="BW39" s="1397" t="s">
        <v>402</v>
      </c>
      <c r="BX39" s="1397" t="s">
        <v>402</v>
      </c>
      <c r="BY39" s="1397" t="s">
        <v>402</v>
      </c>
      <c r="BZ39" s="1397" t="s">
        <v>402</v>
      </c>
      <c r="CA39" s="1397" t="s">
        <v>402</v>
      </c>
      <c r="CB39" s="1893" t="s">
        <v>402</v>
      </c>
      <c r="CC39" s="1369" t="s">
        <v>402</v>
      </c>
      <c r="CD39" s="1886" t="s">
        <v>402</v>
      </c>
      <c r="CE39" s="1369" t="s">
        <v>402</v>
      </c>
      <c r="CF39" s="1886" t="s">
        <v>402</v>
      </c>
      <c r="CG39" s="1369" t="s">
        <v>402</v>
      </c>
      <c r="CH39" s="1886" t="s">
        <v>402</v>
      </c>
      <c r="CI39" s="1369" t="s">
        <v>402</v>
      </c>
      <c r="CJ39" s="1886" t="s">
        <v>402</v>
      </c>
      <c r="CK39" s="1369" t="s">
        <v>402</v>
      </c>
      <c r="CL39" s="1369" t="s">
        <v>402</v>
      </c>
      <c r="CM39" s="1886" t="s">
        <v>402</v>
      </c>
      <c r="CN39" s="1369" t="s">
        <v>402</v>
      </c>
      <c r="CO39" s="1886" t="s">
        <v>402</v>
      </c>
      <c r="CP39" s="1369" t="s">
        <v>402</v>
      </c>
      <c r="CQ39" s="1886" t="s">
        <v>402</v>
      </c>
      <c r="CR39" s="2395" t="s">
        <v>402</v>
      </c>
      <c r="CS39" s="2395" t="s">
        <v>402</v>
      </c>
      <c r="CT39" s="1369" t="s">
        <v>402</v>
      </c>
      <c r="CU39" s="1886" t="s">
        <v>402</v>
      </c>
      <c r="CV39" s="1369" t="s">
        <v>402</v>
      </c>
      <c r="CW39" s="1886" t="s">
        <v>402</v>
      </c>
      <c r="CX39" s="2395" t="s">
        <v>402</v>
      </c>
      <c r="CY39" s="2395" t="s">
        <v>402</v>
      </c>
      <c r="CZ39" s="2395" t="s">
        <v>402</v>
      </c>
      <c r="DA39" s="2395" t="s">
        <v>402</v>
      </c>
      <c r="DB39" s="2395" t="s">
        <v>402</v>
      </c>
      <c r="DC39" s="2395" t="s">
        <v>402</v>
      </c>
      <c r="DD39" s="2395" t="s">
        <v>402</v>
      </c>
      <c r="DE39" s="2395" t="s">
        <v>402</v>
      </c>
      <c r="DG39" s="1834"/>
    </row>
    <row r="40" spans="1:111" ht="29.4" customHeight="1" x14ac:dyDescent="0.3">
      <c r="A40" s="428"/>
      <c r="B40" s="510" t="s">
        <v>329</v>
      </c>
      <c r="C40" s="3659">
        <v>1</v>
      </c>
      <c r="D40" s="3659">
        <v>1</v>
      </c>
      <c r="E40" s="3659">
        <v>1</v>
      </c>
      <c r="F40" s="3659">
        <v>1</v>
      </c>
      <c r="G40" s="3659">
        <v>1</v>
      </c>
      <c r="H40" s="3659">
        <v>0</v>
      </c>
      <c r="I40" s="3659">
        <v>1</v>
      </c>
      <c r="J40" s="3659">
        <v>1</v>
      </c>
      <c r="K40" s="3659">
        <v>1</v>
      </c>
      <c r="L40" s="3659">
        <v>1</v>
      </c>
      <c r="M40" s="3659">
        <v>1</v>
      </c>
      <c r="N40" s="3659">
        <v>1</v>
      </c>
      <c r="O40" s="3659">
        <v>0</v>
      </c>
      <c r="P40" s="3659">
        <v>1</v>
      </c>
      <c r="Q40" s="3659">
        <v>0</v>
      </c>
      <c r="R40" s="3659">
        <v>1</v>
      </c>
      <c r="S40" s="3659">
        <v>0</v>
      </c>
      <c r="T40" s="3659">
        <v>1</v>
      </c>
      <c r="U40" s="3659">
        <v>1</v>
      </c>
      <c r="V40" s="3659">
        <v>1</v>
      </c>
      <c r="W40" s="3659">
        <v>0</v>
      </c>
      <c r="X40" s="3659">
        <v>1</v>
      </c>
      <c r="Y40" s="3659">
        <v>1</v>
      </c>
      <c r="Z40" s="3659">
        <v>1</v>
      </c>
      <c r="AA40" s="3659">
        <v>1</v>
      </c>
      <c r="AB40" s="3659">
        <v>1</v>
      </c>
      <c r="AC40" s="3659">
        <v>1</v>
      </c>
      <c r="AD40" s="3659">
        <v>1</v>
      </c>
      <c r="AE40" s="3659">
        <v>1</v>
      </c>
      <c r="AF40" s="3659">
        <v>1</v>
      </c>
      <c r="AG40" s="3659">
        <v>1</v>
      </c>
      <c r="AH40" s="3659">
        <v>1</v>
      </c>
      <c r="AI40" s="3659">
        <v>1</v>
      </c>
      <c r="AJ40" s="3659">
        <v>0</v>
      </c>
      <c r="AK40" s="3659">
        <v>1</v>
      </c>
      <c r="AL40" s="3659">
        <v>1</v>
      </c>
      <c r="AM40" s="3659">
        <v>1</v>
      </c>
      <c r="AN40" s="3659">
        <v>0</v>
      </c>
      <c r="AO40" s="3659">
        <v>1</v>
      </c>
      <c r="AP40" s="3659">
        <v>1</v>
      </c>
      <c r="AQ40" s="3659">
        <v>1</v>
      </c>
      <c r="AR40" s="3659">
        <v>1</v>
      </c>
      <c r="AS40" s="3659">
        <v>0</v>
      </c>
      <c r="AT40" s="3659">
        <v>0</v>
      </c>
      <c r="AU40" s="3659">
        <v>1</v>
      </c>
      <c r="AV40" s="3659">
        <v>1</v>
      </c>
      <c r="AW40" s="3659">
        <v>1</v>
      </c>
      <c r="AX40" s="3659">
        <v>1</v>
      </c>
      <c r="AY40" s="3659">
        <v>1</v>
      </c>
      <c r="AZ40" s="3659">
        <v>1</v>
      </c>
      <c r="BA40" s="467"/>
      <c r="BB40" s="467"/>
      <c r="BD40" s="510" t="s">
        <v>329</v>
      </c>
      <c r="BE40" s="1889">
        <v>1</v>
      </c>
      <c r="BF40" s="1889">
        <v>1</v>
      </c>
      <c r="BG40" s="1889">
        <v>1</v>
      </c>
      <c r="BH40" s="1889">
        <v>1</v>
      </c>
      <c r="BI40" s="1889">
        <v>1</v>
      </c>
      <c r="BJ40" s="1889">
        <v>0</v>
      </c>
      <c r="BK40" s="1889">
        <v>1</v>
      </c>
      <c r="BL40" s="1889">
        <v>1</v>
      </c>
      <c r="BM40" s="1889">
        <v>1</v>
      </c>
      <c r="BN40" s="1889">
        <v>1</v>
      </c>
      <c r="BO40" s="1889">
        <v>1</v>
      </c>
      <c r="BP40" s="1889">
        <v>1</v>
      </c>
      <c r="BQ40" s="1889">
        <v>0</v>
      </c>
      <c r="BR40" s="1889">
        <v>1</v>
      </c>
      <c r="BS40" s="1889">
        <v>0</v>
      </c>
      <c r="BT40" s="1889">
        <v>1</v>
      </c>
      <c r="BU40" s="1889">
        <v>0</v>
      </c>
      <c r="BV40" s="1889">
        <v>1</v>
      </c>
      <c r="BW40" s="1889">
        <v>1</v>
      </c>
      <c r="BX40" s="1889">
        <v>1</v>
      </c>
      <c r="BY40" s="1889">
        <v>0</v>
      </c>
      <c r="BZ40" s="1889">
        <v>1</v>
      </c>
      <c r="CA40" s="1889">
        <v>1</v>
      </c>
      <c r="CB40" s="1891">
        <v>1</v>
      </c>
      <c r="CC40" s="1888">
        <v>1</v>
      </c>
      <c r="CD40" s="1892">
        <v>1</v>
      </c>
      <c r="CE40" s="1888">
        <v>1</v>
      </c>
      <c r="CF40" s="1892">
        <v>1</v>
      </c>
      <c r="CG40" s="1888">
        <v>1</v>
      </c>
      <c r="CH40" s="1892">
        <v>1</v>
      </c>
      <c r="CI40" s="1888">
        <v>1</v>
      </c>
      <c r="CJ40" s="1892">
        <v>1</v>
      </c>
      <c r="CK40" s="1888">
        <v>1</v>
      </c>
      <c r="CL40" s="1888">
        <v>0</v>
      </c>
      <c r="CM40" s="1892">
        <v>1</v>
      </c>
      <c r="CN40" s="1888">
        <v>1</v>
      </c>
      <c r="CO40" s="1892">
        <v>1</v>
      </c>
      <c r="CP40" s="1888">
        <v>0</v>
      </c>
      <c r="CQ40" s="1892">
        <v>1</v>
      </c>
      <c r="CR40" s="3657">
        <v>1</v>
      </c>
      <c r="CS40" s="3657">
        <v>1</v>
      </c>
      <c r="CT40" s="1888">
        <v>1</v>
      </c>
      <c r="CU40" s="1892">
        <v>0</v>
      </c>
      <c r="CV40" s="1888">
        <v>0</v>
      </c>
      <c r="CW40" s="1892">
        <v>1</v>
      </c>
      <c r="CX40" s="3657">
        <v>1</v>
      </c>
      <c r="CY40" s="3657">
        <v>1</v>
      </c>
      <c r="CZ40" s="3657">
        <v>1</v>
      </c>
      <c r="DA40" s="3657">
        <v>1</v>
      </c>
      <c r="DB40" s="3657">
        <v>1</v>
      </c>
      <c r="DC40" s="3657">
        <v>1</v>
      </c>
      <c r="DD40" s="3657">
        <v>1</v>
      </c>
      <c r="DE40" s="3657">
        <v>1</v>
      </c>
      <c r="DG40" s="1369"/>
    </row>
    <row r="41" spans="1:111" ht="33" customHeight="1" x14ac:dyDescent="0.3">
      <c r="A41" s="428"/>
      <c r="B41" s="453" t="s">
        <v>330</v>
      </c>
      <c r="C41" s="3648" t="s">
        <v>324</v>
      </c>
      <c r="D41" s="3649" t="s">
        <v>324</v>
      </c>
      <c r="E41" s="3648" t="s">
        <v>324</v>
      </c>
      <c r="F41" s="3649" t="s">
        <v>324</v>
      </c>
      <c r="G41" s="3649" t="s">
        <v>324</v>
      </c>
      <c r="H41" s="3648" t="s">
        <v>324</v>
      </c>
      <c r="I41" s="3649" t="s">
        <v>324</v>
      </c>
      <c r="J41" s="3648" t="s">
        <v>324</v>
      </c>
      <c r="K41" s="3649" t="s">
        <v>324</v>
      </c>
      <c r="L41" s="3649" t="s">
        <v>324</v>
      </c>
      <c r="M41" s="3648" t="s">
        <v>324</v>
      </c>
      <c r="N41" s="3649" t="s">
        <v>324</v>
      </c>
      <c r="O41" s="3649" t="s">
        <v>324</v>
      </c>
      <c r="P41" s="3649" t="s">
        <v>324</v>
      </c>
      <c r="Q41" s="3648" t="s">
        <v>324</v>
      </c>
      <c r="R41" s="3649" t="s">
        <v>324</v>
      </c>
      <c r="S41" s="3648" t="s">
        <v>324</v>
      </c>
      <c r="T41" s="3649" t="s">
        <v>324</v>
      </c>
      <c r="U41" s="3648" t="s">
        <v>324</v>
      </c>
      <c r="V41" s="3649" t="s">
        <v>324</v>
      </c>
      <c r="W41" s="3649" t="s">
        <v>324</v>
      </c>
      <c r="X41" s="3649" t="s">
        <v>324</v>
      </c>
      <c r="Y41" s="3648" t="s">
        <v>324</v>
      </c>
      <c r="Z41" s="3649" t="s">
        <v>324</v>
      </c>
      <c r="AA41" s="3648" t="s">
        <v>324</v>
      </c>
      <c r="AB41" s="3660" t="s">
        <v>324</v>
      </c>
      <c r="AC41" s="3648" t="s">
        <v>324</v>
      </c>
      <c r="AD41" s="3649" t="s">
        <v>324</v>
      </c>
      <c r="AE41" s="3648" t="s">
        <v>324</v>
      </c>
      <c r="AF41" s="3660" t="s">
        <v>324</v>
      </c>
      <c r="AG41" s="3649" t="s">
        <v>324</v>
      </c>
      <c r="AH41" s="3649" t="s">
        <v>324</v>
      </c>
      <c r="AI41" s="3648" t="s">
        <v>324</v>
      </c>
      <c r="AJ41" s="3661" t="s">
        <v>324</v>
      </c>
      <c r="AK41" s="3648" t="s">
        <v>324</v>
      </c>
      <c r="AL41" s="3649" t="s">
        <v>324</v>
      </c>
      <c r="AM41" s="3648" t="s">
        <v>324</v>
      </c>
      <c r="AN41" s="3649" t="s">
        <v>324</v>
      </c>
      <c r="AO41" s="3648" t="s">
        <v>324</v>
      </c>
      <c r="AP41" s="3649" t="s">
        <v>324</v>
      </c>
      <c r="AQ41" s="3649" t="s">
        <v>324</v>
      </c>
      <c r="AR41" s="3648" t="s">
        <v>324</v>
      </c>
      <c r="AS41" s="3662" t="s">
        <v>324</v>
      </c>
      <c r="AT41" s="3663" t="s">
        <v>324</v>
      </c>
      <c r="AU41" s="3663" t="s">
        <v>324</v>
      </c>
      <c r="AV41" s="3648" t="s">
        <v>324</v>
      </c>
      <c r="AW41" s="3664" t="s">
        <v>324</v>
      </c>
      <c r="AX41" s="3664" t="s">
        <v>324</v>
      </c>
      <c r="AY41" s="3664" t="s">
        <v>324</v>
      </c>
      <c r="AZ41" s="3665" t="s">
        <v>324</v>
      </c>
      <c r="BA41" s="483"/>
      <c r="BB41" s="495"/>
      <c r="BD41" s="453" t="s">
        <v>330</v>
      </c>
      <c r="BE41" s="1397" t="s">
        <v>324</v>
      </c>
      <c r="BF41" s="1397" t="s">
        <v>324</v>
      </c>
      <c r="BG41" s="1397" t="s">
        <v>324</v>
      </c>
      <c r="BH41" s="1397" t="s">
        <v>324</v>
      </c>
      <c r="BI41" s="1397" t="s">
        <v>324</v>
      </c>
      <c r="BJ41" s="1397" t="s">
        <v>324</v>
      </c>
      <c r="BK41" s="1397" t="s">
        <v>324</v>
      </c>
      <c r="BL41" s="1397" t="s">
        <v>324</v>
      </c>
      <c r="BM41" s="1397" t="s">
        <v>324</v>
      </c>
      <c r="BN41" s="1397" t="s">
        <v>324</v>
      </c>
      <c r="BO41" s="1397" t="s">
        <v>324</v>
      </c>
      <c r="BP41" s="1397" t="s">
        <v>324</v>
      </c>
      <c r="BQ41" s="1397" t="s">
        <v>324</v>
      </c>
      <c r="BR41" s="1397" t="s">
        <v>324</v>
      </c>
      <c r="BS41" s="1397" t="s">
        <v>324</v>
      </c>
      <c r="BT41" s="1397" t="s">
        <v>324</v>
      </c>
      <c r="BU41" s="1397" t="s">
        <v>324</v>
      </c>
      <c r="BV41" s="1397" t="s">
        <v>324</v>
      </c>
      <c r="BW41" s="1397" t="s">
        <v>324</v>
      </c>
      <c r="BX41" s="1397" t="s">
        <v>324</v>
      </c>
      <c r="BY41" s="1397" t="s">
        <v>324</v>
      </c>
      <c r="BZ41" s="1397" t="s">
        <v>324</v>
      </c>
      <c r="CA41" s="1397" t="s">
        <v>324</v>
      </c>
      <c r="CB41" s="1893" t="s">
        <v>324</v>
      </c>
      <c r="CC41" s="1369" t="s">
        <v>324</v>
      </c>
      <c r="CD41" s="1886" t="s">
        <v>324</v>
      </c>
      <c r="CE41" s="1369" t="s">
        <v>324</v>
      </c>
      <c r="CF41" s="1886" t="s">
        <v>324</v>
      </c>
      <c r="CG41" s="1369" t="s">
        <v>324</v>
      </c>
      <c r="CH41" s="1886" t="s">
        <v>324</v>
      </c>
      <c r="CI41" s="1369" t="s">
        <v>324</v>
      </c>
      <c r="CJ41" s="1886" t="s">
        <v>324</v>
      </c>
      <c r="CK41" s="1369" t="s">
        <v>324</v>
      </c>
      <c r="CL41" s="1369" t="s">
        <v>324</v>
      </c>
      <c r="CM41" s="1886" t="s">
        <v>324</v>
      </c>
      <c r="CN41" s="1369" t="s">
        <v>324</v>
      </c>
      <c r="CO41" s="1886" t="s">
        <v>324</v>
      </c>
      <c r="CP41" s="1369" t="s">
        <v>324</v>
      </c>
      <c r="CQ41" s="1886" t="s">
        <v>324</v>
      </c>
      <c r="CR41" s="2395" t="s">
        <v>324</v>
      </c>
      <c r="CS41" s="2395" t="s">
        <v>324</v>
      </c>
      <c r="CT41" s="1369" t="s">
        <v>324</v>
      </c>
      <c r="CU41" s="1886" t="s">
        <v>324</v>
      </c>
      <c r="CV41" s="1369" t="s">
        <v>324</v>
      </c>
      <c r="CW41" s="1886" t="s">
        <v>324</v>
      </c>
      <c r="CX41" s="2395" t="s">
        <v>324</v>
      </c>
      <c r="CY41" s="2395" t="s">
        <v>324</v>
      </c>
      <c r="CZ41" s="2395" t="s">
        <v>324</v>
      </c>
      <c r="DA41" s="2395" t="s">
        <v>324</v>
      </c>
      <c r="DB41" s="2395" t="s">
        <v>324</v>
      </c>
      <c r="DC41" s="2395" t="s">
        <v>324</v>
      </c>
      <c r="DD41" s="2395" t="s">
        <v>324</v>
      </c>
      <c r="DE41" s="2395" t="s">
        <v>324</v>
      </c>
      <c r="DG41" s="1369"/>
    </row>
    <row r="42" spans="1:111" ht="27.6" customHeight="1" x14ac:dyDescent="0.3">
      <c r="A42" s="428"/>
      <c r="B42" s="510" t="s">
        <v>331</v>
      </c>
      <c r="C42" s="3650" t="s">
        <v>324</v>
      </c>
      <c r="D42" s="3651" t="s">
        <v>324</v>
      </c>
      <c r="E42" s="3650" t="s">
        <v>324</v>
      </c>
      <c r="F42" s="3651" t="s">
        <v>324</v>
      </c>
      <c r="G42" s="3651" t="s">
        <v>324</v>
      </c>
      <c r="H42" s="3650" t="s">
        <v>324</v>
      </c>
      <c r="I42" s="3651" t="s">
        <v>324</v>
      </c>
      <c r="J42" s="3650" t="s">
        <v>324</v>
      </c>
      <c r="K42" s="3651" t="s">
        <v>324</v>
      </c>
      <c r="L42" s="3651" t="s">
        <v>324</v>
      </c>
      <c r="M42" s="3650" t="s">
        <v>324</v>
      </c>
      <c r="N42" s="3651" t="s">
        <v>324</v>
      </c>
      <c r="O42" s="3651" t="s">
        <v>324</v>
      </c>
      <c r="P42" s="3651" t="s">
        <v>324</v>
      </c>
      <c r="Q42" s="3650" t="s">
        <v>324</v>
      </c>
      <c r="R42" s="3651" t="s">
        <v>324</v>
      </c>
      <c r="S42" s="3650" t="s">
        <v>324</v>
      </c>
      <c r="T42" s="3651" t="s">
        <v>324</v>
      </c>
      <c r="U42" s="3650" t="s">
        <v>324</v>
      </c>
      <c r="V42" s="3651" t="s">
        <v>324</v>
      </c>
      <c r="W42" s="3651" t="s">
        <v>324</v>
      </c>
      <c r="X42" s="3651" t="s">
        <v>324</v>
      </c>
      <c r="Y42" s="3650" t="s">
        <v>324</v>
      </c>
      <c r="Z42" s="3651" t="s">
        <v>324</v>
      </c>
      <c r="AA42" s="3650" t="s">
        <v>324</v>
      </c>
      <c r="AB42" s="3653" t="s">
        <v>324</v>
      </c>
      <c r="AC42" s="3650" t="s">
        <v>324</v>
      </c>
      <c r="AD42" s="3651" t="s">
        <v>324</v>
      </c>
      <c r="AE42" s="3650" t="s">
        <v>324</v>
      </c>
      <c r="AF42" s="3653" t="s">
        <v>324</v>
      </c>
      <c r="AG42" s="3651" t="s">
        <v>324</v>
      </c>
      <c r="AH42" s="3651" t="s">
        <v>324</v>
      </c>
      <c r="AI42" s="3650" t="s">
        <v>324</v>
      </c>
      <c r="AJ42" s="3654" t="s">
        <v>324</v>
      </c>
      <c r="AK42" s="3653" t="s">
        <v>324</v>
      </c>
      <c r="AL42" s="3651" t="s">
        <v>324</v>
      </c>
      <c r="AM42" s="3650" t="s">
        <v>324</v>
      </c>
      <c r="AN42" s="3651" t="s">
        <v>324</v>
      </c>
      <c r="AO42" s="3650" t="s">
        <v>324</v>
      </c>
      <c r="AP42" s="3651" t="s">
        <v>324</v>
      </c>
      <c r="AQ42" s="3651" t="s">
        <v>324</v>
      </c>
      <c r="AR42" s="3650" t="s">
        <v>324</v>
      </c>
      <c r="AS42" s="3655" t="s">
        <v>324</v>
      </c>
      <c r="AT42" s="3655" t="s">
        <v>324</v>
      </c>
      <c r="AU42" s="3666" t="s">
        <v>324</v>
      </c>
      <c r="AV42" s="3655" t="s">
        <v>324</v>
      </c>
      <c r="AW42" s="3650" t="s">
        <v>324</v>
      </c>
      <c r="AX42" s="3667" t="s">
        <v>324</v>
      </c>
      <c r="AY42" s="3667" t="s">
        <v>324</v>
      </c>
      <c r="AZ42" s="3656" t="s">
        <v>324</v>
      </c>
      <c r="BA42" s="483"/>
      <c r="BB42" s="495"/>
      <c r="BD42" s="510" t="s">
        <v>331</v>
      </c>
      <c r="BE42" s="1903" t="s">
        <v>324</v>
      </c>
      <c r="BF42" s="1903" t="s">
        <v>324</v>
      </c>
      <c r="BG42" s="1903" t="s">
        <v>324</v>
      </c>
      <c r="BH42" s="1903" t="s">
        <v>324</v>
      </c>
      <c r="BI42" s="1903" t="s">
        <v>324</v>
      </c>
      <c r="BJ42" s="1903" t="s">
        <v>324</v>
      </c>
      <c r="BK42" s="1903" t="s">
        <v>324</v>
      </c>
      <c r="BL42" s="1903" t="s">
        <v>324</v>
      </c>
      <c r="BM42" s="1903" t="s">
        <v>324</v>
      </c>
      <c r="BN42" s="1903" t="s">
        <v>324</v>
      </c>
      <c r="BO42" s="1903" t="s">
        <v>324</v>
      </c>
      <c r="BP42" s="1903" t="s">
        <v>324</v>
      </c>
      <c r="BQ42" s="1903" t="s">
        <v>324</v>
      </c>
      <c r="BR42" s="1903" t="s">
        <v>324</v>
      </c>
      <c r="BS42" s="1903" t="s">
        <v>324</v>
      </c>
      <c r="BT42" s="1903" t="s">
        <v>324</v>
      </c>
      <c r="BU42" s="1903" t="s">
        <v>324</v>
      </c>
      <c r="BV42" s="1903" t="s">
        <v>324</v>
      </c>
      <c r="BW42" s="1903" t="s">
        <v>324</v>
      </c>
      <c r="BX42" s="1903" t="s">
        <v>324</v>
      </c>
      <c r="BY42" s="1903" t="s">
        <v>324</v>
      </c>
      <c r="BZ42" s="1903" t="s">
        <v>324</v>
      </c>
      <c r="CA42" s="1903" t="s">
        <v>324</v>
      </c>
      <c r="CB42" s="1899" t="s">
        <v>324</v>
      </c>
      <c r="CC42" s="1900" t="s">
        <v>324</v>
      </c>
      <c r="CD42" s="1901" t="s">
        <v>324</v>
      </c>
      <c r="CE42" s="1900" t="s">
        <v>324</v>
      </c>
      <c r="CF42" s="1901" t="s">
        <v>324</v>
      </c>
      <c r="CG42" s="1900" t="s">
        <v>324</v>
      </c>
      <c r="CH42" s="1901" t="s">
        <v>324</v>
      </c>
      <c r="CI42" s="1900" t="s">
        <v>324</v>
      </c>
      <c r="CJ42" s="1901" t="s">
        <v>324</v>
      </c>
      <c r="CK42" s="1900" t="s">
        <v>324</v>
      </c>
      <c r="CL42" s="1900" t="s">
        <v>324</v>
      </c>
      <c r="CM42" s="1901" t="s">
        <v>324</v>
      </c>
      <c r="CN42" s="1900" t="s">
        <v>324</v>
      </c>
      <c r="CO42" s="1901" t="s">
        <v>324</v>
      </c>
      <c r="CP42" s="1900" t="s">
        <v>324</v>
      </c>
      <c r="CQ42" s="1901" t="s">
        <v>324</v>
      </c>
      <c r="CR42" s="3668" t="s">
        <v>324</v>
      </c>
      <c r="CS42" s="3668" t="s">
        <v>324</v>
      </c>
      <c r="CT42" s="1900" t="s">
        <v>324</v>
      </c>
      <c r="CU42" s="1901" t="s">
        <v>324</v>
      </c>
      <c r="CV42" s="1900" t="s">
        <v>324</v>
      </c>
      <c r="CW42" s="1901" t="s">
        <v>324</v>
      </c>
      <c r="CX42" s="3668" t="s">
        <v>324</v>
      </c>
      <c r="CY42" s="3668" t="s">
        <v>324</v>
      </c>
      <c r="CZ42" s="3668" t="s">
        <v>324</v>
      </c>
      <c r="DA42" s="3668" t="s">
        <v>324</v>
      </c>
      <c r="DB42" s="3668" t="s">
        <v>324</v>
      </c>
      <c r="DC42" s="3668" t="s">
        <v>324</v>
      </c>
      <c r="DD42" s="3668" t="s">
        <v>324</v>
      </c>
      <c r="DE42" s="3668" t="s">
        <v>324</v>
      </c>
      <c r="DG42" s="1369"/>
    </row>
    <row r="43" spans="1:111" ht="21" customHeight="1" x14ac:dyDescent="0.3">
      <c r="A43" s="428"/>
      <c r="B43" s="462" t="s">
        <v>332</v>
      </c>
      <c r="C43" s="3669" t="s">
        <v>333</v>
      </c>
      <c r="D43" s="3669" t="s">
        <v>333</v>
      </c>
      <c r="E43" s="3669" t="s">
        <v>333</v>
      </c>
      <c r="F43" s="3669" t="s">
        <v>333</v>
      </c>
      <c r="G43" s="3669" t="s">
        <v>333</v>
      </c>
      <c r="H43" s="3669" t="s">
        <v>333</v>
      </c>
      <c r="I43" s="3669" t="s">
        <v>333</v>
      </c>
      <c r="J43" s="3669" t="s">
        <v>333</v>
      </c>
      <c r="K43" s="3669" t="s">
        <v>333</v>
      </c>
      <c r="L43" s="3669" t="s">
        <v>333</v>
      </c>
      <c r="M43" s="3669" t="s">
        <v>333</v>
      </c>
      <c r="N43" s="3669" t="s">
        <v>333</v>
      </c>
      <c r="O43" s="3669" t="s">
        <v>333</v>
      </c>
      <c r="P43" s="3669" t="s">
        <v>333</v>
      </c>
      <c r="Q43" s="3669" t="s">
        <v>333</v>
      </c>
      <c r="R43" s="3669" t="s">
        <v>333</v>
      </c>
      <c r="S43" s="3669" t="s">
        <v>333</v>
      </c>
      <c r="T43" s="3669" t="s">
        <v>333</v>
      </c>
      <c r="U43" s="3669" t="s">
        <v>333</v>
      </c>
      <c r="V43" s="3669" t="s">
        <v>333</v>
      </c>
      <c r="W43" s="3669" t="s">
        <v>333</v>
      </c>
      <c r="X43" s="3669" t="s">
        <v>333</v>
      </c>
      <c r="Y43" s="3669" t="s">
        <v>333</v>
      </c>
      <c r="Z43" s="3669" t="s">
        <v>333</v>
      </c>
      <c r="AA43" s="3669" t="s">
        <v>333</v>
      </c>
      <c r="AB43" s="3669" t="s">
        <v>333</v>
      </c>
      <c r="AC43" s="3669" t="s">
        <v>333</v>
      </c>
      <c r="AD43" s="3669" t="s">
        <v>333</v>
      </c>
      <c r="AE43" s="3669" t="s">
        <v>333</v>
      </c>
      <c r="AF43" s="3669" t="s">
        <v>333</v>
      </c>
      <c r="AG43" s="3669" t="s">
        <v>333</v>
      </c>
      <c r="AH43" s="3669" t="s">
        <v>333</v>
      </c>
      <c r="AI43" s="3669" t="s">
        <v>333</v>
      </c>
      <c r="AJ43" s="3669" t="s">
        <v>333</v>
      </c>
      <c r="AK43" s="3669" t="s">
        <v>333</v>
      </c>
      <c r="AL43" s="3669" t="s">
        <v>333</v>
      </c>
      <c r="AM43" s="3669" t="s">
        <v>333</v>
      </c>
      <c r="AN43" s="3669" t="s">
        <v>333</v>
      </c>
      <c r="AO43" s="3669" t="s">
        <v>333</v>
      </c>
      <c r="AP43" s="3669" t="s">
        <v>333</v>
      </c>
      <c r="AQ43" s="3669" t="s">
        <v>333</v>
      </c>
      <c r="AR43" s="3669" t="s">
        <v>333</v>
      </c>
      <c r="AS43" s="3669" t="s">
        <v>333</v>
      </c>
      <c r="AT43" s="3669" t="s">
        <v>333</v>
      </c>
      <c r="AU43" s="3669" t="s">
        <v>333</v>
      </c>
      <c r="AV43" s="3669" t="s">
        <v>333</v>
      </c>
      <c r="AW43" s="3669" t="s">
        <v>333</v>
      </c>
      <c r="AX43" s="3669" t="s">
        <v>333</v>
      </c>
      <c r="AY43" s="3669" t="s">
        <v>333</v>
      </c>
      <c r="AZ43" s="3670" t="s">
        <v>333</v>
      </c>
      <c r="BA43" s="483"/>
      <c r="BB43" s="495"/>
      <c r="BD43" s="462" t="s">
        <v>332</v>
      </c>
      <c r="BE43" s="3669" t="s">
        <v>333</v>
      </c>
      <c r="BF43" s="3669" t="s">
        <v>333</v>
      </c>
      <c r="BG43" s="3669" t="s">
        <v>333</v>
      </c>
      <c r="BH43" s="3669" t="s">
        <v>333</v>
      </c>
      <c r="BI43" s="3669" t="s">
        <v>333</v>
      </c>
      <c r="BJ43" s="3669" t="s">
        <v>333</v>
      </c>
      <c r="BK43" s="3669" t="s">
        <v>333</v>
      </c>
      <c r="BL43" s="3669" t="s">
        <v>333</v>
      </c>
      <c r="BM43" s="3669" t="s">
        <v>333</v>
      </c>
      <c r="BN43" s="3669" t="s">
        <v>333</v>
      </c>
      <c r="BO43" s="3669" t="s">
        <v>333</v>
      </c>
      <c r="BP43" s="3669" t="s">
        <v>333</v>
      </c>
      <c r="BQ43" s="3669" t="s">
        <v>333</v>
      </c>
      <c r="BR43" s="3669" t="s">
        <v>333</v>
      </c>
      <c r="BS43" s="3669" t="s">
        <v>333</v>
      </c>
      <c r="BT43" s="3669" t="s">
        <v>333</v>
      </c>
      <c r="BU43" s="3669" t="s">
        <v>333</v>
      </c>
      <c r="BV43" s="3669" t="s">
        <v>333</v>
      </c>
      <c r="BW43" s="3669" t="s">
        <v>333</v>
      </c>
      <c r="BX43" s="3669" t="s">
        <v>333</v>
      </c>
      <c r="BY43" s="3669" t="s">
        <v>333</v>
      </c>
      <c r="BZ43" s="3669" t="s">
        <v>333</v>
      </c>
      <c r="CA43" s="3669" t="s">
        <v>333</v>
      </c>
      <c r="CB43" s="3669" t="s">
        <v>333</v>
      </c>
      <c r="CC43" s="3669" t="s">
        <v>333</v>
      </c>
      <c r="CD43" s="3671" t="s">
        <v>333</v>
      </c>
      <c r="CE43" s="3669" t="s">
        <v>333</v>
      </c>
      <c r="CF43" s="3671" t="s">
        <v>333</v>
      </c>
      <c r="CG43" s="3672" t="s">
        <v>333</v>
      </c>
      <c r="CH43" s="3671" t="s">
        <v>333</v>
      </c>
      <c r="CI43" s="3672" t="s">
        <v>333</v>
      </c>
      <c r="CJ43" s="3671" t="s">
        <v>333</v>
      </c>
      <c r="CK43" s="3672" t="s">
        <v>333</v>
      </c>
      <c r="CL43" s="3669" t="s">
        <v>333</v>
      </c>
      <c r="CM43" s="3671" t="s">
        <v>333</v>
      </c>
      <c r="CN43" s="3672" t="s">
        <v>333</v>
      </c>
      <c r="CO43" s="3671" t="s">
        <v>333</v>
      </c>
      <c r="CP43" s="3673" t="s">
        <v>333</v>
      </c>
      <c r="CQ43" s="3671" t="s">
        <v>333</v>
      </c>
      <c r="CR43" s="3672" t="s">
        <v>333</v>
      </c>
      <c r="CS43" s="3669" t="s">
        <v>333</v>
      </c>
      <c r="CT43" s="3669" t="s">
        <v>333</v>
      </c>
      <c r="CU43" s="3671" t="s">
        <v>333</v>
      </c>
      <c r="CV43" s="3672" t="s">
        <v>333</v>
      </c>
      <c r="CW43" s="3671" t="s">
        <v>333</v>
      </c>
      <c r="CX43" s="3674" t="s">
        <v>333</v>
      </c>
      <c r="CY43" s="3674" t="s">
        <v>333</v>
      </c>
      <c r="CZ43" s="3674" t="s">
        <v>333</v>
      </c>
      <c r="DA43" s="3674" t="s">
        <v>333</v>
      </c>
      <c r="DB43" s="3674" t="s">
        <v>333</v>
      </c>
      <c r="DC43" s="3670" t="s">
        <v>333</v>
      </c>
      <c r="DD43" s="3674" t="s">
        <v>333</v>
      </c>
      <c r="DE43" s="3674" t="s">
        <v>333</v>
      </c>
      <c r="DG43" s="1897"/>
    </row>
    <row r="44" spans="1:111" ht="21" customHeight="1" x14ac:dyDescent="0.3">
      <c r="A44" s="428"/>
      <c r="B44" s="427"/>
      <c r="C44" s="427"/>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427"/>
      <c r="AD44" s="427"/>
      <c r="AE44" s="427"/>
      <c r="AF44" s="427"/>
      <c r="AG44" s="427"/>
      <c r="AH44" s="427"/>
      <c r="AI44" s="427"/>
      <c r="AJ44" s="427"/>
      <c r="AK44" s="427"/>
      <c r="AL44" s="427"/>
      <c r="AM44" s="427"/>
      <c r="AN44" s="427"/>
      <c r="AO44" s="427"/>
      <c r="AP44" s="427"/>
      <c r="AQ44" s="427"/>
      <c r="AR44" s="427"/>
      <c r="AS44" s="427"/>
      <c r="AT44" s="427"/>
      <c r="AU44" s="427"/>
      <c r="AV44" s="427"/>
      <c r="AW44" s="427"/>
      <c r="AX44" s="427"/>
      <c r="AY44" s="427"/>
      <c r="AZ44" s="427"/>
      <c r="BA44" s="483"/>
      <c r="BB44" s="483"/>
      <c r="BI44" s="1344"/>
      <c r="BK44" s="1344"/>
      <c r="BQ44" s="1344"/>
      <c r="CZ44" s="3675"/>
      <c r="DA44" s="3675"/>
      <c r="DG44" s="1857"/>
    </row>
    <row r="45" spans="1:111" ht="21" customHeight="1" x14ac:dyDescent="0.3">
      <c r="BI45" s="1344"/>
      <c r="BK45" s="1344"/>
      <c r="BQ45" s="1344"/>
      <c r="DG45" s="1857"/>
    </row>
    <row r="46" spans="1:111" ht="15.75" customHeight="1" x14ac:dyDescent="0.3">
      <c r="BI46" s="1344"/>
      <c r="BK46" s="1344"/>
      <c r="BQ46" s="1344"/>
    </row>
    <row r="47" spans="1:111" ht="15.75" customHeight="1" x14ac:dyDescent="0.3">
      <c r="BI47" s="1344"/>
      <c r="BK47" s="1344"/>
      <c r="BQ47" s="1344"/>
    </row>
    <row r="48" spans="1:111" ht="15.75" customHeight="1" x14ac:dyDescent="0.3">
      <c r="BI48" s="1344"/>
      <c r="BK48" s="1344"/>
      <c r="BQ48" s="1344"/>
    </row>
    <row r="49" spans="61:69" ht="15.75" customHeight="1" x14ac:dyDescent="0.3">
      <c r="BI49" s="1344"/>
      <c r="BK49" s="1344"/>
      <c r="BQ49" s="1344"/>
    </row>
    <row r="50" spans="61:69" ht="15.75" customHeight="1" x14ac:dyDescent="0.3">
      <c r="BI50" s="1344"/>
      <c r="BK50" s="1344"/>
      <c r="BQ50" s="1344"/>
    </row>
    <row r="51" spans="61:69" ht="15.75" customHeight="1" x14ac:dyDescent="0.3">
      <c r="BI51" s="1344"/>
      <c r="BK51" s="1344"/>
      <c r="BQ51" s="1344"/>
    </row>
    <row r="52" spans="61:69" ht="15.75" customHeight="1" x14ac:dyDescent="0.3">
      <c r="BI52" s="1344"/>
      <c r="BK52" s="1344"/>
      <c r="BQ52" s="1344"/>
    </row>
    <row r="53" spans="61:69" ht="15.75" customHeight="1" x14ac:dyDescent="0.3">
      <c r="BI53" s="1344"/>
      <c r="BK53" s="1344"/>
      <c r="BQ53" s="1344"/>
    </row>
    <row r="54" spans="61:69" ht="15.75" customHeight="1" x14ac:dyDescent="0.3">
      <c r="BI54" s="1344"/>
      <c r="BK54" s="1344"/>
      <c r="BQ54" s="1344"/>
    </row>
    <row r="55" spans="61:69" ht="15.75" customHeight="1" x14ac:dyDescent="0.3">
      <c r="BI55" s="1344"/>
      <c r="BK55" s="1344"/>
      <c r="BQ55" s="1344"/>
    </row>
    <row r="56" spans="61:69" ht="15.75" customHeight="1" x14ac:dyDescent="0.3">
      <c r="BI56" s="1344"/>
      <c r="BK56" s="1344"/>
      <c r="BQ56" s="1344"/>
    </row>
    <row r="57" spans="61:69" ht="15.75" customHeight="1" x14ac:dyDescent="0.3">
      <c r="BI57" s="1344"/>
      <c r="BK57" s="1344"/>
      <c r="BQ57" s="1344"/>
    </row>
    <row r="58" spans="61:69" ht="15.75" customHeight="1" x14ac:dyDescent="0.3">
      <c r="BI58" s="1344"/>
      <c r="BK58" s="1344"/>
      <c r="BQ58" s="1344"/>
    </row>
    <row r="59" spans="61:69" ht="15.75" customHeight="1" x14ac:dyDescent="0.3">
      <c r="BI59" s="1344"/>
      <c r="BK59" s="1344"/>
      <c r="BQ59" s="1344"/>
    </row>
    <row r="60" spans="61:69" ht="15.75" customHeight="1" x14ac:dyDescent="0.3">
      <c r="BI60" s="1344"/>
      <c r="BK60" s="1344"/>
      <c r="BQ60" s="1344"/>
    </row>
    <row r="61" spans="61:69" ht="15.75" customHeight="1" x14ac:dyDescent="0.3">
      <c r="BI61" s="1344"/>
      <c r="BK61" s="1344"/>
      <c r="BQ61" s="1344"/>
    </row>
    <row r="62" spans="61:69" ht="15.75" customHeight="1" x14ac:dyDescent="0.3">
      <c r="BI62" s="1344"/>
      <c r="BK62" s="1344"/>
      <c r="BQ62" s="1344"/>
    </row>
    <row r="63" spans="61:69" ht="15.75" customHeight="1" x14ac:dyDescent="0.3">
      <c r="BI63" s="1344"/>
      <c r="BK63" s="1344"/>
      <c r="BQ63" s="1344"/>
    </row>
    <row r="64" spans="61:69" ht="15.75" customHeight="1" x14ac:dyDescent="0.3">
      <c r="BI64" s="1344"/>
      <c r="BK64" s="1344"/>
      <c r="BQ64" s="1344"/>
    </row>
    <row r="65" spans="61:69" ht="15.75" customHeight="1" x14ac:dyDescent="0.3">
      <c r="BI65" s="1344"/>
      <c r="BK65" s="1344"/>
      <c r="BQ65" s="1344"/>
    </row>
    <row r="66" spans="61:69" ht="15.75" customHeight="1" x14ac:dyDescent="0.3">
      <c r="BI66" s="1344"/>
      <c r="BK66" s="1344"/>
      <c r="BQ66" s="1344"/>
    </row>
    <row r="67" spans="61:69" ht="15.75" customHeight="1" x14ac:dyDescent="0.3">
      <c r="BI67" s="1344"/>
      <c r="BK67" s="1344"/>
      <c r="BQ67" s="1344"/>
    </row>
    <row r="68" spans="61:69" ht="15.75" customHeight="1" x14ac:dyDescent="0.3">
      <c r="BI68" s="1344"/>
      <c r="BK68" s="1344"/>
      <c r="BQ68" s="1344"/>
    </row>
    <row r="69" spans="61:69" ht="15.75" customHeight="1" x14ac:dyDescent="0.3">
      <c r="BI69" s="1344"/>
      <c r="BK69" s="1344"/>
      <c r="BQ69" s="1344"/>
    </row>
    <row r="70" spans="61:69" ht="15.75" customHeight="1" x14ac:dyDescent="0.3">
      <c r="BI70" s="1344"/>
      <c r="BK70" s="1344"/>
      <c r="BQ70" s="1344"/>
    </row>
    <row r="71" spans="61:69" ht="15.75" customHeight="1" x14ac:dyDescent="0.3">
      <c r="BI71" s="1344"/>
      <c r="BK71" s="1344"/>
      <c r="BQ71" s="1344"/>
    </row>
    <row r="72" spans="61:69" ht="15.75" customHeight="1" x14ac:dyDescent="0.3">
      <c r="BI72" s="1344"/>
      <c r="BK72" s="1344"/>
      <c r="BQ72" s="1344"/>
    </row>
    <row r="73" spans="61:69" ht="15.75" customHeight="1" x14ac:dyDescent="0.3">
      <c r="BI73" s="1344"/>
      <c r="BK73" s="1344"/>
      <c r="BQ73" s="1344"/>
    </row>
    <row r="74" spans="61:69" ht="15.75" customHeight="1" x14ac:dyDescent="0.3">
      <c r="BI74" s="1344"/>
      <c r="BK74" s="1344"/>
      <c r="BQ74" s="1344"/>
    </row>
    <row r="75" spans="61:69" ht="15.75" customHeight="1" x14ac:dyDescent="0.3">
      <c r="BI75" s="1344"/>
      <c r="BK75" s="1344"/>
      <c r="BQ75" s="1344"/>
    </row>
    <row r="76" spans="61:69" ht="15.75" customHeight="1" x14ac:dyDescent="0.3">
      <c r="BI76" s="1344"/>
      <c r="BK76" s="1344"/>
      <c r="BQ76" s="1344"/>
    </row>
    <row r="77" spans="61:69" ht="15.75" customHeight="1" x14ac:dyDescent="0.3">
      <c r="BI77" s="1344"/>
      <c r="BK77" s="1344"/>
      <c r="BQ77" s="1344"/>
    </row>
    <row r="78" spans="61:69" ht="15.75" customHeight="1" x14ac:dyDescent="0.3">
      <c r="BI78" s="1344"/>
      <c r="BK78" s="1344"/>
      <c r="BQ78" s="1344"/>
    </row>
    <row r="79" spans="61:69" ht="15.75" customHeight="1" x14ac:dyDescent="0.3">
      <c r="BI79" s="1344"/>
      <c r="BK79" s="1344"/>
      <c r="BQ79" s="1344"/>
    </row>
    <row r="80" spans="61:69" ht="15.75" customHeight="1" x14ac:dyDescent="0.3">
      <c r="BI80" s="1344"/>
      <c r="BK80" s="1344"/>
      <c r="BQ80" s="1344"/>
    </row>
    <row r="81" spans="61:69" ht="15.75" customHeight="1" x14ac:dyDescent="0.3">
      <c r="BI81" s="1344"/>
      <c r="BK81" s="1344"/>
      <c r="BQ81" s="1344"/>
    </row>
    <row r="82" spans="61:69" ht="15.75" customHeight="1" x14ac:dyDescent="0.3">
      <c r="BI82" s="1344"/>
      <c r="BK82" s="1344"/>
      <c r="BQ82" s="1344"/>
    </row>
    <row r="83" spans="61:69" ht="15.75" customHeight="1" x14ac:dyDescent="0.3">
      <c r="BI83" s="1344"/>
      <c r="BK83" s="1344"/>
      <c r="BQ83" s="1344"/>
    </row>
    <row r="84" spans="61:69" ht="15.75" customHeight="1" x14ac:dyDescent="0.3">
      <c r="BI84" s="1344"/>
      <c r="BK84" s="1344"/>
      <c r="BQ84" s="1344"/>
    </row>
    <row r="85" spans="61:69" ht="15.75" customHeight="1" x14ac:dyDescent="0.3">
      <c r="BI85" s="1344"/>
      <c r="BK85" s="1344"/>
      <c r="BQ85" s="1344"/>
    </row>
    <row r="86" spans="61:69" ht="15.75" customHeight="1" x14ac:dyDescent="0.3">
      <c r="BI86" s="1344"/>
      <c r="BK86" s="1344"/>
      <c r="BQ86" s="1344"/>
    </row>
    <row r="87" spans="61:69" ht="15.75" customHeight="1" x14ac:dyDescent="0.3">
      <c r="BI87" s="1344"/>
      <c r="BK87" s="1344"/>
      <c r="BQ87" s="1344"/>
    </row>
    <row r="88" spans="61:69" ht="15.75" customHeight="1" x14ac:dyDescent="0.3">
      <c r="BI88" s="1344"/>
      <c r="BK88" s="1344"/>
      <c r="BQ88" s="1344"/>
    </row>
    <row r="89" spans="61:69" ht="15.75" customHeight="1" x14ac:dyDescent="0.3">
      <c r="BI89" s="1344"/>
      <c r="BK89" s="1344"/>
      <c r="BQ89" s="1344"/>
    </row>
    <row r="90" spans="61:69" ht="15.75" customHeight="1" x14ac:dyDescent="0.3">
      <c r="BI90" s="1344"/>
      <c r="BK90" s="1344"/>
      <c r="BQ90" s="1344"/>
    </row>
    <row r="91" spans="61:69" ht="15.75" customHeight="1" x14ac:dyDescent="0.3">
      <c r="BI91" s="1344"/>
      <c r="BK91" s="1344"/>
      <c r="BQ91" s="1344"/>
    </row>
    <row r="92" spans="61:69" ht="15.75" customHeight="1" x14ac:dyDescent="0.3">
      <c r="BI92" s="1344"/>
      <c r="BK92" s="1344"/>
      <c r="BQ92" s="1344"/>
    </row>
    <row r="93" spans="61:69" ht="15.75" customHeight="1" x14ac:dyDescent="0.3">
      <c r="BI93" s="1344"/>
      <c r="BK93" s="1344"/>
      <c r="BQ93" s="1344"/>
    </row>
    <row r="94" spans="61:69" ht="15.75" customHeight="1" x14ac:dyDescent="0.3">
      <c r="BI94" s="1344"/>
      <c r="BK94" s="1344"/>
      <c r="BQ94" s="1344"/>
    </row>
    <row r="95" spans="61:69" ht="15.75" customHeight="1" x14ac:dyDescent="0.3">
      <c r="BI95" s="1344"/>
      <c r="BK95" s="1344"/>
      <c r="BQ95" s="1344"/>
    </row>
    <row r="96" spans="61:69" ht="15.75" customHeight="1" x14ac:dyDescent="0.3">
      <c r="BI96" s="1344"/>
      <c r="BK96" s="1344"/>
      <c r="BQ96" s="1344"/>
    </row>
    <row r="97" spans="61:69" ht="15.75" customHeight="1" x14ac:dyDescent="0.3">
      <c r="BI97" s="1344"/>
      <c r="BK97" s="1344"/>
      <c r="BQ97" s="1344"/>
    </row>
    <row r="98" spans="61:69" ht="15.75" customHeight="1" x14ac:dyDescent="0.3">
      <c r="BI98" s="1344"/>
      <c r="BK98" s="1344"/>
      <c r="BQ98" s="1344"/>
    </row>
    <row r="99" spans="61:69" ht="15.75" customHeight="1" x14ac:dyDescent="0.3">
      <c r="BI99" s="1344"/>
      <c r="BK99" s="1344"/>
      <c r="BQ99" s="1344"/>
    </row>
    <row r="100" spans="61:69" ht="15.75" customHeight="1" x14ac:dyDescent="0.3">
      <c r="BI100" s="1344"/>
      <c r="BK100" s="1344"/>
      <c r="BQ100" s="1344"/>
    </row>
    <row r="101" spans="61:69" ht="15.75" customHeight="1" x14ac:dyDescent="0.3">
      <c r="BI101" s="1344"/>
      <c r="BK101" s="1344"/>
      <c r="BQ101" s="1344"/>
    </row>
    <row r="102" spans="61:69" ht="15.75" customHeight="1" x14ac:dyDescent="0.3">
      <c r="BI102" s="1344"/>
      <c r="BK102" s="1344"/>
      <c r="BQ102" s="1344"/>
    </row>
    <row r="103" spans="61:69" ht="15.75" customHeight="1" x14ac:dyDescent="0.3">
      <c r="BI103" s="1344"/>
      <c r="BK103" s="1344"/>
      <c r="BQ103" s="1344"/>
    </row>
    <row r="104" spans="61:69" ht="15.75" customHeight="1" x14ac:dyDescent="0.3">
      <c r="BI104" s="1344"/>
      <c r="BK104" s="1344"/>
      <c r="BQ104" s="1344"/>
    </row>
    <row r="105" spans="61:69" ht="15.75" customHeight="1" x14ac:dyDescent="0.3">
      <c r="BI105" s="1344"/>
      <c r="BK105" s="1344"/>
      <c r="BQ105" s="1344"/>
    </row>
    <row r="106" spans="61:69" ht="15.75" customHeight="1" x14ac:dyDescent="0.3">
      <c r="BI106" s="1344"/>
      <c r="BK106" s="1344"/>
      <c r="BQ106" s="1344"/>
    </row>
    <row r="107" spans="61:69" ht="15.75" customHeight="1" x14ac:dyDescent="0.3">
      <c r="BI107" s="1344"/>
      <c r="BK107" s="1344"/>
      <c r="BQ107" s="1344"/>
    </row>
    <row r="108" spans="61:69" ht="15.75" customHeight="1" x14ac:dyDescent="0.3">
      <c r="BI108" s="1344"/>
      <c r="BK108" s="1344"/>
      <c r="BQ108" s="1344"/>
    </row>
    <row r="109" spans="61:69" ht="15.75" customHeight="1" x14ac:dyDescent="0.3">
      <c r="BI109" s="1344"/>
      <c r="BK109" s="1344"/>
      <c r="BQ109" s="1344"/>
    </row>
    <row r="110" spans="61:69" ht="15.75" customHeight="1" x14ac:dyDescent="0.3">
      <c r="BI110" s="1344"/>
      <c r="BK110" s="1344"/>
      <c r="BQ110" s="1344"/>
    </row>
    <row r="111" spans="61:69" ht="15.75" customHeight="1" x14ac:dyDescent="0.3">
      <c r="BI111" s="1344"/>
      <c r="BK111" s="1344"/>
      <c r="BQ111" s="1344"/>
    </row>
    <row r="112" spans="61:69" ht="15.75" customHeight="1" x14ac:dyDescent="0.3">
      <c r="BI112" s="1344"/>
      <c r="BK112" s="1344"/>
      <c r="BQ112" s="1344"/>
    </row>
    <row r="113" spans="61:69" ht="15.75" customHeight="1" x14ac:dyDescent="0.3">
      <c r="BI113" s="1344"/>
      <c r="BK113" s="1344"/>
      <c r="BQ113" s="1344"/>
    </row>
    <row r="114" spans="61:69" ht="15.75" customHeight="1" x14ac:dyDescent="0.3">
      <c r="BI114" s="1344"/>
      <c r="BK114" s="1344"/>
      <c r="BQ114" s="1344"/>
    </row>
    <row r="115" spans="61:69" ht="15.75" customHeight="1" x14ac:dyDescent="0.3">
      <c r="BI115" s="1344"/>
      <c r="BK115" s="1344"/>
      <c r="BQ115" s="1344"/>
    </row>
    <row r="116" spans="61:69" ht="15.75" customHeight="1" x14ac:dyDescent="0.3">
      <c r="BI116" s="1344"/>
      <c r="BK116" s="1344"/>
      <c r="BQ116" s="1344"/>
    </row>
    <row r="117" spans="61:69" ht="15.75" customHeight="1" x14ac:dyDescent="0.3">
      <c r="BI117" s="1344"/>
      <c r="BK117" s="1344"/>
      <c r="BQ117" s="1344"/>
    </row>
    <row r="118" spans="61:69" ht="15.75" customHeight="1" x14ac:dyDescent="0.3">
      <c r="BI118" s="1344"/>
      <c r="BK118" s="1344"/>
      <c r="BQ118" s="1344"/>
    </row>
    <row r="119" spans="61:69" ht="15.75" customHeight="1" x14ac:dyDescent="0.3">
      <c r="BI119" s="1344"/>
      <c r="BK119" s="1344"/>
      <c r="BQ119" s="1344"/>
    </row>
    <row r="120" spans="61:69" ht="15.75" customHeight="1" x14ac:dyDescent="0.3">
      <c r="BI120" s="1344"/>
      <c r="BK120" s="1344"/>
      <c r="BQ120" s="1344"/>
    </row>
    <row r="121" spans="61:69" ht="15.75" customHeight="1" x14ac:dyDescent="0.3">
      <c r="BI121" s="1344"/>
      <c r="BK121" s="1344"/>
      <c r="BQ121" s="1344"/>
    </row>
    <row r="122" spans="61:69" ht="15.75" customHeight="1" x14ac:dyDescent="0.3">
      <c r="BI122" s="1344"/>
      <c r="BK122" s="1344"/>
      <c r="BQ122" s="1344"/>
    </row>
    <row r="123" spans="61:69" ht="15.75" customHeight="1" x14ac:dyDescent="0.3">
      <c r="BI123" s="1344"/>
      <c r="BK123" s="1344"/>
      <c r="BQ123" s="1344"/>
    </row>
    <row r="124" spans="61:69" ht="15.75" customHeight="1" x14ac:dyDescent="0.3">
      <c r="BI124" s="1344"/>
      <c r="BK124" s="1344"/>
      <c r="BQ124" s="1344"/>
    </row>
    <row r="125" spans="61:69" ht="15.75" customHeight="1" x14ac:dyDescent="0.3">
      <c r="BI125" s="1344"/>
      <c r="BK125" s="1344"/>
      <c r="BQ125" s="1344"/>
    </row>
    <row r="126" spans="61:69" ht="15.75" customHeight="1" x14ac:dyDescent="0.3">
      <c r="BI126" s="1344"/>
      <c r="BK126" s="1344"/>
      <c r="BQ126" s="1344"/>
    </row>
    <row r="127" spans="61:69" ht="15.75" customHeight="1" x14ac:dyDescent="0.3">
      <c r="BI127" s="1344"/>
      <c r="BK127" s="1344"/>
      <c r="BQ127" s="1344"/>
    </row>
    <row r="128" spans="61:69" ht="15.75" customHeight="1" x14ac:dyDescent="0.3">
      <c r="BI128" s="1344"/>
      <c r="BK128" s="1344"/>
      <c r="BQ128" s="1344"/>
    </row>
    <row r="129" spans="61:69" ht="15.75" customHeight="1" x14ac:dyDescent="0.3">
      <c r="BI129" s="1344"/>
      <c r="BK129" s="1344"/>
      <c r="BQ129" s="1344"/>
    </row>
    <row r="130" spans="61:69" ht="15.75" customHeight="1" x14ac:dyDescent="0.3">
      <c r="BI130" s="1344"/>
      <c r="BK130" s="1344"/>
      <c r="BQ130" s="1344"/>
    </row>
    <row r="131" spans="61:69" ht="15.75" customHeight="1" x14ac:dyDescent="0.3">
      <c r="BI131" s="1344"/>
      <c r="BK131" s="1344"/>
      <c r="BQ131" s="1344"/>
    </row>
    <row r="132" spans="61:69" ht="15.75" customHeight="1" x14ac:dyDescent="0.3">
      <c r="BI132" s="1344"/>
      <c r="BK132" s="1344"/>
      <c r="BQ132" s="1344"/>
    </row>
    <row r="133" spans="61:69" ht="15.75" customHeight="1" x14ac:dyDescent="0.3">
      <c r="BI133" s="1344"/>
      <c r="BK133" s="1344"/>
      <c r="BQ133" s="1344"/>
    </row>
    <row r="134" spans="61:69" ht="15.75" customHeight="1" x14ac:dyDescent="0.3">
      <c r="BI134" s="1344"/>
      <c r="BK134" s="1344"/>
      <c r="BQ134" s="1344"/>
    </row>
    <row r="135" spans="61:69" ht="15.75" customHeight="1" x14ac:dyDescent="0.3">
      <c r="BI135" s="1344"/>
      <c r="BK135" s="1344"/>
      <c r="BQ135" s="1344"/>
    </row>
    <row r="136" spans="61:69" ht="15.75" customHeight="1" x14ac:dyDescent="0.3">
      <c r="BI136" s="1344"/>
      <c r="BK136" s="1344"/>
      <c r="BQ136" s="1344"/>
    </row>
    <row r="137" spans="61:69" ht="15.75" customHeight="1" x14ac:dyDescent="0.3">
      <c r="BI137" s="1344"/>
      <c r="BK137" s="1344"/>
      <c r="BQ137" s="1344"/>
    </row>
    <row r="138" spans="61:69" ht="15.75" customHeight="1" x14ac:dyDescent="0.3">
      <c r="BI138" s="1344"/>
      <c r="BK138" s="1344"/>
      <c r="BQ138" s="1344"/>
    </row>
    <row r="139" spans="61:69" ht="15.75" customHeight="1" x14ac:dyDescent="0.3">
      <c r="BI139" s="1344"/>
      <c r="BK139" s="1344"/>
      <c r="BQ139" s="1344"/>
    </row>
    <row r="140" spans="61:69" ht="15.75" customHeight="1" x14ac:dyDescent="0.3">
      <c r="BI140" s="1344"/>
      <c r="BK140" s="1344"/>
      <c r="BQ140" s="1344"/>
    </row>
    <row r="141" spans="61:69" ht="15.75" customHeight="1" x14ac:dyDescent="0.3">
      <c r="BI141" s="1344"/>
      <c r="BK141" s="1344"/>
      <c r="BQ141" s="1344"/>
    </row>
    <row r="142" spans="61:69" ht="15.75" customHeight="1" x14ac:dyDescent="0.3">
      <c r="BI142" s="1344"/>
      <c r="BK142" s="1344"/>
      <c r="BQ142" s="1344"/>
    </row>
    <row r="143" spans="61:69" ht="15.75" customHeight="1" x14ac:dyDescent="0.3">
      <c r="BI143" s="1344"/>
      <c r="BK143" s="1344"/>
      <c r="BQ143" s="1344"/>
    </row>
    <row r="144" spans="61:69" ht="15.75" customHeight="1" x14ac:dyDescent="0.3">
      <c r="BI144" s="1344"/>
      <c r="BK144" s="1344"/>
      <c r="BQ144" s="1344"/>
    </row>
    <row r="145" spans="61:69" ht="15.75" customHeight="1" x14ac:dyDescent="0.3">
      <c r="BI145" s="1344"/>
      <c r="BK145" s="1344"/>
      <c r="BQ145" s="1344"/>
    </row>
    <row r="146" spans="61:69" ht="15.75" customHeight="1" x14ac:dyDescent="0.3">
      <c r="BI146" s="1344"/>
      <c r="BK146" s="1344"/>
      <c r="BQ146" s="1344"/>
    </row>
    <row r="147" spans="61:69" ht="15.75" customHeight="1" x14ac:dyDescent="0.3">
      <c r="BI147" s="1344"/>
      <c r="BK147" s="1344"/>
      <c r="BQ147" s="1344"/>
    </row>
    <row r="148" spans="61:69" ht="15.75" customHeight="1" x14ac:dyDescent="0.3">
      <c r="BI148" s="1344"/>
      <c r="BK148" s="1344"/>
      <c r="BQ148" s="1344"/>
    </row>
    <row r="149" spans="61:69" ht="15.75" customHeight="1" x14ac:dyDescent="0.3">
      <c r="BI149" s="1344"/>
      <c r="BK149" s="1344"/>
      <c r="BQ149" s="1344"/>
    </row>
    <row r="150" spans="61:69" ht="15.75" customHeight="1" x14ac:dyDescent="0.3">
      <c r="BI150" s="1344"/>
      <c r="BK150" s="1344"/>
      <c r="BQ150" s="1344"/>
    </row>
    <row r="151" spans="61:69" ht="15.75" customHeight="1" x14ac:dyDescent="0.3">
      <c r="BI151" s="1344"/>
      <c r="BK151" s="1344"/>
      <c r="BQ151" s="1344"/>
    </row>
    <row r="152" spans="61:69" ht="15.75" customHeight="1" x14ac:dyDescent="0.3">
      <c r="BI152" s="1344"/>
      <c r="BK152" s="1344"/>
      <c r="BQ152" s="1344"/>
    </row>
    <row r="153" spans="61:69" ht="15.75" customHeight="1" x14ac:dyDescent="0.3">
      <c r="BI153" s="1344"/>
      <c r="BK153" s="1344"/>
      <c r="BQ153" s="1344"/>
    </row>
    <row r="154" spans="61:69" ht="15.75" customHeight="1" x14ac:dyDescent="0.3">
      <c r="BI154" s="1344"/>
      <c r="BK154" s="1344"/>
      <c r="BQ154" s="1344"/>
    </row>
    <row r="155" spans="61:69" ht="15.75" customHeight="1" x14ac:dyDescent="0.3">
      <c r="BI155" s="1344"/>
      <c r="BK155" s="1344"/>
      <c r="BQ155" s="1344"/>
    </row>
    <row r="156" spans="61:69" ht="15.75" customHeight="1" x14ac:dyDescent="0.3">
      <c r="BI156" s="1344"/>
      <c r="BK156" s="1344"/>
      <c r="BQ156" s="1344"/>
    </row>
    <row r="157" spans="61:69" ht="15.75" customHeight="1" x14ac:dyDescent="0.3">
      <c r="BI157" s="1344"/>
      <c r="BK157" s="1344"/>
      <c r="BQ157" s="1344"/>
    </row>
    <row r="158" spans="61:69" ht="15.75" customHeight="1" x14ac:dyDescent="0.3">
      <c r="BI158" s="1344"/>
      <c r="BK158" s="1344"/>
      <c r="BQ158" s="1344"/>
    </row>
    <row r="159" spans="61:69" ht="15.75" customHeight="1" x14ac:dyDescent="0.3">
      <c r="BI159" s="1344"/>
      <c r="BK159" s="1344"/>
      <c r="BQ159" s="1344"/>
    </row>
    <row r="160" spans="61:69" ht="15.75" customHeight="1" x14ac:dyDescent="0.3">
      <c r="BI160" s="1344"/>
      <c r="BK160" s="1344"/>
      <c r="BQ160" s="1344"/>
    </row>
    <row r="161" spans="61:69" ht="15.75" customHeight="1" x14ac:dyDescent="0.3">
      <c r="BI161" s="1344"/>
      <c r="BK161" s="1344"/>
      <c r="BQ161" s="1344"/>
    </row>
    <row r="162" spans="61:69" ht="15.75" customHeight="1" x14ac:dyDescent="0.3">
      <c r="BI162" s="1344"/>
      <c r="BK162" s="1344"/>
      <c r="BQ162" s="1344"/>
    </row>
    <row r="163" spans="61:69" ht="15.75" customHeight="1" x14ac:dyDescent="0.3">
      <c r="BI163" s="1344"/>
      <c r="BK163" s="1344"/>
      <c r="BQ163" s="1344"/>
    </row>
    <row r="164" spans="61:69" ht="15.75" customHeight="1" x14ac:dyDescent="0.3">
      <c r="BI164" s="1344"/>
      <c r="BK164" s="1344"/>
      <c r="BQ164" s="1344"/>
    </row>
    <row r="165" spans="61:69" ht="15.75" customHeight="1" x14ac:dyDescent="0.3">
      <c r="BI165" s="1344"/>
      <c r="BK165" s="1344"/>
      <c r="BQ165" s="1344"/>
    </row>
    <row r="166" spans="61:69" ht="15.75" customHeight="1" x14ac:dyDescent="0.3">
      <c r="BI166" s="1344"/>
      <c r="BK166" s="1344"/>
      <c r="BQ166" s="1344"/>
    </row>
    <row r="167" spans="61:69" ht="15.75" customHeight="1" x14ac:dyDescent="0.3">
      <c r="BI167" s="1344"/>
      <c r="BK167" s="1344"/>
      <c r="BQ167" s="1344"/>
    </row>
    <row r="168" spans="61:69" ht="15.75" customHeight="1" x14ac:dyDescent="0.3">
      <c r="BI168" s="1344"/>
      <c r="BK168" s="1344"/>
      <c r="BQ168" s="1344"/>
    </row>
    <row r="169" spans="61:69" ht="15.75" customHeight="1" x14ac:dyDescent="0.3">
      <c r="BI169" s="1344"/>
      <c r="BK169" s="1344"/>
      <c r="BQ169" s="1344"/>
    </row>
    <row r="170" spans="61:69" ht="15.75" customHeight="1" x14ac:dyDescent="0.3">
      <c r="BI170" s="1344"/>
      <c r="BK170" s="1344"/>
      <c r="BQ170" s="1344"/>
    </row>
    <row r="171" spans="61:69" ht="15.75" customHeight="1" x14ac:dyDescent="0.3">
      <c r="BI171" s="1344"/>
      <c r="BK171" s="1344"/>
      <c r="BQ171" s="1344"/>
    </row>
    <row r="172" spans="61:69" ht="15.75" customHeight="1" x14ac:dyDescent="0.3">
      <c r="BI172" s="1344"/>
      <c r="BK172" s="1344"/>
      <c r="BQ172" s="1344"/>
    </row>
    <row r="173" spans="61:69" ht="15.75" customHeight="1" x14ac:dyDescent="0.3">
      <c r="BI173" s="1344"/>
      <c r="BK173" s="1344"/>
      <c r="BQ173" s="1344"/>
    </row>
    <row r="174" spans="61:69" ht="15.75" customHeight="1" x14ac:dyDescent="0.3">
      <c r="BI174" s="1344"/>
      <c r="BK174" s="1344"/>
      <c r="BQ174" s="1344"/>
    </row>
    <row r="175" spans="61:69" ht="15.75" customHeight="1" x14ac:dyDescent="0.3">
      <c r="BI175" s="1344"/>
      <c r="BK175" s="1344"/>
      <c r="BQ175" s="1344"/>
    </row>
    <row r="176" spans="61:69" ht="15.75" customHeight="1" x14ac:dyDescent="0.3">
      <c r="BI176" s="1344"/>
      <c r="BK176" s="1344"/>
      <c r="BQ176" s="1344"/>
    </row>
    <row r="177" spans="61:69" ht="15.75" customHeight="1" x14ac:dyDescent="0.3">
      <c r="BI177" s="1344"/>
      <c r="BK177" s="1344"/>
      <c r="BQ177" s="1344"/>
    </row>
    <row r="178" spans="61:69" ht="15.75" customHeight="1" x14ac:dyDescent="0.3">
      <c r="BI178" s="1344"/>
      <c r="BK178" s="1344"/>
      <c r="BQ178" s="1344"/>
    </row>
    <row r="179" spans="61:69" ht="15.75" customHeight="1" x14ac:dyDescent="0.3">
      <c r="BI179" s="1344"/>
      <c r="BK179" s="1344"/>
      <c r="BQ179" s="1344"/>
    </row>
    <row r="180" spans="61:69" ht="15.75" customHeight="1" x14ac:dyDescent="0.3">
      <c r="BI180" s="1344"/>
      <c r="BK180" s="1344"/>
      <c r="BQ180" s="1344"/>
    </row>
    <row r="181" spans="61:69" ht="15.75" customHeight="1" x14ac:dyDescent="0.3">
      <c r="BI181" s="1344"/>
      <c r="BK181" s="1344"/>
      <c r="BQ181" s="1344"/>
    </row>
    <row r="182" spans="61:69" ht="15.75" customHeight="1" x14ac:dyDescent="0.3">
      <c r="BI182" s="1344"/>
      <c r="BK182" s="1344"/>
      <c r="BQ182" s="1344"/>
    </row>
    <row r="183" spans="61:69" ht="15.75" customHeight="1" x14ac:dyDescent="0.3">
      <c r="BI183" s="1344"/>
      <c r="BK183" s="1344"/>
      <c r="BQ183" s="1344"/>
    </row>
    <row r="184" spans="61:69" ht="15.75" customHeight="1" x14ac:dyDescent="0.3">
      <c r="BI184" s="1344"/>
      <c r="BK184" s="1344"/>
      <c r="BQ184" s="1344"/>
    </row>
    <row r="185" spans="61:69" ht="15.75" customHeight="1" x14ac:dyDescent="0.3">
      <c r="BI185" s="1344"/>
      <c r="BK185" s="1344"/>
      <c r="BQ185" s="1344"/>
    </row>
    <row r="186" spans="61:69" ht="15.75" customHeight="1" x14ac:dyDescent="0.3">
      <c r="BI186" s="1344"/>
      <c r="BK186" s="1344"/>
      <c r="BQ186" s="1344"/>
    </row>
    <row r="187" spans="61:69" ht="15.75" customHeight="1" x14ac:dyDescent="0.3">
      <c r="BI187" s="1344"/>
      <c r="BK187" s="1344"/>
      <c r="BQ187" s="1344"/>
    </row>
    <row r="188" spans="61:69" ht="15.75" customHeight="1" x14ac:dyDescent="0.3">
      <c r="BI188" s="1344"/>
      <c r="BK188" s="1344"/>
      <c r="BQ188" s="1344"/>
    </row>
    <row r="189" spans="61:69" ht="15.75" customHeight="1" x14ac:dyDescent="0.3">
      <c r="BI189" s="1344"/>
      <c r="BK189" s="1344"/>
      <c r="BQ189" s="1344"/>
    </row>
    <row r="190" spans="61:69" ht="15.75" customHeight="1" x14ac:dyDescent="0.3">
      <c r="BI190" s="1344"/>
      <c r="BK190" s="1344"/>
      <c r="BQ190" s="1344"/>
    </row>
    <row r="191" spans="61:69" ht="15.75" customHeight="1" x14ac:dyDescent="0.3">
      <c r="BI191" s="1344"/>
      <c r="BK191" s="1344"/>
      <c r="BQ191" s="1344"/>
    </row>
    <row r="192" spans="61:69" ht="15.75" customHeight="1" x14ac:dyDescent="0.3">
      <c r="BI192" s="1344"/>
      <c r="BK192" s="1344"/>
      <c r="BQ192" s="1344"/>
    </row>
    <row r="193" spans="61:69" ht="15.75" customHeight="1" x14ac:dyDescent="0.3">
      <c r="BI193" s="1344"/>
      <c r="BK193" s="1344"/>
      <c r="BQ193" s="1344"/>
    </row>
    <row r="194" spans="61:69" ht="15.75" customHeight="1" x14ac:dyDescent="0.3">
      <c r="BI194" s="1344"/>
      <c r="BK194" s="1344"/>
      <c r="BQ194" s="1344"/>
    </row>
    <row r="195" spans="61:69" ht="15.75" customHeight="1" x14ac:dyDescent="0.3">
      <c r="BI195" s="1344"/>
      <c r="BK195" s="1344"/>
      <c r="BQ195" s="1344"/>
    </row>
    <row r="196" spans="61:69" ht="15.75" customHeight="1" x14ac:dyDescent="0.3">
      <c r="BI196" s="1344"/>
      <c r="BK196" s="1344"/>
      <c r="BQ196" s="1344"/>
    </row>
    <row r="197" spans="61:69" ht="15.75" customHeight="1" x14ac:dyDescent="0.3">
      <c r="BI197" s="1344"/>
      <c r="BK197" s="1344"/>
      <c r="BQ197" s="1344"/>
    </row>
    <row r="198" spans="61:69" ht="15.75" customHeight="1" x14ac:dyDescent="0.3">
      <c r="BI198" s="1344"/>
      <c r="BK198" s="1344"/>
      <c r="BQ198" s="1344"/>
    </row>
    <row r="199" spans="61:69" ht="15.75" customHeight="1" x14ac:dyDescent="0.3">
      <c r="BI199" s="1344"/>
      <c r="BK199" s="1344"/>
      <c r="BQ199" s="1344"/>
    </row>
    <row r="200" spans="61:69" ht="15.75" customHeight="1" x14ac:dyDescent="0.3">
      <c r="BI200" s="1344"/>
      <c r="BK200" s="1344"/>
      <c r="BQ200" s="1344"/>
    </row>
    <row r="201" spans="61:69" ht="15.75" customHeight="1" x14ac:dyDescent="0.3">
      <c r="BI201" s="1344"/>
      <c r="BK201" s="1344"/>
      <c r="BQ201" s="1344"/>
    </row>
    <row r="202" spans="61:69" ht="15.75" customHeight="1" x14ac:dyDescent="0.3">
      <c r="BI202" s="1344"/>
      <c r="BK202" s="1344"/>
      <c r="BQ202" s="1344"/>
    </row>
    <row r="203" spans="61:69" ht="15.75" customHeight="1" x14ac:dyDescent="0.3">
      <c r="BI203" s="1344"/>
      <c r="BK203" s="1344"/>
      <c r="BQ203" s="1344"/>
    </row>
    <row r="204" spans="61:69" ht="15.75" customHeight="1" x14ac:dyDescent="0.3">
      <c r="BI204" s="1344"/>
      <c r="BK204" s="1344"/>
      <c r="BQ204" s="1344"/>
    </row>
    <row r="205" spans="61:69" ht="15.75" customHeight="1" x14ac:dyDescent="0.3">
      <c r="BI205" s="1344"/>
      <c r="BK205" s="1344"/>
      <c r="BQ205" s="1344"/>
    </row>
    <row r="206" spans="61:69" ht="15.75" customHeight="1" x14ac:dyDescent="0.3">
      <c r="BI206" s="1344"/>
      <c r="BK206" s="1344"/>
      <c r="BQ206" s="1344"/>
    </row>
    <row r="207" spans="61:69" ht="15.75" customHeight="1" x14ac:dyDescent="0.3">
      <c r="BI207" s="1344"/>
      <c r="BK207" s="1344"/>
      <c r="BQ207" s="1344"/>
    </row>
    <row r="208" spans="61:69" ht="15.75" customHeight="1" x14ac:dyDescent="0.3">
      <c r="BI208" s="1344"/>
      <c r="BK208" s="1344"/>
      <c r="BQ208" s="1344"/>
    </row>
    <row r="209" spans="61:69" ht="15.75" customHeight="1" x14ac:dyDescent="0.3">
      <c r="BI209" s="1344"/>
      <c r="BK209" s="1344"/>
      <c r="BQ209" s="1344"/>
    </row>
    <row r="210" spans="61:69" ht="15.75" customHeight="1" x14ac:dyDescent="0.3">
      <c r="BI210" s="1344"/>
      <c r="BK210" s="1344"/>
      <c r="BQ210" s="1344"/>
    </row>
    <row r="211" spans="61:69" ht="15.75" customHeight="1" x14ac:dyDescent="0.3">
      <c r="BI211" s="1344"/>
      <c r="BK211" s="1344"/>
      <c r="BQ211" s="1344"/>
    </row>
    <row r="212" spans="61:69" ht="15.75" customHeight="1" x14ac:dyDescent="0.3">
      <c r="BI212" s="1344"/>
      <c r="BK212" s="1344"/>
      <c r="BQ212" s="1344"/>
    </row>
    <row r="213" spans="61:69" ht="15.75" customHeight="1" x14ac:dyDescent="0.3">
      <c r="BI213" s="1344"/>
      <c r="BK213" s="1344"/>
      <c r="BQ213" s="1344"/>
    </row>
    <row r="214" spans="61:69" ht="15.75" customHeight="1" x14ac:dyDescent="0.3">
      <c r="BI214" s="1344"/>
      <c r="BK214" s="1344"/>
      <c r="BQ214" s="1344"/>
    </row>
    <row r="215" spans="61:69" ht="15.75" customHeight="1" x14ac:dyDescent="0.3">
      <c r="BI215" s="1344"/>
      <c r="BK215" s="1344"/>
      <c r="BQ215" s="1344"/>
    </row>
    <row r="216" spans="61:69" ht="15.75" customHeight="1" x14ac:dyDescent="0.3">
      <c r="BI216" s="1344"/>
      <c r="BK216" s="1344"/>
      <c r="BQ216" s="1344"/>
    </row>
    <row r="217" spans="61:69" ht="15.75" customHeight="1" x14ac:dyDescent="0.3">
      <c r="BI217" s="1344"/>
      <c r="BK217" s="1344"/>
      <c r="BQ217" s="1344"/>
    </row>
    <row r="218" spans="61:69" ht="15.75" customHeight="1" x14ac:dyDescent="0.3">
      <c r="BI218" s="1344"/>
      <c r="BK218" s="1344"/>
      <c r="BQ218" s="1344"/>
    </row>
    <row r="219" spans="61:69" ht="15.75" customHeight="1" x14ac:dyDescent="0.3">
      <c r="BI219" s="1344"/>
      <c r="BK219" s="1344"/>
      <c r="BQ219" s="1344"/>
    </row>
    <row r="220" spans="61:69" ht="15.75" customHeight="1" x14ac:dyDescent="0.3">
      <c r="BI220" s="1344"/>
      <c r="BK220" s="1344"/>
      <c r="BQ220" s="1344"/>
    </row>
    <row r="221" spans="61:69" ht="15.75" customHeight="1" x14ac:dyDescent="0.3">
      <c r="BI221" s="1344"/>
      <c r="BK221" s="1344"/>
      <c r="BQ221" s="1344"/>
    </row>
    <row r="222" spans="61:69" ht="15.75" customHeight="1" x14ac:dyDescent="0.3">
      <c r="BI222" s="1344"/>
      <c r="BK222" s="1344"/>
      <c r="BQ222" s="1344"/>
    </row>
    <row r="223" spans="61:69" ht="15.75" customHeight="1" x14ac:dyDescent="0.3">
      <c r="BI223" s="1344"/>
      <c r="BK223" s="1344"/>
      <c r="BQ223" s="1344"/>
    </row>
    <row r="224" spans="61:69" ht="15.75" customHeight="1" x14ac:dyDescent="0.3">
      <c r="BI224" s="1344"/>
      <c r="BK224" s="1344"/>
      <c r="BQ224" s="1344"/>
    </row>
    <row r="225" spans="61:69" ht="15.75" customHeight="1" x14ac:dyDescent="0.3">
      <c r="BI225" s="1344"/>
      <c r="BK225" s="1344"/>
      <c r="BQ225" s="1344"/>
    </row>
    <row r="226" spans="61:69" ht="15.75" customHeight="1" x14ac:dyDescent="0.3">
      <c r="BI226" s="1344"/>
      <c r="BK226" s="1344"/>
      <c r="BQ226" s="1344"/>
    </row>
    <row r="227" spans="61:69" ht="15.75" customHeight="1" x14ac:dyDescent="0.3">
      <c r="BI227" s="1344"/>
      <c r="BK227" s="1344"/>
      <c r="BQ227" s="1344"/>
    </row>
    <row r="228" spans="61:69" ht="15.75" customHeight="1" x14ac:dyDescent="0.3">
      <c r="BI228" s="1344"/>
      <c r="BK228" s="1344"/>
      <c r="BQ228" s="1344"/>
    </row>
    <row r="229" spans="61:69" ht="15.75" customHeight="1" x14ac:dyDescent="0.3">
      <c r="BI229" s="1344"/>
      <c r="BK229" s="1344"/>
      <c r="BQ229" s="1344"/>
    </row>
    <row r="230" spans="61:69" ht="15.75" customHeight="1" x14ac:dyDescent="0.3">
      <c r="BI230" s="1344"/>
      <c r="BK230" s="1344"/>
      <c r="BQ230" s="1344"/>
    </row>
    <row r="231" spans="61:69" ht="15.75" customHeight="1" x14ac:dyDescent="0.3">
      <c r="BI231" s="1344"/>
      <c r="BK231" s="1344"/>
      <c r="BQ231" s="1344"/>
    </row>
    <row r="232" spans="61:69" ht="15.75" customHeight="1" x14ac:dyDescent="0.3">
      <c r="BI232" s="1344"/>
      <c r="BK232" s="1344"/>
      <c r="BQ232" s="1344"/>
    </row>
    <row r="233" spans="61:69" ht="15.75" customHeight="1" x14ac:dyDescent="0.3">
      <c r="BI233" s="1344"/>
      <c r="BK233" s="1344"/>
      <c r="BQ233" s="1344"/>
    </row>
    <row r="234" spans="61:69" ht="15.75" customHeight="1" x14ac:dyDescent="0.3">
      <c r="BI234" s="1344"/>
      <c r="BK234" s="1344"/>
      <c r="BQ234" s="1344"/>
    </row>
    <row r="235" spans="61:69" ht="15.75" customHeight="1" x14ac:dyDescent="0.3">
      <c r="BI235" s="1344"/>
      <c r="BK235" s="1344"/>
      <c r="BQ235" s="1344"/>
    </row>
    <row r="236" spans="61:69" ht="15.75" customHeight="1" x14ac:dyDescent="0.3">
      <c r="BI236" s="1344"/>
      <c r="BK236" s="1344"/>
      <c r="BQ236" s="1344"/>
    </row>
    <row r="237" spans="61:69" ht="15.75" customHeight="1" x14ac:dyDescent="0.3">
      <c r="BI237" s="1344"/>
      <c r="BK237" s="1344"/>
      <c r="BQ237" s="1344"/>
    </row>
    <row r="238" spans="61:69" ht="15.75" customHeight="1" x14ac:dyDescent="0.3">
      <c r="BI238" s="1344"/>
      <c r="BK238" s="1344"/>
      <c r="BQ238" s="1344"/>
    </row>
    <row r="239" spans="61:69" ht="15.75" customHeight="1" x14ac:dyDescent="0.3">
      <c r="BK239" s="2635"/>
    </row>
    <row r="240" spans="61:69" ht="15.75" customHeight="1" x14ac:dyDescent="0.3">
      <c r="BK240" s="2635"/>
    </row>
    <row r="241" spans="63:63" ht="15.75" customHeight="1" x14ac:dyDescent="0.3">
      <c r="BK241" s="2635"/>
    </row>
    <row r="242" spans="63:63" ht="15.75" customHeight="1" x14ac:dyDescent="0.3">
      <c r="BK242" s="2635"/>
    </row>
    <row r="243" spans="63:63" ht="15.75" customHeight="1" x14ac:dyDescent="0.3">
      <c r="BK243" s="2635"/>
    </row>
    <row r="244" spans="63:63" ht="15.75" customHeight="1" x14ac:dyDescent="0.3">
      <c r="BK244" s="2635"/>
    </row>
    <row r="245" spans="63:63" ht="15.75" customHeight="1" x14ac:dyDescent="0.3">
      <c r="BK245" s="2635"/>
    </row>
    <row r="246" spans="63:63" ht="15.75" customHeight="1" x14ac:dyDescent="0.3">
      <c r="BK246" s="2635"/>
    </row>
    <row r="247" spans="63:63" ht="15.75" customHeight="1" x14ac:dyDescent="0.3">
      <c r="BK247" s="2635"/>
    </row>
    <row r="248" spans="63:63" ht="15.75" customHeight="1" x14ac:dyDescent="0.3">
      <c r="BK248" s="2635"/>
    </row>
    <row r="249" spans="63:63" ht="15.75" customHeight="1" x14ac:dyDescent="0.3">
      <c r="BK249" s="2635"/>
    </row>
    <row r="250" spans="63:63" ht="15.75" customHeight="1" x14ac:dyDescent="0.3">
      <c r="BK250" s="2635"/>
    </row>
    <row r="251" spans="63:63" ht="15.75" customHeight="1" x14ac:dyDescent="0.3">
      <c r="BK251" s="2635"/>
    </row>
    <row r="252" spans="63:63" ht="15.75" customHeight="1" x14ac:dyDescent="0.3">
      <c r="BK252" s="2635"/>
    </row>
    <row r="253" spans="63:63" ht="15.75" customHeight="1" x14ac:dyDescent="0.3">
      <c r="BK253" s="2635"/>
    </row>
    <row r="254" spans="63:63" ht="15.75" customHeight="1" x14ac:dyDescent="0.3">
      <c r="BK254" s="2635"/>
    </row>
    <row r="255" spans="63:63" ht="15.75" customHeight="1" x14ac:dyDescent="0.3">
      <c r="BK255" s="2635"/>
    </row>
    <row r="256" spans="63:63" ht="15.75" customHeight="1" x14ac:dyDescent="0.3">
      <c r="BK256" s="2635"/>
    </row>
    <row r="257" spans="63:63" ht="15.75" customHeight="1" x14ac:dyDescent="0.3">
      <c r="BK257" s="2635"/>
    </row>
    <row r="258" spans="63:63" ht="15.75" customHeight="1" x14ac:dyDescent="0.3">
      <c r="BK258" s="2635"/>
    </row>
    <row r="259" spans="63:63" ht="15.75" customHeight="1" x14ac:dyDescent="0.3">
      <c r="BK259" s="2635"/>
    </row>
    <row r="260" spans="63:63" ht="15.75" customHeight="1" x14ac:dyDescent="0.3">
      <c r="BK260" s="2635"/>
    </row>
    <row r="261" spans="63:63" ht="15.75" customHeight="1" x14ac:dyDescent="0.3">
      <c r="BK261" s="2635"/>
    </row>
    <row r="262" spans="63:63" ht="15.75" customHeight="1" x14ac:dyDescent="0.3">
      <c r="BK262" s="2635"/>
    </row>
    <row r="263" spans="63:63" ht="15.75" customHeight="1" x14ac:dyDescent="0.3">
      <c r="BK263" s="2635"/>
    </row>
    <row r="264" spans="63:63" ht="15.75" customHeight="1" x14ac:dyDescent="0.3">
      <c r="BK264" s="2635"/>
    </row>
    <row r="265" spans="63:63" ht="15.75" customHeight="1" x14ac:dyDescent="0.3">
      <c r="BK265" s="2635"/>
    </row>
    <row r="266" spans="63:63" ht="15.75" customHeight="1" x14ac:dyDescent="0.3">
      <c r="BK266" s="2635"/>
    </row>
    <row r="267" spans="63:63" ht="15.75" customHeight="1" x14ac:dyDescent="0.3">
      <c r="BK267" s="2635"/>
    </row>
    <row r="268" spans="63:63" ht="15.75" customHeight="1" x14ac:dyDescent="0.3">
      <c r="BK268" s="2635"/>
    </row>
    <row r="269" spans="63:63" ht="15.75" customHeight="1" x14ac:dyDescent="0.3">
      <c r="BK269" s="2635"/>
    </row>
    <row r="270" spans="63:63" ht="15.75" customHeight="1" x14ac:dyDescent="0.3">
      <c r="BK270" s="2635"/>
    </row>
    <row r="271" spans="63:63" ht="15.75" customHeight="1" x14ac:dyDescent="0.3">
      <c r="BK271" s="2635"/>
    </row>
    <row r="272" spans="63:63" ht="15.75" customHeight="1" x14ac:dyDescent="0.3">
      <c r="BK272" s="2635"/>
    </row>
    <row r="273" spans="63:63" ht="15.75" customHeight="1" x14ac:dyDescent="0.3">
      <c r="BK273" s="2635"/>
    </row>
    <row r="274" spans="63:63" ht="15.75" customHeight="1" x14ac:dyDescent="0.3">
      <c r="BK274" s="2635"/>
    </row>
    <row r="275" spans="63:63" ht="15.75" customHeight="1" x14ac:dyDescent="0.3">
      <c r="BK275" s="2635"/>
    </row>
    <row r="276" spans="63:63" ht="15.75" customHeight="1" x14ac:dyDescent="0.3">
      <c r="BK276" s="2635"/>
    </row>
    <row r="277" spans="63:63" ht="15.75" customHeight="1" x14ac:dyDescent="0.3">
      <c r="BK277" s="2635"/>
    </row>
    <row r="278" spans="63:63" ht="15.75" customHeight="1" x14ac:dyDescent="0.3">
      <c r="BK278" s="2635"/>
    </row>
    <row r="279" spans="63:63" ht="15.75" customHeight="1" x14ac:dyDescent="0.3">
      <c r="BK279" s="2635"/>
    </row>
    <row r="280" spans="63:63" ht="15.75" customHeight="1" x14ac:dyDescent="0.3">
      <c r="BK280" s="2635"/>
    </row>
    <row r="281" spans="63:63" ht="15.75" customHeight="1" x14ac:dyDescent="0.3">
      <c r="BK281" s="2635"/>
    </row>
    <row r="282" spans="63:63" ht="15.75" customHeight="1" x14ac:dyDescent="0.3">
      <c r="BK282" s="2635"/>
    </row>
    <row r="283" spans="63:63" ht="15.75" customHeight="1" x14ac:dyDescent="0.3">
      <c r="BK283" s="2635"/>
    </row>
    <row r="284" spans="63:63" ht="15.75" customHeight="1" x14ac:dyDescent="0.3">
      <c r="BK284" s="2635"/>
    </row>
    <row r="285" spans="63:63" ht="15.75" customHeight="1" x14ac:dyDescent="0.3">
      <c r="BK285" s="2635"/>
    </row>
    <row r="286" spans="63:63" ht="15.75" customHeight="1" x14ac:dyDescent="0.3">
      <c r="BK286" s="2635"/>
    </row>
    <row r="287" spans="63:63" ht="15.75" customHeight="1" x14ac:dyDescent="0.3">
      <c r="BK287" s="2635"/>
    </row>
    <row r="288" spans="63:63" ht="15.75" customHeight="1" x14ac:dyDescent="0.3">
      <c r="BK288" s="2635"/>
    </row>
    <row r="289" spans="63:63" ht="15.75" customHeight="1" x14ac:dyDescent="0.3">
      <c r="BK289" s="2635"/>
    </row>
    <row r="290" spans="63:63" ht="15.75" customHeight="1" x14ac:dyDescent="0.3">
      <c r="BK290" s="2635"/>
    </row>
    <row r="291" spans="63:63" ht="15.75" customHeight="1" x14ac:dyDescent="0.3">
      <c r="BK291" s="2635"/>
    </row>
    <row r="292" spans="63:63" ht="15.75" customHeight="1" x14ac:dyDescent="0.3">
      <c r="BK292" s="2635"/>
    </row>
    <row r="293" spans="63:63" ht="15.75" customHeight="1" x14ac:dyDescent="0.3">
      <c r="BK293" s="2635"/>
    </row>
    <row r="294" spans="63:63" ht="15.75" customHeight="1" x14ac:dyDescent="0.3">
      <c r="BK294" s="2635"/>
    </row>
    <row r="295" spans="63:63" ht="15.75" customHeight="1" x14ac:dyDescent="0.3">
      <c r="BK295" s="2635"/>
    </row>
    <row r="296" spans="63:63" ht="15.75" customHeight="1" x14ac:dyDescent="0.3">
      <c r="BK296" s="2635"/>
    </row>
    <row r="297" spans="63:63" ht="15.75" customHeight="1" x14ac:dyDescent="0.3">
      <c r="BK297" s="2635"/>
    </row>
    <row r="298" spans="63:63" ht="15.75" customHeight="1" x14ac:dyDescent="0.3">
      <c r="BK298" s="2635"/>
    </row>
    <row r="299" spans="63:63" ht="15.75" customHeight="1" x14ac:dyDescent="0.3">
      <c r="BK299" s="2635"/>
    </row>
    <row r="300" spans="63:63" ht="15.75" customHeight="1" x14ac:dyDescent="0.3">
      <c r="BK300" s="2635"/>
    </row>
    <row r="301" spans="63:63" ht="15.75" customHeight="1" x14ac:dyDescent="0.3">
      <c r="BK301" s="2635"/>
    </row>
    <row r="302" spans="63:63" ht="15.75" customHeight="1" x14ac:dyDescent="0.3">
      <c r="BK302" s="2635"/>
    </row>
    <row r="303" spans="63:63" ht="15.75" customHeight="1" x14ac:dyDescent="0.3">
      <c r="BK303" s="2635"/>
    </row>
    <row r="304" spans="63:63" ht="15.75" customHeight="1" x14ac:dyDescent="0.3">
      <c r="BK304" s="2635"/>
    </row>
    <row r="305" spans="63:63" ht="15.75" customHeight="1" x14ac:dyDescent="0.3">
      <c r="BK305" s="2635"/>
    </row>
    <row r="306" spans="63:63" ht="15.75" customHeight="1" x14ac:dyDescent="0.3">
      <c r="BK306" s="2635"/>
    </row>
    <row r="307" spans="63:63" ht="15.75" customHeight="1" x14ac:dyDescent="0.3">
      <c r="BK307" s="2635"/>
    </row>
    <row r="308" spans="63:63" ht="15.75" customHeight="1" x14ac:dyDescent="0.3">
      <c r="BK308" s="2635"/>
    </row>
    <row r="309" spans="63:63" ht="15.75" customHeight="1" x14ac:dyDescent="0.3">
      <c r="BK309" s="2635"/>
    </row>
    <row r="310" spans="63:63" ht="15.75" customHeight="1" x14ac:dyDescent="0.3">
      <c r="BK310" s="2635"/>
    </row>
    <row r="311" spans="63:63" ht="15.75" customHeight="1" x14ac:dyDescent="0.3">
      <c r="BK311" s="2635"/>
    </row>
    <row r="312" spans="63:63" ht="15.75" customHeight="1" x14ac:dyDescent="0.3">
      <c r="BK312" s="2635"/>
    </row>
    <row r="313" spans="63:63" ht="15.75" customHeight="1" x14ac:dyDescent="0.3">
      <c r="BK313" s="2635"/>
    </row>
    <row r="314" spans="63:63" ht="15.75" customHeight="1" x14ac:dyDescent="0.3">
      <c r="BK314" s="2635"/>
    </row>
    <row r="315" spans="63:63" ht="15.75" customHeight="1" x14ac:dyDescent="0.3">
      <c r="BK315" s="2635"/>
    </row>
    <row r="316" spans="63:63" ht="15.75" customHeight="1" x14ac:dyDescent="0.3">
      <c r="BK316" s="2635"/>
    </row>
    <row r="317" spans="63:63" ht="15.75" customHeight="1" x14ac:dyDescent="0.3">
      <c r="BK317" s="2635"/>
    </row>
    <row r="318" spans="63:63" ht="15.75" customHeight="1" x14ac:dyDescent="0.3">
      <c r="BK318" s="2635"/>
    </row>
    <row r="319" spans="63:63" ht="15.75" customHeight="1" x14ac:dyDescent="0.3">
      <c r="BK319" s="2635"/>
    </row>
    <row r="320" spans="63:63" ht="15.75" customHeight="1" x14ac:dyDescent="0.3">
      <c r="BK320" s="2635"/>
    </row>
    <row r="321" spans="63:63" ht="15.75" customHeight="1" x14ac:dyDescent="0.3">
      <c r="BK321" s="2635"/>
    </row>
    <row r="322" spans="63:63" ht="15.75" customHeight="1" x14ac:dyDescent="0.3">
      <c r="BK322" s="2635"/>
    </row>
    <row r="323" spans="63:63" ht="15.75" customHeight="1" x14ac:dyDescent="0.3">
      <c r="BK323" s="2635"/>
    </row>
    <row r="324" spans="63:63" ht="15.75" customHeight="1" x14ac:dyDescent="0.3">
      <c r="BK324" s="2635"/>
    </row>
    <row r="325" spans="63:63" ht="15.75" customHeight="1" x14ac:dyDescent="0.3">
      <c r="BK325" s="2635"/>
    </row>
    <row r="326" spans="63:63" ht="15.75" customHeight="1" x14ac:dyDescent="0.3">
      <c r="BK326" s="2635"/>
    </row>
    <row r="327" spans="63:63" ht="15.75" customHeight="1" x14ac:dyDescent="0.3">
      <c r="BK327" s="2635"/>
    </row>
    <row r="328" spans="63:63" ht="15.75" customHeight="1" x14ac:dyDescent="0.3">
      <c r="BK328" s="2635"/>
    </row>
    <row r="329" spans="63:63" ht="15.75" customHeight="1" x14ac:dyDescent="0.3">
      <c r="BK329" s="2635"/>
    </row>
    <row r="330" spans="63:63" ht="15.75" customHeight="1" x14ac:dyDescent="0.3">
      <c r="BK330" s="2635"/>
    </row>
    <row r="331" spans="63:63" ht="15.75" customHeight="1" x14ac:dyDescent="0.3">
      <c r="BK331" s="2635"/>
    </row>
    <row r="332" spans="63:63" ht="15.75" customHeight="1" x14ac:dyDescent="0.3">
      <c r="BK332" s="2635"/>
    </row>
    <row r="333" spans="63:63" ht="15.75" customHeight="1" x14ac:dyDescent="0.3">
      <c r="BK333" s="2635"/>
    </row>
    <row r="334" spans="63:63" ht="15.75" customHeight="1" x14ac:dyDescent="0.3">
      <c r="BK334" s="2635"/>
    </row>
    <row r="335" spans="63:63" ht="15.75" customHeight="1" x14ac:dyDescent="0.3">
      <c r="BK335" s="2635"/>
    </row>
    <row r="336" spans="63:63" ht="15.75" customHeight="1" x14ac:dyDescent="0.3">
      <c r="BK336" s="2635"/>
    </row>
    <row r="337" spans="63:63" ht="15.75" customHeight="1" x14ac:dyDescent="0.3">
      <c r="BK337" s="2635"/>
    </row>
    <row r="338" spans="63:63" ht="15.75" customHeight="1" x14ac:dyDescent="0.3">
      <c r="BK338" s="2635"/>
    </row>
    <row r="339" spans="63:63" ht="15.75" customHeight="1" x14ac:dyDescent="0.3">
      <c r="BK339" s="2635"/>
    </row>
    <row r="340" spans="63:63" ht="15.75" customHeight="1" x14ac:dyDescent="0.3">
      <c r="BK340" s="2635"/>
    </row>
    <row r="341" spans="63:63" ht="15.75" customHeight="1" x14ac:dyDescent="0.3">
      <c r="BK341" s="2635"/>
    </row>
    <row r="342" spans="63:63" ht="15.75" customHeight="1" x14ac:dyDescent="0.3">
      <c r="BK342" s="2635"/>
    </row>
    <row r="343" spans="63:63" ht="15.75" customHeight="1" x14ac:dyDescent="0.3">
      <c r="BK343" s="2635"/>
    </row>
    <row r="344" spans="63:63" ht="15.75" customHeight="1" x14ac:dyDescent="0.3">
      <c r="BK344" s="2635"/>
    </row>
    <row r="345" spans="63:63" ht="15.75" customHeight="1" x14ac:dyDescent="0.3">
      <c r="BK345" s="2635"/>
    </row>
    <row r="346" spans="63:63" ht="15.75" customHeight="1" x14ac:dyDescent="0.3">
      <c r="BK346" s="2635"/>
    </row>
    <row r="347" spans="63:63" ht="15.75" customHeight="1" x14ac:dyDescent="0.3">
      <c r="BK347" s="2635"/>
    </row>
    <row r="348" spans="63:63" ht="15.75" customHeight="1" x14ac:dyDescent="0.3">
      <c r="BK348" s="2635"/>
    </row>
    <row r="349" spans="63:63" ht="15.75" customHeight="1" x14ac:dyDescent="0.3">
      <c r="BK349" s="2635"/>
    </row>
    <row r="350" spans="63:63" ht="15.75" customHeight="1" x14ac:dyDescent="0.3">
      <c r="BK350" s="2635"/>
    </row>
    <row r="351" spans="63:63" ht="15.75" customHeight="1" x14ac:dyDescent="0.3">
      <c r="BK351" s="2635"/>
    </row>
    <row r="352" spans="63:63" ht="15.75" customHeight="1" x14ac:dyDescent="0.3">
      <c r="BK352" s="2635"/>
    </row>
    <row r="353" spans="63:63" ht="15.75" customHeight="1" x14ac:dyDescent="0.3">
      <c r="BK353" s="2635"/>
    </row>
    <row r="354" spans="63:63" ht="15.75" customHeight="1" x14ac:dyDescent="0.3">
      <c r="BK354" s="2635"/>
    </row>
    <row r="355" spans="63:63" ht="15.75" customHeight="1" x14ac:dyDescent="0.3">
      <c r="BK355" s="2635"/>
    </row>
    <row r="356" spans="63:63" ht="15.75" customHeight="1" x14ac:dyDescent="0.3">
      <c r="BK356" s="2635"/>
    </row>
    <row r="357" spans="63:63" ht="15.75" customHeight="1" x14ac:dyDescent="0.3">
      <c r="BK357" s="2635"/>
    </row>
    <row r="358" spans="63:63" ht="15.75" customHeight="1" x14ac:dyDescent="0.3">
      <c r="BK358" s="2635"/>
    </row>
    <row r="359" spans="63:63" ht="15.75" customHeight="1" x14ac:dyDescent="0.3">
      <c r="BK359" s="2635"/>
    </row>
    <row r="360" spans="63:63" ht="15.75" customHeight="1" x14ac:dyDescent="0.3">
      <c r="BK360" s="2635"/>
    </row>
    <row r="361" spans="63:63" ht="15.75" customHeight="1" x14ac:dyDescent="0.3">
      <c r="BK361" s="2635"/>
    </row>
    <row r="362" spans="63:63" ht="15.75" customHeight="1" x14ac:dyDescent="0.3">
      <c r="BK362" s="2635"/>
    </row>
    <row r="363" spans="63:63" ht="15.75" customHeight="1" x14ac:dyDescent="0.3">
      <c r="BK363" s="2635"/>
    </row>
    <row r="364" spans="63:63" ht="15.75" customHeight="1" x14ac:dyDescent="0.3">
      <c r="BK364" s="2635"/>
    </row>
    <row r="365" spans="63:63" ht="15.75" customHeight="1" x14ac:dyDescent="0.3">
      <c r="BK365" s="2635"/>
    </row>
    <row r="366" spans="63:63" ht="15.75" customHeight="1" x14ac:dyDescent="0.3">
      <c r="BK366" s="2635"/>
    </row>
    <row r="367" spans="63:63" ht="15.75" customHeight="1" x14ac:dyDescent="0.3">
      <c r="BK367" s="2635"/>
    </row>
    <row r="368" spans="63:63" ht="15.75" customHeight="1" x14ac:dyDescent="0.3">
      <c r="BK368" s="2635"/>
    </row>
    <row r="369" spans="63:63" ht="15.75" customHeight="1" x14ac:dyDescent="0.3">
      <c r="BK369" s="2635"/>
    </row>
    <row r="370" spans="63:63" ht="15.75" customHeight="1" x14ac:dyDescent="0.3">
      <c r="BK370" s="2635"/>
    </row>
    <row r="371" spans="63:63" ht="15.75" customHeight="1" x14ac:dyDescent="0.3">
      <c r="BK371" s="2635"/>
    </row>
    <row r="372" spans="63:63" ht="15.75" customHeight="1" x14ac:dyDescent="0.3">
      <c r="BK372" s="2635"/>
    </row>
    <row r="373" spans="63:63" ht="15.75" customHeight="1" x14ac:dyDescent="0.3">
      <c r="BK373" s="2635"/>
    </row>
    <row r="374" spans="63:63" ht="15.75" customHeight="1" x14ac:dyDescent="0.3">
      <c r="BK374" s="2635"/>
    </row>
    <row r="375" spans="63:63" ht="15.75" customHeight="1" x14ac:dyDescent="0.3">
      <c r="BK375" s="2635"/>
    </row>
    <row r="376" spans="63:63" ht="15.75" customHeight="1" x14ac:dyDescent="0.3">
      <c r="BK376" s="2635"/>
    </row>
    <row r="377" spans="63:63" ht="15.75" customHeight="1" x14ac:dyDescent="0.3">
      <c r="BK377" s="2635"/>
    </row>
    <row r="378" spans="63:63" ht="15.75" customHeight="1" x14ac:dyDescent="0.3">
      <c r="BK378" s="2635"/>
    </row>
    <row r="379" spans="63:63" ht="15.75" customHeight="1" x14ac:dyDescent="0.3">
      <c r="BK379" s="2635"/>
    </row>
    <row r="380" spans="63:63" ht="15.75" customHeight="1" x14ac:dyDescent="0.3">
      <c r="BK380" s="2635"/>
    </row>
    <row r="381" spans="63:63" ht="15.75" customHeight="1" x14ac:dyDescent="0.3">
      <c r="BK381" s="2635"/>
    </row>
    <row r="382" spans="63:63" ht="15.75" customHeight="1" x14ac:dyDescent="0.3">
      <c r="BK382" s="2635"/>
    </row>
    <row r="383" spans="63:63" ht="15.75" customHeight="1" x14ac:dyDescent="0.3">
      <c r="BK383" s="2635"/>
    </row>
    <row r="384" spans="63:63" ht="15.75" customHeight="1" x14ac:dyDescent="0.3">
      <c r="BK384" s="2635"/>
    </row>
    <row r="385" spans="63:63" ht="15.75" customHeight="1" x14ac:dyDescent="0.3">
      <c r="BK385" s="2635"/>
    </row>
    <row r="386" spans="63:63" ht="15.75" customHeight="1" x14ac:dyDescent="0.3">
      <c r="BK386" s="2635"/>
    </row>
    <row r="387" spans="63:63" ht="15.75" customHeight="1" x14ac:dyDescent="0.3">
      <c r="BK387" s="2635"/>
    </row>
    <row r="388" spans="63:63" ht="15.75" customHeight="1" x14ac:dyDescent="0.3">
      <c r="BK388" s="2635"/>
    </row>
    <row r="389" spans="63:63" ht="15.75" customHeight="1" x14ac:dyDescent="0.3">
      <c r="BK389" s="2635"/>
    </row>
    <row r="390" spans="63:63" ht="15.75" customHeight="1" x14ac:dyDescent="0.3">
      <c r="BK390" s="2635"/>
    </row>
    <row r="391" spans="63:63" ht="15.75" customHeight="1" x14ac:dyDescent="0.3">
      <c r="BK391" s="2635"/>
    </row>
    <row r="392" spans="63:63" ht="15.75" customHeight="1" x14ac:dyDescent="0.3">
      <c r="BK392" s="2635"/>
    </row>
    <row r="393" spans="63:63" ht="15.75" customHeight="1" x14ac:dyDescent="0.3">
      <c r="BK393" s="2635"/>
    </row>
    <row r="394" spans="63:63" ht="15.75" customHeight="1" x14ac:dyDescent="0.3">
      <c r="BK394" s="2635"/>
    </row>
    <row r="395" spans="63:63" ht="15.75" customHeight="1" x14ac:dyDescent="0.3">
      <c r="BK395" s="2635"/>
    </row>
    <row r="396" spans="63:63" ht="15.75" customHeight="1" x14ac:dyDescent="0.3">
      <c r="BK396" s="2635"/>
    </row>
    <row r="397" spans="63:63" ht="15.75" customHeight="1" x14ac:dyDescent="0.3">
      <c r="BK397" s="2635"/>
    </row>
    <row r="398" spans="63:63" ht="15.75" customHeight="1" x14ac:dyDescent="0.3">
      <c r="BK398" s="2635"/>
    </row>
    <row r="399" spans="63:63" ht="15.75" customHeight="1" x14ac:dyDescent="0.3">
      <c r="BK399" s="2635"/>
    </row>
    <row r="400" spans="63:63" ht="15.75" customHeight="1" x14ac:dyDescent="0.3">
      <c r="BK400" s="2635"/>
    </row>
    <row r="401" spans="63:63" ht="15.75" customHeight="1" x14ac:dyDescent="0.3">
      <c r="BK401" s="2635"/>
    </row>
    <row r="402" spans="63:63" ht="15.75" customHeight="1" x14ac:dyDescent="0.3">
      <c r="BK402" s="2635"/>
    </row>
    <row r="403" spans="63:63" ht="15.75" customHeight="1" x14ac:dyDescent="0.3">
      <c r="BK403" s="2635"/>
    </row>
    <row r="404" spans="63:63" ht="15.75" customHeight="1" x14ac:dyDescent="0.3">
      <c r="BK404" s="2635"/>
    </row>
    <row r="405" spans="63:63" ht="15.75" customHeight="1" x14ac:dyDescent="0.3">
      <c r="BK405" s="2635"/>
    </row>
    <row r="406" spans="63:63" ht="15.75" customHeight="1" x14ac:dyDescent="0.3">
      <c r="BK406" s="2635"/>
    </row>
    <row r="407" spans="63:63" ht="15.75" customHeight="1" x14ac:dyDescent="0.3">
      <c r="BK407" s="2635"/>
    </row>
    <row r="408" spans="63:63" ht="15.75" customHeight="1" x14ac:dyDescent="0.3">
      <c r="BK408" s="2635"/>
    </row>
    <row r="409" spans="63:63" ht="15.75" customHeight="1" x14ac:dyDescent="0.3">
      <c r="BK409" s="2635"/>
    </row>
    <row r="410" spans="63:63" ht="15.75" customHeight="1" x14ac:dyDescent="0.3">
      <c r="BK410" s="2635"/>
    </row>
    <row r="411" spans="63:63" ht="15.75" customHeight="1" x14ac:dyDescent="0.3">
      <c r="BK411" s="2635"/>
    </row>
    <row r="412" spans="63:63" ht="15.75" customHeight="1" x14ac:dyDescent="0.3">
      <c r="BK412" s="2635"/>
    </row>
    <row r="413" spans="63:63" ht="15.75" customHeight="1" x14ac:dyDescent="0.3">
      <c r="BK413" s="2635"/>
    </row>
    <row r="414" spans="63:63" ht="15.75" customHeight="1" x14ac:dyDescent="0.3">
      <c r="BK414" s="2635"/>
    </row>
    <row r="415" spans="63:63" ht="15.75" customHeight="1" x14ac:dyDescent="0.3">
      <c r="BK415" s="2635"/>
    </row>
    <row r="416" spans="63:63" ht="15.75" customHeight="1" x14ac:dyDescent="0.3">
      <c r="BK416" s="2635"/>
    </row>
    <row r="417" spans="63:63" ht="15.75" customHeight="1" x14ac:dyDescent="0.3">
      <c r="BK417" s="2635"/>
    </row>
    <row r="418" spans="63:63" ht="15.75" customHeight="1" x14ac:dyDescent="0.3">
      <c r="BK418" s="2635"/>
    </row>
    <row r="419" spans="63:63" ht="15.75" customHeight="1" x14ac:dyDescent="0.3">
      <c r="BK419" s="2635"/>
    </row>
    <row r="420" spans="63:63" ht="15.75" customHeight="1" x14ac:dyDescent="0.3">
      <c r="BK420" s="2635"/>
    </row>
    <row r="421" spans="63:63" ht="15.75" customHeight="1" x14ac:dyDescent="0.3">
      <c r="BK421" s="2635"/>
    </row>
    <row r="422" spans="63:63" ht="15.75" customHeight="1" x14ac:dyDescent="0.3">
      <c r="BK422" s="2635"/>
    </row>
    <row r="423" spans="63:63" ht="15.75" customHeight="1" x14ac:dyDescent="0.3">
      <c r="BK423" s="2635"/>
    </row>
    <row r="424" spans="63:63" ht="15.75" customHeight="1" x14ac:dyDescent="0.3">
      <c r="BK424" s="2635"/>
    </row>
    <row r="425" spans="63:63" ht="15.75" customHeight="1" x14ac:dyDescent="0.3">
      <c r="BK425" s="2635"/>
    </row>
    <row r="426" spans="63:63" ht="15.75" customHeight="1" x14ac:dyDescent="0.3">
      <c r="BK426" s="2635"/>
    </row>
    <row r="427" spans="63:63" ht="15.75" customHeight="1" x14ac:dyDescent="0.3">
      <c r="BK427" s="2635"/>
    </row>
    <row r="428" spans="63:63" ht="15.75" customHeight="1" x14ac:dyDescent="0.3">
      <c r="BK428" s="2635"/>
    </row>
    <row r="429" spans="63:63" ht="15.75" customHeight="1" x14ac:dyDescent="0.3">
      <c r="BK429" s="2635"/>
    </row>
    <row r="430" spans="63:63" ht="15.75" customHeight="1" x14ac:dyDescent="0.3">
      <c r="BK430" s="2635"/>
    </row>
    <row r="431" spans="63:63" ht="15.75" customHeight="1" x14ac:dyDescent="0.3">
      <c r="BK431" s="2635"/>
    </row>
    <row r="432" spans="63:63" ht="15.75" customHeight="1" x14ac:dyDescent="0.3">
      <c r="BK432" s="2635"/>
    </row>
    <row r="433" spans="63:63" ht="15.75" customHeight="1" x14ac:dyDescent="0.3">
      <c r="BK433" s="2635"/>
    </row>
    <row r="434" spans="63:63" ht="15.75" customHeight="1" x14ac:dyDescent="0.3">
      <c r="BK434" s="2635"/>
    </row>
    <row r="435" spans="63:63" ht="15.75" customHeight="1" x14ac:dyDescent="0.3">
      <c r="BK435" s="2635"/>
    </row>
    <row r="436" spans="63:63" ht="15.75" customHeight="1" x14ac:dyDescent="0.3">
      <c r="BK436" s="2635"/>
    </row>
    <row r="437" spans="63:63" ht="15.75" customHeight="1" x14ac:dyDescent="0.3">
      <c r="BK437" s="2635"/>
    </row>
    <row r="438" spans="63:63" ht="15.75" customHeight="1" x14ac:dyDescent="0.3">
      <c r="BK438" s="2635"/>
    </row>
    <row r="439" spans="63:63" ht="15.75" customHeight="1" x14ac:dyDescent="0.3">
      <c r="BK439" s="2635"/>
    </row>
    <row r="440" spans="63:63" ht="15.75" customHeight="1" x14ac:dyDescent="0.3">
      <c r="BK440" s="2635"/>
    </row>
    <row r="441" spans="63:63" ht="15.75" customHeight="1" x14ac:dyDescent="0.3">
      <c r="BK441" s="2635"/>
    </row>
    <row r="442" spans="63:63" ht="15.75" customHeight="1" x14ac:dyDescent="0.3">
      <c r="BK442" s="2635"/>
    </row>
    <row r="443" spans="63:63" ht="15.75" customHeight="1" x14ac:dyDescent="0.3">
      <c r="BK443" s="2635"/>
    </row>
    <row r="444" spans="63:63" ht="15.75" customHeight="1" x14ac:dyDescent="0.3">
      <c r="BK444" s="2635"/>
    </row>
    <row r="445" spans="63:63" ht="15.75" customHeight="1" x14ac:dyDescent="0.3">
      <c r="BK445" s="2635"/>
    </row>
    <row r="446" spans="63:63" ht="15.75" customHeight="1" x14ac:dyDescent="0.3">
      <c r="BK446" s="2635"/>
    </row>
    <row r="447" spans="63:63" ht="15.75" customHeight="1" x14ac:dyDescent="0.3">
      <c r="BK447" s="2635"/>
    </row>
    <row r="448" spans="63:63" ht="15.75" customHeight="1" x14ac:dyDescent="0.3">
      <c r="BK448" s="2635"/>
    </row>
    <row r="449" spans="63:63" ht="15.75" customHeight="1" x14ac:dyDescent="0.3">
      <c r="BK449" s="2635"/>
    </row>
    <row r="450" spans="63:63" ht="15.75" customHeight="1" x14ac:dyDescent="0.3">
      <c r="BK450" s="2635"/>
    </row>
    <row r="451" spans="63:63" ht="15.75" customHeight="1" x14ac:dyDescent="0.3">
      <c r="BK451" s="2635"/>
    </row>
    <row r="452" spans="63:63" ht="15.75" customHeight="1" x14ac:dyDescent="0.3">
      <c r="BK452" s="2635"/>
    </row>
    <row r="453" spans="63:63" ht="15.75" customHeight="1" x14ac:dyDescent="0.3">
      <c r="BK453" s="2635"/>
    </row>
    <row r="454" spans="63:63" ht="15.75" customHeight="1" x14ac:dyDescent="0.3">
      <c r="BK454" s="2635"/>
    </row>
    <row r="455" spans="63:63" ht="15.75" customHeight="1" x14ac:dyDescent="0.3">
      <c r="BK455" s="2635"/>
    </row>
    <row r="456" spans="63:63" ht="15.75" customHeight="1" x14ac:dyDescent="0.3">
      <c r="BK456" s="2635"/>
    </row>
    <row r="457" spans="63:63" ht="15.75" customHeight="1" x14ac:dyDescent="0.3">
      <c r="BK457" s="2635"/>
    </row>
    <row r="458" spans="63:63" ht="15.75" customHeight="1" x14ac:dyDescent="0.3">
      <c r="BK458" s="2635"/>
    </row>
    <row r="459" spans="63:63" ht="15.75" customHeight="1" x14ac:dyDescent="0.3">
      <c r="BK459" s="2635"/>
    </row>
    <row r="460" spans="63:63" ht="15.75" customHeight="1" x14ac:dyDescent="0.3">
      <c r="BK460" s="2635"/>
    </row>
    <row r="461" spans="63:63" ht="15.75" customHeight="1" x14ac:dyDescent="0.3">
      <c r="BK461" s="2635"/>
    </row>
    <row r="462" spans="63:63" ht="15.75" customHeight="1" x14ac:dyDescent="0.3">
      <c r="BK462" s="2635"/>
    </row>
    <row r="463" spans="63:63" ht="15.75" customHeight="1" x14ac:dyDescent="0.3">
      <c r="BK463" s="2635"/>
    </row>
    <row r="464" spans="63:63" ht="15.75" customHeight="1" x14ac:dyDescent="0.3">
      <c r="BK464" s="2635"/>
    </row>
    <row r="465" spans="63:63" ht="15.75" customHeight="1" x14ac:dyDescent="0.3">
      <c r="BK465" s="2635"/>
    </row>
    <row r="466" spans="63:63" ht="15.75" customHeight="1" x14ac:dyDescent="0.3">
      <c r="BK466" s="2635"/>
    </row>
    <row r="467" spans="63:63" ht="15.75" customHeight="1" x14ac:dyDescent="0.3">
      <c r="BK467" s="2635"/>
    </row>
    <row r="468" spans="63:63" ht="15.75" customHeight="1" x14ac:dyDescent="0.3">
      <c r="BK468" s="2635"/>
    </row>
    <row r="469" spans="63:63" ht="15.75" customHeight="1" x14ac:dyDescent="0.3">
      <c r="BK469" s="2635"/>
    </row>
    <row r="470" spans="63:63" ht="15.75" customHeight="1" x14ac:dyDescent="0.3">
      <c r="BK470" s="2635"/>
    </row>
    <row r="471" spans="63:63" ht="15.75" customHeight="1" x14ac:dyDescent="0.3">
      <c r="BK471" s="2635"/>
    </row>
    <row r="472" spans="63:63" ht="15.75" customHeight="1" x14ac:dyDescent="0.3">
      <c r="BK472" s="2635"/>
    </row>
    <row r="473" spans="63:63" ht="15.75" customHeight="1" x14ac:dyDescent="0.3">
      <c r="BK473" s="2635"/>
    </row>
    <row r="474" spans="63:63" ht="15.75" customHeight="1" x14ac:dyDescent="0.3">
      <c r="BK474" s="2635"/>
    </row>
    <row r="475" spans="63:63" ht="15.75" customHeight="1" x14ac:dyDescent="0.3">
      <c r="BK475" s="2635"/>
    </row>
    <row r="476" spans="63:63" ht="15.75" customHeight="1" x14ac:dyDescent="0.3">
      <c r="BK476" s="2635"/>
    </row>
    <row r="477" spans="63:63" ht="15.75" customHeight="1" x14ac:dyDescent="0.3">
      <c r="BK477" s="2635"/>
    </row>
    <row r="478" spans="63:63" ht="15.75" customHeight="1" x14ac:dyDescent="0.3">
      <c r="BK478" s="2635"/>
    </row>
    <row r="479" spans="63:63" ht="15.75" customHeight="1" x14ac:dyDescent="0.3">
      <c r="BK479" s="2635"/>
    </row>
    <row r="480" spans="63:63" ht="15.75" customHeight="1" x14ac:dyDescent="0.3">
      <c r="BK480" s="2635"/>
    </row>
    <row r="481" spans="63:63" ht="15.75" customHeight="1" x14ac:dyDescent="0.3">
      <c r="BK481" s="2635"/>
    </row>
    <row r="482" spans="63:63" ht="15.75" customHeight="1" x14ac:dyDescent="0.3">
      <c r="BK482" s="2635"/>
    </row>
    <row r="483" spans="63:63" ht="15.75" customHeight="1" x14ac:dyDescent="0.3">
      <c r="BK483" s="2635"/>
    </row>
    <row r="484" spans="63:63" ht="15.75" customHeight="1" x14ac:dyDescent="0.3">
      <c r="BK484" s="2635"/>
    </row>
    <row r="485" spans="63:63" ht="15.75" customHeight="1" x14ac:dyDescent="0.3">
      <c r="BK485" s="2635"/>
    </row>
    <row r="486" spans="63:63" ht="15.75" customHeight="1" x14ac:dyDescent="0.3">
      <c r="BK486" s="2635"/>
    </row>
    <row r="487" spans="63:63" ht="15.75" customHeight="1" x14ac:dyDescent="0.3">
      <c r="BK487" s="2635"/>
    </row>
    <row r="488" spans="63:63" ht="15.75" customHeight="1" x14ac:dyDescent="0.3">
      <c r="BK488" s="2635"/>
    </row>
    <row r="489" spans="63:63" ht="15.75" customHeight="1" x14ac:dyDescent="0.3">
      <c r="BK489" s="2635"/>
    </row>
    <row r="490" spans="63:63" ht="15.75" customHeight="1" x14ac:dyDescent="0.3">
      <c r="BK490" s="2635"/>
    </row>
    <row r="491" spans="63:63" ht="15.75" customHeight="1" x14ac:dyDescent="0.3">
      <c r="BK491" s="2635"/>
    </row>
    <row r="492" spans="63:63" ht="15.75" customHeight="1" x14ac:dyDescent="0.3">
      <c r="BK492" s="2635"/>
    </row>
    <row r="493" spans="63:63" ht="15.75" customHeight="1" x14ac:dyDescent="0.3">
      <c r="BK493" s="2635"/>
    </row>
    <row r="494" spans="63:63" ht="15.75" customHeight="1" x14ac:dyDescent="0.3">
      <c r="BK494" s="2635"/>
    </row>
    <row r="495" spans="63:63" ht="15.75" customHeight="1" x14ac:dyDescent="0.3">
      <c r="BK495" s="2635"/>
    </row>
    <row r="496" spans="63:63" ht="15.75" customHeight="1" x14ac:dyDescent="0.3">
      <c r="BK496" s="2635"/>
    </row>
    <row r="497" spans="63:63" ht="15.75" customHeight="1" x14ac:dyDescent="0.3">
      <c r="BK497" s="2635"/>
    </row>
    <row r="498" spans="63:63" ht="15.75" customHeight="1" x14ac:dyDescent="0.3">
      <c r="BK498" s="2635"/>
    </row>
    <row r="499" spans="63:63" ht="15.75" customHeight="1" x14ac:dyDescent="0.3">
      <c r="BK499" s="2635"/>
    </row>
    <row r="500" spans="63:63" ht="15.75" customHeight="1" x14ac:dyDescent="0.3">
      <c r="BK500" s="2635"/>
    </row>
    <row r="501" spans="63:63" ht="15.75" customHeight="1" x14ac:dyDescent="0.3">
      <c r="BK501" s="2635"/>
    </row>
    <row r="502" spans="63:63" ht="15.75" customHeight="1" x14ac:dyDescent="0.3">
      <c r="BK502" s="2635"/>
    </row>
    <row r="503" spans="63:63" ht="15.75" customHeight="1" x14ac:dyDescent="0.3">
      <c r="BK503" s="2635"/>
    </row>
    <row r="504" spans="63:63" ht="15.75" customHeight="1" x14ac:dyDescent="0.3">
      <c r="BK504" s="2635"/>
    </row>
    <row r="505" spans="63:63" ht="15.75" customHeight="1" x14ac:dyDescent="0.3">
      <c r="BK505" s="2635"/>
    </row>
    <row r="506" spans="63:63" ht="15.75" customHeight="1" x14ac:dyDescent="0.3">
      <c r="BK506" s="2635"/>
    </row>
    <row r="507" spans="63:63" ht="15.75" customHeight="1" x14ac:dyDescent="0.3">
      <c r="BK507" s="2635"/>
    </row>
    <row r="508" spans="63:63" ht="15.75" customHeight="1" x14ac:dyDescent="0.3">
      <c r="BK508" s="2635"/>
    </row>
    <row r="509" spans="63:63" ht="15.75" customHeight="1" x14ac:dyDescent="0.3">
      <c r="BK509" s="2635"/>
    </row>
    <row r="510" spans="63:63" ht="15.75" customHeight="1" x14ac:dyDescent="0.3">
      <c r="BK510" s="2635"/>
    </row>
    <row r="511" spans="63:63" ht="15.75" customHeight="1" x14ac:dyDescent="0.3">
      <c r="BK511" s="2635"/>
    </row>
    <row r="512" spans="63:63" ht="15.75" customHeight="1" x14ac:dyDescent="0.3">
      <c r="BK512" s="2635"/>
    </row>
    <row r="513" spans="63:63" ht="15.75" customHeight="1" x14ac:dyDescent="0.3">
      <c r="BK513" s="2635"/>
    </row>
    <row r="514" spans="63:63" ht="15.75" customHeight="1" x14ac:dyDescent="0.3">
      <c r="BK514" s="2635"/>
    </row>
    <row r="515" spans="63:63" ht="15.75" customHeight="1" x14ac:dyDescent="0.3">
      <c r="BK515" s="2635"/>
    </row>
    <row r="516" spans="63:63" ht="15.75" customHeight="1" x14ac:dyDescent="0.3">
      <c r="BK516" s="2635"/>
    </row>
    <row r="517" spans="63:63" ht="15.75" customHeight="1" x14ac:dyDescent="0.3">
      <c r="BK517" s="2635"/>
    </row>
    <row r="518" spans="63:63" ht="15.75" customHeight="1" x14ac:dyDescent="0.3">
      <c r="BK518" s="2635"/>
    </row>
    <row r="519" spans="63:63" ht="15.75" customHeight="1" x14ac:dyDescent="0.3">
      <c r="BK519" s="2635"/>
    </row>
    <row r="520" spans="63:63" ht="15.75" customHeight="1" x14ac:dyDescent="0.3">
      <c r="BK520" s="2635"/>
    </row>
    <row r="521" spans="63:63" ht="15.75" customHeight="1" x14ac:dyDescent="0.3">
      <c r="BK521" s="2635"/>
    </row>
    <row r="522" spans="63:63" ht="15.75" customHeight="1" x14ac:dyDescent="0.3">
      <c r="BK522" s="2635"/>
    </row>
    <row r="523" spans="63:63" ht="15.75" customHeight="1" x14ac:dyDescent="0.3">
      <c r="BK523" s="2635"/>
    </row>
    <row r="524" spans="63:63" ht="15.75" customHeight="1" x14ac:dyDescent="0.3">
      <c r="BK524" s="2635"/>
    </row>
    <row r="525" spans="63:63" ht="15.75" customHeight="1" x14ac:dyDescent="0.3">
      <c r="BK525" s="2635"/>
    </row>
    <row r="526" spans="63:63" ht="15.75" customHeight="1" x14ac:dyDescent="0.3">
      <c r="BK526" s="2635"/>
    </row>
    <row r="527" spans="63:63" ht="15.75" customHeight="1" x14ac:dyDescent="0.3">
      <c r="BK527" s="2635"/>
    </row>
    <row r="528" spans="63:63" ht="15.75" customHeight="1" x14ac:dyDescent="0.3">
      <c r="BK528" s="2635"/>
    </row>
    <row r="529" spans="63:63" ht="15.75" customHeight="1" x14ac:dyDescent="0.3">
      <c r="BK529" s="2635"/>
    </row>
    <row r="530" spans="63:63" ht="15.75" customHeight="1" x14ac:dyDescent="0.3">
      <c r="BK530" s="2635"/>
    </row>
    <row r="531" spans="63:63" ht="15.75" customHeight="1" x14ac:dyDescent="0.3">
      <c r="BK531" s="2635"/>
    </row>
    <row r="532" spans="63:63" ht="15.75" customHeight="1" x14ac:dyDescent="0.3">
      <c r="BK532" s="2635"/>
    </row>
    <row r="533" spans="63:63" ht="15.75" customHeight="1" x14ac:dyDescent="0.3">
      <c r="BK533" s="2635"/>
    </row>
    <row r="534" spans="63:63" ht="15.75" customHeight="1" x14ac:dyDescent="0.3">
      <c r="BK534" s="2635"/>
    </row>
    <row r="535" spans="63:63" ht="15.75" customHeight="1" x14ac:dyDescent="0.3">
      <c r="BK535" s="2635"/>
    </row>
    <row r="536" spans="63:63" ht="15.75" customHeight="1" x14ac:dyDescent="0.3">
      <c r="BK536" s="2635"/>
    </row>
    <row r="537" spans="63:63" ht="15.75" customHeight="1" x14ac:dyDescent="0.3">
      <c r="BK537" s="2635"/>
    </row>
    <row r="538" spans="63:63" ht="15.75" customHeight="1" x14ac:dyDescent="0.3">
      <c r="BK538" s="2635"/>
    </row>
    <row r="539" spans="63:63" ht="15.75" customHeight="1" x14ac:dyDescent="0.3">
      <c r="BK539" s="2635"/>
    </row>
    <row r="540" spans="63:63" ht="15.75" customHeight="1" x14ac:dyDescent="0.3">
      <c r="BK540" s="2635"/>
    </row>
    <row r="541" spans="63:63" ht="15.75" customHeight="1" x14ac:dyDescent="0.3">
      <c r="BK541" s="2635"/>
    </row>
    <row r="542" spans="63:63" ht="15.75" customHeight="1" x14ac:dyDescent="0.3">
      <c r="BK542" s="2635"/>
    </row>
    <row r="543" spans="63:63" ht="15.75" customHeight="1" x14ac:dyDescent="0.3">
      <c r="BK543" s="2635"/>
    </row>
    <row r="544" spans="63:63" ht="15.75" customHeight="1" x14ac:dyDescent="0.3">
      <c r="BK544" s="2635"/>
    </row>
    <row r="545" spans="63:63" ht="15.75" customHeight="1" x14ac:dyDescent="0.3">
      <c r="BK545" s="2635"/>
    </row>
    <row r="546" spans="63:63" ht="15.75" customHeight="1" x14ac:dyDescent="0.3">
      <c r="BK546" s="2635"/>
    </row>
    <row r="547" spans="63:63" ht="15.75" customHeight="1" x14ac:dyDescent="0.3">
      <c r="BK547" s="2635"/>
    </row>
    <row r="548" spans="63:63" ht="15.75" customHeight="1" x14ac:dyDescent="0.3">
      <c r="BK548" s="2635"/>
    </row>
    <row r="549" spans="63:63" ht="15.75" customHeight="1" x14ac:dyDescent="0.3">
      <c r="BK549" s="2635"/>
    </row>
    <row r="550" spans="63:63" ht="15.75" customHeight="1" x14ac:dyDescent="0.3">
      <c r="BK550" s="2635"/>
    </row>
    <row r="551" spans="63:63" ht="15.75" customHeight="1" x14ac:dyDescent="0.3">
      <c r="BK551" s="2635"/>
    </row>
    <row r="552" spans="63:63" ht="15.75" customHeight="1" x14ac:dyDescent="0.3">
      <c r="BK552" s="2635"/>
    </row>
    <row r="553" spans="63:63" ht="15.75" customHeight="1" x14ac:dyDescent="0.3">
      <c r="BK553" s="2635"/>
    </row>
    <row r="554" spans="63:63" ht="15.75" customHeight="1" x14ac:dyDescent="0.3">
      <c r="BK554" s="2635"/>
    </row>
    <row r="555" spans="63:63" ht="15.75" customHeight="1" x14ac:dyDescent="0.3">
      <c r="BK555" s="2635"/>
    </row>
    <row r="556" spans="63:63" ht="15.75" customHeight="1" x14ac:dyDescent="0.3">
      <c r="BK556" s="2635"/>
    </row>
    <row r="557" spans="63:63" ht="15.75" customHeight="1" x14ac:dyDescent="0.3">
      <c r="BK557" s="2635"/>
    </row>
    <row r="558" spans="63:63" ht="15.75" customHeight="1" x14ac:dyDescent="0.3">
      <c r="BK558" s="2635"/>
    </row>
    <row r="559" spans="63:63" ht="15.75" customHeight="1" x14ac:dyDescent="0.3">
      <c r="BK559" s="2635"/>
    </row>
    <row r="560" spans="63:63" ht="15.75" customHeight="1" x14ac:dyDescent="0.3">
      <c r="BK560" s="2635"/>
    </row>
    <row r="561" spans="63:63" ht="15.75" customHeight="1" x14ac:dyDescent="0.3">
      <c r="BK561" s="2635"/>
    </row>
    <row r="562" spans="63:63" ht="15.75" customHeight="1" x14ac:dyDescent="0.3">
      <c r="BK562" s="2635"/>
    </row>
    <row r="563" spans="63:63" ht="15.75" customHeight="1" x14ac:dyDescent="0.3">
      <c r="BK563" s="2635"/>
    </row>
    <row r="564" spans="63:63" ht="15.75" customHeight="1" x14ac:dyDescent="0.3">
      <c r="BK564" s="2635"/>
    </row>
    <row r="565" spans="63:63" ht="15.75" customHeight="1" x14ac:dyDescent="0.3">
      <c r="BK565" s="2635"/>
    </row>
    <row r="566" spans="63:63" ht="15.75" customHeight="1" x14ac:dyDescent="0.3">
      <c r="BK566" s="2635"/>
    </row>
    <row r="567" spans="63:63" ht="15.75" customHeight="1" x14ac:dyDescent="0.3">
      <c r="BK567" s="2635"/>
    </row>
    <row r="568" spans="63:63" ht="15.75" customHeight="1" x14ac:dyDescent="0.3">
      <c r="BK568" s="2635"/>
    </row>
    <row r="569" spans="63:63" ht="15.75" customHeight="1" x14ac:dyDescent="0.3">
      <c r="BK569" s="2635"/>
    </row>
    <row r="570" spans="63:63" ht="15.75" customHeight="1" x14ac:dyDescent="0.3">
      <c r="BK570" s="2635"/>
    </row>
    <row r="571" spans="63:63" ht="15.75" customHeight="1" x14ac:dyDescent="0.3">
      <c r="BK571" s="2635"/>
    </row>
    <row r="572" spans="63:63" ht="15.75" customHeight="1" x14ac:dyDescent="0.3">
      <c r="BK572" s="2635"/>
    </row>
    <row r="573" spans="63:63" ht="15.75" customHeight="1" x14ac:dyDescent="0.3">
      <c r="BK573" s="2635"/>
    </row>
    <row r="574" spans="63:63" ht="15.75" customHeight="1" x14ac:dyDescent="0.3">
      <c r="BK574" s="2635"/>
    </row>
    <row r="575" spans="63:63" ht="15.75" customHeight="1" x14ac:dyDescent="0.3">
      <c r="BK575" s="2635"/>
    </row>
    <row r="576" spans="63:63" ht="15.75" customHeight="1" x14ac:dyDescent="0.3">
      <c r="BK576" s="2635"/>
    </row>
    <row r="577" spans="63:63" ht="15.75" customHeight="1" x14ac:dyDescent="0.3">
      <c r="BK577" s="2635"/>
    </row>
    <row r="578" spans="63:63" ht="15.75" customHeight="1" x14ac:dyDescent="0.3">
      <c r="BK578" s="2635"/>
    </row>
    <row r="579" spans="63:63" ht="15.75" customHeight="1" x14ac:dyDescent="0.3">
      <c r="BK579" s="2635"/>
    </row>
    <row r="580" spans="63:63" ht="15.75" customHeight="1" x14ac:dyDescent="0.3">
      <c r="BK580" s="2635"/>
    </row>
    <row r="581" spans="63:63" ht="15.75" customHeight="1" x14ac:dyDescent="0.3">
      <c r="BK581" s="2635"/>
    </row>
    <row r="582" spans="63:63" ht="15.75" customHeight="1" x14ac:dyDescent="0.3">
      <c r="BK582" s="2635"/>
    </row>
    <row r="583" spans="63:63" ht="15.75" customHeight="1" x14ac:dyDescent="0.3">
      <c r="BK583" s="2635"/>
    </row>
    <row r="584" spans="63:63" ht="15.75" customHeight="1" x14ac:dyDescent="0.3">
      <c r="BK584" s="2635"/>
    </row>
    <row r="585" spans="63:63" ht="15.75" customHeight="1" x14ac:dyDescent="0.3">
      <c r="BK585" s="2635"/>
    </row>
    <row r="586" spans="63:63" ht="15.75" customHeight="1" x14ac:dyDescent="0.3">
      <c r="BK586" s="2635"/>
    </row>
    <row r="587" spans="63:63" ht="15.75" customHeight="1" x14ac:dyDescent="0.3">
      <c r="BK587" s="2635"/>
    </row>
    <row r="588" spans="63:63" ht="15.75" customHeight="1" x14ac:dyDescent="0.3">
      <c r="BK588" s="2635"/>
    </row>
    <row r="589" spans="63:63" ht="15.75" customHeight="1" x14ac:dyDescent="0.3">
      <c r="BK589" s="2635"/>
    </row>
    <row r="590" spans="63:63" ht="15.75" customHeight="1" x14ac:dyDescent="0.3">
      <c r="BK590" s="2635"/>
    </row>
    <row r="591" spans="63:63" ht="15.75" customHeight="1" x14ac:dyDescent="0.3">
      <c r="BK591" s="2635"/>
    </row>
    <row r="592" spans="63:63" ht="15.75" customHeight="1" x14ac:dyDescent="0.3">
      <c r="BK592" s="2635"/>
    </row>
    <row r="593" spans="63:63" ht="15.75" customHeight="1" x14ac:dyDescent="0.3">
      <c r="BK593" s="2635"/>
    </row>
    <row r="594" spans="63:63" ht="15.75" customHeight="1" x14ac:dyDescent="0.3">
      <c r="BK594" s="2635"/>
    </row>
    <row r="595" spans="63:63" ht="15.75" customHeight="1" x14ac:dyDescent="0.3">
      <c r="BK595" s="2635"/>
    </row>
    <row r="596" spans="63:63" ht="15.75" customHeight="1" x14ac:dyDescent="0.3">
      <c r="BK596" s="2635"/>
    </row>
    <row r="597" spans="63:63" ht="15.75" customHeight="1" x14ac:dyDescent="0.3">
      <c r="BK597" s="2635"/>
    </row>
    <row r="598" spans="63:63" ht="15.75" customHeight="1" x14ac:dyDescent="0.3">
      <c r="BK598" s="2635"/>
    </row>
    <row r="599" spans="63:63" ht="15.75" customHeight="1" x14ac:dyDescent="0.3">
      <c r="BK599" s="2635"/>
    </row>
    <row r="600" spans="63:63" ht="15.75" customHeight="1" x14ac:dyDescent="0.3">
      <c r="BK600" s="2635"/>
    </row>
    <row r="601" spans="63:63" ht="15.75" customHeight="1" x14ac:dyDescent="0.3">
      <c r="BK601" s="2635"/>
    </row>
    <row r="602" spans="63:63" ht="15.75" customHeight="1" x14ac:dyDescent="0.3">
      <c r="BK602" s="2635"/>
    </row>
    <row r="603" spans="63:63" ht="15.75" customHeight="1" x14ac:dyDescent="0.3">
      <c r="BK603" s="2635"/>
    </row>
    <row r="604" spans="63:63" ht="15.75" customHeight="1" x14ac:dyDescent="0.3">
      <c r="BK604" s="2635"/>
    </row>
    <row r="605" spans="63:63" ht="15.75" customHeight="1" x14ac:dyDescent="0.3">
      <c r="BK605" s="2635"/>
    </row>
    <row r="606" spans="63:63" ht="15.75" customHeight="1" x14ac:dyDescent="0.3">
      <c r="BK606" s="2635"/>
    </row>
    <row r="607" spans="63:63" ht="15.75" customHeight="1" x14ac:dyDescent="0.3">
      <c r="BK607" s="2635"/>
    </row>
    <row r="608" spans="63:63" ht="15.75" customHeight="1" x14ac:dyDescent="0.3">
      <c r="BK608" s="2635"/>
    </row>
    <row r="609" spans="63:63" ht="15.75" customHeight="1" x14ac:dyDescent="0.3">
      <c r="BK609" s="2635"/>
    </row>
    <row r="610" spans="63:63" ht="15.75" customHeight="1" x14ac:dyDescent="0.3">
      <c r="BK610" s="2635"/>
    </row>
    <row r="611" spans="63:63" ht="15.75" customHeight="1" x14ac:dyDescent="0.3">
      <c r="BK611" s="2635"/>
    </row>
    <row r="612" spans="63:63" ht="15.75" customHeight="1" x14ac:dyDescent="0.3">
      <c r="BK612" s="2635"/>
    </row>
    <row r="613" spans="63:63" ht="15.75" customHeight="1" x14ac:dyDescent="0.3">
      <c r="BK613" s="2635"/>
    </row>
    <row r="614" spans="63:63" ht="15.75" customHeight="1" x14ac:dyDescent="0.3">
      <c r="BK614" s="2635"/>
    </row>
    <row r="615" spans="63:63" ht="15.75" customHeight="1" x14ac:dyDescent="0.3">
      <c r="BK615" s="2635"/>
    </row>
    <row r="616" spans="63:63" ht="15.75" customHeight="1" x14ac:dyDescent="0.3">
      <c r="BK616" s="2635"/>
    </row>
    <row r="617" spans="63:63" ht="15.75" customHeight="1" x14ac:dyDescent="0.3">
      <c r="BK617" s="2635"/>
    </row>
    <row r="618" spans="63:63" ht="15.75" customHeight="1" x14ac:dyDescent="0.3">
      <c r="BK618" s="2635"/>
    </row>
    <row r="619" spans="63:63" ht="15.75" customHeight="1" x14ac:dyDescent="0.3">
      <c r="BK619" s="2635"/>
    </row>
    <row r="620" spans="63:63" ht="15.75" customHeight="1" x14ac:dyDescent="0.3">
      <c r="BK620" s="2635"/>
    </row>
    <row r="621" spans="63:63" ht="15.75" customHeight="1" x14ac:dyDescent="0.3">
      <c r="BK621" s="2635"/>
    </row>
    <row r="622" spans="63:63" ht="15.75" customHeight="1" x14ac:dyDescent="0.3">
      <c r="BK622" s="2635"/>
    </row>
    <row r="623" spans="63:63" ht="15.75" customHeight="1" x14ac:dyDescent="0.3">
      <c r="BK623" s="2635"/>
    </row>
    <row r="624" spans="63:63" ht="15.75" customHeight="1" x14ac:dyDescent="0.3">
      <c r="BK624" s="2635"/>
    </row>
    <row r="625" spans="63:63" ht="15.75" customHeight="1" x14ac:dyDescent="0.3">
      <c r="BK625" s="2635"/>
    </row>
    <row r="626" spans="63:63" ht="15.75" customHeight="1" x14ac:dyDescent="0.3">
      <c r="BK626" s="2635"/>
    </row>
    <row r="627" spans="63:63" ht="15.75" customHeight="1" x14ac:dyDescent="0.3">
      <c r="BK627" s="2635"/>
    </row>
    <row r="628" spans="63:63" ht="15.75" customHeight="1" x14ac:dyDescent="0.3">
      <c r="BK628" s="2635"/>
    </row>
    <row r="629" spans="63:63" ht="15.75" customHeight="1" x14ac:dyDescent="0.3">
      <c r="BK629" s="2635"/>
    </row>
    <row r="630" spans="63:63" ht="15.75" customHeight="1" x14ac:dyDescent="0.3">
      <c r="BK630" s="2635"/>
    </row>
    <row r="631" spans="63:63" ht="15.75" customHeight="1" x14ac:dyDescent="0.3">
      <c r="BK631" s="2635"/>
    </row>
    <row r="632" spans="63:63" ht="15.75" customHeight="1" x14ac:dyDescent="0.3">
      <c r="BK632" s="2635"/>
    </row>
    <row r="633" spans="63:63" ht="15.75" customHeight="1" x14ac:dyDescent="0.3">
      <c r="BK633" s="2635"/>
    </row>
    <row r="634" spans="63:63" ht="15.75" customHeight="1" x14ac:dyDescent="0.3">
      <c r="BK634" s="2635"/>
    </row>
    <row r="635" spans="63:63" ht="15.75" customHeight="1" x14ac:dyDescent="0.3">
      <c r="BK635" s="2635"/>
    </row>
    <row r="636" spans="63:63" ht="15.75" customHeight="1" x14ac:dyDescent="0.3">
      <c r="BK636" s="2635"/>
    </row>
    <row r="637" spans="63:63" ht="15.75" customHeight="1" x14ac:dyDescent="0.3">
      <c r="BK637" s="2635"/>
    </row>
    <row r="638" spans="63:63" ht="15.75" customHeight="1" x14ac:dyDescent="0.3">
      <c r="BK638" s="2635"/>
    </row>
    <row r="639" spans="63:63" ht="15.75" customHeight="1" x14ac:dyDescent="0.3">
      <c r="BK639" s="2635"/>
    </row>
    <row r="640" spans="63:63" ht="15.75" customHeight="1" x14ac:dyDescent="0.3">
      <c r="BK640" s="2635"/>
    </row>
    <row r="641" spans="63:63" ht="15.75" customHeight="1" x14ac:dyDescent="0.3">
      <c r="BK641" s="2635"/>
    </row>
    <row r="642" spans="63:63" ht="15.75" customHeight="1" x14ac:dyDescent="0.3">
      <c r="BK642" s="2635"/>
    </row>
    <row r="643" spans="63:63" ht="15.75" customHeight="1" x14ac:dyDescent="0.3">
      <c r="BK643" s="2635"/>
    </row>
    <row r="644" spans="63:63" ht="15.75" customHeight="1" x14ac:dyDescent="0.3">
      <c r="BK644" s="2635"/>
    </row>
    <row r="645" spans="63:63" ht="15.75" customHeight="1" x14ac:dyDescent="0.3">
      <c r="BK645" s="2635"/>
    </row>
    <row r="646" spans="63:63" ht="15.75" customHeight="1" x14ac:dyDescent="0.3">
      <c r="BK646" s="2635"/>
    </row>
    <row r="647" spans="63:63" ht="15.75" customHeight="1" x14ac:dyDescent="0.3">
      <c r="BK647" s="2635"/>
    </row>
    <row r="648" spans="63:63" ht="15.75" customHeight="1" x14ac:dyDescent="0.3">
      <c r="BK648" s="2635"/>
    </row>
    <row r="649" spans="63:63" ht="15.75" customHeight="1" x14ac:dyDescent="0.3">
      <c r="BK649" s="2635"/>
    </row>
    <row r="650" spans="63:63" ht="15.75" customHeight="1" x14ac:dyDescent="0.3">
      <c r="BK650" s="2635"/>
    </row>
    <row r="651" spans="63:63" ht="15.75" customHeight="1" x14ac:dyDescent="0.3">
      <c r="BK651" s="2635"/>
    </row>
    <row r="652" spans="63:63" ht="15.75" customHeight="1" x14ac:dyDescent="0.3">
      <c r="BK652" s="2635"/>
    </row>
    <row r="653" spans="63:63" ht="15.75" customHeight="1" x14ac:dyDescent="0.3">
      <c r="BK653" s="2635"/>
    </row>
    <row r="654" spans="63:63" ht="15.75" customHeight="1" x14ac:dyDescent="0.3">
      <c r="BK654" s="2635"/>
    </row>
    <row r="655" spans="63:63" ht="15.75" customHeight="1" x14ac:dyDescent="0.3">
      <c r="BK655" s="2635"/>
    </row>
    <row r="656" spans="63:63" ht="15.75" customHeight="1" x14ac:dyDescent="0.3">
      <c r="BK656" s="2635"/>
    </row>
    <row r="657" spans="63:63" ht="15.75" customHeight="1" x14ac:dyDescent="0.3">
      <c r="BK657" s="2635"/>
    </row>
    <row r="658" spans="63:63" ht="15.75" customHeight="1" x14ac:dyDescent="0.3">
      <c r="BK658" s="2635"/>
    </row>
    <row r="659" spans="63:63" ht="15.75" customHeight="1" x14ac:dyDescent="0.3">
      <c r="BK659" s="2635"/>
    </row>
    <row r="660" spans="63:63" ht="15.75" customHeight="1" x14ac:dyDescent="0.3">
      <c r="BK660" s="2635"/>
    </row>
    <row r="661" spans="63:63" ht="15.75" customHeight="1" x14ac:dyDescent="0.3">
      <c r="BK661" s="2635"/>
    </row>
    <row r="662" spans="63:63" ht="15.75" customHeight="1" x14ac:dyDescent="0.3">
      <c r="BK662" s="2635"/>
    </row>
    <row r="663" spans="63:63" ht="15.75" customHeight="1" x14ac:dyDescent="0.3">
      <c r="BK663" s="2635"/>
    </row>
    <row r="664" spans="63:63" ht="15.75" customHeight="1" x14ac:dyDescent="0.3">
      <c r="BK664" s="2635"/>
    </row>
    <row r="665" spans="63:63" ht="15.75" customHeight="1" x14ac:dyDescent="0.3">
      <c r="BK665" s="2635"/>
    </row>
    <row r="666" spans="63:63" ht="15.75" customHeight="1" x14ac:dyDescent="0.3">
      <c r="BK666" s="2635"/>
    </row>
    <row r="667" spans="63:63" ht="15.75" customHeight="1" x14ac:dyDescent="0.3">
      <c r="BK667" s="2635"/>
    </row>
    <row r="668" spans="63:63" ht="15.75" customHeight="1" x14ac:dyDescent="0.3">
      <c r="BK668" s="2635"/>
    </row>
    <row r="669" spans="63:63" ht="15.75" customHeight="1" x14ac:dyDescent="0.3">
      <c r="BK669" s="2635"/>
    </row>
    <row r="670" spans="63:63" ht="15.75" customHeight="1" x14ac:dyDescent="0.3">
      <c r="BK670" s="2635"/>
    </row>
    <row r="671" spans="63:63" ht="15.75" customHeight="1" x14ac:dyDescent="0.3">
      <c r="BK671" s="2635"/>
    </row>
    <row r="672" spans="63:63" ht="15.75" customHeight="1" x14ac:dyDescent="0.3">
      <c r="BK672" s="2635"/>
    </row>
    <row r="673" spans="63:63" ht="15.75" customHeight="1" x14ac:dyDescent="0.3">
      <c r="BK673" s="2635"/>
    </row>
    <row r="674" spans="63:63" ht="15.75" customHeight="1" x14ac:dyDescent="0.3">
      <c r="BK674" s="2635"/>
    </row>
    <row r="675" spans="63:63" ht="15.75" customHeight="1" x14ac:dyDescent="0.3">
      <c r="BK675" s="2635"/>
    </row>
    <row r="676" spans="63:63" ht="15.75" customHeight="1" x14ac:dyDescent="0.3">
      <c r="BK676" s="2635"/>
    </row>
    <row r="677" spans="63:63" ht="15.75" customHeight="1" x14ac:dyDescent="0.3">
      <c r="BK677" s="2635"/>
    </row>
    <row r="678" spans="63:63" ht="15.75" customHeight="1" x14ac:dyDescent="0.3">
      <c r="BK678" s="2635"/>
    </row>
    <row r="679" spans="63:63" ht="15.75" customHeight="1" x14ac:dyDescent="0.3">
      <c r="BK679" s="2635"/>
    </row>
    <row r="680" spans="63:63" ht="15.75" customHeight="1" x14ac:dyDescent="0.3">
      <c r="BK680" s="2635"/>
    </row>
    <row r="681" spans="63:63" ht="15.75" customHeight="1" x14ac:dyDescent="0.3">
      <c r="BK681" s="2635"/>
    </row>
    <row r="682" spans="63:63" ht="15.75" customHeight="1" x14ac:dyDescent="0.3">
      <c r="BK682" s="2635"/>
    </row>
    <row r="683" spans="63:63" ht="15.75" customHeight="1" x14ac:dyDescent="0.3">
      <c r="BK683" s="2635"/>
    </row>
    <row r="684" spans="63:63" ht="15.75" customHeight="1" x14ac:dyDescent="0.3">
      <c r="BK684" s="2635"/>
    </row>
    <row r="685" spans="63:63" ht="15.75" customHeight="1" x14ac:dyDescent="0.3">
      <c r="BK685" s="2635"/>
    </row>
    <row r="686" spans="63:63" ht="15.75" customHeight="1" x14ac:dyDescent="0.3">
      <c r="BK686" s="2635"/>
    </row>
    <row r="687" spans="63:63" ht="15.75" customHeight="1" x14ac:dyDescent="0.3">
      <c r="BK687" s="2635"/>
    </row>
    <row r="688" spans="63:63" ht="15.75" customHeight="1" x14ac:dyDescent="0.3">
      <c r="BK688" s="2635"/>
    </row>
    <row r="689" spans="63:63" ht="15.75" customHeight="1" x14ac:dyDescent="0.3">
      <c r="BK689" s="2635"/>
    </row>
    <row r="690" spans="63:63" ht="15.75" customHeight="1" x14ac:dyDescent="0.3">
      <c r="BK690" s="2635"/>
    </row>
    <row r="691" spans="63:63" ht="15.75" customHeight="1" x14ac:dyDescent="0.3">
      <c r="BK691" s="2635"/>
    </row>
    <row r="692" spans="63:63" ht="15.75" customHeight="1" x14ac:dyDescent="0.3">
      <c r="BK692" s="2635"/>
    </row>
    <row r="693" spans="63:63" ht="15.75" customHeight="1" x14ac:dyDescent="0.3">
      <c r="BK693" s="2635"/>
    </row>
    <row r="694" spans="63:63" ht="15.75" customHeight="1" x14ac:dyDescent="0.3">
      <c r="BK694" s="2635"/>
    </row>
    <row r="695" spans="63:63" ht="15.75" customHeight="1" x14ac:dyDescent="0.3">
      <c r="BK695" s="2635"/>
    </row>
    <row r="696" spans="63:63" ht="15.75" customHeight="1" x14ac:dyDescent="0.3">
      <c r="BK696" s="2635"/>
    </row>
    <row r="697" spans="63:63" ht="15.75" customHeight="1" x14ac:dyDescent="0.3">
      <c r="BK697" s="2635"/>
    </row>
    <row r="698" spans="63:63" ht="15.75" customHeight="1" x14ac:dyDescent="0.3">
      <c r="BK698" s="2635"/>
    </row>
    <row r="699" spans="63:63" ht="15.75" customHeight="1" x14ac:dyDescent="0.3">
      <c r="BK699" s="2635"/>
    </row>
    <row r="700" spans="63:63" ht="15.75" customHeight="1" x14ac:dyDescent="0.3">
      <c r="BK700" s="2635"/>
    </row>
    <row r="701" spans="63:63" ht="15.75" customHeight="1" x14ac:dyDescent="0.3">
      <c r="BK701" s="2635"/>
    </row>
    <row r="702" spans="63:63" ht="15.75" customHeight="1" x14ac:dyDescent="0.3">
      <c r="BK702" s="2635"/>
    </row>
    <row r="703" spans="63:63" ht="15.75" customHeight="1" x14ac:dyDescent="0.3">
      <c r="BK703" s="2635"/>
    </row>
    <row r="704" spans="63:63" ht="15.75" customHeight="1" x14ac:dyDescent="0.3">
      <c r="BK704" s="2635"/>
    </row>
    <row r="705" spans="63:63" ht="15.75" customHeight="1" x14ac:dyDescent="0.3">
      <c r="BK705" s="2635"/>
    </row>
    <row r="706" spans="63:63" ht="15.75" customHeight="1" x14ac:dyDescent="0.3">
      <c r="BK706" s="2635"/>
    </row>
    <row r="707" spans="63:63" ht="15.75" customHeight="1" x14ac:dyDescent="0.3">
      <c r="BK707" s="2635"/>
    </row>
    <row r="708" spans="63:63" ht="15.75" customHeight="1" x14ac:dyDescent="0.3">
      <c r="BK708" s="2635"/>
    </row>
    <row r="709" spans="63:63" ht="15.75" customHeight="1" x14ac:dyDescent="0.3">
      <c r="BK709" s="2635"/>
    </row>
    <row r="710" spans="63:63" ht="15.75" customHeight="1" x14ac:dyDescent="0.3">
      <c r="BK710" s="2635"/>
    </row>
    <row r="711" spans="63:63" ht="15.75" customHeight="1" x14ac:dyDescent="0.3">
      <c r="BK711" s="2635"/>
    </row>
    <row r="712" spans="63:63" ht="15.75" customHeight="1" x14ac:dyDescent="0.3">
      <c r="BK712" s="2635"/>
    </row>
    <row r="713" spans="63:63" ht="15.75" customHeight="1" x14ac:dyDescent="0.3">
      <c r="BK713" s="2635"/>
    </row>
    <row r="714" spans="63:63" ht="15.75" customHeight="1" x14ac:dyDescent="0.3">
      <c r="BK714" s="2635"/>
    </row>
    <row r="715" spans="63:63" ht="15.75" customHeight="1" x14ac:dyDescent="0.3">
      <c r="BK715" s="2635"/>
    </row>
    <row r="716" spans="63:63" ht="15.75" customHeight="1" x14ac:dyDescent="0.3">
      <c r="BK716" s="2635"/>
    </row>
    <row r="717" spans="63:63" ht="15.75" customHeight="1" x14ac:dyDescent="0.3">
      <c r="BK717" s="2635"/>
    </row>
    <row r="718" spans="63:63" ht="15.75" customHeight="1" x14ac:dyDescent="0.3">
      <c r="BK718" s="2635"/>
    </row>
    <row r="719" spans="63:63" ht="15.75" customHeight="1" x14ac:dyDescent="0.3">
      <c r="BK719" s="2635"/>
    </row>
    <row r="720" spans="63:63" ht="15.75" customHeight="1" x14ac:dyDescent="0.3">
      <c r="BK720" s="2635"/>
    </row>
    <row r="721" spans="63:63" ht="15.75" customHeight="1" x14ac:dyDescent="0.3">
      <c r="BK721" s="2635"/>
    </row>
    <row r="722" spans="63:63" ht="15.75" customHeight="1" x14ac:dyDescent="0.3">
      <c r="BK722" s="2635"/>
    </row>
    <row r="723" spans="63:63" ht="15.75" customHeight="1" x14ac:dyDescent="0.3">
      <c r="BK723" s="2635"/>
    </row>
    <row r="724" spans="63:63" ht="15.75" customHeight="1" x14ac:dyDescent="0.3">
      <c r="BK724" s="2635"/>
    </row>
    <row r="725" spans="63:63" ht="15.75" customHeight="1" x14ac:dyDescent="0.3">
      <c r="BK725" s="2635"/>
    </row>
    <row r="726" spans="63:63" ht="15.75" customHeight="1" x14ac:dyDescent="0.3">
      <c r="BK726" s="2635"/>
    </row>
    <row r="727" spans="63:63" ht="15.75" customHeight="1" x14ac:dyDescent="0.3">
      <c r="BK727" s="2635"/>
    </row>
    <row r="728" spans="63:63" ht="15.75" customHeight="1" x14ac:dyDescent="0.3">
      <c r="BK728" s="2635"/>
    </row>
    <row r="729" spans="63:63" ht="15.75" customHeight="1" x14ac:dyDescent="0.3">
      <c r="BK729" s="2635"/>
    </row>
    <row r="730" spans="63:63" ht="15.75" customHeight="1" x14ac:dyDescent="0.3">
      <c r="BK730" s="2635"/>
    </row>
    <row r="731" spans="63:63" ht="15.75" customHeight="1" x14ac:dyDescent="0.3">
      <c r="BK731" s="2635"/>
    </row>
    <row r="732" spans="63:63" ht="15.75" customHeight="1" x14ac:dyDescent="0.3">
      <c r="BK732" s="2635"/>
    </row>
    <row r="733" spans="63:63" ht="15.75" customHeight="1" x14ac:dyDescent="0.3">
      <c r="BK733" s="2635"/>
    </row>
    <row r="734" spans="63:63" ht="15.75" customHeight="1" x14ac:dyDescent="0.3">
      <c r="BK734" s="2635"/>
    </row>
    <row r="735" spans="63:63" ht="15.75" customHeight="1" x14ac:dyDescent="0.3">
      <c r="BK735" s="2635"/>
    </row>
    <row r="736" spans="63:63" ht="15.75" customHeight="1" x14ac:dyDescent="0.3">
      <c r="BK736" s="2635"/>
    </row>
    <row r="737" spans="63:63" ht="15.75" customHeight="1" x14ac:dyDescent="0.3">
      <c r="BK737" s="2635"/>
    </row>
    <row r="738" spans="63:63" ht="15.75" customHeight="1" x14ac:dyDescent="0.3">
      <c r="BK738" s="2635"/>
    </row>
    <row r="739" spans="63:63" ht="15.75" customHeight="1" x14ac:dyDescent="0.3">
      <c r="BK739" s="2635"/>
    </row>
    <row r="740" spans="63:63" ht="15.75" customHeight="1" x14ac:dyDescent="0.3">
      <c r="BK740" s="2635"/>
    </row>
    <row r="741" spans="63:63" ht="15.75" customHeight="1" x14ac:dyDescent="0.3">
      <c r="BK741" s="2635"/>
    </row>
    <row r="742" spans="63:63" ht="15.75" customHeight="1" x14ac:dyDescent="0.3">
      <c r="BK742" s="2635"/>
    </row>
    <row r="743" spans="63:63" ht="15.75" customHeight="1" x14ac:dyDescent="0.3">
      <c r="BK743" s="2635"/>
    </row>
    <row r="744" spans="63:63" ht="15.75" customHeight="1" x14ac:dyDescent="0.3">
      <c r="BK744" s="2635"/>
    </row>
    <row r="745" spans="63:63" ht="15.75" customHeight="1" x14ac:dyDescent="0.3">
      <c r="BK745" s="2635"/>
    </row>
    <row r="746" spans="63:63" ht="15.75" customHeight="1" x14ac:dyDescent="0.3">
      <c r="BK746" s="2635"/>
    </row>
    <row r="747" spans="63:63" ht="15.75" customHeight="1" x14ac:dyDescent="0.3">
      <c r="BK747" s="2635"/>
    </row>
    <row r="748" spans="63:63" ht="15.75" customHeight="1" x14ac:dyDescent="0.3">
      <c r="BK748" s="2635"/>
    </row>
    <row r="749" spans="63:63" ht="15.75" customHeight="1" x14ac:dyDescent="0.3">
      <c r="BK749" s="2635"/>
    </row>
    <row r="750" spans="63:63" ht="15.75" customHeight="1" x14ac:dyDescent="0.3">
      <c r="BK750" s="2635"/>
    </row>
    <row r="751" spans="63:63" ht="15.75" customHeight="1" x14ac:dyDescent="0.3">
      <c r="BK751" s="2635"/>
    </row>
    <row r="752" spans="63:63" ht="15.75" customHeight="1" x14ac:dyDescent="0.3">
      <c r="BK752" s="2635"/>
    </row>
    <row r="753" spans="63:63" ht="15.75" customHeight="1" x14ac:dyDescent="0.3">
      <c r="BK753" s="2635"/>
    </row>
    <row r="754" spans="63:63" ht="15.75" customHeight="1" x14ac:dyDescent="0.3">
      <c r="BK754" s="2635"/>
    </row>
    <row r="755" spans="63:63" ht="15.75" customHeight="1" x14ac:dyDescent="0.3">
      <c r="BK755" s="2635"/>
    </row>
    <row r="756" spans="63:63" ht="15.75" customHeight="1" x14ac:dyDescent="0.3">
      <c r="BK756" s="2635"/>
    </row>
    <row r="757" spans="63:63" ht="15.75" customHeight="1" x14ac:dyDescent="0.3">
      <c r="BK757" s="2635"/>
    </row>
    <row r="758" spans="63:63" ht="15.75" customHeight="1" x14ac:dyDescent="0.3">
      <c r="BK758" s="2635"/>
    </row>
    <row r="759" spans="63:63" ht="15.75" customHeight="1" x14ac:dyDescent="0.3">
      <c r="BK759" s="2635"/>
    </row>
    <row r="760" spans="63:63" ht="15.75" customHeight="1" x14ac:dyDescent="0.3">
      <c r="BK760" s="2635"/>
    </row>
    <row r="761" spans="63:63" ht="15.75" customHeight="1" x14ac:dyDescent="0.3">
      <c r="BK761" s="2635"/>
    </row>
    <row r="762" spans="63:63" ht="15.75" customHeight="1" x14ac:dyDescent="0.3">
      <c r="BK762" s="2635"/>
    </row>
    <row r="763" spans="63:63" ht="15.75" customHeight="1" x14ac:dyDescent="0.3">
      <c r="BK763" s="2635"/>
    </row>
    <row r="764" spans="63:63" ht="15.75" customHeight="1" x14ac:dyDescent="0.3">
      <c r="BK764" s="2635"/>
    </row>
    <row r="765" spans="63:63" ht="15.75" customHeight="1" x14ac:dyDescent="0.3">
      <c r="BK765" s="2635"/>
    </row>
    <row r="766" spans="63:63" ht="15.75" customHeight="1" x14ac:dyDescent="0.3">
      <c r="BK766" s="2635"/>
    </row>
    <row r="767" spans="63:63" ht="15.75" customHeight="1" x14ac:dyDescent="0.3">
      <c r="BK767" s="2635"/>
    </row>
    <row r="768" spans="63:63" ht="15.75" customHeight="1" x14ac:dyDescent="0.3">
      <c r="BK768" s="2635"/>
    </row>
    <row r="769" spans="63:63" ht="15.75" customHeight="1" x14ac:dyDescent="0.3">
      <c r="BK769" s="2635"/>
    </row>
    <row r="770" spans="63:63" ht="15.75" customHeight="1" x14ac:dyDescent="0.3">
      <c r="BK770" s="2635"/>
    </row>
    <row r="771" spans="63:63" ht="15.75" customHeight="1" x14ac:dyDescent="0.3">
      <c r="BK771" s="2635"/>
    </row>
    <row r="772" spans="63:63" ht="15.75" customHeight="1" x14ac:dyDescent="0.3">
      <c r="BK772" s="2635"/>
    </row>
    <row r="773" spans="63:63" ht="15.75" customHeight="1" x14ac:dyDescent="0.3">
      <c r="BK773" s="2635"/>
    </row>
    <row r="774" spans="63:63" ht="15.75" customHeight="1" x14ac:dyDescent="0.3">
      <c r="BK774" s="2635"/>
    </row>
    <row r="775" spans="63:63" ht="15.75" customHeight="1" x14ac:dyDescent="0.3">
      <c r="BK775" s="2635"/>
    </row>
    <row r="776" spans="63:63" ht="15.75" customHeight="1" x14ac:dyDescent="0.3">
      <c r="BK776" s="2635"/>
    </row>
    <row r="777" spans="63:63" ht="15.75" customHeight="1" x14ac:dyDescent="0.3">
      <c r="BK777" s="2635"/>
    </row>
    <row r="778" spans="63:63" ht="15.75" customHeight="1" x14ac:dyDescent="0.3">
      <c r="BK778" s="2635"/>
    </row>
    <row r="779" spans="63:63" ht="15.75" customHeight="1" x14ac:dyDescent="0.3">
      <c r="BK779" s="2635"/>
    </row>
    <row r="780" spans="63:63" ht="15.75" customHeight="1" x14ac:dyDescent="0.3">
      <c r="BK780" s="2635"/>
    </row>
    <row r="781" spans="63:63" ht="15.75" customHeight="1" x14ac:dyDescent="0.3">
      <c r="BK781" s="2635"/>
    </row>
    <row r="782" spans="63:63" ht="15.75" customHeight="1" x14ac:dyDescent="0.3">
      <c r="BK782" s="2635"/>
    </row>
    <row r="783" spans="63:63" ht="15.75" customHeight="1" x14ac:dyDescent="0.3">
      <c r="BK783" s="2635"/>
    </row>
    <row r="784" spans="63:63" ht="15.75" customHeight="1" x14ac:dyDescent="0.3">
      <c r="BK784" s="2635"/>
    </row>
    <row r="785" spans="63:63" ht="15.75" customHeight="1" x14ac:dyDescent="0.3">
      <c r="BK785" s="2635"/>
    </row>
    <row r="786" spans="63:63" ht="15.75" customHeight="1" x14ac:dyDescent="0.3">
      <c r="BK786" s="2635"/>
    </row>
    <row r="787" spans="63:63" ht="15.75" customHeight="1" x14ac:dyDescent="0.3">
      <c r="BK787" s="2635"/>
    </row>
    <row r="788" spans="63:63" ht="15.75" customHeight="1" x14ac:dyDescent="0.3">
      <c r="BK788" s="2635"/>
    </row>
    <row r="789" spans="63:63" ht="15.75" customHeight="1" x14ac:dyDescent="0.3">
      <c r="BK789" s="2635"/>
    </row>
    <row r="790" spans="63:63" ht="15.75" customHeight="1" x14ac:dyDescent="0.3">
      <c r="BK790" s="2635"/>
    </row>
    <row r="791" spans="63:63" ht="15.75" customHeight="1" x14ac:dyDescent="0.3">
      <c r="BK791" s="2635"/>
    </row>
    <row r="792" spans="63:63" ht="15.75" customHeight="1" x14ac:dyDescent="0.3">
      <c r="BK792" s="2635"/>
    </row>
    <row r="793" spans="63:63" ht="15.75" customHeight="1" x14ac:dyDescent="0.3">
      <c r="BK793" s="2635"/>
    </row>
    <row r="794" spans="63:63" ht="15.75" customHeight="1" x14ac:dyDescent="0.3">
      <c r="BK794" s="2635"/>
    </row>
    <row r="795" spans="63:63" ht="15.75" customHeight="1" x14ac:dyDescent="0.3">
      <c r="BK795" s="2635"/>
    </row>
    <row r="796" spans="63:63" ht="15.75" customHeight="1" x14ac:dyDescent="0.3">
      <c r="BK796" s="2635"/>
    </row>
    <row r="797" spans="63:63" ht="15.75" customHeight="1" x14ac:dyDescent="0.3">
      <c r="BK797" s="2635"/>
    </row>
    <row r="798" spans="63:63" ht="15.75" customHeight="1" x14ac:dyDescent="0.3">
      <c r="BK798" s="2635"/>
    </row>
    <row r="799" spans="63:63" ht="15.75" customHeight="1" x14ac:dyDescent="0.3">
      <c r="BK799" s="2635"/>
    </row>
    <row r="800" spans="63:63" ht="15.75" customHeight="1" x14ac:dyDescent="0.3">
      <c r="BK800" s="2635"/>
    </row>
    <row r="801" spans="63:63" ht="15.75" customHeight="1" x14ac:dyDescent="0.3">
      <c r="BK801" s="2635"/>
    </row>
    <row r="802" spans="63:63" ht="15.75" customHeight="1" x14ac:dyDescent="0.3">
      <c r="BK802" s="2635"/>
    </row>
    <row r="803" spans="63:63" ht="15.75" customHeight="1" x14ac:dyDescent="0.3">
      <c r="BK803" s="2635"/>
    </row>
    <row r="804" spans="63:63" ht="15.75" customHeight="1" x14ac:dyDescent="0.3">
      <c r="BK804" s="2635"/>
    </row>
    <row r="805" spans="63:63" ht="15.75" customHeight="1" x14ac:dyDescent="0.3">
      <c r="BK805" s="2635"/>
    </row>
    <row r="806" spans="63:63" ht="15.75" customHeight="1" x14ac:dyDescent="0.3">
      <c r="BK806" s="2635"/>
    </row>
    <row r="807" spans="63:63" ht="15.75" customHeight="1" x14ac:dyDescent="0.3">
      <c r="BK807" s="2635"/>
    </row>
    <row r="808" spans="63:63" ht="15.75" customHeight="1" x14ac:dyDescent="0.3">
      <c r="BK808" s="2635"/>
    </row>
    <row r="809" spans="63:63" ht="15.75" customHeight="1" x14ac:dyDescent="0.3">
      <c r="BK809" s="2635"/>
    </row>
    <row r="810" spans="63:63" ht="15.75" customHeight="1" x14ac:dyDescent="0.3">
      <c r="BK810" s="2635"/>
    </row>
    <row r="811" spans="63:63" ht="15.75" customHeight="1" x14ac:dyDescent="0.3">
      <c r="BK811" s="2635"/>
    </row>
    <row r="812" spans="63:63" ht="15.75" customHeight="1" x14ac:dyDescent="0.3">
      <c r="BK812" s="2635"/>
    </row>
    <row r="813" spans="63:63" ht="15.75" customHeight="1" x14ac:dyDescent="0.3">
      <c r="BK813" s="2635"/>
    </row>
    <row r="814" spans="63:63" ht="15.75" customHeight="1" x14ac:dyDescent="0.3">
      <c r="BK814" s="2635"/>
    </row>
    <row r="815" spans="63:63" ht="15.75" customHeight="1" x14ac:dyDescent="0.3">
      <c r="BK815" s="2635"/>
    </row>
    <row r="816" spans="63:63" ht="15.75" customHeight="1" x14ac:dyDescent="0.3">
      <c r="BK816" s="2635"/>
    </row>
    <row r="817" spans="63:63" ht="15.75" customHeight="1" x14ac:dyDescent="0.3">
      <c r="BK817" s="2635"/>
    </row>
    <row r="818" spans="63:63" ht="15.75" customHeight="1" x14ac:dyDescent="0.3">
      <c r="BK818" s="2635"/>
    </row>
    <row r="819" spans="63:63" ht="15.75" customHeight="1" x14ac:dyDescent="0.3">
      <c r="BK819" s="2635"/>
    </row>
    <row r="820" spans="63:63" ht="15.75" customHeight="1" x14ac:dyDescent="0.3">
      <c r="BK820" s="2635"/>
    </row>
    <row r="821" spans="63:63" ht="15.75" customHeight="1" x14ac:dyDescent="0.3">
      <c r="BK821" s="2635"/>
    </row>
    <row r="822" spans="63:63" ht="15.75" customHeight="1" x14ac:dyDescent="0.3">
      <c r="BK822" s="2635"/>
    </row>
    <row r="823" spans="63:63" ht="15.75" customHeight="1" x14ac:dyDescent="0.3">
      <c r="BK823" s="2635"/>
    </row>
    <row r="824" spans="63:63" ht="15.75" customHeight="1" x14ac:dyDescent="0.3">
      <c r="BK824" s="2635"/>
    </row>
    <row r="825" spans="63:63" ht="15.75" customHeight="1" x14ac:dyDescent="0.3">
      <c r="BK825" s="2635"/>
    </row>
    <row r="826" spans="63:63" ht="15.75" customHeight="1" x14ac:dyDescent="0.3">
      <c r="BK826" s="2635"/>
    </row>
    <row r="827" spans="63:63" ht="15.75" customHeight="1" x14ac:dyDescent="0.3">
      <c r="BK827" s="2635"/>
    </row>
    <row r="828" spans="63:63" ht="15.75" customHeight="1" x14ac:dyDescent="0.3">
      <c r="BK828" s="2635"/>
    </row>
    <row r="829" spans="63:63" ht="15.75" customHeight="1" x14ac:dyDescent="0.3">
      <c r="BK829" s="2635"/>
    </row>
    <row r="830" spans="63:63" ht="15.75" customHeight="1" x14ac:dyDescent="0.3">
      <c r="BK830" s="2635"/>
    </row>
    <row r="831" spans="63:63" ht="15.75" customHeight="1" x14ac:dyDescent="0.3">
      <c r="BK831" s="2635"/>
    </row>
    <row r="832" spans="63:63" ht="15.75" customHeight="1" x14ac:dyDescent="0.3">
      <c r="BK832" s="2635"/>
    </row>
    <row r="833" spans="63:63" ht="15.75" customHeight="1" x14ac:dyDescent="0.3">
      <c r="BK833" s="2635"/>
    </row>
    <row r="834" spans="63:63" ht="15.75" customHeight="1" x14ac:dyDescent="0.3">
      <c r="BK834" s="2635"/>
    </row>
    <row r="835" spans="63:63" ht="15.75" customHeight="1" x14ac:dyDescent="0.3">
      <c r="BK835" s="2635"/>
    </row>
    <row r="836" spans="63:63" ht="15.75" customHeight="1" x14ac:dyDescent="0.3">
      <c r="BK836" s="2635"/>
    </row>
    <row r="837" spans="63:63" ht="15.75" customHeight="1" x14ac:dyDescent="0.3">
      <c r="BK837" s="2635"/>
    </row>
    <row r="838" spans="63:63" ht="15.75" customHeight="1" x14ac:dyDescent="0.3">
      <c r="BK838" s="2635"/>
    </row>
    <row r="839" spans="63:63" ht="15.75" customHeight="1" x14ac:dyDescent="0.3">
      <c r="BK839" s="2635"/>
    </row>
    <row r="840" spans="63:63" ht="15.75" customHeight="1" x14ac:dyDescent="0.3">
      <c r="BK840" s="2635"/>
    </row>
    <row r="841" spans="63:63" ht="15.75" customHeight="1" x14ac:dyDescent="0.3">
      <c r="BK841" s="2635"/>
    </row>
    <row r="842" spans="63:63" ht="15.75" customHeight="1" x14ac:dyDescent="0.3">
      <c r="BK842" s="2635"/>
    </row>
    <row r="843" spans="63:63" ht="15.75" customHeight="1" x14ac:dyDescent="0.3">
      <c r="BK843" s="2635"/>
    </row>
    <row r="844" spans="63:63" ht="15.75" customHeight="1" x14ac:dyDescent="0.3">
      <c r="BK844" s="2635"/>
    </row>
    <row r="845" spans="63:63" ht="15.75" customHeight="1" x14ac:dyDescent="0.3">
      <c r="BK845" s="2635"/>
    </row>
    <row r="846" spans="63:63" ht="15.75" customHeight="1" x14ac:dyDescent="0.3">
      <c r="BK846" s="2635"/>
    </row>
    <row r="847" spans="63:63" ht="15.75" customHeight="1" x14ac:dyDescent="0.3">
      <c r="BK847" s="2635"/>
    </row>
    <row r="848" spans="63:63" ht="15.75" customHeight="1" x14ac:dyDescent="0.3">
      <c r="BK848" s="2635"/>
    </row>
    <row r="849" spans="63:63" ht="15.75" customHeight="1" x14ac:dyDescent="0.3">
      <c r="BK849" s="2635"/>
    </row>
    <row r="850" spans="63:63" ht="15.75" customHeight="1" x14ac:dyDescent="0.3">
      <c r="BK850" s="2635"/>
    </row>
    <row r="851" spans="63:63" ht="15.75" customHeight="1" x14ac:dyDescent="0.3">
      <c r="BK851" s="2635"/>
    </row>
    <row r="852" spans="63:63" ht="15.75" customHeight="1" x14ac:dyDescent="0.3">
      <c r="BK852" s="2635"/>
    </row>
    <row r="853" spans="63:63" ht="15.75" customHeight="1" x14ac:dyDescent="0.3">
      <c r="BK853" s="2635"/>
    </row>
    <row r="854" spans="63:63" ht="15.75" customHeight="1" x14ac:dyDescent="0.3">
      <c r="BK854" s="2635"/>
    </row>
    <row r="855" spans="63:63" ht="15.75" customHeight="1" x14ac:dyDescent="0.3">
      <c r="BK855" s="2635"/>
    </row>
    <row r="856" spans="63:63" ht="15.75" customHeight="1" x14ac:dyDescent="0.3">
      <c r="BK856" s="2635"/>
    </row>
    <row r="857" spans="63:63" ht="15.75" customHeight="1" x14ac:dyDescent="0.3">
      <c r="BK857" s="2635"/>
    </row>
    <row r="858" spans="63:63" ht="15.75" customHeight="1" x14ac:dyDescent="0.3">
      <c r="BK858" s="2635"/>
    </row>
    <row r="859" spans="63:63" ht="15.75" customHeight="1" x14ac:dyDescent="0.3">
      <c r="BK859" s="2635"/>
    </row>
    <row r="860" spans="63:63" ht="15.75" customHeight="1" x14ac:dyDescent="0.3">
      <c r="BK860" s="2635"/>
    </row>
    <row r="861" spans="63:63" ht="15.75" customHeight="1" x14ac:dyDescent="0.3">
      <c r="BK861" s="2635"/>
    </row>
    <row r="862" spans="63:63" ht="15.75" customHeight="1" x14ac:dyDescent="0.3">
      <c r="BK862" s="2635"/>
    </row>
    <row r="863" spans="63:63" ht="15.75" customHeight="1" x14ac:dyDescent="0.3">
      <c r="BK863" s="2635"/>
    </row>
    <row r="864" spans="63:63" ht="15.75" customHeight="1" x14ac:dyDescent="0.3">
      <c r="BK864" s="2635"/>
    </row>
    <row r="865" spans="63:63" ht="15.75" customHeight="1" x14ac:dyDescent="0.3">
      <c r="BK865" s="2635"/>
    </row>
    <row r="866" spans="63:63" ht="15.75" customHeight="1" x14ac:dyDescent="0.3">
      <c r="BK866" s="2635"/>
    </row>
    <row r="867" spans="63:63" ht="15.75" customHeight="1" x14ac:dyDescent="0.3">
      <c r="BK867" s="2635"/>
    </row>
    <row r="868" spans="63:63" ht="15.75" customHeight="1" x14ac:dyDescent="0.3">
      <c r="BK868" s="2635"/>
    </row>
    <row r="869" spans="63:63" ht="15.75" customHeight="1" x14ac:dyDescent="0.3">
      <c r="BK869" s="2635"/>
    </row>
    <row r="870" spans="63:63" ht="15.75" customHeight="1" x14ac:dyDescent="0.3">
      <c r="BK870" s="2635"/>
    </row>
    <row r="871" spans="63:63" ht="15.75" customHeight="1" x14ac:dyDescent="0.3">
      <c r="BK871" s="2635"/>
    </row>
    <row r="872" spans="63:63" ht="15.75" customHeight="1" x14ac:dyDescent="0.3">
      <c r="BK872" s="2635"/>
    </row>
    <row r="873" spans="63:63" ht="15.75" customHeight="1" x14ac:dyDescent="0.3">
      <c r="BK873" s="2635"/>
    </row>
    <row r="874" spans="63:63" ht="15.75" customHeight="1" x14ac:dyDescent="0.3">
      <c r="BK874" s="2635"/>
    </row>
    <row r="875" spans="63:63" ht="15.75" customHeight="1" x14ac:dyDescent="0.3">
      <c r="BK875" s="2635"/>
    </row>
    <row r="876" spans="63:63" ht="15.75" customHeight="1" x14ac:dyDescent="0.3">
      <c r="BK876" s="2635"/>
    </row>
    <row r="877" spans="63:63" ht="15.75" customHeight="1" x14ac:dyDescent="0.3">
      <c r="BK877" s="2635"/>
    </row>
    <row r="878" spans="63:63" ht="15.75" customHeight="1" x14ac:dyDescent="0.3">
      <c r="BK878" s="2635"/>
    </row>
    <row r="879" spans="63:63" ht="15.75" customHeight="1" x14ac:dyDescent="0.3">
      <c r="BK879" s="2635"/>
    </row>
    <row r="880" spans="63:63" ht="15.75" customHeight="1" x14ac:dyDescent="0.3">
      <c r="BK880" s="2635"/>
    </row>
    <row r="881" spans="63:63" ht="15.75" customHeight="1" x14ac:dyDescent="0.3">
      <c r="BK881" s="2635"/>
    </row>
    <row r="882" spans="63:63" ht="15.75" customHeight="1" x14ac:dyDescent="0.3">
      <c r="BK882" s="2635"/>
    </row>
    <row r="883" spans="63:63" ht="15.75" customHeight="1" x14ac:dyDescent="0.3">
      <c r="BK883" s="2635"/>
    </row>
    <row r="884" spans="63:63" ht="15.75" customHeight="1" x14ac:dyDescent="0.3">
      <c r="BK884" s="2635"/>
    </row>
    <row r="885" spans="63:63" ht="15.75" customHeight="1" x14ac:dyDescent="0.3">
      <c r="BK885" s="2635"/>
    </row>
    <row r="886" spans="63:63" ht="15.75" customHeight="1" x14ac:dyDescent="0.3">
      <c r="BK886" s="2635"/>
    </row>
    <row r="887" spans="63:63" ht="15.75" customHeight="1" x14ac:dyDescent="0.3">
      <c r="BK887" s="2635"/>
    </row>
    <row r="888" spans="63:63" ht="15.75" customHeight="1" x14ac:dyDescent="0.3">
      <c r="BK888" s="2635"/>
    </row>
    <row r="889" spans="63:63" ht="15.75" customHeight="1" x14ac:dyDescent="0.3">
      <c r="BK889" s="2635"/>
    </row>
    <row r="890" spans="63:63" ht="15.75" customHeight="1" x14ac:dyDescent="0.3">
      <c r="BK890" s="2635"/>
    </row>
    <row r="891" spans="63:63" ht="15.75" customHeight="1" x14ac:dyDescent="0.3">
      <c r="BK891" s="2635"/>
    </row>
    <row r="892" spans="63:63" ht="15.75" customHeight="1" x14ac:dyDescent="0.3">
      <c r="BK892" s="2635"/>
    </row>
    <row r="893" spans="63:63" ht="15.75" customHeight="1" x14ac:dyDescent="0.3">
      <c r="BK893" s="2635"/>
    </row>
    <row r="894" spans="63:63" ht="15.75" customHeight="1" x14ac:dyDescent="0.3">
      <c r="BK894" s="2635"/>
    </row>
    <row r="895" spans="63:63" ht="15.75" customHeight="1" x14ac:dyDescent="0.3">
      <c r="BK895" s="2635"/>
    </row>
    <row r="896" spans="63:63" ht="15.75" customHeight="1" x14ac:dyDescent="0.3">
      <c r="BK896" s="2635"/>
    </row>
    <row r="897" spans="63:63" ht="15.75" customHeight="1" x14ac:dyDescent="0.3">
      <c r="BK897" s="2635"/>
    </row>
    <row r="898" spans="63:63" ht="15.75" customHeight="1" x14ac:dyDescent="0.3">
      <c r="BK898" s="2635"/>
    </row>
    <row r="899" spans="63:63" ht="15.75" customHeight="1" x14ac:dyDescent="0.3">
      <c r="BK899" s="2635"/>
    </row>
    <row r="900" spans="63:63" ht="15.75" customHeight="1" x14ac:dyDescent="0.3">
      <c r="BK900" s="2635"/>
    </row>
    <row r="901" spans="63:63" ht="15.75" customHeight="1" x14ac:dyDescent="0.3">
      <c r="BK901" s="2635"/>
    </row>
    <row r="902" spans="63:63" ht="15.75" customHeight="1" x14ac:dyDescent="0.3">
      <c r="BK902" s="2635"/>
    </row>
    <row r="903" spans="63:63" ht="15.75" customHeight="1" x14ac:dyDescent="0.3">
      <c r="BK903" s="2635"/>
    </row>
    <row r="904" spans="63:63" ht="15.75" customHeight="1" x14ac:dyDescent="0.3">
      <c r="BK904" s="2635"/>
    </row>
    <row r="905" spans="63:63" ht="15.75" customHeight="1" x14ac:dyDescent="0.3">
      <c r="BK905" s="2635"/>
    </row>
    <row r="906" spans="63:63" ht="15.75" customHeight="1" x14ac:dyDescent="0.3">
      <c r="BK906" s="2635"/>
    </row>
    <row r="907" spans="63:63" ht="15.75" customHeight="1" x14ac:dyDescent="0.3">
      <c r="BK907" s="2635"/>
    </row>
    <row r="908" spans="63:63" ht="15.75" customHeight="1" x14ac:dyDescent="0.3">
      <c r="BK908" s="2635"/>
    </row>
    <row r="909" spans="63:63" ht="15.75" customHeight="1" x14ac:dyDescent="0.3">
      <c r="BK909" s="2635"/>
    </row>
    <row r="910" spans="63:63" ht="15.75" customHeight="1" x14ac:dyDescent="0.3">
      <c r="BK910" s="2635"/>
    </row>
    <row r="911" spans="63:63" ht="15.75" customHeight="1" x14ac:dyDescent="0.3">
      <c r="BK911" s="2635"/>
    </row>
    <row r="912" spans="63:63" ht="15.75" customHeight="1" x14ac:dyDescent="0.3">
      <c r="BK912" s="2635"/>
    </row>
    <row r="913" spans="63:63" ht="15.75" customHeight="1" x14ac:dyDescent="0.3">
      <c r="BK913" s="2635"/>
    </row>
    <row r="914" spans="63:63" ht="15.75" customHeight="1" x14ac:dyDescent="0.3">
      <c r="BK914" s="2635"/>
    </row>
    <row r="915" spans="63:63" ht="15.75" customHeight="1" x14ac:dyDescent="0.3">
      <c r="BK915" s="2635"/>
    </row>
    <row r="916" spans="63:63" ht="15.75" customHeight="1" x14ac:dyDescent="0.3">
      <c r="BK916" s="2635"/>
    </row>
    <row r="917" spans="63:63" ht="15.75" customHeight="1" x14ac:dyDescent="0.3">
      <c r="BK917" s="2635"/>
    </row>
    <row r="918" spans="63:63" ht="15.75" customHeight="1" x14ac:dyDescent="0.3">
      <c r="BK918" s="2635"/>
    </row>
    <row r="919" spans="63:63" ht="15.75" customHeight="1" x14ac:dyDescent="0.3">
      <c r="BK919" s="2635"/>
    </row>
    <row r="920" spans="63:63" ht="15.75" customHeight="1" x14ac:dyDescent="0.3">
      <c r="BK920" s="2635"/>
    </row>
    <row r="921" spans="63:63" ht="15.75" customHeight="1" x14ac:dyDescent="0.3">
      <c r="BK921" s="2635"/>
    </row>
    <row r="922" spans="63:63" ht="15.75" customHeight="1" x14ac:dyDescent="0.3">
      <c r="BK922" s="2635"/>
    </row>
    <row r="923" spans="63:63" ht="15.75" customHeight="1" x14ac:dyDescent="0.3">
      <c r="BK923" s="2635"/>
    </row>
    <row r="924" spans="63:63" ht="15.75" customHeight="1" x14ac:dyDescent="0.3">
      <c r="BK924" s="2635"/>
    </row>
    <row r="925" spans="63:63" ht="15.75" customHeight="1" x14ac:dyDescent="0.3">
      <c r="BK925" s="2635"/>
    </row>
    <row r="926" spans="63:63" ht="15.75" customHeight="1" x14ac:dyDescent="0.3">
      <c r="BK926" s="2635"/>
    </row>
    <row r="927" spans="63:63" ht="15.75" customHeight="1" x14ac:dyDescent="0.3">
      <c r="BK927" s="2635"/>
    </row>
    <row r="928" spans="63:63" ht="15.75" customHeight="1" x14ac:dyDescent="0.3">
      <c r="BK928" s="2635"/>
    </row>
    <row r="929" spans="63:63" ht="15.75" customHeight="1" x14ac:dyDescent="0.3">
      <c r="BK929" s="2635"/>
    </row>
    <row r="930" spans="63:63" ht="15.75" customHeight="1" x14ac:dyDescent="0.3">
      <c r="BK930" s="2635"/>
    </row>
    <row r="931" spans="63:63" ht="15.75" customHeight="1" x14ac:dyDescent="0.3">
      <c r="BK931" s="2635"/>
    </row>
    <row r="932" spans="63:63" ht="15.75" customHeight="1" x14ac:dyDescent="0.3">
      <c r="BK932" s="2635"/>
    </row>
    <row r="933" spans="63:63" ht="15.75" customHeight="1" x14ac:dyDescent="0.3">
      <c r="BK933" s="2635"/>
    </row>
    <row r="934" spans="63:63" ht="15.75" customHeight="1" x14ac:dyDescent="0.3">
      <c r="BK934" s="2635"/>
    </row>
    <row r="935" spans="63:63" ht="15.75" customHeight="1" x14ac:dyDescent="0.3">
      <c r="BK935" s="2635"/>
    </row>
    <row r="936" spans="63:63" ht="15.75" customHeight="1" x14ac:dyDescent="0.3">
      <c r="BK936" s="2635"/>
    </row>
    <row r="937" spans="63:63" ht="15.75" customHeight="1" x14ac:dyDescent="0.3">
      <c r="BK937" s="2635"/>
    </row>
    <row r="938" spans="63:63" ht="15.75" customHeight="1" x14ac:dyDescent="0.3">
      <c r="BK938" s="2635"/>
    </row>
    <row r="939" spans="63:63" ht="15.75" customHeight="1" x14ac:dyDescent="0.3">
      <c r="BK939" s="2635"/>
    </row>
    <row r="940" spans="63:63" ht="15.75" customHeight="1" x14ac:dyDescent="0.3">
      <c r="BK940" s="2635"/>
    </row>
    <row r="941" spans="63:63" ht="15.75" customHeight="1" x14ac:dyDescent="0.3">
      <c r="BK941" s="2635"/>
    </row>
    <row r="942" spans="63:63" ht="15.75" customHeight="1" x14ac:dyDescent="0.3">
      <c r="BK942" s="2635"/>
    </row>
    <row r="943" spans="63:63" ht="15.75" customHeight="1" x14ac:dyDescent="0.3">
      <c r="BK943" s="2635"/>
    </row>
    <row r="944" spans="63:63" ht="15.75" customHeight="1" x14ac:dyDescent="0.3">
      <c r="BK944" s="2635"/>
    </row>
    <row r="945" spans="63:63" ht="15.75" customHeight="1" x14ac:dyDescent="0.3">
      <c r="BK945" s="2635"/>
    </row>
    <row r="946" spans="63:63" ht="15.75" customHeight="1" x14ac:dyDescent="0.3">
      <c r="BK946" s="2635"/>
    </row>
    <row r="947" spans="63:63" ht="15.75" customHeight="1" x14ac:dyDescent="0.3">
      <c r="BK947" s="2635"/>
    </row>
    <row r="948" spans="63:63" ht="15.75" customHeight="1" x14ac:dyDescent="0.3">
      <c r="BK948" s="2635"/>
    </row>
    <row r="949" spans="63:63" ht="15.75" customHeight="1" x14ac:dyDescent="0.3">
      <c r="BK949" s="2635"/>
    </row>
    <row r="950" spans="63:63" ht="15.75" customHeight="1" x14ac:dyDescent="0.3">
      <c r="BK950" s="2635"/>
    </row>
    <row r="951" spans="63:63" ht="15.75" customHeight="1" x14ac:dyDescent="0.3">
      <c r="BK951" s="2635"/>
    </row>
    <row r="952" spans="63:63" ht="15.75" customHeight="1" x14ac:dyDescent="0.3">
      <c r="BK952" s="2635"/>
    </row>
    <row r="953" spans="63:63" ht="15.75" customHeight="1" x14ac:dyDescent="0.3">
      <c r="BK953" s="2635"/>
    </row>
    <row r="954" spans="63:63" ht="15.75" customHeight="1" x14ac:dyDescent="0.3">
      <c r="BK954" s="2635"/>
    </row>
    <row r="955" spans="63:63" ht="15.75" customHeight="1" x14ac:dyDescent="0.3">
      <c r="BK955" s="2635"/>
    </row>
    <row r="956" spans="63:63" ht="15.75" customHeight="1" x14ac:dyDescent="0.3">
      <c r="BK956" s="2635"/>
    </row>
    <row r="957" spans="63:63" ht="15.75" customHeight="1" x14ac:dyDescent="0.3">
      <c r="BK957" s="2635"/>
    </row>
    <row r="958" spans="63:63" ht="15.75" customHeight="1" x14ac:dyDescent="0.3">
      <c r="BK958" s="2635"/>
    </row>
    <row r="959" spans="63:63" ht="15.75" customHeight="1" x14ac:dyDescent="0.3">
      <c r="BK959" s="2635"/>
    </row>
    <row r="960" spans="63:63" ht="15.75" customHeight="1" x14ac:dyDescent="0.3">
      <c r="BK960" s="2635"/>
    </row>
    <row r="961" spans="63:63" ht="15.75" customHeight="1" x14ac:dyDescent="0.3">
      <c r="BK961" s="2635"/>
    </row>
    <row r="962" spans="63:63" ht="15.75" customHeight="1" x14ac:dyDescent="0.3">
      <c r="BK962" s="2635"/>
    </row>
    <row r="963" spans="63:63" ht="15.75" customHeight="1" x14ac:dyDescent="0.3">
      <c r="BK963" s="2635"/>
    </row>
    <row r="964" spans="63:63" ht="15.75" customHeight="1" x14ac:dyDescent="0.3">
      <c r="BK964" s="2635"/>
    </row>
    <row r="965" spans="63:63" ht="15.75" customHeight="1" x14ac:dyDescent="0.3">
      <c r="BK965" s="2635"/>
    </row>
    <row r="966" spans="63:63" ht="15.75" customHeight="1" x14ac:dyDescent="0.3">
      <c r="BK966" s="2635"/>
    </row>
    <row r="967" spans="63:63" ht="15.75" customHeight="1" x14ac:dyDescent="0.3">
      <c r="BK967" s="2635"/>
    </row>
    <row r="968" spans="63:63" ht="15.75" customHeight="1" x14ac:dyDescent="0.3">
      <c r="BK968" s="2635"/>
    </row>
    <row r="969" spans="63:63" ht="15.75" customHeight="1" x14ac:dyDescent="0.3">
      <c r="BK969" s="2635"/>
    </row>
    <row r="970" spans="63:63" ht="15.75" customHeight="1" x14ac:dyDescent="0.3">
      <c r="BK970" s="2635"/>
    </row>
    <row r="971" spans="63:63" ht="15.75" customHeight="1" x14ac:dyDescent="0.3">
      <c r="BK971" s="2635"/>
    </row>
    <row r="972" spans="63:63" ht="15.75" customHeight="1" x14ac:dyDescent="0.3">
      <c r="BK972" s="2635"/>
    </row>
    <row r="973" spans="63:63" ht="15.75" customHeight="1" x14ac:dyDescent="0.3">
      <c r="BK973" s="2635"/>
    </row>
    <row r="974" spans="63:63" ht="15.75" customHeight="1" x14ac:dyDescent="0.3">
      <c r="BK974" s="2635"/>
    </row>
    <row r="975" spans="63:63" ht="15.75" customHeight="1" x14ac:dyDescent="0.3">
      <c r="BK975" s="2635"/>
    </row>
    <row r="976" spans="63:63" ht="15.75" customHeight="1" x14ac:dyDescent="0.3">
      <c r="BK976" s="2635"/>
    </row>
    <row r="977" spans="63:63" ht="15.75" customHeight="1" x14ac:dyDescent="0.3">
      <c r="BK977" s="2635"/>
    </row>
    <row r="978" spans="63:63" ht="15.75" customHeight="1" x14ac:dyDescent="0.3">
      <c r="BK978" s="2635"/>
    </row>
    <row r="979" spans="63:63" ht="15.75" customHeight="1" x14ac:dyDescent="0.3">
      <c r="BK979" s="2635"/>
    </row>
    <row r="980" spans="63:63" ht="15.75" customHeight="1" x14ac:dyDescent="0.3">
      <c r="BK980" s="2635"/>
    </row>
    <row r="981" spans="63:63" ht="15.75" customHeight="1" x14ac:dyDescent="0.3">
      <c r="BK981" s="2635"/>
    </row>
    <row r="982" spans="63:63" ht="15.75" customHeight="1" x14ac:dyDescent="0.3">
      <c r="BK982" s="2635"/>
    </row>
    <row r="983" spans="63:63" ht="15.75" customHeight="1" x14ac:dyDescent="0.3">
      <c r="BK983" s="2635"/>
    </row>
    <row r="984" spans="63:63" ht="15.75" customHeight="1" x14ac:dyDescent="0.3">
      <c r="BK984" s="2635"/>
    </row>
    <row r="985" spans="63:63" ht="15.75" customHeight="1" x14ac:dyDescent="0.3"/>
    <row r="986" spans="63:63" ht="15.75" customHeight="1" x14ac:dyDescent="0.3"/>
    <row r="987" spans="63:63" ht="15.75" customHeight="1" x14ac:dyDescent="0.3"/>
    <row r="988" spans="63:63" ht="15.75" customHeight="1" x14ac:dyDescent="0.3"/>
    <row r="989" spans="63:63" ht="15.75" customHeight="1" x14ac:dyDescent="0.3"/>
    <row r="990" spans="63:63" ht="15.75" customHeight="1" x14ac:dyDescent="0.3"/>
    <row r="991" spans="63:63" ht="15.75" customHeight="1" x14ac:dyDescent="0.3"/>
    <row r="992" spans="63:63"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sheetData>
  <mergeCells count="2">
    <mergeCell ref="C7:AZ7"/>
    <mergeCell ref="BE7:DE7"/>
  </mergeCells>
  <phoneticPr fontId="94" type="noConversion"/>
  <dataValidations count="1">
    <dataValidation type="list" allowBlank="1" showErrorMessage="1" sqref="B32:AZ32 B22:AZ22" xr:uid="{5D65E3F4-DFF4-4F8E-9AE1-39020FEA844F}">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2F08E-E6FD-487E-B85D-60C3255F466F}">
  <dimension ref="A1:G991"/>
  <sheetViews>
    <sheetView topLeftCell="A21" workbookViewId="0">
      <selection activeCell="C35" sqref="C35"/>
    </sheetView>
  </sheetViews>
  <sheetFormatPr defaultColWidth="12.44140625" defaultRowHeight="15" customHeight="1" x14ac:dyDescent="0.3"/>
  <cols>
    <col min="1" max="1" width="2.6640625" style="428" customWidth="1"/>
    <col min="2" max="2" width="35.109375" style="428" customWidth="1"/>
    <col min="3" max="3" width="24.5546875" style="428" customWidth="1"/>
    <col min="4" max="4" width="1.5546875" style="428" customWidth="1"/>
    <col min="5" max="5" width="14.6640625" style="428" customWidth="1"/>
    <col min="6" max="6" width="7.33203125" style="428" customWidth="1"/>
    <col min="7" max="7" width="11.6640625" style="428" customWidth="1"/>
    <col min="8" max="16384" width="12.44140625" style="428"/>
  </cols>
  <sheetData>
    <row r="1" spans="1:7" ht="21.75" customHeight="1" x14ac:dyDescent="0.35">
      <c r="A1" s="424"/>
      <c r="B1" s="425" t="s">
        <v>549</v>
      </c>
      <c r="D1" s="427"/>
      <c r="F1" s="427"/>
    </row>
    <row r="2" spans="1:7" ht="15.75" customHeight="1" x14ac:dyDescent="0.3">
      <c r="A2" s="424"/>
      <c r="B2" s="429" t="s">
        <v>299</v>
      </c>
      <c r="C2" s="430"/>
      <c r="D2" s="430"/>
      <c r="E2" s="430"/>
      <c r="F2" s="430"/>
    </row>
    <row r="3" spans="1:7" ht="9.75" customHeight="1" x14ac:dyDescent="0.3">
      <c r="A3" s="427"/>
      <c r="B3" s="431"/>
      <c r="D3" s="427"/>
      <c r="F3" s="427"/>
    </row>
    <row r="4" spans="1:7" ht="6" customHeight="1" x14ac:dyDescent="0.3">
      <c r="B4" s="427"/>
      <c r="D4" s="427"/>
      <c r="F4" s="427"/>
    </row>
    <row r="5" spans="1:7" ht="6" customHeight="1" x14ac:dyDescent="0.3">
      <c r="A5" s="431"/>
      <c r="D5" s="427"/>
      <c r="F5" s="427"/>
    </row>
    <row r="6" spans="1:7" ht="15.75" customHeight="1" x14ac:dyDescent="0.3">
      <c r="C6" s="428">
        <v>1000000</v>
      </c>
      <c r="D6" s="427"/>
      <c r="E6" s="427"/>
      <c r="F6" s="427"/>
    </row>
    <row r="7" spans="1:7" ht="37.200000000000003" customHeight="1" x14ac:dyDescent="0.3">
      <c r="A7" s="432"/>
      <c r="B7" s="433">
        <v>2024</v>
      </c>
      <c r="C7" s="434" t="s">
        <v>22</v>
      </c>
      <c r="D7" s="432"/>
      <c r="E7" s="435" t="s">
        <v>300</v>
      </c>
      <c r="F7" s="432"/>
      <c r="G7" s="432"/>
    </row>
    <row r="8" spans="1:7" ht="18" customHeight="1" x14ac:dyDescent="0.35">
      <c r="B8" s="436" t="s">
        <v>301</v>
      </c>
      <c r="C8" s="572">
        <v>1</v>
      </c>
      <c r="D8" s="427"/>
      <c r="E8" s="438"/>
      <c r="F8" s="427"/>
    </row>
    <row r="9" spans="1:7" ht="46.5" customHeight="1" x14ac:dyDescent="0.3">
      <c r="B9" s="439" t="s">
        <v>302</v>
      </c>
      <c r="C9" s="573" t="s">
        <v>367</v>
      </c>
      <c r="D9" s="574"/>
      <c r="E9" s="442"/>
      <c r="F9" s="443"/>
    </row>
    <row r="10" spans="1:7" ht="46.5" customHeight="1" x14ac:dyDescent="0.3">
      <c r="B10" s="444" t="s">
        <v>304</v>
      </c>
      <c r="C10" s="445" t="s">
        <v>368</v>
      </c>
      <c r="D10" s="574"/>
      <c r="E10" s="446"/>
      <c r="F10" s="443"/>
    </row>
    <row r="11" spans="1:7" ht="18.75" customHeight="1" x14ac:dyDescent="0.3">
      <c r="A11" s="447"/>
      <c r="B11" s="448" t="s">
        <v>306</v>
      </c>
      <c r="C11" s="575">
        <f>(C17*C18)</f>
        <v>278.47877712356501</v>
      </c>
      <c r="D11" s="576"/>
      <c r="E11" s="451">
        <f>SUM(C11:C11)</f>
        <v>278.47877712356501</v>
      </c>
      <c r="F11" s="452"/>
      <c r="G11" s="447"/>
    </row>
    <row r="12" spans="1:7" ht="18.75" customHeight="1" x14ac:dyDescent="0.3">
      <c r="A12" s="447"/>
      <c r="B12" s="453" t="s">
        <v>307</v>
      </c>
      <c r="C12" s="577">
        <f>(C22*C23)+(C27*C28)</f>
        <v>63.982036548100012</v>
      </c>
      <c r="D12" s="455"/>
      <c r="E12" s="456">
        <f>SUM(C12:C12)</f>
        <v>63.982036548100012</v>
      </c>
      <c r="F12" s="457"/>
      <c r="G12" s="447"/>
    </row>
    <row r="13" spans="1:7" ht="18.75" customHeight="1" x14ac:dyDescent="0.3">
      <c r="A13" s="447"/>
      <c r="B13" s="448" t="s">
        <v>308</v>
      </c>
      <c r="C13" s="578" t="s">
        <v>8</v>
      </c>
      <c r="D13" s="459"/>
      <c r="E13" s="460"/>
      <c r="F13" s="461"/>
      <c r="G13" s="447"/>
    </row>
    <row r="14" spans="1:7" ht="18.75" customHeight="1" x14ac:dyDescent="0.3">
      <c r="A14" s="447"/>
      <c r="B14" s="462" t="s">
        <v>309</v>
      </c>
      <c r="C14" s="579">
        <f t="shared" ref="C14" si="0">C11-C12</f>
        <v>214.496740575465</v>
      </c>
      <c r="D14" s="455"/>
      <c r="E14" s="464">
        <f>SUM(C14:C14)</f>
        <v>214.496740575465</v>
      </c>
      <c r="F14" s="457"/>
      <c r="G14" s="447"/>
    </row>
    <row r="15" spans="1:7" ht="19.5" customHeight="1" x14ac:dyDescent="0.4">
      <c r="B15" s="465" t="s">
        <v>310</v>
      </c>
      <c r="C15" s="580"/>
      <c r="D15" s="467"/>
      <c r="E15" s="468"/>
      <c r="F15" s="467"/>
      <c r="G15" s="427"/>
    </row>
    <row r="16" spans="1:7" ht="35.4" customHeight="1" x14ac:dyDescent="0.3">
      <c r="A16" s="447"/>
      <c r="B16" s="469" t="s">
        <v>311</v>
      </c>
      <c r="C16" s="601" t="s">
        <v>360</v>
      </c>
      <c r="D16" s="581"/>
      <c r="E16" s="471"/>
      <c r="F16" s="457"/>
      <c r="G16" s="447"/>
    </row>
    <row r="17" spans="1:7" ht="21" customHeight="1" x14ac:dyDescent="0.3">
      <c r="A17" s="447"/>
      <c r="B17" s="472" t="s">
        <v>2342</v>
      </c>
      <c r="C17" s="582">
        <f>'CF-0103|GDS'!I20</f>
        <v>101859.75974025975</v>
      </c>
      <c r="D17" s="583"/>
      <c r="F17" s="475"/>
      <c r="G17" s="447"/>
    </row>
    <row r="18" spans="1:7" ht="18.75" customHeight="1" x14ac:dyDescent="0.3">
      <c r="A18" s="447"/>
      <c r="B18" s="476" t="s">
        <v>314</v>
      </c>
      <c r="C18" s="584">
        <v>2.7339430000000004E-3</v>
      </c>
      <c r="D18" s="478"/>
      <c r="F18" s="479"/>
      <c r="G18" s="447"/>
    </row>
    <row r="19" spans="1:7" ht="19.5" customHeight="1" x14ac:dyDescent="0.3">
      <c r="A19" s="447"/>
      <c r="B19" s="480" t="s">
        <v>315</v>
      </c>
      <c r="C19" s="585">
        <f>C17*C18</f>
        <v>278.47877712356501</v>
      </c>
      <c r="D19" s="586"/>
      <c r="F19" s="479"/>
      <c r="G19" s="447"/>
    </row>
    <row r="20" spans="1:7" ht="21" customHeight="1" x14ac:dyDescent="0.4">
      <c r="B20" s="465" t="s">
        <v>316</v>
      </c>
      <c r="C20" s="587"/>
      <c r="D20" s="483"/>
      <c r="E20" s="484"/>
      <c r="F20" s="483"/>
    </row>
    <row r="21" spans="1:7" ht="32.4" customHeight="1" x14ac:dyDescent="0.3">
      <c r="A21" s="447"/>
      <c r="B21" s="469" t="s">
        <v>183</v>
      </c>
      <c r="C21" s="601" t="s">
        <v>361</v>
      </c>
      <c r="D21" s="588"/>
      <c r="E21" s="485"/>
      <c r="F21" s="479"/>
      <c r="G21" s="447"/>
    </row>
    <row r="22" spans="1:7" ht="21" customHeight="1" x14ac:dyDescent="0.3">
      <c r="A22" s="447"/>
      <c r="B22" s="486" t="s">
        <v>369</v>
      </c>
      <c r="C22" s="589">
        <f>'CF-0103|GDS'!I17</f>
        <v>161654</v>
      </c>
      <c r="D22" s="479"/>
      <c r="E22" s="488"/>
      <c r="F22" s="479"/>
      <c r="G22" s="447"/>
    </row>
    <row r="23" spans="1:7" ht="21" customHeight="1" x14ac:dyDescent="0.3">
      <c r="A23" s="447"/>
      <c r="B23" s="489" t="s">
        <v>314</v>
      </c>
      <c r="C23" s="590">
        <v>3.6533000000000004E-5</v>
      </c>
      <c r="D23" s="588"/>
      <c r="E23" s="491"/>
      <c r="F23" s="479"/>
      <c r="G23" s="447"/>
    </row>
    <row r="24" spans="1:7" ht="21" customHeight="1" x14ac:dyDescent="0.3">
      <c r="A24" s="447"/>
      <c r="B24" s="492" t="s">
        <v>315</v>
      </c>
      <c r="C24" s="591">
        <f t="shared" ref="C24" si="1">C22*C23</f>
        <v>5.9057055820000004</v>
      </c>
      <c r="D24" s="588"/>
      <c r="E24" s="494"/>
      <c r="F24" s="479"/>
      <c r="G24" s="447"/>
    </row>
    <row r="25" spans="1:7" ht="21" customHeight="1" x14ac:dyDescent="0.4">
      <c r="B25" s="465" t="s">
        <v>316</v>
      </c>
      <c r="C25" s="587"/>
      <c r="D25" s="483"/>
      <c r="E25" s="495"/>
      <c r="F25" s="483"/>
    </row>
    <row r="26" spans="1:7" ht="30.6" customHeight="1" x14ac:dyDescent="0.3">
      <c r="A26" s="447"/>
      <c r="B26" s="469" t="s">
        <v>183</v>
      </c>
      <c r="C26" s="601" t="s">
        <v>317</v>
      </c>
      <c r="D26" s="588"/>
      <c r="E26" s="496"/>
      <c r="F26" s="479"/>
      <c r="G26" s="447"/>
    </row>
    <row r="27" spans="1:7" ht="21" customHeight="1" x14ac:dyDescent="0.3">
      <c r="A27" s="447"/>
      <c r="B27" s="486" t="s">
        <v>313</v>
      </c>
      <c r="C27" s="589">
        <f>'CF-0103|GDS'!I12</f>
        <v>21242.7</v>
      </c>
      <c r="D27" s="479"/>
      <c r="E27" s="488"/>
      <c r="F27" s="479"/>
      <c r="G27" s="447"/>
    </row>
    <row r="28" spans="1:7" ht="21" customHeight="1" x14ac:dyDescent="0.3">
      <c r="A28" s="447"/>
      <c r="B28" s="489" t="s">
        <v>314</v>
      </c>
      <c r="C28" s="590">
        <v>2.7339430000000004E-3</v>
      </c>
      <c r="D28" s="588"/>
      <c r="E28" s="491"/>
      <c r="F28" s="479"/>
      <c r="G28" s="447"/>
    </row>
    <row r="29" spans="1:7" ht="21" customHeight="1" x14ac:dyDescent="0.3">
      <c r="A29" s="447"/>
      <c r="B29" s="492" t="s">
        <v>315</v>
      </c>
      <c r="C29" s="591">
        <f t="shared" ref="C29" si="2">C27*C28</f>
        <v>58.076330966100009</v>
      </c>
      <c r="D29" s="588"/>
      <c r="E29" s="494"/>
      <c r="F29" s="479"/>
      <c r="G29" s="447"/>
    </row>
    <row r="30" spans="1:7" ht="28.5" customHeight="1" x14ac:dyDescent="0.3">
      <c r="A30" s="447"/>
      <c r="B30" s="498" t="s">
        <v>320</v>
      </c>
      <c r="C30" s="592" t="s">
        <v>321</v>
      </c>
      <c r="D30" s="593"/>
      <c r="E30" s="501"/>
      <c r="F30" s="500"/>
      <c r="G30" s="447"/>
    </row>
    <row r="31" spans="1:7" ht="24" customHeight="1" x14ac:dyDescent="0.3">
      <c r="B31" s="502" t="s">
        <v>322</v>
      </c>
      <c r="C31" s="594">
        <v>3</v>
      </c>
      <c r="D31" s="504"/>
      <c r="E31" s="505"/>
      <c r="F31" s="504"/>
    </row>
    <row r="32" spans="1:7" ht="33" customHeight="1" x14ac:dyDescent="0.3">
      <c r="A32" s="447"/>
      <c r="B32" s="506" t="s">
        <v>323</v>
      </c>
      <c r="C32" s="595" t="s">
        <v>324</v>
      </c>
      <c r="D32" s="479"/>
      <c r="E32" s="496"/>
      <c r="F32" s="479"/>
      <c r="G32" s="447"/>
    </row>
    <row r="33" spans="1:7" ht="33" customHeight="1" x14ac:dyDescent="0.3">
      <c r="A33" s="447"/>
      <c r="B33" s="508" t="s">
        <v>325</v>
      </c>
      <c r="C33" s="596" t="s">
        <v>326</v>
      </c>
      <c r="D33" s="479"/>
      <c r="E33" s="496"/>
      <c r="F33" s="479"/>
      <c r="G33" s="447"/>
    </row>
    <row r="34" spans="1:7" ht="33" customHeight="1" x14ac:dyDescent="0.3">
      <c r="A34" s="447"/>
      <c r="B34" s="506" t="s">
        <v>327</v>
      </c>
      <c r="C34" s="595" t="s">
        <v>729</v>
      </c>
      <c r="D34" s="479"/>
      <c r="E34" s="496"/>
      <c r="F34" s="479"/>
      <c r="G34" s="447"/>
    </row>
    <row r="35" spans="1:7" ht="21" customHeight="1" x14ac:dyDescent="0.3">
      <c r="B35" s="510" t="s">
        <v>329</v>
      </c>
      <c r="C35" s="596">
        <v>1</v>
      </c>
      <c r="D35" s="467"/>
      <c r="E35" s="467"/>
      <c r="F35" s="467"/>
    </row>
    <row r="36" spans="1:7" ht="21" customHeight="1" x14ac:dyDescent="0.3">
      <c r="B36" s="453" t="s">
        <v>330</v>
      </c>
      <c r="C36" s="595" t="s">
        <v>324</v>
      </c>
      <c r="D36" s="483"/>
      <c r="E36" s="495"/>
      <c r="F36" s="483"/>
    </row>
    <row r="37" spans="1:7" ht="21" customHeight="1" x14ac:dyDescent="0.3">
      <c r="B37" s="510" t="s">
        <v>331</v>
      </c>
      <c r="C37" s="596" t="s">
        <v>324</v>
      </c>
      <c r="D37" s="483"/>
      <c r="E37" s="495"/>
      <c r="F37" s="483"/>
    </row>
    <row r="38" spans="1:7" ht="21" customHeight="1" x14ac:dyDescent="0.3">
      <c r="B38" s="462" t="s">
        <v>332</v>
      </c>
      <c r="C38" s="555" t="s">
        <v>333</v>
      </c>
      <c r="D38" s="483"/>
      <c r="E38" s="495"/>
      <c r="F38" s="483"/>
    </row>
    <row r="39" spans="1:7" ht="15.75" customHeight="1" x14ac:dyDescent="0.3">
      <c r="B39" s="427"/>
      <c r="C39" s="427"/>
      <c r="D39" s="483"/>
      <c r="E39" s="483"/>
      <c r="F39" s="483"/>
    </row>
    <row r="40" spans="1:7" ht="15.75" customHeight="1" x14ac:dyDescent="0.3">
      <c r="B40" s="512" t="s">
        <v>334</v>
      </c>
      <c r="C40" s="427"/>
      <c r="D40" s="483"/>
      <c r="E40" s="483"/>
      <c r="F40" s="483"/>
    </row>
    <row r="41" spans="1:7" ht="15.75" customHeight="1" x14ac:dyDescent="0.3">
      <c r="B41" s="512" t="s">
        <v>335</v>
      </c>
      <c r="C41" s="427"/>
      <c r="D41" s="483"/>
      <c r="E41" s="483"/>
      <c r="F41" s="483"/>
    </row>
    <row r="42" spans="1:7" ht="15.75" customHeight="1" x14ac:dyDescent="0.3">
      <c r="B42" s="512" t="s">
        <v>336</v>
      </c>
      <c r="C42" s="427"/>
      <c r="D42" s="483"/>
      <c r="E42" s="483"/>
      <c r="F42" s="483"/>
    </row>
    <row r="43" spans="1:7" ht="15.75" customHeight="1" x14ac:dyDescent="0.3">
      <c r="B43" s="512" t="s">
        <v>337</v>
      </c>
      <c r="C43" s="427"/>
      <c r="D43" s="483"/>
      <c r="E43" s="483"/>
      <c r="F43" s="483"/>
    </row>
    <row r="44" spans="1:7" ht="15.75" customHeight="1" x14ac:dyDescent="0.3">
      <c r="B44" s="512" t="s">
        <v>338</v>
      </c>
      <c r="D44" s="427"/>
      <c r="F44" s="427"/>
    </row>
    <row r="45" spans="1:7" ht="15.75" customHeight="1" x14ac:dyDescent="0.3">
      <c r="B45" s="512" t="s">
        <v>339</v>
      </c>
      <c r="D45" s="427"/>
      <c r="F45" s="427"/>
    </row>
    <row r="46" spans="1:7" ht="15.75" customHeight="1" x14ac:dyDescent="0.3">
      <c r="D46" s="427"/>
      <c r="F46" s="427"/>
    </row>
    <row r="47" spans="1:7" ht="15.75" customHeight="1" x14ac:dyDescent="0.3">
      <c r="D47" s="427"/>
      <c r="F47" s="427"/>
    </row>
    <row r="48" spans="1:7" ht="15.75" customHeight="1" x14ac:dyDescent="0.3">
      <c r="D48" s="427"/>
      <c r="F48" s="427"/>
    </row>
    <row r="49" spans="4:6" ht="15.75" customHeight="1" x14ac:dyDescent="0.3">
      <c r="D49" s="427"/>
      <c r="F49" s="427"/>
    </row>
    <row r="50" spans="4:6" ht="15.75" customHeight="1" x14ac:dyDescent="0.3">
      <c r="D50" s="427"/>
      <c r="F50" s="427"/>
    </row>
    <row r="51" spans="4:6" ht="15.75" customHeight="1" x14ac:dyDescent="0.3">
      <c r="D51" s="427"/>
      <c r="F51" s="427"/>
    </row>
    <row r="52" spans="4:6" ht="15.75" customHeight="1" x14ac:dyDescent="0.3">
      <c r="D52" s="427"/>
      <c r="F52" s="427"/>
    </row>
    <row r="53" spans="4:6" ht="15.75" customHeight="1" x14ac:dyDescent="0.3">
      <c r="D53" s="427"/>
      <c r="F53" s="427"/>
    </row>
    <row r="54" spans="4:6" ht="15.75" customHeight="1" x14ac:dyDescent="0.3">
      <c r="D54" s="427"/>
      <c r="F54" s="427"/>
    </row>
    <row r="55" spans="4:6" ht="15.75" customHeight="1" x14ac:dyDescent="0.3">
      <c r="D55" s="427"/>
      <c r="F55" s="427"/>
    </row>
    <row r="56" spans="4:6" ht="15.75" customHeight="1" x14ac:dyDescent="0.3">
      <c r="D56" s="427"/>
      <c r="F56" s="427"/>
    </row>
    <row r="57" spans="4:6" ht="15.75" customHeight="1" x14ac:dyDescent="0.3">
      <c r="D57" s="427"/>
      <c r="F57" s="427"/>
    </row>
    <row r="58" spans="4:6" ht="15.75" customHeight="1" x14ac:dyDescent="0.3">
      <c r="D58" s="427"/>
      <c r="F58" s="427"/>
    </row>
    <row r="59" spans="4:6" ht="15.75" customHeight="1" x14ac:dyDescent="0.3">
      <c r="D59" s="427"/>
      <c r="F59" s="427"/>
    </row>
    <row r="60" spans="4:6" ht="15.75" customHeight="1" x14ac:dyDescent="0.3">
      <c r="D60" s="427"/>
      <c r="F60" s="427"/>
    </row>
    <row r="61" spans="4:6" ht="15.75" customHeight="1" x14ac:dyDescent="0.3">
      <c r="D61" s="427"/>
      <c r="F61" s="427"/>
    </row>
    <row r="62" spans="4:6" ht="15.75" customHeight="1" x14ac:dyDescent="0.3">
      <c r="D62" s="427"/>
      <c r="F62" s="427"/>
    </row>
    <row r="63" spans="4:6" ht="15.75" customHeight="1" x14ac:dyDescent="0.3">
      <c r="D63" s="427"/>
      <c r="F63" s="427"/>
    </row>
    <row r="64" spans="4:6" ht="15.75" customHeight="1" x14ac:dyDescent="0.3">
      <c r="D64" s="427"/>
      <c r="F64" s="427"/>
    </row>
    <row r="65" spans="4:6" ht="15.75" customHeight="1" x14ac:dyDescent="0.3">
      <c r="D65" s="427"/>
      <c r="F65" s="427"/>
    </row>
    <row r="66" spans="4:6" ht="15.75" customHeight="1" x14ac:dyDescent="0.3">
      <c r="D66" s="427"/>
      <c r="F66" s="427"/>
    </row>
    <row r="67" spans="4:6" ht="15.75" customHeight="1" x14ac:dyDescent="0.3">
      <c r="D67" s="427"/>
      <c r="F67" s="427"/>
    </row>
    <row r="68" spans="4:6" ht="15.75" customHeight="1" x14ac:dyDescent="0.3">
      <c r="D68" s="427"/>
      <c r="F68" s="427"/>
    </row>
    <row r="69" spans="4:6" ht="15.75" customHeight="1" x14ac:dyDescent="0.3">
      <c r="D69" s="427"/>
      <c r="F69" s="427"/>
    </row>
    <row r="70" spans="4:6" ht="15.75" customHeight="1" x14ac:dyDescent="0.3">
      <c r="D70" s="427"/>
      <c r="F70" s="427"/>
    </row>
    <row r="71" spans="4:6" ht="15.75" customHeight="1" x14ac:dyDescent="0.3">
      <c r="D71" s="427"/>
      <c r="F71" s="427"/>
    </row>
    <row r="72" spans="4:6" ht="15.75" customHeight="1" x14ac:dyDescent="0.3">
      <c r="D72" s="427"/>
      <c r="F72" s="427"/>
    </row>
    <row r="73" spans="4:6" ht="15.75" customHeight="1" x14ac:dyDescent="0.3">
      <c r="D73" s="427"/>
      <c r="F73" s="427"/>
    </row>
    <row r="74" spans="4:6" ht="15.75" customHeight="1" x14ac:dyDescent="0.3">
      <c r="D74" s="427"/>
      <c r="F74" s="427"/>
    </row>
    <row r="75" spans="4:6" ht="15.75" customHeight="1" x14ac:dyDescent="0.3">
      <c r="D75" s="427"/>
      <c r="F75" s="427"/>
    </row>
    <row r="76" spans="4:6" ht="15.75" customHeight="1" x14ac:dyDescent="0.3">
      <c r="D76" s="427"/>
      <c r="F76" s="427"/>
    </row>
    <row r="77" spans="4:6" ht="15.75" customHeight="1" x14ac:dyDescent="0.3">
      <c r="D77" s="427"/>
      <c r="F77" s="427"/>
    </row>
    <row r="78" spans="4:6" ht="15.75" customHeight="1" x14ac:dyDescent="0.3">
      <c r="D78" s="427"/>
      <c r="F78" s="427"/>
    </row>
    <row r="79" spans="4:6" ht="15.75" customHeight="1" x14ac:dyDescent="0.3">
      <c r="D79" s="427"/>
      <c r="F79" s="427"/>
    </row>
    <row r="80" spans="4:6" ht="15.75" customHeight="1" x14ac:dyDescent="0.3">
      <c r="D80" s="427"/>
      <c r="F80" s="427"/>
    </row>
    <row r="81" spans="4:6" ht="15.75" customHeight="1" x14ac:dyDescent="0.3">
      <c r="D81" s="427"/>
      <c r="F81" s="427"/>
    </row>
    <row r="82" spans="4:6" ht="15.75" customHeight="1" x14ac:dyDescent="0.3">
      <c r="D82" s="427"/>
      <c r="F82" s="427"/>
    </row>
    <row r="83" spans="4:6" ht="15.75" customHeight="1" x14ac:dyDescent="0.3">
      <c r="D83" s="427"/>
      <c r="F83" s="427"/>
    </row>
    <row r="84" spans="4:6" ht="15.75" customHeight="1" x14ac:dyDescent="0.3">
      <c r="D84" s="427"/>
      <c r="F84" s="427"/>
    </row>
    <row r="85" spans="4:6" ht="15.75" customHeight="1" x14ac:dyDescent="0.3">
      <c r="D85" s="427"/>
      <c r="F85" s="427"/>
    </row>
    <row r="86" spans="4:6" ht="15.75" customHeight="1" x14ac:dyDescent="0.3">
      <c r="D86" s="427"/>
      <c r="F86" s="427"/>
    </row>
    <row r="87" spans="4:6" ht="15.75" customHeight="1" x14ac:dyDescent="0.3">
      <c r="D87" s="427"/>
      <c r="F87" s="427"/>
    </row>
    <row r="88" spans="4:6" ht="15.75" customHeight="1" x14ac:dyDescent="0.3">
      <c r="D88" s="427"/>
      <c r="F88" s="427"/>
    </row>
    <row r="89" spans="4:6" ht="15.75" customHeight="1" x14ac:dyDescent="0.3">
      <c r="D89" s="427"/>
      <c r="F89" s="427"/>
    </row>
    <row r="90" spans="4:6" ht="15.75" customHeight="1" x14ac:dyDescent="0.3">
      <c r="D90" s="427"/>
      <c r="F90" s="427"/>
    </row>
    <row r="91" spans="4:6" ht="15.75" customHeight="1" x14ac:dyDescent="0.3">
      <c r="D91" s="427"/>
      <c r="F91" s="427"/>
    </row>
    <row r="92" spans="4:6" ht="15.75" customHeight="1" x14ac:dyDescent="0.3">
      <c r="D92" s="427"/>
      <c r="F92" s="427"/>
    </row>
    <row r="93" spans="4:6" ht="15.75" customHeight="1" x14ac:dyDescent="0.3">
      <c r="D93" s="427"/>
      <c r="F93" s="427"/>
    </row>
    <row r="94" spans="4:6" ht="15.75" customHeight="1" x14ac:dyDescent="0.3">
      <c r="D94" s="427"/>
      <c r="F94" s="427"/>
    </row>
    <row r="95" spans="4:6" ht="15.75" customHeight="1" x14ac:dyDescent="0.3">
      <c r="D95" s="427"/>
      <c r="F95" s="427"/>
    </row>
    <row r="96" spans="4:6" ht="15.75" customHeight="1" x14ac:dyDescent="0.3">
      <c r="D96" s="427"/>
      <c r="F96" s="427"/>
    </row>
    <row r="97" spans="4:6" ht="15.75" customHeight="1" x14ac:dyDescent="0.3">
      <c r="D97" s="427"/>
      <c r="F97" s="427"/>
    </row>
    <row r="98" spans="4:6" ht="15.75" customHeight="1" x14ac:dyDescent="0.3">
      <c r="D98" s="427"/>
      <c r="F98" s="427"/>
    </row>
    <row r="99" spans="4:6" ht="15.75" customHeight="1" x14ac:dyDescent="0.3">
      <c r="D99" s="427"/>
      <c r="F99" s="427"/>
    </row>
    <row r="100" spans="4:6" ht="15.75" customHeight="1" x14ac:dyDescent="0.3">
      <c r="D100" s="427"/>
      <c r="F100" s="427"/>
    </row>
    <row r="101" spans="4:6" ht="15.75" customHeight="1" x14ac:dyDescent="0.3">
      <c r="D101" s="427"/>
      <c r="F101" s="427"/>
    </row>
    <row r="102" spans="4:6" ht="15.75" customHeight="1" x14ac:dyDescent="0.3">
      <c r="D102" s="427"/>
      <c r="F102" s="427"/>
    </row>
    <row r="103" spans="4:6" ht="15.75" customHeight="1" x14ac:dyDescent="0.3">
      <c r="D103" s="427"/>
      <c r="F103" s="427"/>
    </row>
    <row r="104" spans="4:6" ht="15.75" customHeight="1" x14ac:dyDescent="0.3">
      <c r="D104" s="427"/>
      <c r="F104" s="427"/>
    </row>
    <row r="105" spans="4:6" ht="15.75" customHeight="1" x14ac:dyDescent="0.3">
      <c r="D105" s="427"/>
      <c r="F105" s="427"/>
    </row>
    <row r="106" spans="4:6" ht="15.75" customHeight="1" x14ac:dyDescent="0.3">
      <c r="D106" s="427"/>
      <c r="F106" s="427"/>
    </row>
    <row r="107" spans="4:6" ht="15.75" customHeight="1" x14ac:dyDescent="0.3">
      <c r="D107" s="427"/>
      <c r="F107" s="427"/>
    </row>
    <row r="108" spans="4:6" ht="15.75" customHeight="1" x14ac:dyDescent="0.3">
      <c r="D108" s="427"/>
      <c r="F108" s="427"/>
    </row>
    <row r="109" spans="4:6" ht="15.75" customHeight="1" x14ac:dyDescent="0.3">
      <c r="D109" s="427"/>
      <c r="F109" s="427"/>
    </row>
    <row r="110" spans="4:6" ht="15.75" customHeight="1" x14ac:dyDescent="0.3">
      <c r="D110" s="427"/>
      <c r="F110" s="427"/>
    </row>
    <row r="111" spans="4:6" ht="15.75" customHeight="1" x14ac:dyDescent="0.3">
      <c r="D111" s="427"/>
      <c r="F111" s="427"/>
    </row>
    <row r="112" spans="4:6" ht="15.75" customHeight="1" x14ac:dyDescent="0.3">
      <c r="D112" s="427"/>
      <c r="F112" s="427"/>
    </row>
    <row r="113" spans="4:6" ht="15.75" customHeight="1" x14ac:dyDescent="0.3">
      <c r="D113" s="427"/>
      <c r="F113" s="427"/>
    </row>
    <row r="114" spans="4:6" ht="15.75" customHeight="1" x14ac:dyDescent="0.3">
      <c r="D114" s="427"/>
      <c r="F114" s="427"/>
    </row>
    <row r="115" spans="4:6" ht="15.75" customHeight="1" x14ac:dyDescent="0.3">
      <c r="D115" s="427"/>
      <c r="F115" s="427"/>
    </row>
    <row r="116" spans="4:6" ht="15.75" customHeight="1" x14ac:dyDescent="0.3">
      <c r="D116" s="427"/>
      <c r="F116" s="427"/>
    </row>
    <row r="117" spans="4:6" ht="15.75" customHeight="1" x14ac:dyDescent="0.3">
      <c r="D117" s="427"/>
      <c r="F117" s="427"/>
    </row>
    <row r="118" spans="4:6" ht="15.75" customHeight="1" x14ac:dyDescent="0.3">
      <c r="D118" s="427"/>
      <c r="F118" s="427"/>
    </row>
    <row r="119" spans="4:6" ht="15.75" customHeight="1" x14ac:dyDescent="0.3">
      <c r="D119" s="427"/>
      <c r="F119" s="427"/>
    </row>
    <row r="120" spans="4:6" ht="15.75" customHeight="1" x14ac:dyDescent="0.3">
      <c r="D120" s="427"/>
      <c r="F120" s="427"/>
    </row>
    <row r="121" spans="4:6" ht="15.75" customHeight="1" x14ac:dyDescent="0.3">
      <c r="D121" s="427"/>
      <c r="F121" s="427"/>
    </row>
    <row r="122" spans="4:6" ht="15.75" customHeight="1" x14ac:dyDescent="0.3">
      <c r="D122" s="427"/>
      <c r="F122" s="427"/>
    </row>
    <row r="123" spans="4:6" ht="15.75" customHeight="1" x14ac:dyDescent="0.3">
      <c r="D123" s="427"/>
      <c r="F123" s="427"/>
    </row>
    <row r="124" spans="4:6" ht="15.75" customHeight="1" x14ac:dyDescent="0.3">
      <c r="D124" s="427"/>
      <c r="F124" s="427"/>
    </row>
    <row r="125" spans="4:6" ht="15.75" customHeight="1" x14ac:dyDescent="0.3">
      <c r="D125" s="427"/>
      <c r="F125" s="427"/>
    </row>
    <row r="126" spans="4:6" ht="15.75" customHeight="1" x14ac:dyDescent="0.3">
      <c r="D126" s="427"/>
      <c r="F126" s="427"/>
    </row>
    <row r="127" spans="4:6" ht="15.75" customHeight="1" x14ac:dyDescent="0.3">
      <c r="D127" s="427"/>
      <c r="F127" s="427"/>
    </row>
    <row r="128" spans="4:6" ht="15.75" customHeight="1" x14ac:dyDescent="0.3">
      <c r="D128" s="427"/>
      <c r="F128" s="427"/>
    </row>
    <row r="129" spans="4:6" ht="15.75" customHeight="1" x14ac:dyDescent="0.3">
      <c r="D129" s="427"/>
      <c r="F129" s="427"/>
    </row>
    <row r="130" spans="4:6" ht="15.75" customHeight="1" x14ac:dyDescent="0.3">
      <c r="D130" s="427"/>
      <c r="F130" s="427"/>
    </row>
    <row r="131" spans="4:6" ht="15.75" customHeight="1" x14ac:dyDescent="0.3">
      <c r="D131" s="427"/>
      <c r="F131" s="427"/>
    </row>
    <row r="132" spans="4:6" ht="15.75" customHeight="1" x14ac:dyDescent="0.3">
      <c r="D132" s="427"/>
      <c r="F132" s="427"/>
    </row>
    <row r="133" spans="4:6" ht="15.75" customHeight="1" x14ac:dyDescent="0.3">
      <c r="D133" s="427"/>
      <c r="F133" s="427"/>
    </row>
    <row r="134" spans="4:6" ht="15.75" customHeight="1" x14ac:dyDescent="0.3">
      <c r="D134" s="427"/>
      <c r="F134" s="427"/>
    </row>
    <row r="135" spans="4:6" ht="15.75" customHeight="1" x14ac:dyDescent="0.3">
      <c r="D135" s="427"/>
      <c r="F135" s="427"/>
    </row>
    <row r="136" spans="4:6" ht="15.75" customHeight="1" x14ac:dyDescent="0.3">
      <c r="D136" s="427"/>
      <c r="F136" s="427"/>
    </row>
    <row r="137" spans="4:6" ht="15.75" customHeight="1" x14ac:dyDescent="0.3">
      <c r="D137" s="427"/>
      <c r="F137" s="427"/>
    </row>
    <row r="138" spans="4:6" ht="15.75" customHeight="1" x14ac:dyDescent="0.3">
      <c r="D138" s="427"/>
      <c r="F138" s="427"/>
    </row>
    <row r="139" spans="4:6" ht="15.75" customHeight="1" x14ac:dyDescent="0.3">
      <c r="D139" s="427"/>
      <c r="F139" s="427"/>
    </row>
    <row r="140" spans="4:6" ht="15.75" customHeight="1" x14ac:dyDescent="0.3">
      <c r="D140" s="427"/>
      <c r="F140" s="427"/>
    </row>
    <row r="141" spans="4:6" ht="15.75" customHeight="1" x14ac:dyDescent="0.3">
      <c r="D141" s="427"/>
      <c r="F141" s="427"/>
    </row>
    <row r="142" spans="4:6" ht="15.75" customHeight="1" x14ac:dyDescent="0.3">
      <c r="D142" s="427"/>
      <c r="F142" s="427"/>
    </row>
    <row r="143" spans="4:6" ht="15.75" customHeight="1" x14ac:dyDescent="0.3">
      <c r="D143" s="427"/>
      <c r="F143" s="427"/>
    </row>
    <row r="144" spans="4:6" ht="15.75" customHeight="1" x14ac:dyDescent="0.3">
      <c r="D144" s="427"/>
      <c r="F144" s="427"/>
    </row>
    <row r="145" spans="4:6" ht="15.75" customHeight="1" x14ac:dyDescent="0.3">
      <c r="D145" s="427"/>
      <c r="F145" s="427"/>
    </row>
    <row r="146" spans="4:6" ht="15.75" customHeight="1" x14ac:dyDescent="0.3">
      <c r="D146" s="427"/>
      <c r="F146" s="427"/>
    </row>
    <row r="147" spans="4:6" ht="15.75" customHeight="1" x14ac:dyDescent="0.3">
      <c r="D147" s="427"/>
      <c r="F147" s="427"/>
    </row>
    <row r="148" spans="4:6" ht="15.75" customHeight="1" x14ac:dyDescent="0.3">
      <c r="D148" s="427"/>
      <c r="F148" s="427"/>
    </row>
    <row r="149" spans="4:6" ht="15.75" customHeight="1" x14ac:dyDescent="0.3">
      <c r="D149" s="427"/>
      <c r="F149" s="427"/>
    </row>
    <row r="150" spans="4:6" ht="15.75" customHeight="1" x14ac:dyDescent="0.3">
      <c r="D150" s="427"/>
      <c r="F150" s="427"/>
    </row>
    <row r="151" spans="4:6" ht="15.75" customHeight="1" x14ac:dyDescent="0.3">
      <c r="D151" s="427"/>
      <c r="F151" s="427"/>
    </row>
    <row r="152" spans="4:6" ht="15.75" customHeight="1" x14ac:dyDescent="0.3">
      <c r="D152" s="427"/>
      <c r="F152" s="427"/>
    </row>
    <row r="153" spans="4:6" ht="15.75" customHeight="1" x14ac:dyDescent="0.3">
      <c r="D153" s="427"/>
      <c r="F153" s="427"/>
    </row>
    <row r="154" spans="4:6" ht="15.75" customHeight="1" x14ac:dyDescent="0.3">
      <c r="D154" s="427"/>
      <c r="F154" s="427"/>
    </row>
    <row r="155" spans="4:6" ht="15.75" customHeight="1" x14ac:dyDescent="0.3">
      <c r="D155" s="427"/>
      <c r="F155" s="427"/>
    </row>
    <row r="156" spans="4:6" ht="15.75" customHeight="1" x14ac:dyDescent="0.3">
      <c r="D156" s="427"/>
      <c r="F156" s="427"/>
    </row>
    <row r="157" spans="4:6" ht="15.75" customHeight="1" x14ac:dyDescent="0.3">
      <c r="D157" s="427"/>
      <c r="F157" s="427"/>
    </row>
    <row r="158" spans="4:6" ht="15.75" customHeight="1" x14ac:dyDescent="0.3">
      <c r="D158" s="427"/>
      <c r="F158" s="427"/>
    </row>
    <row r="159" spans="4:6" ht="15.75" customHeight="1" x14ac:dyDescent="0.3">
      <c r="D159" s="427"/>
      <c r="F159" s="427"/>
    </row>
    <row r="160" spans="4:6" ht="15.75" customHeight="1" x14ac:dyDescent="0.3">
      <c r="D160" s="427"/>
      <c r="F160" s="427"/>
    </row>
    <row r="161" spans="4:6" ht="15.75" customHeight="1" x14ac:dyDescent="0.3">
      <c r="D161" s="427"/>
      <c r="F161" s="427"/>
    </row>
    <row r="162" spans="4:6" ht="15.75" customHeight="1" x14ac:dyDescent="0.3">
      <c r="D162" s="427"/>
      <c r="F162" s="427"/>
    </row>
    <row r="163" spans="4:6" ht="15.75" customHeight="1" x14ac:dyDescent="0.3">
      <c r="D163" s="427"/>
      <c r="F163" s="427"/>
    </row>
    <row r="164" spans="4:6" ht="15.75" customHeight="1" x14ac:dyDescent="0.3">
      <c r="D164" s="427"/>
      <c r="F164" s="427"/>
    </row>
    <row r="165" spans="4:6" ht="15.75" customHeight="1" x14ac:dyDescent="0.3">
      <c r="D165" s="427"/>
      <c r="F165" s="427"/>
    </row>
    <row r="166" spans="4:6" ht="15.75" customHeight="1" x14ac:dyDescent="0.3">
      <c r="D166" s="427"/>
      <c r="F166" s="427"/>
    </row>
    <row r="167" spans="4:6" ht="15.75" customHeight="1" x14ac:dyDescent="0.3">
      <c r="D167" s="427"/>
      <c r="F167" s="427"/>
    </row>
    <row r="168" spans="4:6" ht="15.75" customHeight="1" x14ac:dyDescent="0.3">
      <c r="D168" s="427"/>
      <c r="F168" s="427"/>
    </row>
    <row r="169" spans="4:6" ht="15.75" customHeight="1" x14ac:dyDescent="0.3">
      <c r="D169" s="427"/>
      <c r="F169" s="427"/>
    </row>
    <row r="170" spans="4:6" ht="15.75" customHeight="1" x14ac:dyDescent="0.3">
      <c r="D170" s="427"/>
      <c r="F170" s="427"/>
    </row>
    <row r="171" spans="4:6" ht="15.75" customHeight="1" x14ac:dyDescent="0.3">
      <c r="D171" s="427"/>
      <c r="F171" s="427"/>
    </row>
    <row r="172" spans="4:6" ht="15.75" customHeight="1" x14ac:dyDescent="0.3">
      <c r="D172" s="427"/>
      <c r="F172" s="427"/>
    </row>
    <row r="173" spans="4:6" ht="15.75" customHeight="1" x14ac:dyDescent="0.3">
      <c r="D173" s="427"/>
      <c r="F173" s="427"/>
    </row>
    <row r="174" spans="4:6" ht="15.75" customHeight="1" x14ac:dyDescent="0.3">
      <c r="D174" s="427"/>
      <c r="F174" s="427"/>
    </row>
    <row r="175" spans="4:6" ht="15.75" customHeight="1" x14ac:dyDescent="0.3">
      <c r="D175" s="427"/>
      <c r="F175" s="427"/>
    </row>
    <row r="176" spans="4:6" ht="15.75" customHeight="1" x14ac:dyDescent="0.3">
      <c r="D176" s="427"/>
      <c r="F176" s="427"/>
    </row>
    <row r="177" spans="4:6" ht="15.75" customHeight="1" x14ac:dyDescent="0.3">
      <c r="D177" s="427"/>
      <c r="F177" s="427"/>
    </row>
    <row r="178" spans="4:6" ht="15.75" customHeight="1" x14ac:dyDescent="0.3">
      <c r="D178" s="427"/>
      <c r="F178" s="427"/>
    </row>
    <row r="179" spans="4:6" ht="15.75" customHeight="1" x14ac:dyDescent="0.3">
      <c r="D179" s="427"/>
      <c r="F179" s="427"/>
    </row>
    <row r="180" spans="4:6" ht="15.75" customHeight="1" x14ac:dyDescent="0.3">
      <c r="D180" s="427"/>
      <c r="F180" s="427"/>
    </row>
    <row r="181" spans="4:6" ht="15.75" customHeight="1" x14ac:dyDescent="0.3">
      <c r="D181" s="427"/>
      <c r="F181" s="427"/>
    </row>
    <row r="182" spans="4:6" ht="15.75" customHeight="1" x14ac:dyDescent="0.3">
      <c r="D182" s="427"/>
      <c r="F182" s="427"/>
    </row>
    <row r="183" spans="4:6" ht="15.75" customHeight="1" x14ac:dyDescent="0.3">
      <c r="D183" s="427"/>
      <c r="F183" s="427"/>
    </row>
    <row r="184" spans="4:6" ht="15.75" customHeight="1" x14ac:dyDescent="0.3">
      <c r="D184" s="427"/>
      <c r="F184" s="427"/>
    </row>
    <row r="185" spans="4:6" ht="15.75" customHeight="1" x14ac:dyDescent="0.3">
      <c r="D185" s="427"/>
      <c r="F185" s="427"/>
    </row>
    <row r="186" spans="4:6" ht="15.75" customHeight="1" x14ac:dyDescent="0.3">
      <c r="D186" s="427"/>
      <c r="F186" s="427"/>
    </row>
    <row r="187" spans="4:6" ht="15.75" customHeight="1" x14ac:dyDescent="0.3">
      <c r="D187" s="427"/>
      <c r="F187" s="427"/>
    </row>
    <row r="188" spans="4:6" ht="15.75" customHeight="1" x14ac:dyDescent="0.3">
      <c r="D188" s="427"/>
      <c r="F188" s="427"/>
    </row>
    <row r="189" spans="4:6" ht="15.75" customHeight="1" x14ac:dyDescent="0.3">
      <c r="D189" s="427"/>
      <c r="F189" s="427"/>
    </row>
    <row r="190" spans="4:6" ht="15.75" customHeight="1" x14ac:dyDescent="0.3">
      <c r="D190" s="427"/>
      <c r="F190" s="427"/>
    </row>
    <row r="191" spans="4:6" ht="15.75" customHeight="1" x14ac:dyDescent="0.3">
      <c r="D191" s="427"/>
      <c r="F191" s="427"/>
    </row>
    <row r="192" spans="4:6" ht="15.75" customHeight="1" x14ac:dyDescent="0.3">
      <c r="D192" s="427"/>
      <c r="F192" s="427"/>
    </row>
    <row r="193" spans="4:6" ht="15.75" customHeight="1" x14ac:dyDescent="0.3">
      <c r="D193" s="427"/>
      <c r="F193" s="427"/>
    </row>
    <row r="194" spans="4:6" ht="15.75" customHeight="1" x14ac:dyDescent="0.3">
      <c r="D194" s="427"/>
      <c r="F194" s="427"/>
    </row>
    <row r="195" spans="4:6" ht="15.75" customHeight="1" x14ac:dyDescent="0.3">
      <c r="D195" s="427"/>
      <c r="F195" s="427"/>
    </row>
    <row r="196" spans="4:6" ht="15.75" customHeight="1" x14ac:dyDescent="0.3">
      <c r="D196" s="427"/>
      <c r="F196" s="427"/>
    </row>
    <row r="197" spans="4:6" ht="15.75" customHeight="1" x14ac:dyDescent="0.3">
      <c r="D197" s="427"/>
      <c r="F197" s="427"/>
    </row>
    <row r="198" spans="4:6" ht="15.75" customHeight="1" x14ac:dyDescent="0.3">
      <c r="D198" s="427"/>
      <c r="F198" s="427"/>
    </row>
    <row r="199" spans="4:6" ht="15.75" customHeight="1" x14ac:dyDescent="0.3">
      <c r="D199" s="427"/>
      <c r="F199" s="427"/>
    </row>
    <row r="200" spans="4:6" ht="15.75" customHeight="1" x14ac:dyDescent="0.3">
      <c r="D200" s="427"/>
      <c r="F200" s="427"/>
    </row>
    <row r="201" spans="4:6" ht="15.75" customHeight="1" x14ac:dyDescent="0.3">
      <c r="D201" s="427"/>
      <c r="F201" s="427"/>
    </row>
    <row r="202" spans="4:6" ht="15.75" customHeight="1" x14ac:dyDescent="0.3">
      <c r="D202" s="427"/>
      <c r="F202" s="427"/>
    </row>
    <row r="203" spans="4:6" ht="15.75" customHeight="1" x14ac:dyDescent="0.3">
      <c r="D203" s="427"/>
      <c r="F203" s="427"/>
    </row>
    <row r="204" spans="4:6" ht="15.75" customHeight="1" x14ac:dyDescent="0.3">
      <c r="D204" s="427"/>
      <c r="F204" s="427"/>
    </row>
    <row r="205" spans="4:6" ht="15.75" customHeight="1" x14ac:dyDescent="0.3">
      <c r="D205" s="427"/>
      <c r="F205" s="427"/>
    </row>
    <row r="206" spans="4:6" ht="15.75" customHeight="1" x14ac:dyDescent="0.3">
      <c r="D206" s="427"/>
      <c r="F206" s="427"/>
    </row>
    <row r="207" spans="4:6" ht="15.75" customHeight="1" x14ac:dyDescent="0.3">
      <c r="D207" s="427"/>
      <c r="F207" s="427"/>
    </row>
    <row r="208" spans="4:6" ht="15.75" customHeight="1" x14ac:dyDescent="0.3">
      <c r="D208" s="427"/>
      <c r="F208" s="427"/>
    </row>
    <row r="209" spans="4:6" ht="15.75" customHeight="1" x14ac:dyDescent="0.3">
      <c r="D209" s="427"/>
      <c r="F209" s="427"/>
    </row>
    <row r="210" spans="4:6" ht="15.75" customHeight="1" x14ac:dyDescent="0.3">
      <c r="D210" s="427"/>
      <c r="F210" s="427"/>
    </row>
    <row r="211" spans="4:6" ht="15.75" customHeight="1" x14ac:dyDescent="0.3">
      <c r="D211" s="427"/>
      <c r="F211" s="427"/>
    </row>
    <row r="212" spans="4:6" ht="15.75" customHeight="1" x14ac:dyDescent="0.3">
      <c r="D212" s="427"/>
      <c r="F212" s="427"/>
    </row>
    <row r="213" spans="4:6" ht="15.75" customHeight="1" x14ac:dyDescent="0.3">
      <c r="D213" s="427"/>
      <c r="F213" s="427"/>
    </row>
    <row r="214" spans="4:6" ht="15.75" customHeight="1" x14ac:dyDescent="0.3">
      <c r="D214" s="427"/>
      <c r="F214" s="427"/>
    </row>
    <row r="215" spans="4:6" ht="15.75" customHeight="1" x14ac:dyDescent="0.3">
      <c r="D215" s="427"/>
      <c r="F215" s="427"/>
    </row>
    <row r="216" spans="4:6" ht="15.75" customHeight="1" x14ac:dyDescent="0.3">
      <c r="D216" s="427"/>
      <c r="F216" s="427"/>
    </row>
    <row r="217" spans="4:6" ht="15.75" customHeight="1" x14ac:dyDescent="0.3">
      <c r="D217" s="427"/>
      <c r="F217" s="427"/>
    </row>
    <row r="218" spans="4:6" ht="15.75" customHeight="1" x14ac:dyDescent="0.3">
      <c r="D218" s="427"/>
      <c r="F218" s="427"/>
    </row>
    <row r="219" spans="4:6" ht="15.75" customHeight="1" x14ac:dyDescent="0.3">
      <c r="D219" s="427"/>
      <c r="F219" s="427"/>
    </row>
    <row r="220" spans="4:6" ht="15.75" customHeight="1" x14ac:dyDescent="0.3">
      <c r="D220" s="427"/>
      <c r="F220" s="427"/>
    </row>
    <row r="221" spans="4:6" ht="15.75" customHeight="1" x14ac:dyDescent="0.3">
      <c r="D221" s="427"/>
      <c r="F221" s="427"/>
    </row>
    <row r="222" spans="4:6" ht="15.75" customHeight="1" x14ac:dyDescent="0.3">
      <c r="D222" s="427"/>
      <c r="F222" s="427"/>
    </row>
    <row r="223" spans="4:6" ht="15.75" customHeight="1" x14ac:dyDescent="0.3">
      <c r="D223" s="427"/>
      <c r="F223" s="427"/>
    </row>
    <row r="224" spans="4:6" ht="15.75" customHeight="1" x14ac:dyDescent="0.3">
      <c r="D224" s="427"/>
      <c r="F224" s="427"/>
    </row>
    <row r="225" spans="4:6" ht="15.75" customHeight="1" x14ac:dyDescent="0.3">
      <c r="D225" s="427"/>
      <c r="F225" s="427"/>
    </row>
    <row r="226" spans="4:6" ht="15.75" customHeight="1" x14ac:dyDescent="0.3">
      <c r="D226" s="427"/>
      <c r="F226" s="427"/>
    </row>
    <row r="227" spans="4:6" ht="15.75" customHeight="1" x14ac:dyDescent="0.3">
      <c r="D227" s="427"/>
      <c r="F227" s="427"/>
    </row>
    <row r="228" spans="4:6" ht="15.75" customHeight="1" x14ac:dyDescent="0.3">
      <c r="D228" s="427"/>
      <c r="F228" s="427"/>
    </row>
    <row r="229" spans="4:6" ht="15.75" customHeight="1" x14ac:dyDescent="0.3">
      <c r="D229" s="427"/>
      <c r="F229" s="427"/>
    </row>
    <row r="230" spans="4:6" ht="15.75" customHeight="1" x14ac:dyDescent="0.3">
      <c r="D230" s="427"/>
      <c r="F230" s="427"/>
    </row>
    <row r="231" spans="4:6" ht="15.75" customHeight="1" x14ac:dyDescent="0.3">
      <c r="D231" s="427"/>
      <c r="F231" s="427"/>
    </row>
    <row r="232" spans="4:6" ht="15.75" customHeight="1" x14ac:dyDescent="0.3">
      <c r="D232" s="427"/>
      <c r="F232" s="427"/>
    </row>
    <row r="233" spans="4:6" ht="15.75" customHeight="1" x14ac:dyDescent="0.3">
      <c r="D233" s="427"/>
      <c r="F233" s="427"/>
    </row>
    <row r="234" spans="4:6" ht="15.75" customHeight="1" x14ac:dyDescent="0.3">
      <c r="D234" s="427"/>
      <c r="F234" s="427"/>
    </row>
    <row r="235" spans="4:6" ht="15.75" customHeight="1" x14ac:dyDescent="0.3">
      <c r="D235" s="427"/>
      <c r="F235" s="427"/>
    </row>
    <row r="236" spans="4:6" ht="15.75" customHeight="1" x14ac:dyDescent="0.3">
      <c r="D236" s="427"/>
      <c r="F236" s="427"/>
    </row>
    <row r="237" spans="4:6" ht="15.75" customHeight="1" x14ac:dyDescent="0.3">
      <c r="D237" s="427"/>
      <c r="F237" s="427"/>
    </row>
    <row r="238" spans="4:6" ht="15.75" customHeight="1" x14ac:dyDescent="0.3">
      <c r="D238" s="427"/>
      <c r="F238" s="427"/>
    </row>
    <row r="239" spans="4:6" ht="15.75" customHeight="1" x14ac:dyDescent="0.3">
      <c r="D239" s="427"/>
      <c r="F239" s="427"/>
    </row>
    <row r="240" spans="4:6" ht="15.75" customHeight="1" x14ac:dyDescent="0.3">
      <c r="D240" s="427"/>
      <c r="F240" s="427"/>
    </row>
    <row r="241" spans="4:6" ht="15.75" customHeight="1" x14ac:dyDescent="0.3">
      <c r="D241" s="427"/>
      <c r="F241" s="427"/>
    </row>
    <row r="242" spans="4:6" ht="15.75" customHeight="1" x14ac:dyDescent="0.3">
      <c r="D242" s="427"/>
      <c r="F242" s="427"/>
    </row>
    <row r="243" spans="4:6" ht="15.75" customHeight="1" x14ac:dyDescent="0.3">
      <c r="D243" s="427"/>
      <c r="F243" s="427"/>
    </row>
    <row r="244" spans="4:6" ht="15.75" customHeight="1" x14ac:dyDescent="0.3">
      <c r="D244" s="427"/>
      <c r="F244" s="427"/>
    </row>
    <row r="245" spans="4:6" ht="15.75" customHeight="1" x14ac:dyDescent="0.3">
      <c r="D245" s="427"/>
      <c r="F245" s="427"/>
    </row>
    <row r="246" spans="4:6" ht="15.75" customHeight="1" x14ac:dyDescent="0.3"/>
    <row r="247" spans="4:6" ht="15.75" customHeight="1" x14ac:dyDescent="0.3"/>
    <row r="248" spans="4:6" ht="15.75" customHeight="1" x14ac:dyDescent="0.3"/>
    <row r="249" spans="4:6" ht="15.75" customHeight="1" x14ac:dyDescent="0.3"/>
    <row r="250" spans="4:6" ht="15.75" customHeight="1" x14ac:dyDescent="0.3"/>
    <row r="251" spans="4:6" ht="15.75" customHeight="1" x14ac:dyDescent="0.3"/>
    <row r="252" spans="4:6" ht="15.75" customHeight="1" x14ac:dyDescent="0.3"/>
    <row r="253" spans="4:6" ht="15.75" customHeight="1" x14ac:dyDescent="0.3"/>
    <row r="254" spans="4:6" ht="15.75" customHeight="1" x14ac:dyDescent="0.3"/>
    <row r="255" spans="4:6" ht="15.75" customHeight="1" x14ac:dyDescent="0.3"/>
    <row r="256" spans="4: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dataValidations count="1">
    <dataValidation type="list" allowBlank="1" showErrorMessage="1" sqref="B17 B27 B22" xr:uid="{9DFC2DCB-3BAF-4E0E-8536-4D5D8DA0BBF4}">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D166A-8111-47FE-883A-A0FC4EC295A4}">
  <dimension ref="A1:EC1060"/>
  <sheetViews>
    <sheetView topLeftCell="A133" zoomScale="80" zoomScaleNormal="80" workbookViewId="0">
      <selection activeCell="AC193" sqref="AC193"/>
    </sheetView>
  </sheetViews>
  <sheetFormatPr defaultColWidth="12.44140625" defaultRowHeight="15" customHeight="1" x14ac:dyDescent="0.3"/>
  <cols>
    <col min="1" max="1" width="2.6640625" style="1336" customWidth="1"/>
    <col min="2" max="2" width="6.88671875" style="1336" customWidth="1"/>
    <col min="3" max="3" width="25.5546875" style="1336" customWidth="1"/>
    <col min="4" max="4" width="46.109375" style="1336" customWidth="1"/>
    <col min="5" max="5" width="17.6640625" style="1336" customWidth="1"/>
    <col min="6" max="6" width="21.6640625" style="1336" customWidth="1"/>
    <col min="7" max="7" width="12.77734375" style="1336" customWidth="1"/>
    <col min="8" max="8" width="12.77734375" style="1336" hidden="1" customWidth="1"/>
    <col min="9" max="9" width="20.5546875" style="1336" customWidth="1"/>
    <col min="10" max="10" width="23.5546875" style="1336" hidden="1" customWidth="1"/>
    <col min="11" max="11" width="21.88671875" style="1336" hidden="1" customWidth="1"/>
    <col min="12" max="12" width="23.6640625" style="1336" hidden="1" customWidth="1"/>
    <col min="13" max="13" width="18.88671875" style="1336" hidden="1" customWidth="1"/>
    <col min="14" max="14" width="16.88671875" style="1336" hidden="1" customWidth="1"/>
    <col min="15" max="25" width="11.5546875" style="1336" hidden="1" customWidth="1"/>
    <col min="26" max="26" width="11.5546875" style="1336" customWidth="1"/>
    <col min="27" max="30" width="11.6640625" style="1336" customWidth="1"/>
    <col min="31" max="16384" width="12.44140625" style="1336"/>
  </cols>
  <sheetData>
    <row r="1" spans="1:26" ht="21.75" customHeight="1" x14ac:dyDescent="0.35">
      <c r="A1" s="1334"/>
      <c r="B1" s="1335" t="s">
        <v>2406</v>
      </c>
    </row>
    <row r="2" spans="1:26" ht="13.5" customHeight="1" x14ac:dyDescent="0.3">
      <c r="A2" s="1334"/>
      <c r="B2" s="1337" t="s">
        <v>340</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row>
    <row r="3" spans="1:26" ht="13.5" customHeight="1" x14ac:dyDescent="0.3">
      <c r="A3" s="1344"/>
      <c r="B3" s="3339"/>
      <c r="C3" s="1344"/>
      <c r="D3" s="1344"/>
      <c r="E3" s="1344"/>
      <c r="F3" s="1344"/>
      <c r="G3" s="1344"/>
      <c r="H3" s="1344"/>
      <c r="I3" s="1344"/>
      <c r="J3" s="1344"/>
      <c r="K3" s="1344"/>
      <c r="L3" s="1344"/>
      <c r="M3" s="1344"/>
      <c r="N3" s="1344"/>
      <c r="O3" s="1344"/>
      <c r="P3" s="1344"/>
      <c r="Q3" s="1344"/>
      <c r="R3" s="1344"/>
      <c r="S3" s="1344"/>
      <c r="T3" s="1344"/>
      <c r="U3" s="1344"/>
      <c r="V3" s="1344"/>
      <c r="W3" s="1344"/>
      <c r="X3" s="1344"/>
      <c r="Y3" s="1344"/>
      <c r="Z3" s="1344"/>
    </row>
    <row r="4" spans="1:26" ht="17.399999999999999" customHeight="1" x14ac:dyDescent="0.3">
      <c r="A4" s="1344"/>
      <c r="B4" s="517" t="s">
        <v>899</v>
      </c>
      <c r="C4" s="518"/>
      <c r="D4" s="518"/>
      <c r="E4" s="428"/>
      <c r="F4" s="428"/>
      <c r="G4" s="428"/>
      <c r="H4" s="428"/>
      <c r="I4" s="428"/>
      <c r="J4" s="428"/>
      <c r="K4" s="428"/>
      <c r="L4" s="428"/>
      <c r="M4" s="428"/>
      <c r="N4" s="428"/>
      <c r="O4" s="428"/>
      <c r="P4" s="428"/>
      <c r="Q4" s="428"/>
      <c r="R4" s="428"/>
      <c r="S4" s="428"/>
      <c r="T4" s="428"/>
      <c r="U4" s="428"/>
      <c r="V4" s="428"/>
      <c r="W4" s="428"/>
      <c r="X4" s="428"/>
      <c r="Y4" s="428"/>
      <c r="Z4" s="428"/>
    </row>
    <row r="5" spans="1:26" ht="17.399999999999999" customHeight="1" x14ac:dyDescent="0.3">
      <c r="A5" s="1344"/>
      <c r="B5" s="517" t="s">
        <v>341</v>
      </c>
      <c r="C5" s="518"/>
      <c r="D5" s="518"/>
      <c r="E5" s="428"/>
      <c r="F5" s="428"/>
      <c r="G5" s="428"/>
      <c r="H5" s="428"/>
      <c r="I5" s="428"/>
      <c r="J5" s="428"/>
      <c r="K5" s="428"/>
      <c r="L5" s="428"/>
      <c r="M5" s="428"/>
      <c r="N5" s="428"/>
      <c r="O5" s="428"/>
      <c r="P5" s="428"/>
      <c r="Q5" s="428"/>
      <c r="R5" s="428"/>
      <c r="S5" s="428"/>
      <c r="T5" s="428"/>
      <c r="U5" s="428"/>
      <c r="V5" s="428"/>
      <c r="W5" s="428"/>
      <c r="X5" s="428"/>
      <c r="Y5" s="428"/>
      <c r="Z5" s="428"/>
    </row>
    <row r="6" spans="1:26" ht="13.5" customHeight="1" x14ac:dyDescent="0.3">
      <c r="A6" s="1344"/>
      <c r="B6" s="516"/>
      <c r="C6" s="428"/>
      <c r="D6" s="428"/>
      <c r="E6" s="428"/>
      <c r="F6" s="428"/>
      <c r="G6" s="428"/>
      <c r="H6" s="428"/>
      <c r="I6" s="428"/>
      <c r="J6" s="428"/>
      <c r="K6" s="428"/>
      <c r="L6" s="428"/>
      <c r="M6" s="428"/>
      <c r="N6" s="428"/>
      <c r="O6" s="428"/>
      <c r="P6" s="428"/>
      <c r="Q6" s="428"/>
      <c r="R6" s="428"/>
      <c r="S6" s="428"/>
      <c r="T6" s="428"/>
      <c r="U6" s="428"/>
      <c r="V6" s="428"/>
      <c r="W6" s="428"/>
      <c r="X6" s="428"/>
      <c r="Y6" s="428"/>
      <c r="Z6" s="428"/>
    </row>
    <row r="7" spans="1:26" ht="21" customHeight="1" x14ac:dyDescent="0.3">
      <c r="A7" s="1344"/>
      <c r="B7" s="519" t="s">
        <v>342</v>
      </c>
      <c r="C7" s="428"/>
      <c r="D7" s="428"/>
      <c r="E7" s="428"/>
      <c r="F7" s="428"/>
      <c r="G7" s="428"/>
      <c r="H7" s="428"/>
      <c r="I7" s="428"/>
      <c r="J7" s="428"/>
      <c r="K7" s="428"/>
      <c r="L7" s="428"/>
      <c r="M7" s="428"/>
      <c r="N7" s="428"/>
      <c r="O7" s="428"/>
      <c r="P7" s="428"/>
      <c r="Q7" s="428"/>
      <c r="R7" s="428"/>
      <c r="S7" s="428"/>
      <c r="T7" s="428"/>
      <c r="U7" s="428"/>
      <c r="V7" s="428"/>
      <c r="W7" s="428"/>
      <c r="X7" s="428"/>
      <c r="Y7" s="428"/>
      <c r="Z7" s="428"/>
    </row>
    <row r="8" spans="1:26" ht="13.5" customHeight="1" x14ac:dyDescent="0.3">
      <c r="A8" s="1344"/>
      <c r="B8" s="520"/>
      <c r="C8" s="428"/>
      <c r="D8" s="428"/>
      <c r="E8" s="428"/>
      <c r="F8" s="428"/>
      <c r="G8" s="427"/>
      <c r="H8" s="427"/>
      <c r="I8" s="427"/>
      <c r="J8" s="427"/>
      <c r="K8" s="427"/>
      <c r="L8" s="427"/>
      <c r="M8" s="428"/>
      <c r="N8" s="428"/>
      <c r="O8" s="428"/>
      <c r="P8" s="428"/>
      <c r="Q8" s="428"/>
      <c r="R8" s="428"/>
      <c r="S8" s="428"/>
      <c r="T8" s="428"/>
      <c r="U8" s="428"/>
      <c r="V8" s="428"/>
      <c r="W8" s="428"/>
      <c r="X8" s="428"/>
      <c r="Y8" s="428"/>
      <c r="Z8" s="427"/>
    </row>
    <row r="9" spans="1:26" ht="15.75" customHeight="1" x14ac:dyDescent="0.3">
      <c r="A9" s="1344"/>
      <c r="B9" s="521" t="s">
        <v>301</v>
      </c>
      <c r="C9" s="3676" t="s">
        <v>343</v>
      </c>
      <c r="D9" s="3677" t="s">
        <v>344</v>
      </c>
      <c r="E9" s="3677" t="s">
        <v>345</v>
      </c>
      <c r="F9" s="3677" t="s">
        <v>346</v>
      </c>
      <c r="G9" s="3678" t="s">
        <v>347</v>
      </c>
      <c r="H9" s="3679">
        <v>2025</v>
      </c>
      <c r="I9" s="3679">
        <v>2024</v>
      </c>
      <c r="J9" s="3679">
        <v>2023</v>
      </c>
      <c r="K9" s="3679">
        <v>2022</v>
      </c>
      <c r="L9" s="3679">
        <v>2021</v>
      </c>
      <c r="M9" s="3679">
        <v>2020</v>
      </c>
      <c r="N9" s="3679">
        <v>2019</v>
      </c>
      <c r="O9" s="526">
        <v>2018</v>
      </c>
      <c r="P9" s="526">
        <v>2017</v>
      </c>
      <c r="Q9" s="526">
        <v>2016</v>
      </c>
      <c r="R9" s="526">
        <v>2015</v>
      </c>
      <c r="S9" s="526">
        <v>2014</v>
      </c>
      <c r="T9" s="526">
        <v>2013</v>
      </c>
      <c r="U9" s="526">
        <v>2012</v>
      </c>
      <c r="V9" s="526">
        <v>2011</v>
      </c>
      <c r="W9" s="526">
        <v>2010</v>
      </c>
      <c r="X9" s="526">
        <v>2009</v>
      </c>
      <c r="Y9" s="526">
        <v>2008</v>
      </c>
      <c r="Z9" s="527" t="s">
        <v>332</v>
      </c>
    </row>
    <row r="10" spans="1:26" ht="29.25" customHeight="1" x14ac:dyDescent="0.3">
      <c r="A10" s="1344"/>
      <c r="B10" s="3680"/>
      <c r="C10" s="3681" t="s">
        <v>1782</v>
      </c>
      <c r="D10" s="3682" t="s">
        <v>1783</v>
      </c>
      <c r="E10" s="3683" t="s">
        <v>653</v>
      </c>
      <c r="F10" s="3684"/>
      <c r="G10" s="3685">
        <v>2018</v>
      </c>
      <c r="H10" s="3686"/>
      <c r="I10" s="3687">
        <v>642375.54285714286</v>
      </c>
      <c r="J10" s="3688">
        <v>687622</v>
      </c>
      <c r="K10" s="3689">
        <v>756121</v>
      </c>
      <c r="L10" s="3689">
        <v>714572</v>
      </c>
      <c r="M10" s="3690">
        <v>552527</v>
      </c>
      <c r="N10" s="3691">
        <v>524931</v>
      </c>
      <c r="O10" s="3692">
        <v>422653</v>
      </c>
      <c r="P10" s="535"/>
      <c r="Q10" s="535"/>
      <c r="R10" s="535"/>
      <c r="S10" s="535"/>
      <c r="T10" s="535"/>
      <c r="U10" s="542"/>
      <c r="V10" s="535"/>
      <c r="W10" s="542"/>
      <c r="X10" s="535"/>
      <c r="Y10" s="542"/>
      <c r="Z10" s="535"/>
    </row>
    <row r="11" spans="1:26" ht="29.25" customHeight="1" x14ac:dyDescent="0.3">
      <c r="A11" s="1344"/>
      <c r="B11" s="3680"/>
      <c r="C11" s="3693" t="s">
        <v>1782</v>
      </c>
      <c r="D11" s="3340" t="s">
        <v>1784</v>
      </c>
      <c r="E11" s="543" t="s">
        <v>1785</v>
      </c>
      <c r="F11" s="506"/>
      <c r="G11" s="1162"/>
      <c r="H11" s="1327"/>
      <c r="I11" s="3694">
        <v>41</v>
      </c>
      <c r="J11" s="3695">
        <v>39</v>
      </c>
      <c r="K11" s="3696">
        <v>38</v>
      </c>
      <c r="L11" s="3697">
        <v>63</v>
      </c>
      <c r="M11" s="3697">
        <v>54</v>
      </c>
      <c r="N11" s="3698">
        <v>48</v>
      </c>
      <c r="O11" s="3699">
        <v>46</v>
      </c>
      <c r="P11" s="544"/>
      <c r="Q11" s="544"/>
      <c r="R11" s="544"/>
      <c r="S11" s="544"/>
      <c r="T11" s="544"/>
      <c r="U11" s="548"/>
      <c r="V11" s="544"/>
      <c r="W11" s="548"/>
      <c r="X11" s="544"/>
      <c r="Y11" s="548"/>
      <c r="Z11" s="544"/>
    </row>
    <row r="12" spans="1:26" ht="29.25" customHeight="1" x14ac:dyDescent="0.3">
      <c r="A12" s="1344"/>
      <c r="B12" s="3680"/>
      <c r="C12" s="3700" t="s">
        <v>478</v>
      </c>
      <c r="D12" s="531" t="s">
        <v>1786</v>
      </c>
      <c r="E12" s="532" t="s">
        <v>653</v>
      </c>
      <c r="F12" s="533"/>
      <c r="G12" s="1166">
        <v>2018</v>
      </c>
      <c r="H12" s="3701"/>
      <c r="I12" s="3702">
        <f>I10/I174</f>
        <v>19.767791154349926</v>
      </c>
      <c r="J12" s="3703">
        <v>13.88</v>
      </c>
      <c r="K12" s="3704">
        <v>15.08</v>
      </c>
      <c r="L12" s="3705">
        <v>15.78</v>
      </c>
      <c r="M12" s="3703">
        <v>9.41</v>
      </c>
      <c r="N12" s="3706">
        <v>12.21</v>
      </c>
      <c r="O12" s="3707">
        <v>7.46</v>
      </c>
      <c r="P12" s="550"/>
      <c r="Q12" s="550"/>
      <c r="R12" s="550"/>
      <c r="S12" s="550"/>
      <c r="T12" s="550"/>
      <c r="U12" s="542"/>
      <c r="V12" s="550"/>
      <c r="W12" s="542"/>
      <c r="X12" s="550"/>
      <c r="Y12" s="542"/>
      <c r="Z12" s="550"/>
    </row>
    <row r="13" spans="1:26" ht="29.25" customHeight="1" x14ac:dyDescent="0.3">
      <c r="A13" s="1344"/>
      <c r="B13" s="3680">
        <v>1</v>
      </c>
      <c r="C13" s="3708" t="s">
        <v>1787</v>
      </c>
      <c r="D13" s="3709" t="s">
        <v>2236</v>
      </c>
      <c r="E13" s="3710" t="s">
        <v>385</v>
      </c>
      <c r="F13" s="3711" t="s">
        <v>1788</v>
      </c>
      <c r="G13" s="3712"/>
      <c r="H13" s="3713"/>
      <c r="I13" s="3714">
        <v>328690</v>
      </c>
      <c r="J13" s="3715">
        <v>296440</v>
      </c>
      <c r="K13" s="3715">
        <v>376800</v>
      </c>
      <c r="L13" s="3715">
        <v>445080</v>
      </c>
      <c r="M13" s="3715">
        <v>359050</v>
      </c>
      <c r="N13" s="3716">
        <v>325542</v>
      </c>
      <c r="O13" s="3717">
        <v>393040</v>
      </c>
      <c r="P13" s="544"/>
      <c r="Q13" s="544"/>
      <c r="R13" s="544"/>
      <c r="S13" s="544"/>
      <c r="T13" s="544"/>
      <c r="U13" s="548"/>
      <c r="V13" s="544"/>
      <c r="W13" s="548"/>
      <c r="X13" s="544"/>
      <c r="Y13" s="548"/>
      <c r="Z13" s="544"/>
    </row>
    <row r="14" spans="1:26" ht="29.25" customHeight="1" x14ac:dyDescent="0.3">
      <c r="A14" s="1344"/>
      <c r="B14" s="3680"/>
      <c r="C14" s="3718" t="s">
        <v>1787</v>
      </c>
      <c r="D14" s="1099" t="s">
        <v>2237</v>
      </c>
      <c r="E14" s="1100" t="s">
        <v>385</v>
      </c>
      <c r="F14" s="1281" t="s">
        <v>1789</v>
      </c>
      <c r="G14" s="3719"/>
      <c r="H14" s="3720"/>
      <c r="I14" s="3721">
        <v>90389</v>
      </c>
      <c r="J14" s="3722">
        <v>90000</v>
      </c>
      <c r="K14" s="3722">
        <v>127660</v>
      </c>
      <c r="L14" s="3722">
        <v>110573</v>
      </c>
      <c r="M14" s="3722">
        <v>89639</v>
      </c>
      <c r="N14" s="3723">
        <v>89890</v>
      </c>
      <c r="O14" s="3724">
        <v>137394</v>
      </c>
      <c r="P14" s="550"/>
      <c r="Q14" s="550"/>
      <c r="R14" s="550"/>
      <c r="S14" s="550"/>
      <c r="T14" s="550"/>
      <c r="U14" s="542"/>
      <c r="V14" s="550"/>
      <c r="W14" s="542"/>
      <c r="X14" s="550"/>
      <c r="Y14" s="542"/>
      <c r="Z14" s="550"/>
    </row>
    <row r="15" spans="1:26" ht="29.25" customHeight="1" x14ac:dyDescent="0.3">
      <c r="A15" s="1344"/>
      <c r="B15" s="3680">
        <v>2</v>
      </c>
      <c r="C15" s="3725" t="s">
        <v>1787</v>
      </c>
      <c r="D15" s="3726" t="s">
        <v>1170</v>
      </c>
      <c r="E15" s="3727" t="s">
        <v>385</v>
      </c>
      <c r="F15" s="3728" t="s">
        <v>1790</v>
      </c>
      <c r="G15" s="3729"/>
      <c r="H15" s="3730"/>
      <c r="I15" s="3731">
        <v>971880</v>
      </c>
      <c r="J15" s="3732">
        <v>701080</v>
      </c>
      <c r="K15" s="3732">
        <v>659472</v>
      </c>
      <c r="L15" s="3732">
        <v>409456</v>
      </c>
      <c r="M15" s="3732">
        <v>0</v>
      </c>
      <c r="N15" s="3733">
        <v>0</v>
      </c>
      <c r="O15" s="3734"/>
      <c r="P15" s="544"/>
      <c r="Q15" s="544"/>
      <c r="R15" s="544"/>
      <c r="S15" s="544"/>
      <c r="T15" s="544"/>
      <c r="U15" s="548"/>
      <c r="V15" s="544"/>
      <c r="W15" s="548"/>
      <c r="X15" s="544"/>
      <c r="Y15" s="548"/>
      <c r="Z15" s="544"/>
    </row>
    <row r="16" spans="1:26" ht="29.25" customHeight="1" x14ac:dyDescent="0.3">
      <c r="A16" s="1344"/>
      <c r="B16" s="3680">
        <v>3</v>
      </c>
      <c r="C16" s="3735" t="s">
        <v>1787</v>
      </c>
      <c r="D16" s="3736" t="s">
        <v>2238</v>
      </c>
      <c r="E16" s="3737" t="s">
        <v>385</v>
      </c>
      <c r="F16" s="3738" t="s">
        <v>1791</v>
      </c>
      <c r="G16" s="3739"/>
      <c r="H16" s="3740"/>
      <c r="I16" s="3741">
        <v>1178737</v>
      </c>
      <c r="J16" s="3742">
        <v>1217493</v>
      </c>
      <c r="K16" s="3742">
        <v>832345</v>
      </c>
      <c r="L16" s="3742">
        <v>849808</v>
      </c>
      <c r="M16" s="3742">
        <v>797196</v>
      </c>
      <c r="N16" s="3743">
        <v>583034</v>
      </c>
      <c r="O16" s="3744">
        <v>688570</v>
      </c>
      <c r="P16" s="550"/>
      <c r="Q16" s="550"/>
      <c r="R16" s="550"/>
      <c r="S16" s="550"/>
      <c r="T16" s="550"/>
      <c r="U16" s="542"/>
      <c r="V16" s="550"/>
      <c r="W16" s="542"/>
      <c r="X16" s="550"/>
      <c r="Y16" s="542"/>
      <c r="Z16" s="550"/>
    </row>
    <row r="17" spans="1:26" ht="29.25" customHeight="1" x14ac:dyDescent="0.3">
      <c r="A17" s="1344"/>
      <c r="B17" s="3680"/>
      <c r="C17" s="3745" t="s">
        <v>1787</v>
      </c>
      <c r="D17" s="3746" t="s">
        <v>2239</v>
      </c>
      <c r="E17" s="3747" t="s">
        <v>385</v>
      </c>
      <c r="F17" s="3746" t="s">
        <v>1791</v>
      </c>
      <c r="G17" s="3748"/>
      <c r="H17" s="3748"/>
      <c r="I17" s="3748">
        <v>0</v>
      </c>
      <c r="J17" s="3749">
        <v>50467</v>
      </c>
      <c r="K17" s="3749">
        <v>50576</v>
      </c>
      <c r="L17" s="3749">
        <v>25745</v>
      </c>
      <c r="M17" s="3749">
        <v>44289</v>
      </c>
      <c r="N17" s="3750">
        <v>78317</v>
      </c>
      <c r="O17" s="3751">
        <v>75508</v>
      </c>
      <c r="P17" s="550"/>
      <c r="Q17" s="550"/>
      <c r="R17" s="550"/>
      <c r="S17" s="550"/>
      <c r="T17" s="550"/>
      <c r="U17" s="542"/>
      <c r="V17" s="550"/>
      <c r="W17" s="542"/>
      <c r="X17" s="550"/>
      <c r="Y17" s="542"/>
      <c r="Z17" s="544"/>
    </row>
    <row r="18" spans="1:26" ht="29.25" customHeight="1" x14ac:dyDescent="0.3">
      <c r="A18" s="1344"/>
      <c r="B18" s="529">
        <v>4</v>
      </c>
      <c r="C18" s="531" t="s">
        <v>1787</v>
      </c>
      <c r="D18" s="531" t="s">
        <v>2313</v>
      </c>
      <c r="E18" s="532" t="s">
        <v>385</v>
      </c>
      <c r="F18" s="533" t="s">
        <v>1792</v>
      </c>
      <c r="G18" s="3752"/>
      <c r="H18" s="3507"/>
      <c r="I18" s="3753">
        <v>107380</v>
      </c>
      <c r="J18" s="3754">
        <v>107240</v>
      </c>
      <c r="K18" s="3754">
        <v>147190</v>
      </c>
      <c r="L18" s="3754">
        <v>120200</v>
      </c>
      <c r="M18" s="3754">
        <v>142080</v>
      </c>
      <c r="N18" s="3754">
        <v>115190</v>
      </c>
      <c r="O18" s="2957">
        <v>135890</v>
      </c>
      <c r="P18" s="550"/>
      <c r="Q18" s="550"/>
      <c r="R18" s="550"/>
      <c r="S18" s="550"/>
      <c r="T18" s="550"/>
      <c r="U18" s="542"/>
      <c r="V18" s="550"/>
      <c r="W18" s="542"/>
      <c r="X18" s="550"/>
      <c r="Y18" s="542"/>
      <c r="Z18" s="550"/>
    </row>
    <row r="19" spans="1:26" ht="29.25" customHeight="1" x14ac:dyDescent="0.3">
      <c r="A19" s="1344"/>
      <c r="B19" s="529"/>
      <c r="C19" s="3755" t="s">
        <v>1787</v>
      </c>
      <c r="D19" s="3755" t="s">
        <v>2314</v>
      </c>
      <c r="E19" s="3756" t="s">
        <v>385</v>
      </c>
      <c r="F19" s="3755" t="s">
        <v>1792</v>
      </c>
      <c r="G19" s="1327"/>
      <c r="H19" s="1327"/>
      <c r="I19" s="3757">
        <v>106330</v>
      </c>
      <c r="J19" s="1164">
        <v>89810</v>
      </c>
      <c r="K19" s="1164">
        <v>113790</v>
      </c>
      <c r="L19" s="1164">
        <v>121800</v>
      </c>
      <c r="M19" s="1164">
        <v>169360</v>
      </c>
      <c r="N19" s="1164">
        <v>138980</v>
      </c>
      <c r="O19" s="3758">
        <v>119400</v>
      </c>
      <c r="P19" s="550"/>
      <c r="Q19" s="550"/>
      <c r="R19" s="550"/>
      <c r="S19" s="550"/>
      <c r="T19" s="550"/>
      <c r="U19" s="542"/>
      <c r="V19" s="550"/>
      <c r="W19" s="542"/>
      <c r="X19" s="550"/>
      <c r="Y19" s="542"/>
      <c r="Z19" s="544"/>
    </row>
    <row r="20" spans="1:26" ht="29.25" customHeight="1" x14ac:dyDescent="0.3">
      <c r="A20" s="1344"/>
      <c r="B20" s="529"/>
      <c r="C20" s="531" t="s">
        <v>1787</v>
      </c>
      <c r="D20" s="531" t="s">
        <v>2240</v>
      </c>
      <c r="E20" s="532" t="s">
        <v>385</v>
      </c>
      <c r="F20" s="533" t="s">
        <v>1792</v>
      </c>
      <c r="G20" s="3752"/>
      <c r="H20" s="3507"/>
      <c r="I20" s="3753">
        <v>217863</v>
      </c>
      <c r="J20" s="3754">
        <v>215919</v>
      </c>
      <c r="K20" s="3754">
        <v>95292</v>
      </c>
      <c r="L20" s="3754">
        <v>76930</v>
      </c>
      <c r="M20" s="3754">
        <v>140562</v>
      </c>
      <c r="N20" s="3754">
        <v>115161</v>
      </c>
      <c r="O20" s="3759">
        <v>157897</v>
      </c>
      <c r="P20" s="550"/>
      <c r="Q20" s="550"/>
      <c r="R20" s="550"/>
      <c r="S20" s="550"/>
      <c r="T20" s="550"/>
      <c r="U20" s="542"/>
      <c r="V20" s="550"/>
      <c r="W20" s="542"/>
      <c r="X20" s="550"/>
      <c r="Y20" s="542"/>
      <c r="Z20" s="550"/>
    </row>
    <row r="21" spans="1:26" ht="29.25" hidden="1" customHeight="1" x14ac:dyDescent="0.3">
      <c r="A21" s="1344"/>
      <c r="B21" s="529"/>
      <c r="C21" s="3340" t="s">
        <v>1787</v>
      </c>
      <c r="D21" s="3340" t="s">
        <v>1793</v>
      </c>
      <c r="E21" s="3760" t="s">
        <v>385</v>
      </c>
      <c r="F21" s="3761" t="s">
        <v>1794</v>
      </c>
      <c r="G21" s="3762"/>
      <c r="H21" s="3763"/>
      <c r="I21" s="3763">
        <v>0</v>
      </c>
      <c r="J21" s="3764">
        <v>81168</v>
      </c>
      <c r="K21" s="3765">
        <v>111613</v>
      </c>
      <c r="L21" s="3765">
        <v>76387</v>
      </c>
      <c r="M21" s="3765">
        <v>55767</v>
      </c>
      <c r="N21" s="3765">
        <v>14716</v>
      </c>
      <c r="O21" s="3766">
        <v>0</v>
      </c>
      <c r="P21" s="550"/>
      <c r="Q21" s="550"/>
      <c r="R21" s="550"/>
      <c r="S21" s="550"/>
      <c r="T21" s="550"/>
      <c r="U21" s="542"/>
      <c r="V21" s="550"/>
      <c r="W21" s="542"/>
      <c r="X21" s="550"/>
      <c r="Y21" s="542"/>
      <c r="Z21" s="550"/>
    </row>
    <row r="22" spans="1:26" ht="29.25" hidden="1" customHeight="1" x14ac:dyDescent="0.3">
      <c r="A22" s="1344"/>
      <c r="B22" s="529"/>
      <c r="C22" s="531" t="s">
        <v>1787</v>
      </c>
      <c r="D22" s="531" t="s">
        <v>1795</v>
      </c>
      <c r="E22" s="532" t="s">
        <v>385</v>
      </c>
      <c r="F22" s="533" t="s">
        <v>1796</v>
      </c>
      <c r="G22" s="3752"/>
      <c r="H22" s="3507"/>
      <c r="I22" s="3507">
        <v>0</v>
      </c>
      <c r="J22" s="3754">
        <v>0</v>
      </c>
      <c r="K22" s="3754">
        <v>0</v>
      </c>
      <c r="L22" s="3754">
        <v>34623</v>
      </c>
      <c r="M22" s="3754">
        <v>0</v>
      </c>
      <c r="N22" s="3754">
        <v>561942</v>
      </c>
      <c r="O22" s="2957">
        <v>559639</v>
      </c>
      <c r="P22" s="550"/>
      <c r="Q22" s="550"/>
      <c r="R22" s="550"/>
      <c r="S22" s="550"/>
      <c r="T22" s="550"/>
      <c r="U22" s="542"/>
      <c r="V22" s="550"/>
      <c r="W22" s="542"/>
      <c r="X22" s="550"/>
      <c r="Y22" s="542"/>
      <c r="Z22" s="550"/>
    </row>
    <row r="23" spans="1:26" ht="29.25" hidden="1" customHeight="1" x14ac:dyDescent="0.3">
      <c r="A23" s="1344"/>
      <c r="B23" s="529"/>
      <c r="C23" s="3340" t="s">
        <v>1787</v>
      </c>
      <c r="D23" s="3340" t="s">
        <v>1797</v>
      </c>
      <c r="E23" s="3760" t="s">
        <v>385</v>
      </c>
      <c r="F23" s="3761" t="s">
        <v>1796</v>
      </c>
      <c r="G23" s="3762"/>
      <c r="H23" s="3763"/>
      <c r="I23" s="3763">
        <v>0</v>
      </c>
      <c r="J23" s="3767">
        <v>0</v>
      </c>
      <c r="K23" s="3768">
        <v>0</v>
      </c>
      <c r="L23" s="3769">
        <v>13290</v>
      </c>
      <c r="M23" s="3768">
        <v>0</v>
      </c>
      <c r="N23" s="3769">
        <v>367169</v>
      </c>
      <c r="O23" s="3758">
        <v>1238521</v>
      </c>
      <c r="P23" s="550"/>
      <c r="Q23" s="550"/>
      <c r="R23" s="550"/>
      <c r="S23" s="550"/>
      <c r="T23" s="550"/>
      <c r="U23" s="542"/>
      <c r="V23" s="550"/>
      <c r="W23" s="542"/>
      <c r="X23" s="550"/>
      <c r="Y23" s="542"/>
      <c r="Z23" s="550"/>
    </row>
    <row r="24" spans="1:26" ht="29.25" customHeight="1" x14ac:dyDescent="0.3">
      <c r="A24" s="1344"/>
      <c r="B24" s="3680">
        <v>5</v>
      </c>
      <c r="C24" s="3770" t="s">
        <v>1787</v>
      </c>
      <c r="D24" s="3771" t="s">
        <v>1174</v>
      </c>
      <c r="E24" s="3772" t="s">
        <v>385</v>
      </c>
      <c r="F24" s="3773" t="s">
        <v>1796</v>
      </c>
      <c r="G24" s="3774"/>
      <c r="H24" s="3775"/>
      <c r="I24" s="3776">
        <v>3161402</v>
      </c>
      <c r="J24" s="3777">
        <v>3181039</v>
      </c>
      <c r="K24" s="3777">
        <v>2828035</v>
      </c>
      <c r="L24" s="3777">
        <v>2165043</v>
      </c>
      <c r="M24" s="3777">
        <v>1366591</v>
      </c>
      <c r="N24" s="3778">
        <v>1317082</v>
      </c>
      <c r="O24" s="3744">
        <v>1079724</v>
      </c>
      <c r="P24" s="550"/>
      <c r="Q24" s="550"/>
      <c r="R24" s="550"/>
      <c r="S24" s="550"/>
      <c r="T24" s="550"/>
      <c r="U24" s="542"/>
      <c r="V24" s="550"/>
      <c r="W24" s="542"/>
      <c r="X24" s="550"/>
      <c r="Y24" s="542"/>
      <c r="Z24" s="550"/>
    </row>
    <row r="25" spans="1:26" ht="29.25" hidden="1" customHeight="1" x14ac:dyDescent="0.3">
      <c r="A25" s="1344"/>
      <c r="B25" s="529"/>
      <c r="C25" s="3340" t="s">
        <v>1787</v>
      </c>
      <c r="D25" s="3340" t="s">
        <v>1798</v>
      </c>
      <c r="E25" s="3760" t="s">
        <v>385</v>
      </c>
      <c r="F25" s="3761" t="s">
        <v>1796</v>
      </c>
      <c r="G25" s="3762"/>
      <c r="H25" s="3763"/>
      <c r="I25" s="3763">
        <v>0</v>
      </c>
      <c r="J25" s="3779">
        <v>639825</v>
      </c>
      <c r="K25" s="3769">
        <v>637848</v>
      </c>
      <c r="L25" s="3769">
        <v>640629</v>
      </c>
      <c r="M25" s="3769">
        <v>205127</v>
      </c>
      <c r="N25" s="3769">
        <v>18159</v>
      </c>
      <c r="O25" s="3780">
        <v>0</v>
      </c>
      <c r="P25" s="550"/>
      <c r="Q25" s="550"/>
      <c r="R25" s="550"/>
      <c r="S25" s="550"/>
      <c r="T25" s="550"/>
      <c r="U25" s="542"/>
      <c r="V25" s="550"/>
      <c r="W25" s="542"/>
      <c r="X25" s="550"/>
      <c r="Y25" s="542"/>
      <c r="Z25" s="550"/>
    </row>
    <row r="26" spans="1:26" ht="29.25" customHeight="1" x14ac:dyDescent="0.3">
      <c r="A26" s="1344"/>
      <c r="B26" s="3680"/>
      <c r="C26" s="3770" t="s">
        <v>1787</v>
      </c>
      <c r="D26" s="3771" t="s">
        <v>2246</v>
      </c>
      <c r="E26" s="3772" t="s">
        <v>385</v>
      </c>
      <c r="F26" s="3773" t="s">
        <v>1796</v>
      </c>
      <c r="G26" s="3774"/>
      <c r="H26" s="3775"/>
      <c r="I26" s="3775">
        <v>0</v>
      </c>
      <c r="J26" s="3777">
        <v>201885</v>
      </c>
      <c r="K26" s="3777">
        <v>46670</v>
      </c>
      <c r="L26" s="3777">
        <v>17916</v>
      </c>
      <c r="M26" s="3777">
        <v>9233</v>
      </c>
      <c r="N26" s="3778">
        <v>18221</v>
      </c>
      <c r="O26" s="3744">
        <v>52709</v>
      </c>
      <c r="P26" s="550"/>
      <c r="Q26" s="550"/>
      <c r="R26" s="550"/>
      <c r="S26" s="550"/>
      <c r="T26" s="550"/>
      <c r="U26" s="542"/>
      <c r="V26" s="550"/>
      <c r="W26" s="542"/>
      <c r="X26" s="550"/>
      <c r="Y26" s="542"/>
      <c r="Z26" s="550"/>
    </row>
    <row r="27" spans="1:26" ht="29.25" customHeight="1" x14ac:dyDescent="0.3">
      <c r="A27" s="1344"/>
      <c r="B27" s="3781"/>
      <c r="C27" s="3782" t="s">
        <v>1787</v>
      </c>
      <c r="D27" s="3783" t="s">
        <v>2247</v>
      </c>
      <c r="E27" s="3784" t="s">
        <v>385</v>
      </c>
      <c r="F27" s="3783" t="s">
        <v>1796</v>
      </c>
      <c r="G27" s="3785"/>
      <c r="H27" s="3786"/>
      <c r="I27" s="3787">
        <v>37012</v>
      </c>
      <c r="J27" s="3788">
        <v>0</v>
      </c>
      <c r="K27" s="3788">
        <v>0</v>
      </c>
      <c r="L27" s="3788">
        <v>0</v>
      </c>
      <c r="M27" s="3788">
        <v>0</v>
      </c>
      <c r="N27" s="3789">
        <v>0</v>
      </c>
      <c r="O27" s="3717"/>
      <c r="P27" s="550"/>
      <c r="Q27" s="550"/>
      <c r="R27" s="550"/>
      <c r="S27" s="550"/>
      <c r="T27" s="550"/>
      <c r="U27" s="542"/>
      <c r="V27" s="550"/>
      <c r="W27" s="542"/>
      <c r="X27" s="550"/>
      <c r="Y27" s="542"/>
      <c r="Z27" s="544"/>
    </row>
    <row r="28" spans="1:26" ht="29.25" customHeight="1" x14ac:dyDescent="0.3">
      <c r="A28" s="1344"/>
      <c r="B28" s="1301"/>
      <c r="C28" s="1303" t="s">
        <v>1787</v>
      </c>
      <c r="D28" s="1303" t="s">
        <v>1174</v>
      </c>
      <c r="E28" s="3790" t="s">
        <v>385</v>
      </c>
      <c r="F28" s="1303" t="s">
        <v>1796</v>
      </c>
      <c r="G28" s="3752"/>
      <c r="H28" s="3507"/>
      <c r="I28" s="3753">
        <v>2621</v>
      </c>
      <c r="J28" s="3791">
        <v>0</v>
      </c>
      <c r="K28" s="3791">
        <v>0</v>
      </c>
      <c r="L28" s="3791">
        <v>0</v>
      </c>
      <c r="M28" s="3791">
        <v>0</v>
      </c>
      <c r="N28" s="3791">
        <v>0</v>
      </c>
      <c r="O28" s="3758"/>
      <c r="P28" s="550"/>
      <c r="Q28" s="550"/>
      <c r="R28" s="550"/>
      <c r="S28" s="550"/>
      <c r="T28" s="550"/>
      <c r="U28" s="542"/>
      <c r="V28" s="550"/>
      <c r="W28" s="542"/>
      <c r="X28" s="550"/>
      <c r="Y28" s="542"/>
      <c r="Z28" s="550"/>
    </row>
    <row r="29" spans="1:26" ht="29.25" hidden="1" customHeight="1" x14ac:dyDescent="0.3">
      <c r="A29" s="1344"/>
      <c r="B29" s="529"/>
      <c r="C29" s="3340" t="s">
        <v>1787</v>
      </c>
      <c r="D29" s="3340" t="s">
        <v>1799</v>
      </c>
      <c r="E29" s="3760" t="s">
        <v>385</v>
      </c>
      <c r="F29" s="3761" t="s">
        <v>1796</v>
      </c>
      <c r="G29" s="3762"/>
      <c r="H29" s="3763"/>
      <c r="I29" s="3763">
        <v>0</v>
      </c>
      <c r="J29" s="3792">
        <v>0</v>
      </c>
      <c r="K29" s="3498">
        <v>0</v>
      </c>
      <c r="L29" s="3498">
        <v>0</v>
      </c>
      <c r="M29" s="3498">
        <v>0</v>
      </c>
      <c r="N29" s="3498">
        <v>0</v>
      </c>
      <c r="O29" s="2957">
        <v>11810</v>
      </c>
      <c r="P29" s="550"/>
      <c r="Q29" s="550"/>
      <c r="R29" s="550"/>
      <c r="S29" s="550"/>
      <c r="T29" s="550"/>
      <c r="U29" s="542"/>
      <c r="V29" s="550"/>
      <c r="W29" s="542"/>
      <c r="X29" s="550"/>
      <c r="Y29" s="542"/>
      <c r="Z29" s="550"/>
    </row>
    <row r="30" spans="1:26" ht="29.25" customHeight="1" x14ac:dyDescent="0.3">
      <c r="A30" s="1344"/>
      <c r="B30" s="3680">
        <v>6</v>
      </c>
      <c r="C30" s="3770" t="s">
        <v>1787</v>
      </c>
      <c r="D30" s="3771" t="s">
        <v>2191</v>
      </c>
      <c r="E30" s="3772" t="s">
        <v>385</v>
      </c>
      <c r="F30" s="3773" t="s">
        <v>1796</v>
      </c>
      <c r="G30" s="3774"/>
      <c r="H30" s="3775"/>
      <c r="I30" s="3775">
        <v>0</v>
      </c>
      <c r="J30" s="3793">
        <v>769470</v>
      </c>
      <c r="K30" s="3794">
        <v>3853530</v>
      </c>
      <c r="L30" s="3777">
        <v>3215980</v>
      </c>
      <c r="M30" s="3777">
        <v>3080400</v>
      </c>
      <c r="N30" s="3778">
        <v>2801380</v>
      </c>
      <c r="O30" s="3795">
        <v>2981422</v>
      </c>
      <c r="P30" s="550"/>
      <c r="Q30" s="550"/>
      <c r="R30" s="550"/>
      <c r="S30" s="550"/>
      <c r="T30" s="550"/>
      <c r="U30" s="542"/>
      <c r="V30" s="550"/>
      <c r="W30" s="542"/>
      <c r="X30" s="550"/>
      <c r="Y30" s="542"/>
      <c r="Z30" s="550"/>
    </row>
    <row r="31" spans="1:26" ht="29.25" customHeight="1" x14ac:dyDescent="0.3">
      <c r="A31" s="1344"/>
      <c r="B31" s="3680">
        <v>7</v>
      </c>
      <c r="C31" s="3796" t="s">
        <v>1787</v>
      </c>
      <c r="D31" s="3797" t="s">
        <v>2192</v>
      </c>
      <c r="E31" s="3798" t="s">
        <v>385</v>
      </c>
      <c r="F31" s="3799" t="s">
        <v>1796</v>
      </c>
      <c r="G31" s="3785"/>
      <c r="H31" s="3786"/>
      <c r="I31" s="3800">
        <v>7435380</v>
      </c>
      <c r="J31" s="3801">
        <v>5600475</v>
      </c>
      <c r="K31" s="3802">
        <v>4888105</v>
      </c>
      <c r="L31" s="3803">
        <v>3821150</v>
      </c>
      <c r="M31" s="3803">
        <v>3768920</v>
      </c>
      <c r="N31" s="3804">
        <v>3424650</v>
      </c>
      <c r="O31" s="3805">
        <v>3979178</v>
      </c>
      <c r="P31" s="550"/>
      <c r="Q31" s="550"/>
      <c r="R31" s="550"/>
      <c r="S31" s="550"/>
      <c r="T31" s="550"/>
      <c r="U31" s="542"/>
      <c r="V31" s="550"/>
      <c r="W31" s="542"/>
      <c r="X31" s="550"/>
      <c r="Y31" s="542"/>
      <c r="Z31" s="544"/>
    </row>
    <row r="32" spans="1:26" ht="29.25" customHeight="1" x14ac:dyDescent="0.3">
      <c r="A32" s="1344"/>
      <c r="B32" s="529"/>
      <c r="C32" s="3340"/>
      <c r="D32" s="3340"/>
      <c r="E32" s="3760" t="s">
        <v>385</v>
      </c>
      <c r="F32" s="3761" t="s">
        <v>1187</v>
      </c>
      <c r="G32" s="3762"/>
      <c r="H32" s="3763"/>
      <c r="I32" s="3806">
        <f>5000/C179</f>
        <v>6941.8984315323451</v>
      </c>
      <c r="J32" s="3807"/>
      <c r="K32" s="3808"/>
      <c r="L32" s="3809"/>
      <c r="M32" s="3809"/>
      <c r="N32" s="3809"/>
      <c r="O32" s="2957"/>
      <c r="P32" s="550"/>
      <c r="Q32" s="550"/>
      <c r="R32" s="550"/>
      <c r="S32" s="550"/>
      <c r="T32" s="550"/>
      <c r="U32" s="542"/>
      <c r="V32" s="550"/>
      <c r="W32" s="542"/>
      <c r="X32" s="550"/>
      <c r="Y32" s="542"/>
      <c r="Z32" s="544"/>
    </row>
    <row r="33" spans="1:27" ht="29.25" customHeight="1" x14ac:dyDescent="0.3">
      <c r="A33" s="1344"/>
      <c r="B33" s="529">
        <v>8</v>
      </c>
      <c r="C33" s="1099" t="s">
        <v>1787</v>
      </c>
      <c r="D33" s="1099" t="s">
        <v>2193</v>
      </c>
      <c r="E33" s="532" t="s">
        <v>385</v>
      </c>
      <c r="F33" s="533" t="s">
        <v>1796</v>
      </c>
      <c r="G33" s="3752"/>
      <c r="H33" s="3507"/>
      <c r="I33" s="3753">
        <v>886370</v>
      </c>
      <c r="J33" s="3810">
        <v>728820</v>
      </c>
      <c r="K33" s="3811">
        <v>1040755</v>
      </c>
      <c r="L33" s="3812">
        <v>1147187</v>
      </c>
      <c r="M33" s="3812">
        <v>1016010</v>
      </c>
      <c r="N33" s="3812">
        <v>972200</v>
      </c>
      <c r="O33" s="3813">
        <v>1107340</v>
      </c>
      <c r="P33" s="550"/>
      <c r="Q33" s="550"/>
      <c r="R33" s="550"/>
      <c r="S33" s="550"/>
      <c r="T33" s="550"/>
      <c r="U33" s="542"/>
      <c r="V33" s="550"/>
      <c r="W33" s="542"/>
      <c r="X33" s="550"/>
      <c r="Y33" s="542"/>
      <c r="Z33" s="550"/>
    </row>
    <row r="34" spans="1:27" ht="29.25" customHeight="1" x14ac:dyDescent="0.3">
      <c r="A34" s="1344"/>
      <c r="B34" s="529">
        <v>9</v>
      </c>
      <c r="C34" s="3340" t="s">
        <v>1787</v>
      </c>
      <c r="D34" s="1099" t="s">
        <v>2194</v>
      </c>
      <c r="E34" s="3814" t="s">
        <v>385</v>
      </c>
      <c r="F34" s="3815" t="s">
        <v>1800</v>
      </c>
      <c r="G34" s="3816"/>
      <c r="H34" s="3763"/>
      <c r="I34" s="3787">
        <v>127920</v>
      </c>
      <c r="J34" s="3817">
        <v>203520</v>
      </c>
      <c r="K34" s="3818">
        <v>143360</v>
      </c>
      <c r="L34" s="3819">
        <v>162740</v>
      </c>
      <c r="M34" s="3819">
        <v>115940</v>
      </c>
      <c r="N34" s="3819">
        <v>130550</v>
      </c>
      <c r="O34" s="3820">
        <v>137570</v>
      </c>
      <c r="P34" s="550"/>
      <c r="Q34" s="550"/>
      <c r="R34" s="550"/>
      <c r="S34" s="550"/>
      <c r="T34" s="550"/>
      <c r="U34" s="542"/>
      <c r="V34" s="550"/>
      <c r="W34" s="542"/>
      <c r="X34" s="550"/>
      <c r="Y34" s="542"/>
      <c r="Z34" s="544"/>
    </row>
    <row r="35" spans="1:27" ht="29.25" hidden="1" customHeight="1" x14ac:dyDescent="0.3">
      <c r="A35" s="1344"/>
      <c r="B35" s="529"/>
      <c r="C35" s="531" t="s">
        <v>1787</v>
      </c>
      <c r="D35" s="1099" t="s">
        <v>2195</v>
      </c>
      <c r="E35" s="532" t="s">
        <v>385</v>
      </c>
      <c r="F35" s="533" t="s">
        <v>1796</v>
      </c>
      <c r="G35" s="3752"/>
      <c r="H35" s="3507"/>
      <c r="I35" s="3507">
        <v>0</v>
      </c>
      <c r="J35" s="3810">
        <v>200176</v>
      </c>
      <c r="K35" s="3810">
        <v>149978</v>
      </c>
      <c r="L35" s="3810">
        <v>183581</v>
      </c>
      <c r="M35" s="3810">
        <v>205540</v>
      </c>
      <c r="N35" s="3810">
        <v>143501</v>
      </c>
      <c r="O35" s="3821">
        <v>121846</v>
      </c>
      <c r="P35" s="550"/>
      <c r="Q35" s="550"/>
      <c r="R35" s="550"/>
      <c r="S35" s="550"/>
      <c r="T35" s="550"/>
      <c r="U35" s="542"/>
      <c r="V35" s="550"/>
      <c r="W35" s="542"/>
      <c r="X35" s="550"/>
      <c r="Y35" s="542"/>
      <c r="Z35" s="550"/>
    </row>
    <row r="36" spans="1:27" ht="29.25" hidden="1" customHeight="1" x14ac:dyDescent="0.3">
      <c r="A36" s="1344"/>
      <c r="B36" s="529"/>
      <c r="C36" s="3340" t="s">
        <v>1787</v>
      </c>
      <c r="D36" s="1099" t="s">
        <v>2196</v>
      </c>
      <c r="E36" s="3760" t="s">
        <v>385</v>
      </c>
      <c r="F36" s="3761" t="s">
        <v>1801</v>
      </c>
      <c r="G36" s="3762"/>
      <c r="H36" s="3763"/>
      <c r="I36" s="3763">
        <v>0</v>
      </c>
      <c r="J36" s="3779">
        <v>1668</v>
      </c>
      <c r="K36" s="3769">
        <v>3202</v>
      </c>
      <c r="L36" s="3768">
        <v>0</v>
      </c>
      <c r="M36" s="3768">
        <v>0</v>
      </c>
      <c r="N36" s="3768">
        <v>0</v>
      </c>
      <c r="O36" s="3822">
        <v>40769</v>
      </c>
      <c r="P36" s="550"/>
      <c r="Q36" s="550"/>
      <c r="R36" s="550"/>
      <c r="S36" s="550"/>
      <c r="T36" s="550"/>
      <c r="U36" s="542"/>
      <c r="V36" s="550"/>
      <c r="W36" s="542"/>
      <c r="X36" s="550"/>
      <c r="Y36" s="542"/>
      <c r="Z36" s="550"/>
    </row>
    <row r="37" spans="1:27" ht="29.25" hidden="1" customHeight="1" x14ac:dyDescent="0.3">
      <c r="A37" s="1344"/>
      <c r="B37" s="529"/>
      <c r="C37" s="531" t="s">
        <v>1787</v>
      </c>
      <c r="D37" s="1099" t="s">
        <v>2197</v>
      </c>
      <c r="E37" s="532" t="s">
        <v>385</v>
      </c>
      <c r="F37" s="533" t="s">
        <v>1789</v>
      </c>
      <c r="G37" s="3752"/>
      <c r="H37" s="3507"/>
      <c r="I37" s="3507">
        <v>0</v>
      </c>
      <c r="J37" s="3810">
        <v>1404</v>
      </c>
      <c r="K37" s="3810">
        <v>0</v>
      </c>
      <c r="L37" s="3810">
        <v>307</v>
      </c>
      <c r="M37" s="3810">
        <v>3629</v>
      </c>
      <c r="N37" s="3810">
        <v>3264</v>
      </c>
      <c r="O37" s="3823">
        <v>814</v>
      </c>
      <c r="P37" s="3823"/>
      <c r="Q37" s="3823"/>
      <c r="R37" s="3823"/>
      <c r="S37" s="3823"/>
      <c r="T37" s="3823"/>
      <c r="U37" s="3823"/>
      <c r="V37" s="3823"/>
      <c r="W37" s="3823"/>
      <c r="X37" s="3823"/>
      <c r="Y37" s="3823"/>
      <c r="Z37" s="3823"/>
      <c r="AA37" s="3824"/>
    </row>
    <row r="38" spans="1:27" ht="29.25" hidden="1" customHeight="1" x14ac:dyDescent="0.3">
      <c r="A38" s="1344"/>
      <c r="B38" s="529"/>
      <c r="C38" s="3340" t="s">
        <v>1787</v>
      </c>
      <c r="D38" s="1099" t="s">
        <v>2198</v>
      </c>
      <c r="E38" s="3760" t="s">
        <v>385</v>
      </c>
      <c r="F38" s="3761" t="s">
        <v>1802</v>
      </c>
      <c r="G38" s="3762"/>
      <c r="H38" s="3763"/>
      <c r="I38" s="3763">
        <v>0</v>
      </c>
      <c r="J38" s="3825">
        <v>40136</v>
      </c>
      <c r="K38" s="3825">
        <v>59289</v>
      </c>
      <c r="L38" s="3825">
        <v>47860</v>
      </c>
      <c r="M38" s="3825">
        <v>3403</v>
      </c>
      <c r="N38" s="3826">
        <v>0</v>
      </c>
      <c r="O38" s="3827">
        <v>0</v>
      </c>
      <c r="P38" s="550"/>
      <c r="Q38" s="550"/>
      <c r="R38" s="550"/>
      <c r="S38" s="550"/>
      <c r="T38" s="550"/>
      <c r="U38" s="542"/>
      <c r="V38" s="550"/>
      <c r="W38" s="542"/>
      <c r="X38" s="550"/>
      <c r="Y38" s="542"/>
      <c r="Z38" s="550"/>
    </row>
    <row r="39" spans="1:27" ht="29.25" customHeight="1" x14ac:dyDescent="0.3">
      <c r="A39" s="1344"/>
      <c r="B39" s="529">
        <v>10</v>
      </c>
      <c r="C39" s="3771" t="s">
        <v>1787</v>
      </c>
      <c r="D39" s="1099" t="s">
        <v>2195</v>
      </c>
      <c r="E39" s="3772" t="s">
        <v>385</v>
      </c>
      <c r="F39" s="3773" t="s">
        <v>1803</v>
      </c>
      <c r="G39" s="3774"/>
      <c r="H39" s="3507"/>
      <c r="I39" s="3721">
        <v>31680</v>
      </c>
      <c r="J39" s="3810">
        <v>49180</v>
      </c>
      <c r="K39" s="3828">
        <v>39030</v>
      </c>
      <c r="L39" s="3829">
        <v>70375</v>
      </c>
      <c r="M39" s="3810">
        <v>65940</v>
      </c>
      <c r="N39" s="3830">
        <v>82148</v>
      </c>
      <c r="O39" s="3831">
        <v>69440</v>
      </c>
      <c r="P39" s="550"/>
      <c r="Q39" s="550"/>
      <c r="R39" s="550"/>
      <c r="S39" s="550"/>
      <c r="T39" s="550"/>
      <c r="U39" s="542"/>
      <c r="V39" s="550"/>
      <c r="W39" s="542"/>
      <c r="X39" s="550"/>
      <c r="Y39" s="542"/>
      <c r="Z39" s="550"/>
    </row>
    <row r="40" spans="1:27" ht="29.25" customHeight="1" x14ac:dyDescent="0.3">
      <c r="A40" s="1344"/>
      <c r="B40" s="529">
        <v>11</v>
      </c>
      <c r="C40" s="3832" t="s">
        <v>1787</v>
      </c>
      <c r="D40" s="1099" t="s">
        <v>2196</v>
      </c>
      <c r="E40" s="3798" t="s">
        <v>385</v>
      </c>
      <c r="F40" s="3799" t="s">
        <v>1804</v>
      </c>
      <c r="G40" s="3833"/>
      <c r="H40" s="3834"/>
      <c r="I40" s="3835">
        <v>386880</v>
      </c>
      <c r="J40" s="3836">
        <v>347818</v>
      </c>
      <c r="K40" s="3837">
        <v>459494</v>
      </c>
      <c r="L40" s="3838">
        <v>506870</v>
      </c>
      <c r="M40" s="3839">
        <v>76410</v>
      </c>
      <c r="N40" s="3839">
        <v>370330</v>
      </c>
      <c r="O40" s="3840">
        <v>73160</v>
      </c>
      <c r="P40" s="550"/>
      <c r="Q40" s="550"/>
      <c r="R40" s="550"/>
      <c r="S40" s="550"/>
      <c r="T40" s="550"/>
      <c r="U40" s="542"/>
      <c r="V40" s="550"/>
      <c r="W40" s="542"/>
      <c r="X40" s="550"/>
      <c r="Y40" s="542"/>
      <c r="Z40" s="544"/>
    </row>
    <row r="41" spans="1:27" ht="29.25" customHeight="1" x14ac:dyDescent="0.3">
      <c r="A41" s="1344"/>
      <c r="B41" s="529">
        <v>12</v>
      </c>
      <c r="C41" s="531" t="s">
        <v>1787</v>
      </c>
      <c r="D41" s="1099" t="s">
        <v>2241</v>
      </c>
      <c r="E41" s="532" t="s">
        <v>385</v>
      </c>
      <c r="F41" s="533" t="s">
        <v>1804</v>
      </c>
      <c r="G41" s="3752"/>
      <c r="H41" s="3507"/>
      <c r="I41" s="3753">
        <v>297050</v>
      </c>
      <c r="J41" s="3841">
        <v>274030</v>
      </c>
      <c r="K41" s="3842">
        <v>266260</v>
      </c>
      <c r="L41" s="3703">
        <v>386740</v>
      </c>
      <c r="M41" s="3843">
        <v>462250</v>
      </c>
      <c r="N41" s="3844">
        <v>916880</v>
      </c>
      <c r="O41" s="3845">
        <v>732530</v>
      </c>
      <c r="P41" s="550"/>
      <c r="Q41" s="550"/>
      <c r="R41" s="550"/>
      <c r="S41" s="550"/>
      <c r="T41" s="550"/>
      <c r="U41" s="542"/>
      <c r="V41" s="550"/>
      <c r="W41" s="542"/>
      <c r="X41" s="550"/>
      <c r="Y41" s="542"/>
      <c r="Z41" s="550"/>
    </row>
    <row r="42" spans="1:27" ht="29.25" customHeight="1" x14ac:dyDescent="0.3">
      <c r="A42" s="1344"/>
      <c r="B42" s="529"/>
      <c r="C42" s="3340" t="s">
        <v>1787</v>
      </c>
      <c r="D42" s="3846" t="s">
        <v>2242</v>
      </c>
      <c r="E42" s="3760" t="s">
        <v>385</v>
      </c>
      <c r="F42" s="3761" t="s">
        <v>1804</v>
      </c>
      <c r="G42" s="3762"/>
      <c r="H42" s="3763"/>
      <c r="I42" s="3806">
        <v>316720</v>
      </c>
      <c r="J42" s="3769">
        <v>351510</v>
      </c>
      <c r="K42" s="3847">
        <v>335760</v>
      </c>
      <c r="L42" s="3769">
        <v>295640</v>
      </c>
      <c r="M42" s="3769">
        <v>299750</v>
      </c>
      <c r="N42" s="3769">
        <v>537895</v>
      </c>
      <c r="O42" s="3822">
        <v>468405</v>
      </c>
      <c r="P42" s="550"/>
      <c r="Q42" s="550"/>
      <c r="R42" s="550"/>
      <c r="S42" s="550"/>
      <c r="T42" s="550"/>
      <c r="U42" s="542"/>
      <c r="V42" s="550"/>
      <c r="W42" s="542"/>
      <c r="X42" s="550"/>
      <c r="Y42" s="542"/>
      <c r="Z42" s="544"/>
    </row>
    <row r="43" spans="1:27" ht="29.25" customHeight="1" x14ac:dyDescent="0.3">
      <c r="A43" s="1344"/>
      <c r="B43" s="529"/>
      <c r="C43" s="531" t="s">
        <v>1787</v>
      </c>
      <c r="D43" s="531" t="s">
        <v>2243</v>
      </c>
      <c r="E43" s="532" t="s">
        <v>385</v>
      </c>
      <c r="F43" s="533" t="s">
        <v>1804</v>
      </c>
      <c r="G43" s="3752"/>
      <c r="H43" s="3507"/>
      <c r="I43" s="3507">
        <v>0</v>
      </c>
      <c r="J43" s="3848">
        <v>19900</v>
      </c>
      <c r="K43" s="3703">
        <v>99680</v>
      </c>
      <c r="L43" s="3703">
        <v>165178</v>
      </c>
      <c r="M43" s="3705">
        <v>198020</v>
      </c>
      <c r="N43" s="3849">
        <v>178650</v>
      </c>
      <c r="O43" s="3845">
        <v>166350</v>
      </c>
      <c r="P43" s="550"/>
      <c r="Q43" s="550"/>
      <c r="R43" s="550"/>
      <c r="S43" s="550"/>
      <c r="T43" s="550"/>
      <c r="U43" s="542"/>
      <c r="V43" s="550"/>
      <c r="W43" s="542"/>
      <c r="X43" s="550"/>
      <c r="Y43" s="542"/>
      <c r="Z43" s="550"/>
    </row>
    <row r="44" spans="1:27" ht="29.25" customHeight="1" x14ac:dyDescent="0.3">
      <c r="A44" s="1344"/>
      <c r="B44" s="529"/>
      <c r="C44" s="3340" t="s">
        <v>1787</v>
      </c>
      <c r="D44" s="3846" t="s">
        <v>2244</v>
      </c>
      <c r="E44" s="3760" t="s">
        <v>385</v>
      </c>
      <c r="F44" s="3761" t="s">
        <v>1804</v>
      </c>
      <c r="G44" s="3762"/>
      <c r="H44" s="3763"/>
      <c r="I44" s="3806">
        <v>937842</v>
      </c>
      <c r="J44" s="3769">
        <v>840681</v>
      </c>
      <c r="K44" s="3847">
        <v>863481</v>
      </c>
      <c r="L44" s="3769">
        <v>953320</v>
      </c>
      <c r="M44" s="3769">
        <v>1001280</v>
      </c>
      <c r="N44" s="3769">
        <v>878726</v>
      </c>
      <c r="O44" s="3758">
        <v>795910</v>
      </c>
      <c r="P44" s="550"/>
      <c r="Q44" s="550"/>
      <c r="R44" s="550"/>
      <c r="S44" s="550"/>
      <c r="T44" s="550"/>
      <c r="U44" s="542"/>
      <c r="V44" s="550"/>
      <c r="W44" s="542"/>
      <c r="X44" s="550"/>
      <c r="Y44" s="542"/>
      <c r="Z44" s="544"/>
    </row>
    <row r="45" spans="1:27" ht="29.25" customHeight="1" x14ac:dyDescent="0.3">
      <c r="A45" s="1344"/>
      <c r="B45" s="529"/>
      <c r="C45" s="1099" t="s">
        <v>1787</v>
      </c>
      <c r="D45" s="531" t="s">
        <v>2245</v>
      </c>
      <c r="E45" s="1100" t="s">
        <v>385</v>
      </c>
      <c r="F45" s="533" t="s">
        <v>1804</v>
      </c>
      <c r="G45" s="3850"/>
      <c r="H45" s="3507"/>
      <c r="I45" s="3753">
        <v>162270</v>
      </c>
      <c r="J45" s="3851">
        <v>162320</v>
      </c>
      <c r="K45" s="3852">
        <v>170420</v>
      </c>
      <c r="L45" s="3852">
        <v>0</v>
      </c>
      <c r="M45" s="3851">
        <v>0</v>
      </c>
      <c r="N45" s="3853">
        <v>0</v>
      </c>
      <c r="O45" s="3854">
        <v>0</v>
      </c>
      <c r="P45" s="550"/>
      <c r="Q45" s="550"/>
      <c r="R45" s="550"/>
      <c r="S45" s="550"/>
      <c r="T45" s="550"/>
      <c r="U45" s="542"/>
      <c r="V45" s="550"/>
      <c r="W45" s="542"/>
      <c r="X45" s="550"/>
      <c r="Y45" s="542"/>
      <c r="Z45" s="550"/>
    </row>
    <row r="46" spans="1:27" ht="29.25" hidden="1" customHeight="1" x14ac:dyDescent="0.3">
      <c r="A46" s="1344"/>
      <c r="B46" s="529"/>
      <c r="C46" s="3340" t="s">
        <v>1787</v>
      </c>
      <c r="D46" s="3846" t="s">
        <v>1805</v>
      </c>
      <c r="E46" s="3760" t="s">
        <v>385</v>
      </c>
      <c r="F46" s="3761" t="s">
        <v>1806</v>
      </c>
      <c r="G46" s="3762"/>
      <c r="H46" s="3763"/>
      <c r="I46" s="3763">
        <v>0</v>
      </c>
      <c r="J46" s="3819">
        <v>696973</v>
      </c>
      <c r="K46" s="3819">
        <v>595934</v>
      </c>
      <c r="L46" s="3819">
        <v>812139</v>
      </c>
      <c r="M46" s="3855">
        <v>0</v>
      </c>
      <c r="N46" s="3855">
        <v>0</v>
      </c>
      <c r="O46" s="3856">
        <v>0</v>
      </c>
      <c r="P46" s="550"/>
      <c r="Q46" s="550"/>
      <c r="R46" s="550"/>
      <c r="S46" s="550"/>
      <c r="T46" s="550"/>
      <c r="U46" s="542"/>
      <c r="V46" s="550"/>
      <c r="W46" s="542"/>
      <c r="X46" s="550"/>
      <c r="Y46" s="542"/>
      <c r="Z46" s="550"/>
    </row>
    <row r="47" spans="1:27" ht="29.25" customHeight="1" x14ac:dyDescent="0.3">
      <c r="A47" s="1344"/>
      <c r="B47" s="529">
        <v>13</v>
      </c>
      <c r="C47" s="531" t="s">
        <v>1787</v>
      </c>
      <c r="D47" s="3736" t="s">
        <v>2198</v>
      </c>
      <c r="E47" s="532" t="s">
        <v>385</v>
      </c>
      <c r="F47" s="3738" t="s">
        <v>1807</v>
      </c>
      <c r="G47" s="3752"/>
      <c r="H47" s="3507"/>
      <c r="I47" s="3740">
        <v>0</v>
      </c>
      <c r="J47" s="3857">
        <v>0</v>
      </c>
      <c r="K47" s="3512">
        <v>0</v>
      </c>
      <c r="L47" s="3858">
        <v>660050</v>
      </c>
      <c r="M47" s="3858">
        <v>1024450</v>
      </c>
      <c r="N47" s="3858">
        <v>1529600</v>
      </c>
      <c r="O47" s="3759">
        <v>1714190</v>
      </c>
      <c r="P47" s="550"/>
      <c r="Q47" s="550"/>
      <c r="R47" s="550"/>
      <c r="S47" s="550"/>
      <c r="T47" s="550"/>
      <c r="U47" s="542"/>
      <c r="V47" s="550"/>
      <c r="W47" s="542"/>
      <c r="X47" s="550"/>
      <c r="Y47" s="542"/>
      <c r="Z47" s="550"/>
    </row>
    <row r="48" spans="1:27" ht="29.25" hidden="1" customHeight="1" x14ac:dyDescent="0.3">
      <c r="A48" s="1344"/>
      <c r="B48" s="529"/>
      <c r="C48" s="3340" t="s">
        <v>1787</v>
      </c>
      <c r="D48" s="3340" t="s">
        <v>1808</v>
      </c>
      <c r="E48" s="3760" t="s">
        <v>385</v>
      </c>
      <c r="F48" s="3761" t="s">
        <v>1809</v>
      </c>
      <c r="G48" s="3762"/>
      <c r="H48" s="3763"/>
      <c r="I48" s="3763">
        <v>0</v>
      </c>
      <c r="J48" s="3779">
        <v>73579</v>
      </c>
      <c r="K48" s="3859">
        <v>79596</v>
      </c>
      <c r="L48" s="3859">
        <v>86408</v>
      </c>
      <c r="M48" s="3859">
        <v>141509</v>
      </c>
      <c r="N48" s="3859">
        <v>8820</v>
      </c>
      <c r="O48" s="2960">
        <v>0</v>
      </c>
      <c r="P48" s="550"/>
      <c r="Q48" s="550"/>
      <c r="R48" s="550"/>
      <c r="S48" s="550"/>
      <c r="T48" s="550"/>
      <c r="U48" s="542"/>
      <c r="V48" s="550"/>
      <c r="W48" s="542"/>
      <c r="X48" s="550"/>
      <c r="Y48" s="542"/>
      <c r="Z48" s="550"/>
    </row>
    <row r="49" spans="1:26" ht="29.25" hidden="1" customHeight="1" x14ac:dyDescent="0.3">
      <c r="A49" s="1344"/>
      <c r="B49" s="529"/>
      <c r="C49" s="531"/>
      <c r="D49" s="531" t="s">
        <v>1810</v>
      </c>
      <c r="E49" s="532" t="s">
        <v>385</v>
      </c>
      <c r="F49" s="533" t="s">
        <v>1811</v>
      </c>
      <c r="G49" s="3752"/>
      <c r="H49" s="3507"/>
      <c r="I49" s="3507">
        <v>0</v>
      </c>
      <c r="J49" s="3705">
        <v>8924</v>
      </c>
      <c r="K49" s="3860">
        <v>0</v>
      </c>
      <c r="L49" s="3860">
        <v>0</v>
      </c>
      <c r="M49" s="3860">
        <v>0</v>
      </c>
      <c r="N49" s="3860">
        <v>0</v>
      </c>
      <c r="O49" s="3780"/>
      <c r="P49" s="550"/>
      <c r="Q49" s="550"/>
      <c r="R49" s="550"/>
      <c r="S49" s="550"/>
      <c r="T49" s="550"/>
      <c r="U49" s="542"/>
      <c r="V49" s="550"/>
      <c r="W49" s="542"/>
      <c r="X49" s="550"/>
      <c r="Y49" s="542"/>
      <c r="Z49" s="550"/>
    </row>
    <row r="50" spans="1:26" ht="29.25" customHeight="1" x14ac:dyDescent="0.3">
      <c r="A50" s="1344"/>
      <c r="B50" s="529">
        <v>14</v>
      </c>
      <c r="C50" s="3797" t="s">
        <v>1787</v>
      </c>
      <c r="D50" s="3797" t="s">
        <v>2199</v>
      </c>
      <c r="E50" s="3798" t="s">
        <v>385</v>
      </c>
      <c r="F50" s="3799" t="s">
        <v>1809</v>
      </c>
      <c r="G50" s="3785"/>
      <c r="H50" s="3786"/>
      <c r="I50" s="3787">
        <v>210384</v>
      </c>
      <c r="J50" s="3861">
        <v>233418</v>
      </c>
      <c r="K50" s="3862">
        <v>167071</v>
      </c>
      <c r="L50" s="3863">
        <v>210654</v>
      </c>
      <c r="M50" s="3863">
        <v>247498</v>
      </c>
      <c r="N50" s="3863">
        <v>195988</v>
      </c>
      <c r="O50" s="3864">
        <v>216024</v>
      </c>
      <c r="P50" s="550"/>
      <c r="Q50" s="550"/>
      <c r="R50" s="550"/>
      <c r="S50" s="550"/>
      <c r="T50" s="550"/>
      <c r="U50" s="542"/>
      <c r="V50" s="550"/>
      <c r="W50" s="542"/>
      <c r="X50" s="550"/>
      <c r="Y50" s="542"/>
      <c r="Z50" s="544"/>
    </row>
    <row r="51" spans="1:26" ht="29.25" customHeight="1" x14ac:dyDescent="0.3">
      <c r="A51" s="1344"/>
      <c r="B51" s="529">
        <v>15</v>
      </c>
      <c r="C51" s="531" t="s">
        <v>1787</v>
      </c>
      <c r="D51" s="1099" t="s">
        <v>2200</v>
      </c>
      <c r="E51" s="1100" t="s">
        <v>385</v>
      </c>
      <c r="F51" s="1281" t="s">
        <v>1807</v>
      </c>
      <c r="G51" s="3850"/>
      <c r="H51" s="3720"/>
      <c r="I51" s="3720">
        <v>0</v>
      </c>
      <c r="J51" s="3705">
        <v>355300</v>
      </c>
      <c r="K51" s="3865">
        <v>382350</v>
      </c>
      <c r="L51" s="3754">
        <v>613330</v>
      </c>
      <c r="M51" s="3860"/>
      <c r="N51" s="3754">
        <v>512775</v>
      </c>
      <c r="O51" s="3758">
        <v>454240</v>
      </c>
      <c r="P51" s="550"/>
      <c r="Q51" s="550"/>
      <c r="R51" s="550"/>
      <c r="S51" s="550"/>
      <c r="T51" s="550"/>
      <c r="U51" s="542"/>
      <c r="V51" s="550"/>
      <c r="W51" s="542"/>
      <c r="X51" s="550"/>
      <c r="Y51" s="542"/>
      <c r="Z51" s="550"/>
    </row>
    <row r="52" spans="1:26" ht="29.25" customHeight="1" x14ac:dyDescent="0.3">
      <c r="A52" s="1344"/>
      <c r="B52" s="529">
        <v>16</v>
      </c>
      <c r="C52" s="3866" t="s">
        <v>1787</v>
      </c>
      <c r="D52" s="3846" t="s">
        <v>2248</v>
      </c>
      <c r="E52" s="3760" t="s">
        <v>385</v>
      </c>
      <c r="F52" s="3761" t="s">
        <v>1804</v>
      </c>
      <c r="G52" s="3762"/>
      <c r="H52" s="3763"/>
      <c r="I52" s="3806">
        <v>421080</v>
      </c>
      <c r="J52" s="3867">
        <v>486238</v>
      </c>
      <c r="K52" s="3868">
        <v>338460</v>
      </c>
      <c r="L52" s="3869">
        <v>343990</v>
      </c>
      <c r="M52" s="3869">
        <v>289215</v>
      </c>
      <c r="N52" s="3869">
        <v>267913</v>
      </c>
      <c r="O52" s="3870">
        <v>259334</v>
      </c>
      <c r="P52" s="550"/>
      <c r="Q52" s="550"/>
      <c r="R52" s="550"/>
      <c r="S52" s="550"/>
      <c r="T52" s="550"/>
      <c r="U52" s="542"/>
      <c r="V52" s="550"/>
      <c r="W52" s="542"/>
      <c r="X52" s="550"/>
      <c r="Y52" s="542"/>
      <c r="Z52" s="544"/>
    </row>
    <row r="53" spans="1:26" ht="29.25" customHeight="1" x14ac:dyDescent="0.3">
      <c r="A53" s="1344"/>
      <c r="B53" s="529"/>
      <c r="C53" s="531" t="s">
        <v>1787</v>
      </c>
      <c r="D53" s="531" t="s">
        <v>2249</v>
      </c>
      <c r="E53" s="532" t="s">
        <v>385</v>
      </c>
      <c r="F53" s="533" t="s">
        <v>1804</v>
      </c>
      <c r="G53" s="3752"/>
      <c r="H53" s="3507"/>
      <c r="I53" s="3753">
        <v>12594</v>
      </c>
      <c r="J53" s="3871">
        <v>0</v>
      </c>
      <c r="K53" s="3514">
        <v>0</v>
      </c>
      <c r="L53" s="3860">
        <v>0</v>
      </c>
      <c r="M53" s="3860">
        <v>0</v>
      </c>
      <c r="N53" s="3860">
        <v>0</v>
      </c>
      <c r="O53" s="3780">
        <v>0</v>
      </c>
      <c r="P53" s="550"/>
      <c r="Q53" s="550"/>
      <c r="R53" s="550"/>
      <c r="S53" s="550"/>
      <c r="T53" s="550"/>
      <c r="U53" s="542"/>
      <c r="V53" s="550"/>
      <c r="W53" s="542"/>
      <c r="X53" s="550"/>
      <c r="Y53" s="542"/>
      <c r="Z53" s="550"/>
    </row>
    <row r="54" spans="1:26" ht="29.25" customHeight="1" x14ac:dyDescent="0.3">
      <c r="A54" s="1344"/>
      <c r="B54" s="529"/>
      <c r="C54" s="3832" t="s">
        <v>1787</v>
      </c>
      <c r="D54" s="3832" t="s">
        <v>2250</v>
      </c>
      <c r="E54" s="3872" t="s">
        <v>385</v>
      </c>
      <c r="F54" s="3873" t="s">
        <v>1804</v>
      </c>
      <c r="G54" s="3833"/>
      <c r="H54" s="3834"/>
      <c r="I54" s="3834">
        <v>0</v>
      </c>
      <c r="J54" s="3874">
        <v>0</v>
      </c>
      <c r="K54" s="3483">
        <v>0</v>
      </c>
      <c r="L54" s="3498">
        <v>0</v>
      </c>
      <c r="M54" s="3809">
        <v>1225</v>
      </c>
      <c r="N54" s="3498">
        <v>0</v>
      </c>
      <c r="O54" s="2957">
        <v>7960</v>
      </c>
      <c r="P54" s="550"/>
      <c r="Q54" s="550"/>
      <c r="R54" s="550"/>
      <c r="S54" s="550"/>
      <c r="T54" s="550"/>
      <c r="U54" s="542"/>
      <c r="V54" s="550"/>
      <c r="W54" s="542"/>
      <c r="X54" s="550"/>
      <c r="Y54" s="542"/>
      <c r="Z54" s="544"/>
    </row>
    <row r="55" spans="1:26" ht="29.25" customHeight="1" x14ac:dyDescent="0.3">
      <c r="A55" s="1344"/>
      <c r="B55" s="529">
        <v>17</v>
      </c>
      <c r="C55" s="531" t="s">
        <v>1787</v>
      </c>
      <c r="D55" s="531" t="s">
        <v>2251</v>
      </c>
      <c r="E55" s="532" t="s">
        <v>385</v>
      </c>
      <c r="F55" s="533" t="s">
        <v>1804</v>
      </c>
      <c r="G55" s="3752"/>
      <c r="H55" s="3507"/>
      <c r="I55" s="3507">
        <v>0</v>
      </c>
      <c r="J55" s="3875">
        <v>99020</v>
      </c>
      <c r="K55" s="3876">
        <v>342827</v>
      </c>
      <c r="L55" s="3877">
        <v>668360</v>
      </c>
      <c r="M55" s="3877">
        <v>942760</v>
      </c>
      <c r="N55" s="3877">
        <v>939101</v>
      </c>
      <c r="O55" s="3878">
        <v>1231788</v>
      </c>
      <c r="P55" s="550"/>
      <c r="Q55" s="550"/>
      <c r="R55" s="550"/>
      <c r="S55" s="550"/>
      <c r="T55" s="550"/>
      <c r="U55" s="542"/>
      <c r="V55" s="550"/>
      <c r="W55" s="542"/>
      <c r="X55" s="550"/>
      <c r="Y55" s="542"/>
      <c r="Z55" s="550"/>
    </row>
    <row r="56" spans="1:26" ht="29.25" customHeight="1" x14ac:dyDescent="0.3">
      <c r="A56" s="1344"/>
      <c r="B56" s="3879"/>
      <c r="C56" s="3880" t="s">
        <v>1787</v>
      </c>
      <c r="D56" s="3880" t="s">
        <v>2252</v>
      </c>
      <c r="E56" s="3881" t="s">
        <v>385</v>
      </c>
      <c r="F56" s="3880" t="s">
        <v>1804</v>
      </c>
      <c r="G56" s="3762"/>
      <c r="H56" s="3763"/>
      <c r="I56" s="3763">
        <v>0</v>
      </c>
      <c r="J56" s="3882">
        <v>24194</v>
      </c>
      <c r="K56" s="3808">
        <v>78562</v>
      </c>
      <c r="L56" s="3809">
        <v>99620</v>
      </c>
      <c r="M56" s="3809">
        <v>144078</v>
      </c>
      <c r="N56" s="3809">
        <v>175208</v>
      </c>
      <c r="O56" s="2957">
        <v>199194</v>
      </c>
      <c r="P56" s="550"/>
      <c r="Q56" s="550"/>
      <c r="R56" s="550"/>
      <c r="S56" s="550"/>
      <c r="T56" s="550"/>
      <c r="U56" s="542"/>
      <c r="V56" s="550"/>
      <c r="W56" s="542"/>
      <c r="X56" s="550"/>
      <c r="Y56" s="542"/>
      <c r="Z56" s="544"/>
    </row>
    <row r="57" spans="1:26" ht="29.25" customHeight="1" x14ac:dyDescent="0.3">
      <c r="A57" s="1344"/>
      <c r="B57" s="1301"/>
      <c r="C57" s="1303" t="s">
        <v>1787</v>
      </c>
      <c r="D57" s="1303" t="s">
        <v>2253</v>
      </c>
      <c r="E57" s="3883" t="s">
        <v>385</v>
      </c>
      <c r="F57" s="3884" t="s">
        <v>1804</v>
      </c>
      <c r="G57" s="3850"/>
      <c r="H57" s="3507"/>
      <c r="I57" s="3507">
        <v>0</v>
      </c>
      <c r="J57" s="3705">
        <v>2608</v>
      </c>
      <c r="K57" s="3865">
        <v>1712</v>
      </c>
      <c r="L57" s="3860">
        <v>0</v>
      </c>
      <c r="M57" s="3860">
        <v>0</v>
      </c>
      <c r="N57" s="3860">
        <v>0</v>
      </c>
      <c r="O57" s="3758">
        <v>22060</v>
      </c>
      <c r="P57" s="550"/>
      <c r="Q57" s="550"/>
      <c r="R57" s="550"/>
      <c r="S57" s="550"/>
      <c r="T57" s="550"/>
      <c r="U57" s="542"/>
      <c r="V57" s="550"/>
      <c r="W57" s="542"/>
      <c r="X57" s="550"/>
      <c r="Y57" s="542"/>
      <c r="Z57" s="550"/>
    </row>
    <row r="58" spans="1:26" ht="29.25" customHeight="1" x14ac:dyDescent="0.3">
      <c r="A58" s="1344"/>
      <c r="B58" s="1301">
        <v>18</v>
      </c>
      <c r="C58" s="3885" t="s">
        <v>1787</v>
      </c>
      <c r="D58" s="4085" t="s">
        <v>2254</v>
      </c>
      <c r="E58" s="3886" t="s">
        <v>385</v>
      </c>
      <c r="F58" s="3885" t="s">
        <v>1807</v>
      </c>
      <c r="G58" s="3762"/>
      <c r="H58" s="3507"/>
      <c r="I58" s="3887">
        <v>0</v>
      </c>
      <c r="J58" s="3888">
        <v>40966</v>
      </c>
      <c r="K58" s="3868">
        <v>24219</v>
      </c>
      <c r="L58" s="3869">
        <v>37124</v>
      </c>
      <c r="M58" s="3869">
        <v>71087</v>
      </c>
      <c r="N58" s="3869">
        <v>62566</v>
      </c>
      <c r="O58" s="3870">
        <v>437201</v>
      </c>
      <c r="P58" s="550"/>
      <c r="Q58" s="550"/>
      <c r="R58" s="550"/>
      <c r="S58" s="550"/>
      <c r="T58" s="550"/>
      <c r="U58" s="542"/>
      <c r="V58" s="550"/>
      <c r="W58" s="542"/>
      <c r="X58" s="550"/>
      <c r="Y58" s="542"/>
      <c r="Z58" s="544"/>
    </row>
    <row r="59" spans="1:26" ht="29.25" customHeight="1" x14ac:dyDescent="0.3">
      <c r="A59" s="1344"/>
      <c r="B59" s="1301"/>
      <c r="C59" s="1303" t="s">
        <v>1787</v>
      </c>
      <c r="D59" s="4086" t="s">
        <v>2255</v>
      </c>
      <c r="E59" s="3790" t="s">
        <v>385</v>
      </c>
      <c r="F59" s="1303" t="s">
        <v>1807</v>
      </c>
      <c r="G59" s="3752"/>
      <c r="H59" s="3507"/>
      <c r="I59" s="3753">
        <v>181097</v>
      </c>
      <c r="J59" s="3705">
        <v>195172</v>
      </c>
      <c r="K59" s="3865">
        <v>135722</v>
      </c>
      <c r="L59" s="3754">
        <v>183123</v>
      </c>
      <c r="M59" s="3754">
        <v>227962</v>
      </c>
      <c r="N59" s="3754">
        <v>233344</v>
      </c>
      <c r="O59" s="3758">
        <v>231213</v>
      </c>
      <c r="P59" s="550"/>
      <c r="Q59" s="550"/>
      <c r="R59" s="550"/>
      <c r="S59" s="550"/>
      <c r="T59" s="550"/>
      <c r="U59" s="542"/>
      <c r="V59" s="550"/>
      <c r="W59" s="542"/>
      <c r="X59" s="550"/>
      <c r="Y59" s="542"/>
      <c r="Z59" s="550"/>
    </row>
    <row r="60" spans="1:26" ht="29.25" customHeight="1" x14ac:dyDescent="0.3">
      <c r="A60" s="1344"/>
      <c r="B60" s="1301"/>
      <c r="C60" s="1308" t="s">
        <v>1787</v>
      </c>
      <c r="D60" s="4087" t="s">
        <v>2256</v>
      </c>
      <c r="E60" s="3889" t="s">
        <v>385</v>
      </c>
      <c r="F60" s="1308" t="s">
        <v>1812</v>
      </c>
      <c r="G60" s="3762"/>
      <c r="H60" s="3507"/>
      <c r="I60" s="3806">
        <v>375398</v>
      </c>
      <c r="J60" s="3807">
        <v>457503</v>
      </c>
      <c r="K60" s="3808">
        <v>385695</v>
      </c>
      <c r="L60" s="3809">
        <v>470958</v>
      </c>
      <c r="M60" s="3809">
        <v>448769</v>
      </c>
      <c r="N60" s="3809">
        <v>541899</v>
      </c>
      <c r="O60" s="2957">
        <v>434827</v>
      </c>
      <c r="P60" s="550"/>
      <c r="Q60" s="550"/>
      <c r="R60" s="550"/>
      <c r="S60" s="550"/>
      <c r="T60" s="550"/>
      <c r="U60" s="542"/>
      <c r="V60" s="550"/>
      <c r="W60" s="542"/>
      <c r="X60" s="550"/>
      <c r="Y60" s="542"/>
      <c r="Z60" s="544"/>
    </row>
    <row r="61" spans="1:26" ht="29.25" customHeight="1" x14ac:dyDescent="0.3">
      <c r="A61" s="1344"/>
      <c r="B61" s="1301"/>
      <c r="C61" s="1303" t="s">
        <v>1787</v>
      </c>
      <c r="D61" s="4086" t="s">
        <v>2257</v>
      </c>
      <c r="E61" s="3790" t="s">
        <v>385</v>
      </c>
      <c r="F61" s="1303" t="s">
        <v>1813</v>
      </c>
      <c r="G61" s="3752"/>
      <c r="H61" s="3507"/>
      <c r="I61" s="3753">
        <v>652121</v>
      </c>
      <c r="J61" s="3705">
        <v>735591</v>
      </c>
      <c r="K61" s="3865">
        <v>535682</v>
      </c>
      <c r="L61" s="3754">
        <v>401431</v>
      </c>
      <c r="M61" s="3754">
        <v>376673</v>
      </c>
      <c r="N61" s="3754">
        <v>284256</v>
      </c>
      <c r="O61" s="3758">
        <v>321484</v>
      </c>
      <c r="P61" s="550"/>
      <c r="Q61" s="550"/>
      <c r="R61" s="550"/>
      <c r="S61" s="550"/>
      <c r="T61" s="550"/>
      <c r="U61" s="542"/>
      <c r="V61" s="550"/>
      <c r="W61" s="542"/>
      <c r="X61" s="550"/>
      <c r="Y61" s="542"/>
      <c r="Z61" s="550"/>
    </row>
    <row r="62" spans="1:26" ht="29.25" customHeight="1" x14ac:dyDescent="0.3">
      <c r="A62" s="1344"/>
      <c r="B62" s="1301"/>
      <c r="C62" s="1308" t="s">
        <v>1787</v>
      </c>
      <c r="D62" s="4087" t="s">
        <v>2258</v>
      </c>
      <c r="E62" s="3889" t="s">
        <v>385</v>
      </c>
      <c r="F62" s="1308" t="s">
        <v>1796</v>
      </c>
      <c r="G62" s="3762"/>
      <c r="H62" s="3507"/>
      <c r="I62" s="3763">
        <v>0</v>
      </c>
      <c r="J62" s="3792">
        <v>0</v>
      </c>
      <c r="K62" s="3483">
        <v>0</v>
      </c>
      <c r="L62" s="3809">
        <v>22494</v>
      </c>
      <c r="M62" s="3498">
        <v>592</v>
      </c>
      <c r="N62" s="3498">
        <v>225</v>
      </c>
      <c r="O62" s="2958">
        <v>269</v>
      </c>
      <c r="P62" s="550"/>
      <c r="Q62" s="550"/>
      <c r="R62" s="550"/>
      <c r="S62" s="550"/>
      <c r="T62" s="550"/>
      <c r="U62" s="542"/>
      <c r="V62" s="550"/>
      <c r="W62" s="542"/>
      <c r="X62" s="550"/>
      <c r="Y62" s="542"/>
      <c r="Z62" s="544"/>
    </row>
    <row r="63" spans="1:26" ht="29.25" customHeight="1" x14ac:dyDescent="0.3">
      <c r="A63" s="1344"/>
      <c r="B63" s="1301"/>
      <c r="C63" s="531" t="s">
        <v>1787</v>
      </c>
      <c r="D63" s="4086" t="s">
        <v>2259</v>
      </c>
      <c r="E63" s="3790" t="s">
        <v>385</v>
      </c>
      <c r="F63" s="1303" t="s">
        <v>1792</v>
      </c>
      <c r="G63" s="3752"/>
      <c r="H63" s="3507"/>
      <c r="I63" s="3753">
        <v>48400</v>
      </c>
      <c r="J63" s="3860">
        <v>0</v>
      </c>
      <c r="K63" s="3865">
        <v>12200</v>
      </c>
      <c r="L63" s="3754">
        <v>31379</v>
      </c>
      <c r="M63" s="3754">
        <v>3660</v>
      </c>
      <c r="N63" s="3754">
        <v>1613</v>
      </c>
      <c r="O63" s="3758">
        <v>10971</v>
      </c>
      <c r="P63" s="550"/>
      <c r="Q63" s="550"/>
      <c r="R63" s="550"/>
      <c r="S63" s="550"/>
      <c r="T63" s="550"/>
      <c r="U63" s="542"/>
      <c r="V63" s="550"/>
      <c r="W63" s="542"/>
      <c r="X63" s="550"/>
      <c r="Y63" s="542"/>
      <c r="Z63" s="550"/>
    </row>
    <row r="64" spans="1:26" ht="29.25" customHeight="1" x14ac:dyDescent="0.3">
      <c r="A64" s="1344"/>
      <c r="B64" s="1301"/>
      <c r="C64" s="1308" t="s">
        <v>1787</v>
      </c>
      <c r="D64" s="4087" t="s">
        <v>2260</v>
      </c>
      <c r="E64" s="3889" t="s">
        <v>385</v>
      </c>
      <c r="F64" s="1308" t="s">
        <v>1814</v>
      </c>
      <c r="G64" s="3762"/>
      <c r="H64" s="3507"/>
      <c r="I64" s="3806">
        <v>204449</v>
      </c>
      <c r="J64" s="3809">
        <v>300661</v>
      </c>
      <c r="K64" s="3808">
        <v>241658</v>
      </c>
      <c r="L64" s="3809">
        <v>210857</v>
      </c>
      <c r="M64" s="3498">
        <v>0</v>
      </c>
      <c r="N64" s="3498">
        <v>0</v>
      </c>
      <c r="O64" s="2958">
        <v>0</v>
      </c>
      <c r="P64" s="550"/>
      <c r="Q64" s="550"/>
      <c r="R64" s="550"/>
      <c r="S64" s="550"/>
      <c r="T64" s="550"/>
      <c r="U64" s="542"/>
      <c r="V64" s="550"/>
      <c r="W64" s="542"/>
      <c r="X64" s="550"/>
      <c r="Y64" s="542"/>
      <c r="Z64" s="544"/>
    </row>
    <row r="65" spans="1:26" ht="29.25" customHeight="1" x14ac:dyDescent="0.3">
      <c r="A65" s="1344"/>
      <c r="B65" s="1301"/>
      <c r="C65" s="531" t="s">
        <v>1787</v>
      </c>
      <c r="D65" s="4086" t="s">
        <v>2261</v>
      </c>
      <c r="E65" s="532" t="s">
        <v>385</v>
      </c>
      <c r="F65" s="531" t="s">
        <v>1807</v>
      </c>
      <c r="G65" s="3752"/>
      <c r="H65" s="3507"/>
      <c r="I65" s="3507">
        <v>0</v>
      </c>
      <c r="J65" s="3860">
        <v>0</v>
      </c>
      <c r="K65" s="3860">
        <v>0</v>
      </c>
      <c r="L65" s="3860">
        <v>0</v>
      </c>
      <c r="M65" s="3860">
        <v>0</v>
      </c>
      <c r="N65" s="3860">
        <v>302623</v>
      </c>
      <c r="O65" s="2957">
        <v>314895</v>
      </c>
      <c r="P65" s="550"/>
      <c r="Q65" s="550"/>
      <c r="R65" s="550"/>
      <c r="S65" s="550"/>
      <c r="T65" s="550"/>
      <c r="U65" s="542"/>
      <c r="V65" s="550"/>
      <c r="W65" s="542"/>
      <c r="X65" s="550"/>
      <c r="Y65" s="542"/>
      <c r="Z65" s="550"/>
    </row>
    <row r="66" spans="1:26" ht="29.25" customHeight="1" x14ac:dyDescent="0.3">
      <c r="A66" s="1344"/>
      <c r="B66" s="1301"/>
      <c r="C66" s="3890" t="s">
        <v>1787</v>
      </c>
      <c r="D66" s="4088" t="s">
        <v>2303</v>
      </c>
      <c r="E66" s="3891" t="s">
        <v>385</v>
      </c>
      <c r="F66" s="3890" t="s">
        <v>1815</v>
      </c>
      <c r="G66" s="3762"/>
      <c r="H66" s="3763"/>
      <c r="I66" s="3806">
        <v>295950</v>
      </c>
      <c r="J66" s="3779">
        <v>277000</v>
      </c>
      <c r="K66" s="3847">
        <v>292433</v>
      </c>
      <c r="L66" s="3769">
        <v>242040</v>
      </c>
      <c r="M66" s="3769">
        <v>143100</v>
      </c>
      <c r="N66" s="3769">
        <v>192400</v>
      </c>
      <c r="O66" s="3758">
        <v>110130</v>
      </c>
      <c r="P66" s="550"/>
      <c r="Q66" s="550"/>
      <c r="R66" s="550"/>
      <c r="S66" s="550"/>
      <c r="T66" s="550"/>
      <c r="U66" s="542"/>
      <c r="V66" s="550"/>
      <c r="W66" s="542"/>
      <c r="X66" s="550"/>
      <c r="Y66" s="542"/>
      <c r="Z66" s="544"/>
    </row>
    <row r="67" spans="1:26" ht="29.25" customHeight="1" x14ac:dyDescent="0.3">
      <c r="A67" s="1344"/>
      <c r="B67" s="1301"/>
      <c r="C67" s="1303" t="s">
        <v>1787</v>
      </c>
      <c r="D67" s="4089" t="s">
        <v>2262</v>
      </c>
      <c r="E67" s="3893" t="s">
        <v>385</v>
      </c>
      <c r="F67" s="3892" t="s">
        <v>1807</v>
      </c>
      <c r="G67" s="3752"/>
      <c r="H67" s="3507"/>
      <c r="I67" s="3753">
        <v>334019</v>
      </c>
      <c r="J67" s="3894">
        <v>414137</v>
      </c>
      <c r="K67" s="3705">
        <v>369232</v>
      </c>
      <c r="L67" s="3895">
        <v>398000</v>
      </c>
      <c r="M67" s="3895">
        <v>367775</v>
      </c>
      <c r="N67" s="3896">
        <v>372985</v>
      </c>
      <c r="O67" s="2957">
        <v>366175</v>
      </c>
      <c r="P67" s="550"/>
      <c r="Q67" s="550"/>
      <c r="R67" s="550"/>
      <c r="S67" s="550"/>
      <c r="T67" s="550"/>
      <c r="U67" s="542"/>
      <c r="V67" s="550"/>
      <c r="W67" s="542"/>
      <c r="X67" s="550"/>
      <c r="Y67" s="542"/>
      <c r="Z67" s="550"/>
    </row>
    <row r="68" spans="1:26" ht="29.25" customHeight="1" x14ac:dyDescent="0.3">
      <c r="A68" s="1344"/>
      <c r="B68" s="1301">
        <v>19</v>
      </c>
      <c r="C68" s="3897" t="s">
        <v>1787</v>
      </c>
      <c r="D68" s="3897" t="s">
        <v>2204</v>
      </c>
      <c r="E68" s="3898" t="s">
        <v>385</v>
      </c>
      <c r="F68" s="3899" t="s">
        <v>1804</v>
      </c>
      <c r="G68" s="3900"/>
      <c r="H68" s="3786"/>
      <c r="I68" s="3787">
        <v>21100</v>
      </c>
      <c r="J68" s="3901">
        <v>31830</v>
      </c>
      <c r="K68" s="3902">
        <v>43260</v>
      </c>
      <c r="L68" s="3903">
        <v>64300</v>
      </c>
      <c r="M68" s="3903">
        <v>41080</v>
      </c>
      <c r="N68" s="3904">
        <v>69850</v>
      </c>
      <c r="O68" s="3905">
        <v>99780</v>
      </c>
      <c r="P68" s="550"/>
      <c r="Q68" s="550"/>
      <c r="R68" s="550"/>
      <c r="S68" s="550"/>
      <c r="T68" s="550"/>
      <c r="U68" s="542"/>
      <c r="V68" s="550"/>
      <c r="W68" s="542"/>
      <c r="X68" s="550"/>
      <c r="Y68" s="542"/>
      <c r="Z68" s="544"/>
    </row>
    <row r="69" spans="1:26" ht="29.25" customHeight="1" x14ac:dyDescent="0.3">
      <c r="A69" s="1344"/>
      <c r="B69" s="1301">
        <v>20</v>
      </c>
      <c r="C69" s="3906" t="s">
        <v>1787</v>
      </c>
      <c r="D69" s="3906" t="s">
        <v>2263</v>
      </c>
      <c r="E69" s="3907" t="s">
        <v>385</v>
      </c>
      <c r="F69" s="3906" t="s">
        <v>1807</v>
      </c>
      <c r="G69" s="3752"/>
      <c r="H69" s="3507"/>
      <c r="I69" s="3753">
        <v>281178</v>
      </c>
      <c r="J69" s="3908">
        <v>436921</v>
      </c>
      <c r="K69" s="3909">
        <v>277619</v>
      </c>
      <c r="L69" s="3909">
        <v>226989</v>
      </c>
      <c r="M69" s="3705">
        <v>119889</v>
      </c>
      <c r="N69" s="3910">
        <v>123338</v>
      </c>
      <c r="O69" s="3870">
        <v>162553</v>
      </c>
      <c r="P69" s="550"/>
      <c r="Q69" s="550"/>
      <c r="R69" s="550"/>
      <c r="S69" s="550"/>
      <c r="T69" s="550"/>
      <c r="U69" s="542"/>
      <c r="V69" s="550"/>
      <c r="W69" s="542"/>
      <c r="X69" s="550"/>
      <c r="Y69" s="542"/>
      <c r="Z69" s="550"/>
    </row>
    <row r="70" spans="1:26" ht="29.25" customHeight="1" x14ac:dyDescent="0.3">
      <c r="A70" s="1344"/>
      <c r="B70" s="1301"/>
      <c r="C70" s="3890" t="s">
        <v>1787</v>
      </c>
      <c r="D70" s="3890" t="s">
        <v>2264</v>
      </c>
      <c r="E70" s="3891" t="s">
        <v>385</v>
      </c>
      <c r="F70" s="3890" t="s">
        <v>1816</v>
      </c>
      <c r="G70" s="3762"/>
      <c r="H70" s="3763"/>
      <c r="I70" s="3806">
        <v>232122</v>
      </c>
      <c r="J70" s="3911">
        <v>107440</v>
      </c>
      <c r="K70" s="3847">
        <v>152635</v>
      </c>
      <c r="L70" s="3769">
        <v>214199</v>
      </c>
      <c r="M70" s="3769">
        <v>127830</v>
      </c>
      <c r="N70" s="3769">
        <v>185575</v>
      </c>
      <c r="O70" s="3758">
        <v>138607</v>
      </c>
      <c r="P70" s="550"/>
      <c r="Q70" s="550"/>
      <c r="R70" s="550"/>
      <c r="S70" s="550"/>
      <c r="T70" s="550"/>
      <c r="U70" s="542"/>
      <c r="V70" s="550"/>
      <c r="W70" s="542"/>
      <c r="X70" s="550"/>
      <c r="Y70" s="542"/>
      <c r="Z70" s="544"/>
    </row>
    <row r="71" spans="1:26" ht="29.25" customHeight="1" x14ac:dyDescent="0.3">
      <c r="A71" s="1344"/>
      <c r="B71" s="1301"/>
      <c r="C71" s="1303" t="s">
        <v>1787</v>
      </c>
      <c r="D71" s="1303" t="s">
        <v>2265</v>
      </c>
      <c r="E71" s="1304" t="s">
        <v>385</v>
      </c>
      <c r="F71" s="1303" t="s">
        <v>1807</v>
      </c>
      <c r="G71" s="3752"/>
      <c r="H71" s="3507"/>
      <c r="I71" s="3507">
        <v>0</v>
      </c>
      <c r="J71" s="3912">
        <v>29365</v>
      </c>
      <c r="K71" s="3704">
        <v>9108</v>
      </c>
      <c r="L71" s="3704">
        <v>54166</v>
      </c>
      <c r="M71" s="3704">
        <v>220</v>
      </c>
      <c r="N71" s="3705">
        <v>3843</v>
      </c>
      <c r="O71" s="2958">
        <v>0</v>
      </c>
      <c r="P71" s="550"/>
      <c r="Q71" s="550"/>
      <c r="R71" s="550"/>
      <c r="S71" s="550"/>
      <c r="T71" s="550"/>
      <c r="U71" s="542"/>
      <c r="V71" s="550"/>
      <c r="W71" s="542"/>
      <c r="X71" s="550"/>
      <c r="Y71" s="542"/>
      <c r="Z71" s="550"/>
    </row>
    <row r="72" spans="1:26" ht="29.25" customHeight="1" x14ac:dyDescent="0.3">
      <c r="A72" s="1344"/>
      <c r="B72" s="1301"/>
      <c r="C72" s="3880" t="s">
        <v>1787</v>
      </c>
      <c r="D72" s="3880" t="s">
        <v>2266</v>
      </c>
      <c r="E72" s="3881" t="s">
        <v>385</v>
      </c>
      <c r="F72" s="3880" t="s">
        <v>1807</v>
      </c>
      <c r="G72" s="3762"/>
      <c r="H72" s="3763"/>
      <c r="I72" s="3806">
        <v>1755238</v>
      </c>
      <c r="J72" s="3807">
        <v>1772217</v>
      </c>
      <c r="K72" s="3808">
        <v>1833397</v>
      </c>
      <c r="L72" s="3809">
        <v>1714406</v>
      </c>
      <c r="M72" s="3809">
        <v>1504953</v>
      </c>
      <c r="N72" s="3809">
        <v>1298791</v>
      </c>
      <c r="O72" s="2957">
        <v>1514523</v>
      </c>
      <c r="P72" s="550"/>
      <c r="Q72" s="550"/>
      <c r="R72" s="550"/>
      <c r="S72" s="550"/>
      <c r="T72" s="550"/>
      <c r="U72" s="542"/>
      <c r="V72" s="550"/>
      <c r="W72" s="542"/>
      <c r="X72" s="550"/>
      <c r="Y72" s="542"/>
      <c r="Z72" s="544"/>
    </row>
    <row r="73" spans="1:26" ht="29.25" hidden="1" customHeight="1" x14ac:dyDescent="0.3">
      <c r="A73" s="1344"/>
      <c r="B73" s="1301"/>
      <c r="C73" s="1303" t="s">
        <v>1787</v>
      </c>
      <c r="D73" s="1303" t="s">
        <v>1817</v>
      </c>
      <c r="E73" s="3790" t="s">
        <v>385</v>
      </c>
      <c r="F73" s="1303" t="s">
        <v>1807</v>
      </c>
      <c r="G73" s="3752"/>
      <c r="H73" s="3507"/>
      <c r="I73" s="3507">
        <v>0</v>
      </c>
      <c r="J73" s="3705">
        <v>36832</v>
      </c>
      <c r="K73" s="3754">
        <v>18569</v>
      </c>
      <c r="L73" s="3754">
        <v>17870</v>
      </c>
      <c r="M73" s="3754">
        <v>11500</v>
      </c>
      <c r="N73" s="3754">
        <v>29620</v>
      </c>
      <c r="O73" s="3758">
        <v>13930</v>
      </c>
      <c r="P73" s="550"/>
      <c r="Q73" s="550"/>
      <c r="R73" s="550"/>
      <c r="S73" s="550"/>
      <c r="T73" s="550"/>
      <c r="U73" s="542"/>
      <c r="V73" s="550"/>
      <c r="W73" s="542"/>
      <c r="X73" s="550"/>
      <c r="Y73" s="542"/>
      <c r="Z73" s="550"/>
    </row>
    <row r="74" spans="1:26" ht="29.25" customHeight="1" x14ac:dyDescent="0.3">
      <c r="A74" s="1344"/>
      <c r="B74" s="1301"/>
      <c r="C74" s="1308" t="s">
        <v>1787</v>
      </c>
      <c r="D74" s="1308" t="s">
        <v>2267</v>
      </c>
      <c r="E74" s="3889" t="s">
        <v>385</v>
      </c>
      <c r="F74" s="1308" t="s">
        <v>1789</v>
      </c>
      <c r="G74" s="3762"/>
      <c r="H74" s="3507"/>
      <c r="I74" s="3806">
        <v>20360</v>
      </c>
      <c r="J74" s="3807">
        <v>22030</v>
      </c>
      <c r="K74" s="3808">
        <v>13570</v>
      </c>
      <c r="L74" s="3809">
        <v>13080</v>
      </c>
      <c r="M74" s="3809">
        <v>25600</v>
      </c>
      <c r="N74" s="3809">
        <v>15380</v>
      </c>
      <c r="O74" s="2957">
        <v>48030</v>
      </c>
      <c r="P74" s="550"/>
      <c r="Q74" s="550"/>
      <c r="R74" s="550"/>
      <c r="S74" s="550"/>
      <c r="T74" s="550"/>
      <c r="U74" s="542"/>
      <c r="V74" s="550"/>
      <c r="W74" s="542"/>
      <c r="X74" s="550"/>
      <c r="Y74" s="542"/>
      <c r="Z74" s="544"/>
    </row>
    <row r="75" spans="1:26" ht="29.25" customHeight="1" x14ac:dyDescent="0.3">
      <c r="A75" s="1344"/>
      <c r="B75" s="1301"/>
      <c r="C75" s="1303" t="s">
        <v>1787</v>
      </c>
      <c r="D75" s="1303" t="s">
        <v>2268</v>
      </c>
      <c r="E75" s="3790" t="s">
        <v>385</v>
      </c>
      <c r="F75" s="1303" t="s">
        <v>1807</v>
      </c>
      <c r="G75" s="3752"/>
      <c r="H75" s="3507"/>
      <c r="I75" s="3507">
        <v>0</v>
      </c>
      <c r="J75" s="3705">
        <v>32934</v>
      </c>
      <c r="K75" s="3865">
        <v>14273</v>
      </c>
      <c r="L75" s="3860">
        <v>0</v>
      </c>
      <c r="M75" s="3860">
        <v>0</v>
      </c>
      <c r="N75" s="3860">
        <v>0</v>
      </c>
      <c r="O75" s="3780">
        <v>0</v>
      </c>
      <c r="P75" s="550"/>
      <c r="Q75" s="550"/>
      <c r="R75" s="550"/>
      <c r="S75" s="550"/>
      <c r="T75" s="550"/>
      <c r="U75" s="542"/>
      <c r="V75" s="550"/>
      <c r="W75" s="542"/>
      <c r="X75" s="550"/>
      <c r="Y75" s="542"/>
      <c r="Z75" s="550"/>
    </row>
    <row r="76" spans="1:26" ht="29.25" customHeight="1" x14ac:dyDescent="0.3">
      <c r="A76" s="1344"/>
      <c r="B76" s="1301"/>
      <c r="C76" s="3890" t="s">
        <v>1787</v>
      </c>
      <c r="D76" s="3880" t="s">
        <v>2270</v>
      </c>
      <c r="E76" s="3891" t="s">
        <v>385</v>
      </c>
      <c r="F76" s="3890" t="s">
        <v>1807</v>
      </c>
      <c r="G76" s="3762"/>
      <c r="H76" s="3763"/>
      <c r="I76" s="3806">
        <v>82396</v>
      </c>
      <c r="J76" s="3779">
        <v>21461</v>
      </c>
      <c r="K76" s="3913">
        <v>0</v>
      </c>
      <c r="L76" s="3913">
        <v>0</v>
      </c>
      <c r="M76" s="3913">
        <v>0</v>
      </c>
      <c r="N76" s="3913">
        <v>0</v>
      </c>
      <c r="O76" s="3914">
        <v>0</v>
      </c>
      <c r="P76" s="3914">
        <v>0</v>
      </c>
      <c r="Q76" s="3914">
        <v>0</v>
      </c>
      <c r="R76" s="3914">
        <v>0</v>
      </c>
      <c r="S76" s="3914">
        <v>0</v>
      </c>
      <c r="T76" s="3914">
        <v>0</v>
      </c>
      <c r="U76" s="3914">
        <v>0</v>
      </c>
      <c r="V76" s="3914">
        <v>0</v>
      </c>
      <c r="W76" s="3914">
        <v>0</v>
      </c>
      <c r="X76" s="3914">
        <v>0</v>
      </c>
      <c r="Y76" s="3914">
        <v>0</v>
      </c>
      <c r="Z76" s="4303">
        <v>0</v>
      </c>
    </row>
    <row r="77" spans="1:26" ht="29.25" customHeight="1" x14ac:dyDescent="0.3">
      <c r="A77" s="1344"/>
      <c r="B77" s="1301"/>
      <c r="C77" s="3915" t="s">
        <v>1787</v>
      </c>
      <c r="D77" s="1303" t="s">
        <v>2269</v>
      </c>
      <c r="E77" s="3790" t="s">
        <v>385</v>
      </c>
      <c r="F77" s="1303" t="s">
        <v>1807</v>
      </c>
      <c r="G77" s="3752"/>
      <c r="H77" s="3507"/>
      <c r="I77" s="3507">
        <v>0</v>
      </c>
      <c r="J77" s="3705">
        <v>36486</v>
      </c>
      <c r="K77" s="3514">
        <v>0</v>
      </c>
      <c r="L77" s="3916">
        <v>0</v>
      </c>
      <c r="M77" s="3916">
        <v>0</v>
      </c>
      <c r="N77" s="3916">
        <v>0</v>
      </c>
      <c r="O77" s="3914">
        <v>0</v>
      </c>
      <c r="P77" s="3914">
        <v>0</v>
      </c>
      <c r="Q77" s="3914">
        <v>0</v>
      </c>
      <c r="R77" s="3914">
        <v>0</v>
      </c>
      <c r="S77" s="3914">
        <v>0</v>
      </c>
      <c r="T77" s="3914">
        <v>0</v>
      </c>
      <c r="U77" s="3914">
        <v>0</v>
      </c>
      <c r="V77" s="3914">
        <v>0</v>
      </c>
      <c r="W77" s="3914">
        <v>0</v>
      </c>
      <c r="X77" s="3914">
        <v>0</v>
      </c>
      <c r="Y77" s="3914">
        <v>0</v>
      </c>
      <c r="Z77" s="3914">
        <v>0</v>
      </c>
    </row>
    <row r="78" spans="1:26" ht="29.25" hidden="1" customHeight="1" x14ac:dyDescent="0.3">
      <c r="A78" s="1344"/>
      <c r="B78" s="1301"/>
      <c r="C78" s="1308" t="s">
        <v>1787</v>
      </c>
      <c r="D78" s="3880" t="s">
        <v>1818</v>
      </c>
      <c r="E78" s="3917" t="s">
        <v>385</v>
      </c>
      <c r="F78" s="3918" t="s">
        <v>1809</v>
      </c>
      <c r="G78" s="3762"/>
      <c r="H78" s="3763"/>
      <c r="I78" s="3763">
        <v>0</v>
      </c>
      <c r="J78" s="3867">
        <v>199558</v>
      </c>
      <c r="K78" s="3919">
        <v>184211</v>
      </c>
      <c r="L78" s="3920">
        <v>217291</v>
      </c>
      <c r="M78" s="3920">
        <v>169941</v>
      </c>
      <c r="N78" s="3921">
        <v>0</v>
      </c>
      <c r="O78" s="3922">
        <v>0</v>
      </c>
      <c r="P78" s="550"/>
      <c r="Q78" s="550"/>
      <c r="R78" s="550"/>
      <c r="S78" s="550"/>
      <c r="T78" s="550"/>
      <c r="U78" s="542"/>
      <c r="V78" s="550"/>
      <c r="W78" s="542"/>
      <c r="X78" s="550"/>
      <c r="Y78" s="542"/>
      <c r="Z78" s="550"/>
    </row>
    <row r="79" spans="1:26" ht="29.25" customHeight="1" x14ac:dyDescent="0.3">
      <c r="A79" s="1344"/>
      <c r="B79" s="1301">
        <v>21</v>
      </c>
      <c r="C79" s="1303" t="s">
        <v>1787</v>
      </c>
      <c r="D79" s="1303" t="s">
        <v>2271</v>
      </c>
      <c r="E79" s="3923" t="s">
        <v>385</v>
      </c>
      <c r="F79" s="3924" t="s">
        <v>1789</v>
      </c>
      <c r="G79" s="3739"/>
      <c r="H79" s="3740"/>
      <c r="I79" s="3740">
        <v>0</v>
      </c>
      <c r="J79" s="3925">
        <v>107677</v>
      </c>
      <c r="K79" s="3926">
        <v>245685</v>
      </c>
      <c r="L79" s="3927">
        <v>52237</v>
      </c>
      <c r="M79" s="3754">
        <v>23240</v>
      </c>
      <c r="N79" s="3754">
        <v>12828</v>
      </c>
      <c r="O79" s="3758">
        <v>19238</v>
      </c>
      <c r="P79" s="550"/>
      <c r="Q79" s="550"/>
      <c r="R79" s="550"/>
      <c r="S79" s="550"/>
      <c r="T79" s="550"/>
      <c r="U79" s="542"/>
      <c r="V79" s="550"/>
      <c r="W79" s="542"/>
      <c r="X79" s="550"/>
      <c r="Y79" s="542"/>
      <c r="Z79" s="550"/>
    </row>
    <row r="80" spans="1:26" ht="29.25" hidden="1" customHeight="1" x14ac:dyDescent="0.3">
      <c r="A80" s="1344"/>
      <c r="B80" s="1301"/>
      <c r="C80" s="3885" t="s">
        <v>1787</v>
      </c>
      <c r="D80" s="3885" t="s">
        <v>1819</v>
      </c>
      <c r="E80" s="3886" t="s">
        <v>385</v>
      </c>
      <c r="F80" s="3918" t="s">
        <v>1809</v>
      </c>
      <c r="G80" s="3762"/>
      <c r="H80" s="3763"/>
      <c r="I80" s="3763">
        <v>0</v>
      </c>
      <c r="J80" s="3928">
        <v>579075</v>
      </c>
      <c r="K80" s="3869">
        <v>807810</v>
      </c>
      <c r="L80" s="3869">
        <v>857125</v>
      </c>
      <c r="M80" s="3869">
        <v>649767</v>
      </c>
      <c r="N80" s="3869">
        <v>453000</v>
      </c>
      <c r="O80" s="3870">
        <v>541448</v>
      </c>
      <c r="P80" s="550"/>
      <c r="Q80" s="550"/>
      <c r="R80" s="550"/>
      <c r="S80" s="550"/>
      <c r="T80" s="550"/>
      <c r="U80" s="542"/>
      <c r="V80" s="550"/>
      <c r="W80" s="542"/>
      <c r="X80" s="550"/>
      <c r="Y80" s="542"/>
      <c r="Z80" s="550"/>
    </row>
    <row r="81" spans="1:26" ht="29.25" hidden="1" customHeight="1" x14ac:dyDescent="0.3">
      <c r="A81" s="1344"/>
      <c r="B81" s="1301"/>
      <c r="C81" s="1303" t="s">
        <v>1787</v>
      </c>
      <c r="D81" s="1303" t="s">
        <v>1820</v>
      </c>
      <c r="E81" s="1304" t="s">
        <v>385</v>
      </c>
      <c r="F81" s="1303" t="s">
        <v>1809</v>
      </c>
      <c r="G81" s="3752"/>
      <c r="H81" s="3507"/>
      <c r="I81" s="3507">
        <v>0</v>
      </c>
      <c r="J81" s="3929">
        <v>1223</v>
      </c>
      <c r="K81" s="3929">
        <v>2227</v>
      </c>
      <c r="L81" s="3929">
        <v>1639</v>
      </c>
      <c r="M81" s="3929">
        <v>7554</v>
      </c>
      <c r="N81" s="3929">
        <v>11987</v>
      </c>
      <c r="O81" s="2957">
        <v>47060</v>
      </c>
      <c r="P81" s="550"/>
      <c r="Q81" s="550"/>
      <c r="R81" s="550"/>
      <c r="S81" s="550"/>
      <c r="T81" s="550"/>
      <c r="U81" s="542"/>
      <c r="V81" s="550"/>
      <c r="W81" s="542"/>
      <c r="X81" s="550"/>
      <c r="Y81" s="542"/>
      <c r="Z81" s="550"/>
    </row>
    <row r="82" spans="1:26" ht="29.25" hidden="1" customHeight="1" x14ac:dyDescent="0.3">
      <c r="A82" s="1344"/>
      <c r="B82" s="1301"/>
      <c r="C82" s="3885" t="s">
        <v>1787</v>
      </c>
      <c r="D82" s="3897" t="s">
        <v>1821</v>
      </c>
      <c r="E82" s="3898" t="s">
        <v>385</v>
      </c>
      <c r="F82" s="3897" t="s">
        <v>1822</v>
      </c>
      <c r="G82" s="3762"/>
      <c r="H82" s="3763"/>
      <c r="I82" s="3763">
        <v>0</v>
      </c>
      <c r="J82" s="3930">
        <v>422922</v>
      </c>
      <c r="K82" s="3931">
        <v>488795</v>
      </c>
      <c r="L82" s="3931">
        <v>532177</v>
      </c>
      <c r="M82" s="3931">
        <v>529497</v>
      </c>
      <c r="N82" s="3931">
        <v>413997</v>
      </c>
      <c r="O82" s="3932">
        <v>0</v>
      </c>
      <c r="P82" s="550"/>
      <c r="Q82" s="550"/>
      <c r="R82" s="550"/>
      <c r="S82" s="550"/>
      <c r="T82" s="550"/>
      <c r="U82" s="542"/>
      <c r="V82" s="550"/>
      <c r="W82" s="542"/>
      <c r="X82" s="550"/>
      <c r="Y82" s="542"/>
      <c r="Z82" s="550"/>
    </row>
    <row r="83" spans="1:26" ht="29.25" hidden="1" customHeight="1" x14ac:dyDescent="0.3">
      <c r="A83" s="1344"/>
      <c r="B83" s="1301"/>
      <c r="C83" s="1303" t="s">
        <v>1787</v>
      </c>
      <c r="D83" s="1303" t="s">
        <v>1823</v>
      </c>
      <c r="E83" s="1304" t="s">
        <v>385</v>
      </c>
      <c r="F83" s="1303" t="s">
        <v>1822</v>
      </c>
      <c r="G83" s="3752"/>
      <c r="H83" s="3507"/>
      <c r="I83" s="3507">
        <v>0</v>
      </c>
      <c r="J83" s="3929">
        <v>564394</v>
      </c>
      <c r="K83" s="3929">
        <v>471516</v>
      </c>
      <c r="L83" s="3929">
        <v>590881</v>
      </c>
      <c r="M83" s="3929">
        <v>504226</v>
      </c>
      <c r="N83" s="3929">
        <v>273664</v>
      </c>
      <c r="O83" s="2958">
        <v>0</v>
      </c>
      <c r="P83" s="550"/>
      <c r="Q83" s="550"/>
      <c r="R83" s="550"/>
      <c r="S83" s="550"/>
      <c r="T83" s="550"/>
      <c r="U83" s="542"/>
      <c r="V83" s="550"/>
      <c r="W83" s="542"/>
      <c r="X83" s="550"/>
      <c r="Y83" s="542"/>
      <c r="Z83" s="550"/>
    </row>
    <row r="84" spans="1:26" ht="29.25" hidden="1" customHeight="1" x14ac:dyDescent="0.3">
      <c r="A84" s="1344"/>
      <c r="B84" s="1301"/>
      <c r="C84" s="1308" t="s">
        <v>1787</v>
      </c>
      <c r="D84" s="3890" t="s">
        <v>1824</v>
      </c>
      <c r="E84" s="3891" t="s">
        <v>385</v>
      </c>
      <c r="F84" s="3890" t="s">
        <v>1822</v>
      </c>
      <c r="G84" s="3762"/>
      <c r="H84" s="3763"/>
      <c r="I84" s="3763">
        <v>0</v>
      </c>
      <c r="J84" s="3767">
        <v>0</v>
      </c>
      <c r="K84" s="3768">
        <v>0</v>
      </c>
      <c r="L84" s="3769">
        <v>2020</v>
      </c>
      <c r="M84" s="3769">
        <v>4592</v>
      </c>
      <c r="N84" s="3768">
        <v>0</v>
      </c>
      <c r="O84" s="3780">
        <v>0</v>
      </c>
      <c r="P84" s="550"/>
      <c r="Q84" s="550"/>
      <c r="R84" s="550"/>
      <c r="S84" s="550"/>
      <c r="T84" s="550"/>
      <c r="U84" s="542"/>
      <c r="V84" s="550"/>
      <c r="W84" s="542"/>
      <c r="X84" s="550"/>
      <c r="Y84" s="542"/>
      <c r="Z84" s="550"/>
    </row>
    <row r="85" spans="1:26" ht="29.25" hidden="1" customHeight="1" x14ac:dyDescent="0.3">
      <c r="A85" s="1344"/>
      <c r="B85" s="1301"/>
      <c r="C85" s="3906" t="s">
        <v>1787</v>
      </c>
      <c r="D85" s="3906" t="s">
        <v>1825</v>
      </c>
      <c r="E85" s="3933" t="s">
        <v>385</v>
      </c>
      <c r="F85" s="3906" t="s">
        <v>1826</v>
      </c>
      <c r="G85" s="3752"/>
      <c r="H85" s="3507"/>
      <c r="I85" s="3507">
        <v>0</v>
      </c>
      <c r="J85" s="3934">
        <v>87085</v>
      </c>
      <c r="K85" s="3877">
        <v>63007</v>
      </c>
      <c r="L85" s="3877">
        <v>64191</v>
      </c>
      <c r="M85" s="3877">
        <v>56894</v>
      </c>
      <c r="N85" s="3877">
        <v>10829</v>
      </c>
      <c r="O85" s="3878">
        <v>6520</v>
      </c>
      <c r="P85" s="550"/>
      <c r="Q85" s="550"/>
      <c r="R85" s="550"/>
      <c r="S85" s="550"/>
      <c r="T85" s="550"/>
      <c r="U85" s="542"/>
      <c r="V85" s="550"/>
      <c r="W85" s="542"/>
      <c r="X85" s="550"/>
      <c r="Y85" s="542"/>
      <c r="Z85" s="550"/>
    </row>
    <row r="86" spans="1:26" ht="29.25" hidden="1" customHeight="1" x14ac:dyDescent="0.3">
      <c r="A86" s="1344"/>
      <c r="B86" s="1301"/>
      <c r="C86" s="3935" t="s">
        <v>1787</v>
      </c>
      <c r="D86" s="3935" t="s">
        <v>1827</v>
      </c>
      <c r="E86" s="3936" t="s">
        <v>385</v>
      </c>
      <c r="F86" s="3937" t="s">
        <v>1811</v>
      </c>
      <c r="G86" s="3762"/>
      <c r="H86" s="3763"/>
      <c r="I86" s="3763">
        <v>0</v>
      </c>
      <c r="J86" s="3861">
        <v>329640</v>
      </c>
      <c r="K86" s="3863">
        <v>334217</v>
      </c>
      <c r="L86" s="3863">
        <v>926463</v>
      </c>
      <c r="M86" s="3863">
        <v>398805</v>
      </c>
      <c r="N86" s="3863">
        <v>336527</v>
      </c>
      <c r="O86" s="3864">
        <v>432408</v>
      </c>
      <c r="P86" s="550"/>
      <c r="Q86" s="550"/>
      <c r="R86" s="550"/>
      <c r="S86" s="550"/>
      <c r="T86" s="550"/>
      <c r="U86" s="542"/>
      <c r="V86" s="550"/>
      <c r="W86" s="542"/>
      <c r="X86" s="550"/>
      <c r="Y86" s="542"/>
      <c r="Z86" s="550"/>
    </row>
    <row r="87" spans="1:26" ht="29.25" hidden="1" customHeight="1" x14ac:dyDescent="0.3">
      <c r="A87" s="1344"/>
      <c r="B87" s="1301"/>
      <c r="C87" s="3906" t="s">
        <v>1787</v>
      </c>
      <c r="D87" s="3906" t="s">
        <v>1828</v>
      </c>
      <c r="E87" s="3933" t="s">
        <v>385</v>
      </c>
      <c r="F87" s="3906" t="s">
        <v>1826</v>
      </c>
      <c r="G87" s="3752"/>
      <c r="H87" s="3507"/>
      <c r="I87" s="3507">
        <v>0</v>
      </c>
      <c r="J87" s="3934">
        <v>437371</v>
      </c>
      <c r="K87" s="3877">
        <v>399508</v>
      </c>
      <c r="L87" s="3877">
        <v>421066</v>
      </c>
      <c r="M87" s="3877">
        <v>727512</v>
      </c>
      <c r="N87" s="3877">
        <v>308536</v>
      </c>
      <c r="O87" s="3878">
        <v>430771</v>
      </c>
      <c r="P87" s="550"/>
      <c r="Q87" s="550"/>
      <c r="R87" s="550"/>
      <c r="S87" s="550"/>
      <c r="T87" s="550"/>
      <c r="U87" s="542"/>
      <c r="V87" s="550"/>
      <c r="W87" s="542"/>
      <c r="X87" s="550"/>
      <c r="Y87" s="542"/>
      <c r="Z87" s="550"/>
    </row>
    <row r="88" spans="1:26" ht="29.25" hidden="1" customHeight="1" x14ac:dyDescent="0.3">
      <c r="A88" s="1344"/>
      <c r="B88" s="1301"/>
      <c r="C88" s="1308" t="s">
        <v>1787</v>
      </c>
      <c r="D88" s="3880" t="s">
        <v>1829</v>
      </c>
      <c r="E88" s="3881" t="s">
        <v>385</v>
      </c>
      <c r="F88" s="3880" t="s">
        <v>1826</v>
      </c>
      <c r="G88" s="3762"/>
      <c r="H88" s="3763"/>
      <c r="I88" s="3763">
        <v>0</v>
      </c>
      <c r="J88" s="3938">
        <v>11698</v>
      </c>
      <c r="K88" s="3809">
        <v>11466</v>
      </c>
      <c r="L88" s="3809">
        <v>2830</v>
      </c>
      <c r="M88" s="3809">
        <v>109021</v>
      </c>
      <c r="N88" s="3809">
        <v>9392</v>
      </c>
      <c r="O88" s="2957">
        <v>50475</v>
      </c>
      <c r="P88" s="550"/>
      <c r="Q88" s="550"/>
      <c r="R88" s="550"/>
      <c r="S88" s="550"/>
      <c r="T88" s="550"/>
      <c r="U88" s="542"/>
      <c r="V88" s="550"/>
      <c r="W88" s="542"/>
      <c r="X88" s="550"/>
      <c r="Y88" s="542"/>
      <c r="Z88" s="550"/>
    </row>
    <row r="89" spans="1:26" ht="29.25" hidden="1" customHeight="1" x14ac:dyDescent="0.3">
      <c r="A89" s="1344"/>
      <c r="B89" s="1301"/>
      <c r="C89" s="3906" t="s">
        <v>1787</v>
      </c>
      <c r="D89" s="3906" t="s">
        <v>1830</v>
      </c>
      <c r="E89" s="3907" t="s">
        <v>385</v>
      </c>
      <c r="F89" s="3906" t="s">
        <v>1807</v>
      </c>
      <c r="G89" s="3752"/>
      <c r="H89" s="3507"/>
      <c r="I89" s="3507">
        <v>0</v>
      </c>
      <c r="J89" s="3934">
        <v>17300</v>
      </c>
      <c r="K89" s="3934">
        <v>0</v>
      </c>
      <c r="L89" s="3934">
        <v>0</v>
      </c>
      <c r="M89" s="3934">
        <v>0</v>
      </c>
      <c r="N89" s="3934">
        <v>0</v>
      </c>
      <c r="O89" s="2958"/>
      <c r="P89" s="550"/>
      <c r="Q89" s="550"/>
      <c r="R89" s="550"/>
      <c r="S89" s="550"/>
      <c r="T89" s="550"/>
      <c r="U89" s="542"/>
      <c r="V89" s="550"/>
      <c r="W89" s="542"/>
      <c r="X89" s="550"/>
      <c r="Y89" s="542"/>
      <c r="Z89" s="550"/>
    </row>
    <row r="90" spans="1:26" ht="29.25" customHeight="1" x14ac:dyDescent="0.3">
      <c r="A90" s="1344"/>
      <c r="B90" s="1301">
        <v>22</v>
      </c>
      <c r="C90" s="3897" t="s">
        <v>1787</v>
      </c>
      <c r="D90" s="3918" t="s">
        <v>2207</v>
      </c>
      <c r="E90" s="3898" t="s">
        <v>385</v>
      </c>
      <c r="F90" s="3897" t="s">
        <v>1831</v>
      </c>
      <c r="G90" s="3785"/>
      <c r="H90" s="3834"/>
      <c r="I90" s="3787">
        <v>722823</v>
      </c>
      <c r="J90" s="3939">
        <v>837419</v>
      </c>
      <c r="K90" s="3940">
        <v>730116</v>
      </c>
      <c r="L90" s="3931">
        <v>970682</v>
      </c>
      <c r="M90" s="3931">
        <v>998976</v>
      </c>
      <c r="N90" s="3941">
        <v>0</v>
      </c>
      <c r="O90" s="3932">
        <v>0</v>
      </c>
      <c r="P90" s="550"/>
      <c r="Q90" s="550"/>
      <c r="R90" s="550"/>
      <c r="S90" s="550"/>
      <c r="T90" s="550"/>
      <c r="U90" s="542"/>
      <c r="V90" s="550"/>
      <c r="W90" s="542"/>
      <c r="X90" s="550"/>
      <c r="Y90" s="542"/>
      <c r="Z90" s="544"/>
    </row>
    <row r="91" spans="1:26" ht="29.25" customHeight="1" x14ac:dyDescent="0.3">
      <c r="A91" s="1344"/>
      <c r="B91" s="1301">
        <v>23</v>
      </c>
      <c r="C91" s="3906" t="s">
        <v>1787</v>
      </c>
      <c r="D91" s="3906" t="s">
        <v>2272</v>
      </c>
      <c r="E91" s="3907" t="s">
        <v>385</v>
      </c>
      <c r="F91" s="3906" t="s">
        <v>1832</v>
      </c>
      <c r="G91" s="3752"/>
      <c r="H91" s="3507"/>
      <c r="I91" s="3753">
        <v>398987</v>
      </c>
      <c r="J91" s="3934">
        <v>472710</v>
      </c>
      <c r="K91" s="3942">
        <v>452741</v>
      </c>
      <c r="L91" s="3934">
        <v>454211</v>
      </c>
      <c r="M91" s="3943">
        <v>885236</v>
      </c>
      <c r="N91" s="3944">
        <v>375028</v>
      </c>
      <c r="O91" s="3870">
        <v>403889</v>
      </c>
      <c r="P91" s="550"/>
      <c r="Q91" s="550"/>
      <c r="R91" s="550"/>
      <c r="S91" s="550"/>
      <c r="T91" s="550"/>
      <c r="U91" s="542"/>
      <c r="V91" s="550"/>
      <c r="W91" s="542"/>
      <c r="X91" s="550"/>
      <c r="Y91" s="542"/>
      <c r="Z91" s="550"/>
    </row>
    <row r="92" spans="1:26" ht="29.25" customHeight="1" x14ac:dyDescent="0.3">
      <c r="A92" s="1344"/>
      <c r="B92" s="1301"/>
      <c r="C92" s="3890" t="s">
        <v>1787</v>
      </c>
      <c r="D92" s="3880" t="s">
        <v>2273</v>
      </c>
      <c r="E92" s="3891" t="s">
        <v>385</v>
      </c>
      <c r="F92" s="3890" t="s">
        <v>1832</v>
      </c>
      <c r="G92" s="3762"/>
      <c r="H92" s="3763"/>
      <c r="I92" s="3806">
        <v>680597</v>
      </c>
      <c r="J92" s="3911">
        <v>408600</v>
      </c>
      <c r="K92" s="3847">
        <v>924890</v>
      </c>
      <c r="L92" s="3769">
        <v>846655</v>
      </c>
      <c r="M92" s="3769">
        <v>1100229</v>
      </c>
      <c r="N92" s="3769">
        <v>117468</v>
      </c>
      <c r="O92" s="3758">
        <v>236346</v>
      </c>
      <c r="P92" s="550"/>
      <c r="Q92" s="550"/>
      <c r="R92" s="550"/>
      <c r="S92" s="550"/>
      <c r="T92" s="550"/>
      <c r="U92" s="542"/>
      <c r="V92" s="550"/>
      <c r="W92" s="542"/>
      <c r="X92" s="550"/>
      <c r="Y92" s="542"/>
      <c r="Z92" s="544"/>
    </row>
    <row r="93" spans="1:26" ht="29.25" customHeight="1" x14ac:dyDescent="0.3">
      <c r="A93" s="1344"/>
      <c r="B93" s="1301"/>
      <c r="C93" s="1303" t="s">
        <v>1787</v>
      </c>
      <c r="D93" s="1303" t="s">
        <v>2274</v>
      </c>
      <c r="E93" s="1304" t="s">
        <v>385</v>
      </c>
      <c r="F93" s="1303" t="s">
        <v>1832</v>
      </c>
      <c r="G93" s="3752"/>
      <c r="H93" s="3507"/>
      <c r="I93" s="3507">
        <v>0</v>
      </c>
      <c r="J93" s="3848">
        <v>0</v>
      </c>
      <c r="K93" s="3704">
        <v>0</v>
      </c>
      <c r="L93" s="3704">
        <v>595</v>
      </c>
      <c r="M93" s="3705">
        <v>595</v>
      </c>
      <c r="N93" s="3849">
        <v>0</v>
      </c>
      <c r="O93" s="2958">
        <v>0</v>
      </c>
      <c r="P93" s="550"/>
      <c r="Q93" s="550"/>
      <c r="R93" s="550"/>
      <c r="S93" s="550"/>
      <c r="T93" s="550"/>
      <c r="U93" s="542"/>
      <c r="V93" s="550"/>
      <c r="W93" s="542"/>
      <c r="X93" s="550"/>
      <c r="Y93" s="542"/>
      <c r="Z93" s="550"/>
    </row>
    <row r="94" spans="1:26" ht="29.25" customHeight="1" x14ac:dyDescent="0.3">
      <c r="A94" s="1344"/>
      <c r="B94" s="1301"/>
      <c r="C94" s="3890" t="s">
        <v>1787</v>
      </c>
      <c r="D94" s="3880" t="s">
        <v>2275</v>
      </c>
      <c r="E94" s="3891" t="s">
        <v>385</v>
      </c>
      <c r="F94" s="3890" t="s">
        <v>1832</v>
      </c>
      <c r="G94" s="3762"/>
      <c r="H94" s="3763"/>
      <c r="I94" s="3763">
        <v>0</v>
      </c>
      <c r="J94" s="3779">
        <v>544188</v>
      </c>
      <c r="K94" s="3847">
        <v>104205</v>
      </c>
      <c r="L94" s="3769">
        <v>8799</v>
      </c>
      <c r="M94" s="3769">
        <v>8799</v>
      </c>
      <c r="N94" s="3768">
        <v>310</v>
      </c>
      <c r="O94" s="3758">
        <v>3170</v>
      </c>
      <c r="P94" s="550"/>
      <c r="Q94" s="550"/>
      <c r="R94" s="550"/>
      <c r="S94" s="550"/>
      <c r="T94" s="550"/>
      <c r="U94" s="542"/>
      <c r="V94" s="550"/>
      <c r="W94" s="542"/>
      <c r="X94" s="550"/>
      <c r="Y94" s="542"/>
      <c r="Z94" s="544"/>
    </row>
    <row r="95" spans="1:26" ht="29.25" customHeight="1" x14ac:dyDescent="0.3">
      <c r="A95" s="1344"/>
      <c r="B95" s="1301"/>
      <c r="C95" s="1303" t="s">
        <v>1787</v>
      </c>
      <c r="D95" s="1303" t="s">
        <v>2276</v>
      </c>
      <c r="E95" s="1304" t="s">
        <v>385</v>
      </c>
      <c r="F95" s="1303" t="s">
        <v>1832</v>
      </c>
      <c r="G95" s="3752"/>
      <c r="H95" s="3763"/>
      <c r="I95" s="3753">
        <v>281072</v>
      </c>
      <c r="J95" s="1168">
        <v>281072</v>
      </c>
      <c r="K95" s="1168">
        <v>281072</v>
      </c>
      <c r="L95" s="1168">
        <v>281072</v>
      </c>
      <c r="M95" s="1168">
        <v>281072</v>
      </c>
      <c r="N95" s="1168">
        <v>281072</v>
      </c>
      <c r="O95" s="2957">
        <v>403775</v>
      </c>
      <c r="P95" s="550"/>
      <c r="Q95" s="550"/>
      <c r="R95" s="550"/>
      <c r="S95" s="550"/>
      <c r="T95" s="550"/>
      <c r="U95" s="542"/>
      <c r="V95" s="550"/>
      <c r="W95" s="542"/>
      <c r="X95" s="550"/>
      <c r="Y95" s="542"/>
      <c r="Z95" s="550"/>
    </row>
    <row r="96" spans="1:26" ht="29.25" customHeight="1" x14ac:dyDescent="0.3">
      <c r="A96" s="1344"/>
      <c r="B96" s="1301"/>
      <c r="C96" s="3890" t="s">
        <v>1787</v>
      </c>
      <c r="D96" s="1308" t="s">
        <v>2277</v>
      </c>
      <c r="E96" s="3891" t="s">
        <v>385</v>
      </c>
      <c r="F96" s="3890" t="s">
        <v>1832</v>
      </c>
      <c r="G96" s="3762"/>
      <c r="H96" s="3763"/>
      <c r="I96" s="3806">
        <v>18066</v>
      </c>
      <c r="J96" s="3911">
        <v>25992</v>
      </c>
      <c r="K96" s="3847">
        <v>44661</v>
      </c>
      <c r="L96" s="3769">
        <v>25510</v>
      </c>
      <c r="M96" s="3769">
        <v>106185</v>
      </c>
      <c r="N96" s="3769">
        <v>25891</v>
      </c>
      <c r="O96" s="3758">
        <v>12746</v>
      </c>
      <c r="P96" s="550"/>
      <c r="Q96" s="550"/>
      <c r="R96" s="550"/>
      <c r="S96" s="550"/>
      <c r="T96" s="550"/>
      <c r="U96" s="542"/>
      <c r="V96" s="550"/>
      <c r="W96" s="542"/>
      <c r="X96" s="550"/>
      <c r="Y96" s="542"/>
      <c r="Z96" s="544"/>
    </row>
    <row r="97" spans="1:26" ht="29.25" customHeight="1" x14ac:dyDescent="0.3">
      <c r="A97" s="1344"/>
      <c r="B97" s="1301"/>
      <c r="C97" s="1303" t="s">
        <v>1787</v>
      </c>
      <c r="D97" s="1303" t="s">
        <v>2278</v>
      </c>
      <c r="E97" s="1304" t="s">
        <v>385</v>
      </c>
      <c r="F97" s="1303" t="s">
        <v>1832</v>
      </c>
      <c r="G97" s="3850"/>
      <c r="H97" s="3720"/>
      <c r="I97" s="3720">
        <v>0</v>
      </c>
      <c r="J97" s="3722">
        <v>40750</v>
      </c>
      <c r="K97" s="1168">
        <v>0</v>
      </c>
      <c r="L97" s="1168">
        <v>0</v>
      </c>
      <c r="M97" s="1168">
        <v>0</v>
      </c>
      <c r="N97" s="1168">
        <v>0</v>
      </c>
      <c r="O97" s="2958">
        <v>0</v>
      </c>
      <c r="P97" s="550"/>
      <c r="Q97" s="550"/>
      <c r="R97" s="550"/>
      <c r="S97" s="550"/>
      <c r="T97" s="550"/>
      <c r="U97" s="542"/>
      <c r="V97" s="550"/>
      <c r="W97" s="542"/>
      <c r="X97" s="550"/>
      <c r="Y97" s="542"/>
      <c r="Z97" s="550"/>
    </row>
    <row r="98" spans="1:26" ht="29.25" hidden="1" customHeight="1" x14ac:dyDescent="0.3">
      <c r="A98" s="1344"/>
      <c r="B98" s="1301"/>
      <c r="C98" s="3890" t="s">
        <v>1787</v>
      </c>
      <c r="D98" s="1308" t="s">
        <v>1833</v>
      </c>
      <c r="E98" s="3891" t="s">
        <v>385</v>
      </c>
      <c r="F98" s="3890" t="s">
        <v>1832</v>
      </c>
      <c r="G98" s="3762"/>
      <c r="H98" s="3507"/>
      <c r="I98" s="3763">
        <v>0</v>
      </c>
      <c r="J98" s="3911">
        <v>297040</v>
      </c>
      <c r="K98" s="3769">
        <v>363700</v>
      </c>
      <c r="L98" s="3769">
        <v>334710</v>
      </c>
      <c r="M98" s="3769">
        <v>722523</v>
      </c>
      <c r="N98" s="3769">
        <v>405425</v>
      </c>
      <c r="O98" s="3758">
        <v>342157</v>
      </c>
      <c r="P98" s="550"/>
      <c r="Q98" s="550"/>
      <c r="R98" s="550"/>
      <c r="S98" s="550"/>
      <c r="T98" s="550"/>
      <c r="U98" s="542"/>
      <c r="V98" s="550"/>
      <c r="W98" s="542"/>
      <c r="X98" s="550"/>
      <c r="Y98" s="542"/>
      <c r="Z98" s="550"/>
    </row>
    <row r="99" spans="1:26" ht="29.25" hidden="1" customHeight="1" x14ac:dyDescent="0.3">
      <c r="A99" s="1344"/>
      <c r="B99" s="1301"/>
      <c r="C99" s="3906" t="s">
        <v>1787</v>
      </c>
      <c r="D99" s="3906" t="s">
        <v>1834</v>
      </c>
      <c r="E99" s="3907" t="s">
        <v>385</v>
      </c>
      <c r="F99" s="3906" t="s">
        <v>1832</v>
      </c>
      <c r="G99" s="3752"/>
      <c r="H99" s="3507"/>
      <c r="I99" s="3507">
        <v>0</v>
      </c>
      <c r="J99" s="1168">
        <v>286902</v>
      </c>
      <c r="K99" s="1168">
        <v>203204</v>
      </c>
      <c r="L99" s="1168">
        <v>196434</v>
      </c>
      <c r="M99" s="1168">
        <v>517664</v>
      </c>
      <c r="N99" s="1168">
        <v>192576</v>
      </c>
      <c r="O99" s="2957">
        <v>169594</v>
      </c>
      <c r="P99" s="550"/>
      <c r="Q99" s="550"/>
      <c r="R99" s="550"/>
      <c r="S99" s="550"/>
      <c r="T99" s="550"/>
      <c r="U99" s="542"/>
      <c r="V99" s="550"/>
      <c r="W99" s="542"/>
      <c r="X99" s="550"/>
      <c r="Y99" s="542"/>
      <c r="Z99" s="550"/>
    </row>
    <row r="100" spans="1:26" ht="29.25" hidden="1" customHeight="1" x14ac:dyDescent="0.3">
      <c r="A100" s="1344"/>
      <c r="B100" s="1301"/>
      <c r="C100" s="3890" t="s">
        <v>1787</v>
      </c>
      <c r="D100" s="3880" t="s">
        <v>1835</v>
      </c>
      <c r="E100" s="3891" t="s">
        <v>385</v>
      </c>
      <c r="F100" s="3890" t="s">
        <v>1832</v>
      </c>
      <c r="G100" s="3762"/>
      <c r="H100" s="3507"/>
      <c r="I100" s="3763">
        <v>0</v>
      </c>
      <c r="J100" s="3779">
        <v>862060</v>
      </c>
      <c r="K100" s="3769">
        <v>47451</v>
      </c>
      <c r="L100" s="3768">
        <v>0</v>
      </c>
      <c r="M100" s="3768">
        <v>0</v>
      </c>
      <c r="N100" s="3768">
        <v>0</v>
      </c>
      <c r="O100" s="3780">
        <v>0</v>
      </c>
      <c r="P100" s="550"/>
      <c r="Q100" s="550"/>
      <c r="R100" s="550"/>
      <c r="S100" s="550"/>
      <c r="T100" s="550"/>
      <c r="U100" s="542"/>
      <c r="V100" s="550"/>
      <c r="W100" s="542"/>
      <c r="X100" s="550"/>
      <c r="Y100" s="542"/>
      <c r="Z100" s="550"/>
    </row>
    <row r="101" spans="1:26" ht="29.25" hidden="1" customHeight="1" x14ac:dyDescent="0.3">
      <c r="A101" s="1344"/>
      <c r="B101" s="1301"/>
      <c r="C101" s="3906" t="s">
        <v>1787</v>
      </c>
      <c r="D101" s="3906" t="s">
        <v>1836</v>
      </c>
      <c r="E101" s="3907" t="s">
        <v>385</v>
      </c>
      <c r="F101" s="3906" t="s">
        <v>1832</v>
      </c>
      <c r="G101" s="3752"/>
      <c r="H101" s="3507"/>
      <c r="I101" s="3507">
        <v>0</v>
      </c>
      <c r="J101" s="1168">
        <v>969407</v>
      </c>
      <c r="K101" s="1168">
        <v>1171244</v>
      </c>
      <c r="L101" s="1168">
        <v>679942</v>
      </c>
      <c r="M101" s="1168">
        <v>1255259</v>
      </c>
      <c r="N101" s="1168">
        <v>0</v>
      </c>
      <c r="O101" s="2958">
        <v>0</v>
      </c>
      <c r="P101" s="550"/>
      <c r="Q101" s="550"/>
      <c r="R101" s="550"/>
      <c r="S101" s="550"/>
      <c r="T101" s="550"/>
      <c r="U101" s="542"/>
      <c r="V101" s="550"/>
      <c r="W101" s="542"/>
      <c r="X101" s="550"/>
      <c r="Y101" s="542"/>
      <c r="Z101" s="550"/>
    </row>
    <row r="102" spans="1:26" ht="29.25" customHeight="1" x14ac:dyDescent="0.3">
      <c r="A102" s="1344"/>
      <c r="B102" s="1301">
        <v>24</v>
      </c>
      <c r="C102" s="3897" t="s">
        <v>1787</v>
      </c>
      <c r="D102" s="3897" t="s">
        <v>2209</v>
      </c>
      <c r="E102" s="3945" t="s">
        <v>385</v>
      </c>
      <c r="F102" s="3897" t="s">
        <v>1804</v>
      </c>
      <c r="G102" s="3833"/>
      <c r="H102" s="3720"/>
      <c r="I102" s="3835">
        <v>62960</v>
      </c>
      <c r="J102" s="3946">
        <v>53480</v>
      </c>
      <c r="K102" s="3947">
        <v>121620</v>
      </c>
      <c r="L102" s="3948">
        <v>192890</v>
      </c>
      <c r="M102" s="3949">
        <v>346770</v>
      </c>
      <c r="N102" s="3950">
        <v>251700</v>
      </c>
      <c r="O102" s="3905">
        <v>224400</v>
      </c>
      <c r="P102" s="550"/>
      <c r="Q102" s="550"/>
      <c r="R102" s="550"/>
      <c r="S102" s="550"/>
      <c r="T102" s="550"/>
      <c r="U102" s="542"/>
      <c r="V102" s="550"/>
      <c r="W102" s="542"/>
      <c r="X102" s="550"/>
      <c r="Y102" s="542"/>
      <c r="Z102" s="544"/>
    </row>
    <row r="103" spans="1:26" ht="29.25" customHeight="1" x14ac:dyDescent="0.3">
      <c r="A103" s="1344"/>
      <c r="B103" s="1301">
        <v>25</v>
      </c>
      <c r="C103" s="3951" t="s">
        <v>1787</v>
      </c>
      <c r="D103" s="3951" t="s">
        <v>2210</v>
      </c>
      <c r="E103" s="3952" t="s">
        <v>385</v>
      </c>
      <c r="F103" s="3951" t="s">
        <v>1809</v>
      </c>
      <c r="G103" s="3850"/>
      <c r="H103" s="3720"/>
      <c r="I103" s="3721">
        <v>409900</v>
      </c>
      <c r="J103" s="3722">
        <v>343940</v>
      </c>
      <c r="K103" s="3722">
        <v>293996</v>
      </c>
      <c r="L103" s="3953">
        <v>220480</v>
      </c>
      <c r="M103" s="3954">
        <v>599270</v>
      </c>
      <c r="N103" s="3955">
        <v>355360</v>
      </c>
      <c r="O103" s="3956">
        <v>288006</v>
      </c>
      <c r="P103" s="550"/>
      <c r="Q103" s="550"/>
      <c r="R103" s="550"/>
      <c r="S103" s="550"/>
      <c r="T103" s="550"/>
      <c r="U103" s="542"/>
      <c r="V103" s="550"/>
      <c r="W103" s="542"/>
      <c r="X103" s="550"/>
      <c r="Y103" s="542"/>
      <c r="Z103" s="550"/>
    </row>
    <row r="104" spans="1:26" ht="29.25" customHeight="1" x14ac:dyDescent="0.3">
      <c r="A104" s="1344"/>
      <c r="B104" s="1301">
        <v>26</v>
      </c>
      <c r="C104" s="3890" t="s">
        <v>1787</v>
      </c>
      <c r="D104" s="3880" t="s">
        <v>2211</v>
      </c>
      <c r="E104" s="3881" t="s">
        <v>385</v>
      </c>
      <c r="F104" s="3880" t="s">
        <v>1789</v>
      </c>
      <c r="G104" s="3762"/>
      <c r="H104" s="3763"/>
      <c r="I104" s="3834">
        <v>0</v>
      </c>
      <c r="J104" s="3957">
        <v>0</v>
      </c>
      <c r="K104" s="3958">
        <v>0</v>
      </c>
      <c r="L104" s="3958">
        <v>0</v>
      </c>
      <c r="M104" s="3958">
        <v>0</v>
      </c>
      <c r="N104" s="3958">
        <v>0</v>
      </c>
      <c r="O104" s="2958">
        <v>0</v>
      </c>
      <c r="P104" s="2958">
        <v>0</v>
      </c>
      <c r="Q104" s="2958">
        <v>0</v>
      </c>
      <c r="R104" s="2958">
        <v>0</v>
      </c>
      <c r="S104" s="2958">
        <v>0</v>
      </c>
      <c r="T104" s="2958">
        <v>0</v>
      </c>
      <c r="U104" s="2958">
        <v>0</v>
      </c>
      <c r="V104" s="2958">
        <v>0</v>
      </c>
      <c r="W104" s="2958">
        <v>0</v>
      </c>
      <c r="X104" s="2958">
        <v>0</v>
      </c>
      <c r="Y104" s="2958">
        <v>0</v>
      </c>
      <c r="Z104" s="2958">
        <v>0</v>
      </c>
    </row>
    <row r="105" spans="1:26" ht="29.25" customHeight="1" x14ac:dyDescent="0.3">
      <c r="A105" s="1344"/>
      <c r="B105" s="1301">
        <v>26</v>
      </c>
      <c r="C105" s="3906" t="s">
        <v>1787</v>
      </c>
      <c r="D105" s="3906" t="s">
        <v>2211</v>
      </c>
      <c r="E105" s="3907" t="s">
        <v>385</v>
      </c>
      <c r="F105" s="3906" t="s">
        <v>1837</v>
      </c>
      <c r="G105" s="3739"/>
      <c r="H105" s="3507"/>
      <c r="I105" s="3753">
        <v>376870</v>
      </c>
      <c r="J105" s="1168">
        <v>172510</v>
      </c>
      <c r="K105" s="1168">
        <v>0</v>
      </c>
      <c r="L105" s="1168">
        <v>0</v>
      </c>
      <c r="M105" s="1168">
        <v>0</v>
      </c>
      <c r="N105" s="1168">
        <v>0</v>
      </c>
      <c r="O105" s="2958">
        <v>0</v>
      </c>
      <c r="P105" s="2958">
        <v>0</v>
      </c>
      <c r="Q105" s="2958">
        <v>0</v>
      </c>
      <c r="R105" s="2958">
        <v>0</v>
      </c>
      <c r="S105" s="2958">
        <v>0</v>
      </c>
      <c r="T105" s="2958">
        <v>0</v>
      </c>
      <c r="U105" s="2958">
        <v>0</v>
      </c>
      <c r="V105" s="2958">
        <v>0</v>
      </c>
      <c r="W105" s="2958">
        <v>0</v>
      </c>
      <c r="X105" s="2958">
        <v>0</v>
      </c>
      <c r="Y105" s="2958">
        <v>0</v>
      </c>
      <c r="Z105" s="2958">
        <v>0</v>
      </c>
    </row>
    <row r="106" spans="1:26" ht="29.25" hidden="1" customHeight="1" x14ac:dyDescent="0.3">
      <c r="A106" s="1344"/>
      <c r="B106" s="1301"/>
      <c r="C106" s="3890" t="s">
        <v>1787</v>
      </c>
      <c r="D106" s="3890" t="s">
        <v>1838</v>
      </c>
      <c r="E106" s="3891" t="s">
        <v>385</v>
      </c>
      <c r="F106" s="3890" t="s">
        <v>1804</v>
      </c>
      <c r="G106" s="3762"/>
      <c r="H106" s="3763"/>
      <c r="I106" s="3763">
        <v>0</v>
      </c>
      <c r="J106" s="3779">
        <v>375025</v>
      </c>
      <c r="K106" s="3769">
        <v>677338</v>
      </c>
      <c r="L106" s="3769">
        <v>479419</v>
      </c>
      <c r="M106" s="3769">
        <v>1055645</v>
      </c>
      <c r="N106" s="3769">
        <v>1284634</v>
      </c>
      <c r="O106" s="3758">
        <v>2199886</v>
      </c>
      <c r="P106" s="550"/>
      <c r="Q106" s="550"/>
      <c r="R106" s="550"/>
      <c r="S106" s="550"/>
      <c r="T106" s="550"/>
      <c r="U106" s="542"/>
      <c r="V106" s="550"/>
      <c r="W106" s="542"/>
      <c r="X106" s="550"/>
      <c r="Y106" s="542"/>
      <c r="Z106" s="550"/>
    </row>
    <row r="107" spans="1:26" ht="29.25" hidden="1" customHeight="1" x14ac:dyDescent="0.3">
      <c r="A107" s="1344"/>
      <c r="B107" s="1301"/>
      <c r="C107" s="3906" t="s">
        <v>1787</v>
      </c>
      <c r="D107" s="3906" t="s">
        <v>1839</v>
      </c>
      <c r="E107" s="3907" t="s">
        <v>385</v>
      </c>
      <c r="F107" s="3906" t="s">
        <v>1804</v>
      </c>
      <c r="G107" s="3752"/>
      <c r="H107" s="3507"/>
      <c r="I107" s="3507">
        <v>0</v>
      </c>
      <c r="J107" s="1168">
        <v>270</v>
      </c>
      <c r="K107" s="1168">
        <v>0</v>
      </c>
      <c r="L107" s="1168">
        <v>4507</v>
      </c>
      <c r="M107" s="1168">
        <v>4877</v>
      </c>
      <c r="N107" s="1168">
        <v>285</v>
      </c>
      <c r="O107" s="2957">
        <v>68885</v>
      </c>
      <c r="P107" s="550"/>
      <c r="Q107" s="550"/>
      <c r="R107" s="550"/>
      <c r="S107" s="550"/>
      <c r="T107" s="550"/>
      <c r="U107" s="542"/>
      <c r="V107" s="550"/>
      <c r="W107" s="542"/>
      <c r="X107" s="550"/>
      <c r="Y107" s="542"/>
      <c r="Z107" s="550"/>
    </row>
    <row r="108" spans="1:26" ht="29.25" hidden="1" customHeight="1" x14ac:dyDescent="0.3">
      <c r="A108" s="1344"/>
      <c r="B108" s="1301"/>
      <c r="C108" s="3897" t="s">
        <v>1787</v>
      </c>
      <c r="D108" s="3897" t="s">
        <v>1840</v>
      </c>
      <c r="E108" s="3898" t="s">
        <v>385</v>
      </c>
      <c r="F108" s="3897" t="s">
        <v>1804</v>
      </c>
      <c r="G108" s="3762"/>
      <c r="H108" s="3763"/>
      <c r="I108" s="3763">
        <v>0</v>
      </c>
      <c r="J108" s="3930">
        <v>1260482</v>
      </c>
      <c r="K108" s="3931">
        <v>310143</v>
      </c>
      <c r="L108" s="3931">
        <v>314821</v>
      </c>
      <c r="M108" s="3931">
        <v>1040662</v>
      </c>
      <c r="N108" s="3931">
        <v>862560</v>
      </c>
      <c r="O108" s="3878">
        <v>9730764</v>
      </c>
      <c r="P108" s="550"/>
      <c r="Q108" s="550"/>
      <c r="R108" s="550"/>
      <c r="S108" s="550"/>
      <c r="T108" s="550"/>
      <c r="U108" s="542"/>
      <c r="V108" s="550"/>
      <c r="W108" s="542"/>
      <c r="X108" s="550"/>
      <c r="Y108" s="542"/>
      <c r="Z108" s="550"/>
    </row>
    <row r="109" spans="1:26" ht="29.25" hidden="1" customHeight="1" x14ac:dyDescent="0.3">
      <c r="A109" s="1344"/>
      <c r="B109" s="1301"/>
      <c r="C109" s="3906" t="s">
        <v>1787</v>
      </c>
      <c r="D109" s="3906" t="s">
        <v>1841</v>
      </c>
      <c r="E109" s="3907" t="s">
        <v>385</v>
      </c>
      <c r="F109" s="3906" t="s">
        <v>1804</v>
      </c>
      <c r="G109" s="3752"/>
      <c r="H109" s="3507"/>
      <c r="I109" s="3507">
        <v>0</v>
      </c>
      <c r="J109" s="1168">
        <v>30095</v>
      </c>
      <c r="K109" s="1168">
        <v>0</v>
      </c>
      <c r="L109" s="1168">
        <v>0</v>
      </c>
      <c r="M109" s="1168">
        <v>0</v>
      </c>
      <c r="N109" s="1168">
        <v>0</v>
      </c>
      <c r="O109" s="2957">
        <v>20702</v>
      </c>
      <c r="P109" s="550"/>
      <c r="Q109" s="550"/>
      <c r="R109" s="550"/>
      <c r="S109" s="550"/>
      <c r="T109" s="550"/>
      <c r="U109" s="542"/>
      <c r="V109" s="550"/>
      <c r="W109" s="542"/>
      <c r="X109" s="550"/>
      <c r="Y109" s="542"/>
      <c r="Z109" s="550"/>
    </row>
    <row r="110" spans="1:26" ht="29.25" hidden="1" customHeight="1" x14ac:dyDescent="0.3">
      <c r="A110" s="1344"/>
      <c r="B110" s="1301"/>
      <c r="C110" s="3897" t="s">
        <v>1787</v>
      </c>
      <c r="D110" s="3897" t="s">
        <v>1842</v>
      </c>
      <c r="E110" s="3898" t="s">
        <v>385</v>
      </c>
      <c r="F110" s="3897" t="s">
        <v>1843</v>
      </c>
      <c r="G110" s="3762"/>
      <c r="H110" s="3763"/>
      <c r="I110" s="3763">
        <v>0</v>
      </c>
      <c r="J110" s="3959">
        <v>0</v>
      </c>
      <c r="K110" s="3960">
        <v>0</v>
      </c>
      <c r="L110" s="3941">
        <v>0</v>
      </c>
      <c r="M110" s="3941">
        <v>0</v>
      </c>
      <c r="N110" s="3941">
        <v>0</v>
      </c>
      <c r="O110" s="3878">
        <v>135830</v>
      </c>
      <c r="P110" s="550"/>
      <c r="Q110" s="550"/>
      <c r="R110" s="550"/>
      <c r="S110" s="550"/>
      <c r="T110" s="550"/>
      <c r="U110" s="542"/>
      <c r="V110" s="550"/>
      <c r="W110" s="542"/>
      <c r="X110" s="550"/>
      <c r="Y110" s="542"/>
      <c r="Z110" s="550"/>
    </row>
    <row r="111" spans="1:26" ht="29.25" hidden="1" customHeight="1" x14ac:dyDescent="0.3">
      <c r="A111" s="1344"/>
      <c r="B111" s="1301"/>
      <c r="C111" s="3906" t="s">
        <v>1787</v>
      </c>
      <c r="D111" s="3906" t="s">
        <v>1844</v>
      </c>
      <c r="E111" s="3907" t="s">
        <v>385</v>
      </c>
      <c r="F111" s="3906" t="s">
        <v>1845</v>
      </c>
      <c r="G111" s="3752"/>
      <c r="H111" s="3507"/>
      <c r="I111" s="3507">
        <v>0</v>
      </c>
      <c r="J111" s="1168">
        <v>0</v>
      </c>
      <c r="K111" s="1168">
        <v>0</v>
      </c>
      <c r="L111" s="1168">
        <v>0</v>
      </c>
      <c r="M111" s="1168">
        <v>0</v>
      </c>
      <c r="N111" s="1168">
        <v>0</v>
      </c>
      <c r="O111" s="2957">
        <v>101810</v>
      </c>
      <c r="P111" s="550"/>
      <c r="Q111" s="550"/>
      <c r="R111" s="550"/>
      <c r="S111" s="550"/>
      <c r="T111" s="550"/>
      <c r="U111" s="542"/>
      <c r="V111" s="550"/>
      <c r="W111" s="542"/>
      <c r="X111" s="550"/>
      <c r="Y111" s="542"/>
      <c r="Z111" s="550"/>
    </row>
    <row r="112" spans="1:26" ht="29.25" hidden="1" customHeight="1" x14ac:dyDescent="0.3">
      <c r="A112" s="1344"/>
      <c r="B112" s="1301"/>
      <c r="C112" s="3890" t="s">
        <v>1787</v>
      </c>
      <c r="D112" s="3890" t="s">
        <v>1846</v>
      </c>
      <c r="E112" s="3891" t="s">
        <v>385</v>
      </c>
      <c r="F112" s="3890" t="s">
        <v>1845</v>
      </c>
      <c r="G112" s="3762"/>
      <c r="H112" s="3763"/>
      <c r="I112" s="3763">
        <v>0</v>
      </c>
      <c r="J112" s="3961">
        <v>0</v>
      </c>
      <c r="K112" s="3913">
        <v>0</v>
      </c>
      <c r="L112" s="3768">
        <v>0</v>
      </c>
      <c r="M112" s="3768">
        <v>0</v>
      </c>
      <c r="N112" s="3768">
        <v>0</v>
      </c>
      <c r="O112" s="3758">
        <v>110540</v>
      </c>
      <c r="P112" s="550"/>
      <c r="Q112" s="550"/>
      <c r="R112" s="550"/>
      <c r="S112" s="550"/>
      <c r="T112" s="550"/>
      <c r="U112" s="542"/>
      <c r="V112" s="550"/>
      <c r="W112" s="542"/>
      <c r="X112" s="550"/>
      <c r="Y112" s="542"/>
      <c r="Z112" s="550"/>
    </row>
    <row r="113" spans="1:26" ht="29.25" hidden="1" customHeight="1" x14ac:dyDescent="0.3">
      <c r="A113" s="1344"/>
      <c r="B113" s="1301"/>
      <c r="C113" s="3906" t="s">
        <v>1787</v>
      </c>
      <c r="D113" s="3906" t="s">
        <v>1847</v>
      </c>
      <c r="E113" s="3907" t="s">
        <v>385</v>
      </c>
      <c r="F113" s="3906" t="s">
        <v>1804</v>
      </c>
      <c r="G113" s="3752"/>
      <c r="H113" s="3507"/>
      <c r="I113" s="3507">
        <v>0</v>
      </c>
      <c r="J113" s="1168">
        <v>0</v>
      </c>
      <c r="K113" s="1168">
        <v>0</v>
      </c>
      <c r="L113" s="1168">
        <v>0</v>
      </c>
      <c r="M113" s="1168">
        <v>0</v>
      </c>
      <c r="N113" s="1168">
        <v>0</v>
      </c>
      <c r="O113" s="2957">
        <v>17551</v>
      </c>
      <c r="P113" s="550"/>
      <c r="Q113" s="550"/>
      <c r="R113" s="550"/>
      <c r="S113" s="550"/>
      <c r="T113" s="550"/>
      <c r="U113" s="542"/>
      <c r="V113" s="550"/>
      <c r="W113" s="542"/>
      <c r="X113" s="550"/>
      <c r="Y113" s="542"/>
      <c r="Z113" s="550"/>
    </row>
    <row r="114" spans="1:26" ht="29.25" hidden="1" customHeight="1" x14ac:dyDescent="0.3">
      <c r="A114" s="1344"/>
      <c r="B114" s="1301"/>
      <c r="C114" s="3890" t="s">
        <v>1787</v>
      </c>
      <c r="D114" s="3890" t="s">
        <v>1848</v>
      </c>
      <c r="E114" s="3891" t="s">
        <v>385</v>
      </c>
      <c r="F114" s="3890" t="s">
        <v>1789</v>
      </c>
      <c r="G114" s="3762"/>
      <c r="H114" s="3763"/>
      <c r="I114" s="3763">
        <v>0</v>
      </c>
      <c r="J114" s="3767">
        <v>0</v>
      </c>
      <c r="K114" s="3913">
        <v>0</v>
      </c>
      <c r="L114" s="3768">
        <v>0</v>
      </c>
      <c r="M114" s="3768">
        <v>0</v>
      </c>
      <c r="N114" s="3768">
        <v>0</v>
      </c>
      <c r="O114" s="3758">
        <v>2710</v>
      </c>
      <c r="P114" s="550"/>
      <c r="Q114" s="550"/>
      <c r="R114" s="550"/>
      <c r="S114" s="550"/>
      <c r="T114" s="550"/>
      <c r="U114" s="542"/>
      <c r="V114" s="550"/>
      <c r="W114" s="542"/>
      <c r="X114" s="550"/>
      <c r="Y114" s="542"/>
      <c r="Z114" s="550"/>
    </row>
    <row r="115" spans="1:26" ht="29.25" hidden="1" customHeight="1" x14ac:dyDescent="0.3">
      <c r="A115" s="1344"/>
      <c r="B115" s="1301"/>
      <c r="C115" s="3906" t="s">
        <v>1787</v>
      </c>
      <c r="D115" s="3906" t="s">
        <v>1849</v>
      </c>
      <c r="E115" s="3907" t="s">
        <v>385</v>
      </c>
      <c r="F115" s="3906" t="s">
        <v>1792</v>
      </c>
      <c r="G115" s="3752"/>
      <c r="H115" s="3507"/>
      <c r="I115" s="3507">
        <v>0</v>
      </c>
      <c r="J115" s="1168">
        <v>0</v>
      </c>
      <c r="K115" s="1168">
        <v>0</v>
      </c>
      <c r="L115" s="1168">
        <v>0</v>
      </c>
      <c r="M115" s="1168">
        <v>0</v>
      </c>
      <c r="N115" s="1168">
        <v>0</v>
      </c>
      <c r="O115" s="2957">
        <v>117880</v>
      </c>
      <c r="P115" s="550"/>
      <c r="Q115" s="550"/>
      <c r="R115" s="550"/>
      <c r="S115" s="550"/>
      <c r="T115" s="550"/>
      <c r="U115" s="542"/>
      <c r="V115" s="550"/>
      <c r="W115" s="542"/>
      <c r="X115" s="550"/>
      <c r="Y115" s="542"/>
      <c r="Z115" s="550"/>
    </row>
    <row r="116" spans="1:26" ht="29.25" customHeight="1" x14ac:dyDescent="0.3">
      <c r="A116" s="1344"/>
      <c r="B116" s="1301">
        <v>27</v>
      </c>
      <c r="C116" s="3897" t="s">
        <v>1787</v>
      </c>
      <c r="D116" s="3897" t="s">
        <v>2212</v>
      </c>
      <c r="E116" s="3898" t="s">
        <v>385</v>
      </c>
      <c r="F116" s="3899" t="s">
        <v>1850</v>
      </c>
      <c r="G116" s="3900"/>
      <c r="H116" s="3786"/>
      <c r="I116" s="3787">
        <v>479920</v>
      </c>
      <c r="J116" s="3962">
        <v>770908</v>
      </c>
      <c r="K116" s="3902">
        <v>1118340</v>
      </c>
      <c r="L116" s="3903">
        <v>215012</v>
      </c>
      <c r="M116" s="3903">
        <v>1681148</v>
      </c>
      <c r="N116" s="3904">
        <v>1670273</v>
      </c>
      <c r="O116" s="3905">
        <v>1469599</v>
      </c>
      <c r="P116" s="550"/>
      <c r="Q116" s="550"/>
      <c r="R116" s="550"/>
      <c r="S116" s="550"/>
      <c r="T116" s="550"/>
      <c r="U116" s="542"/>
      <c r="V116" s="550"/>
      <c r="W116" s="542"/>
      <c r="X116" s="550"/>
      <c r="Y116" s="542"/>
      <c r="Z116" s="544"/>
    </row>
    <row r="117" spans="1:26" ht="29.25" customHeight="1" x14ac:dyDescent="0.3">
      <c r="A117" s="1344"/>
      <c r="B117" s="1301">
        <v>28</v>
      </c>
      <c r="C117" s="3906" t="s">
        <v>1787</v>
      </c>
      <c r="D117" s="3906" t="s">
        <v>2279</v>
      </c>
      <c r="E117" s="3907" t="s">
        <v>385</v>
      </c>
      <c r="F117" s="3906" t="s">
        <v>1809</v>
      </c>
      <c r="G117" s="3752"/>
      <c r="H117" s="3507"/>
      <c r="I117" s="3753">
        <v>640969</v>
      </c>
      <c r="J117" s="1168">
        <v>537010</v>
      </c>
      <c r="K117" s="1168">
        <v>695143</v>
      </c>
      <c r="L117" s="1168">
        <v>652563</v>
      </c>
      <c r="M117" s="1168">
        <v>1333670</v>
      </c>
      <c r="N117" s="1168">
        <v>829085</v>
      </c>
      <c r="O117" s="3870">
        <v>775226</v>
      </c>
      <c r="P117" s="550"/>
      <c r="Q117" s="550"/>
      <c r="R117" s="550"/>
      <c r="S117" s="550"/>
      <c r="T117" s="550"/>
      <c r="U117" s="542"/>
      <c r="V117" s="550"/>
      <c r="W117" s="542"/>
      <c r="X117" s="550"/>
      <c r="Y117" s="542"/>
      <c r="Z117" s="550"/>
    </row>
    <row r="118" spans="1:26" ht="29.25" customHeight="1" x14ac:dyDescent="0.3">
      <c r="A118" s="1344"/>
      <c r="B118" s="1301"/>
      <c r="C118" s="3890" t="s">
        <v>1787</v>
      </c>
      <c r="D118" s="3890" t="s">
        <v>2280</v>
      </c>
      <c r="E118" s="3891" t="s">
        <v>385</v>
      </c>
      <c r="F118" s="3890" t="s">
        <v>1809</v>
      </c>
      <c r="G118" s="3762"/>
      <c r="H118" s="3763"/>
      <c r="I118" s="3806">
        <v>5390</v>
      </c>
      <c r="J118" s="3961">
        <v>41340</v>
      </c>
      <c r="K118" s="3913">
        <v>0</v>
      </c>
      <c r="L118" s="3769">
        <v>6670</v>
      </c>
      <c r="M118" s="3769">
        <v>41728</v>
      </c>
      <c r="N118" s="3769">
        <v>1370</v>
      </c>
      <c r="O118" s="3758">
        <v>10370</v>
      </c>
      <c r="P118" s="550"/>
      <c r="Q118" s="550"/>
      <c r="R118" s="550"/>
      <c r="S118" s="550"/>
      <c r="T118" s="550"/>
      <c r="U118" s="542"/>
      <c r="V118" s="550"/>
      <c r="W118" s="542"/>
      <c r="X118" s="550"/>
      <c r="Y118" s="542"/>
      <c r="Z118" s="544"/>
    </row>
    <row r="119" spans="1:26" ht="29.25" customHeight="1" x14ac:dyDescent="0.3">
      <c r="A119" s="1344"/>
      <c r="B119" s="1301"/>
      <c r="C119" s="1303" t="s">
        <v>1787</v>
      </c>
      <c r="D119" s="1303" t="s">
        <v>2281</v>
      </c>
      <c r="E119" s="1304" t="s">
        <v>385</v>
      </c>
      <c r="F119" s="1303" t="s">
        <v>1809</v>
      </c>
      <c r="G119" s="3752"/>
      <c r="H119" s="3507"/>
      <c r="I119" s="3507">
        <v>0</v>
      </c>
      <c r="J119" s="1168">
        <v>212152</v>
      </c>
      <c r="K119" s="1168">
        <v>455887</v>
      </c>
      <c r="L119" s="1168">
        <v>274486</v>
      </c>
      <c r="M119" s="1168">
        <v>654956</v>
      </c>
      <c r="N119" s="1168">
        <v>568596</v>
      </c>
      <c r="O119" s="2957">
        <v>480280</v>
      </c>
      <c r="P119" s="550"/>
      <c r="Q119" s="550"/>
      <c r="R119" s="550"/>
      <c r="S119" s="550"/>
      <c r="T119" s="550"/>
      <c r="U119" s="542"/>
      <c r="V119" s="550"/>
      <c r="W119" s="542"/>
      <c r="X119" s="550"/>
      <c r="Y119" s="542"/>
      <c r="Z119" s="550"/>
    </row>
    <row r="120" spans="1:26" ht="29.25" customHeight="1" x14ac:dyDescent="0.3">
      <c r="A120" s="1344"/>
      <c r="B120" s="1301"/>
      <c r="C120" s="3890" t="s">
        <v>1787</v>
      </c>
      <c r="D120" s="3890" t="s">
        <v>2282</v>
      </c>
      <c r="E120" s="3891" t="s">
        <v>385</v>
      </c>
      <c r="F120" s="3890" t="s">
        <v>1809</v>
      </c>
      <c r="G120" s="3762"/>
      <c r="H120" s="3763"/>
      <c r="I120" s="3763">
        <v>0</v>
      </c>
      <c r="J120" s="3779">
        <v>24701</v>
      </c>
      <c r="K120" s="3847">
        <v>9265</v>
      </c>
      <c r="L120" s="3769">
        <v>24893</v>
      </c>
      <c r="M120" s="3769">
        <v>35423</v>
      </c>
      <c r="N120" s="3769">
        <v>3452</v>
      </c>
      <c r="O120" s="3758">
        <v>17510</v>
      </c>
      <c r="P120" s="550"/>
      <c r="Q120" s="550"/>
      <c r="R120" s="550"/>
      <c r="S120" s="550"/>
      <c r="T120" s="550"/>
      <c r="U120" s="542"/>
      <c r="V120" s="550"/>
      <c r="W120" s="542"/>
      <c r="X120" s="550"/>
      <c r="Y120" s="542"/>
      <c r="Z120" s="544"/>
    </row>
    <row r="121" spans="1:26" ht="29.25" customHeight="1" x14ac:dyDescent="0.3">
      <c r="A121" s="1344"/>
      <c r="B121" s="1301"/>
      <c r="C121" s="1303" t="s">
        <v>1787</v>
      </c>
      <c r="D121" s="1303" t="s">
        <v>2283</v>
      </c>
      <c r="E121" s="1304" t="s">
        <v>385</v>
      </c>
      <c r="F121" s="1303" t="s">
        <v>1809</v>
      </c>
      <c r="G121" s="3752"/>
      <c r="H121" s="3507"/>
      <c r="I121" s="3753">
        <v>61</v>
      </c>
      <c r="J121" s="1168">
        <v>0</v>
      </c>
      <c r="K121" s="1168">
        <v>277</v>
      </c>
      <c r="L121" s="1168">
        <v>6</v>
      </c>
      <c r="M121" s="1168">
        <v>19988</v>
      </c>
      <c r="N121" s="1168">
        <v>27158</v>
      </c>
      <c r="O121" s="2958">
        <v>0</v>
      </c>
      <c r="P121" s="550"/>
      <c r="Q121" s="550"/>
      <c r="R121" s="550"/>
      <c r="S121" s="550"/>
      <c r="T121" s="550"/>
      <c r="U121" s="542"/>
      <c r="V121" s="550"/>
      <c r="W121" s="542"/>
      <c r="X121" s="550"/>
      <c r="Y121" s="542"/>
      <c r="Z121" s="550"/>
    </row>
    <row r="122" spans="1:26" ht="29.25" customHeight="1" x14ac:dyDescent="0.3">
      <c r="A122" s="1344"/>
      <c r="B122" s="1301"/>
      <c r="C122" s="3890" t="s">
        <v>1787</v>
      </c>
      <c r="D122" s="3890" t="s">
        <v>2284</v>
      </c>
      <c r="E122" s="3891" t="s">
        <v>385</v>
      </c>
      <c r="F122" s="3890" t="s">
        <v>1809</v>
      </c>
      <c r="G122" s="3762"/>
      <c r="H122" s="3763"/>
      <c r="I122" s="3806">
        <v>72061</v>
      </c>
      <c r="J122" s="3911">
        <v>108551</v>
      </c>
      <c r="K122" s="3847">
        <v>79320</v>
      </c>
      <c r="L122" s="3769">
        <v>62949</v>
      </c>
      <c r="M122" s="3769">
        <v>147122</v>
      </c>
      <c r="N122" s="3769">
        <v>46721</v>
      </c>
      <c r="O122" s="3758">
        <v>105620</v>
      </c>
      <c r="P122" s="550"/>
      <c r="Q122" s="550"/>
      <c r="R122" s="550"/>
      <c r="S122" s="550"/>
      <c r="T122" s="550"/>
      <c r="U122" s="542"/>
      <c r="V122" s="550"/>
      <c r="W122" s="542"/>
      <c r="X122" s="550"/>
      <c r="Y122" s="542"/>
      <c r="Z122" s="544"/>
    </row>
    <row r="123" spans="1:26" ht="29.25" customHeight="1" x14ac:dyDescent="0.3">
      <c r="A123" s="1344"/>
      <c r="B123" s="1301"/>
      <c r="C123" s="1303" t="s">
        <v>1787</v>
      </c>
      <c r="D123" s="3144" t="s">
        <v>2285</v>
      </c>
      <c r="E123" s="3790" t="s">
        <v>385</v>
      </c>
      <c r="F123" s="1303" t="s">
        <v>1809</v>
      </c>
      <c r="G123" s="3752"/>
      <c r="H123" s="3507"/>
      <c r="I123" s="3753">
        <v>363</v>
      </c>
      <c r="J123" s="3791">
        <v>0</v>
      </c>
      <c r="K123" s="3791">
        <v>0</v>
      </c>
      <c r="L123" s="3791">
        <v>0</v>
      </c>
      <c r="M123" s="3791">
        <v>0</v>
      </c>
      <c r="N123" s="3791">
        <v>0</v>
      </c>
      <c r="O123" s="3758"/>
      <c r="P123" s="550"/>
      <c r="Q123" s="550"/>
      <c r="R123" s="550"/>
      <c r="S123" s="550"/>
      <c r="T123" s="550"/>
      <c r="U123" s="542"/>
      <c r="V123" s="550"/>
      <c r="W123" s="542"/>
      <c r="X123" s="550"/>
      <c r="Y123" s="542"/>
      <c r="Z123" s="550"/>
    </row>
    <row r="124" spans="1:26" ht="29.25" customHeight="1" x14ac:dyDescent="0.3">
      <c r="A124" s="1344"/>
      <c r="B124" s="1301"/>
      <c r="C124" s="3890" t="s">
        <v>1787</v>
      </c>
      <c r="D124" s="4090" t="s">
        <v>2286</v>
      </c>
      <c r="E124" s="3891" t="s">
        <v>385</v>
      </c>
      <c r="F124" s="3963" t="s">
        <v>1809</v>
      </c>
      <c r="G124" s="3762"/>
      <c r="H124" s="3763"/>
      <c r="I124" s="3806">
        <v>351071</v>
      </c>
      <c r="J124" s="3961">
        <v>0</v>
      </c>
      <c r="K124" s="3961">
        <v>0</v>
      </c>
      <c r="L124" s="3961">
        <v>0</v>
      </c>
      <c r="M124" s="3961">
        <v>0</v>
      </c>
      <c r="N124" s="3961">
        <v>0</v>
      </c>
      <c r="O124" s="3758"/>
      <c r="P124" s="550"/>
      <c r="Q124" s="550"/>
      <c r="R124" s="550"/>
      <c r="S124" s="550"/>
      <c r="T124" s="550"/>
      <c r="U124" s="542"/>
      <c r="V124" s="550"/>
      <c r="W124" s="542"/>
      <c r="X124" s="550"/>
      <c r="Y124" s="542"/>
      <c r="Z124" s="544"/>
    </row>
    <row r="125" spans="1:26" ht="29.25" customHeight="1" x14ac:dyDescent="0.3">
      <c r="A125" s="1344"/>
      <c r="B125" s="1301">
        <v>29</v>
      </c>
      <c r="C125" s="3964" t="s">
        <v>1787</v>
      </c>
      <c r="D125" s="3965" t="s">
        <v>2287</v>
      </c>
      <c r="E125" s="3966" t="s">
        <v>385</v>
      </c>
      <c r="F125" s="3967" t="s">
        <v>1809</v>
      </c>
      <c r="G125" s="3968"/>
      <c r="H125" s="3775"/>
      <c r="I125" s="3776">
        <v>203473</v>
      </c>
      <c r="J125" s="3969">
        <v>375587</v>
      </c>
      <c r="K125" s="3969">
        <v>305666</v>
      </c>
      <c r="L125" s="3969">
        <v>138670</v>
      </c>
      <c r="M125" s="3969">
        <v>316156</v>
      </c>
      <c r="N125" s="3955">
        <v>158496</v>
      </c>
      <c r="O125" s="3956">
        <v>95345</v>
      </c>
      <c r="P125" s="550"/>
      <c r="Q125" s="550"/>
      <c r="R125" s="550"/>
      <c r="S125" s="550"/>
      <c r="T125" s="550"/>
      <c r="U125" s="542"/>
      <c r="V125" s="550"/>
      <c r="W125" s="542"/>
      <c r="X125" s="550"/>
      <c r="Y125" s="542"/>
      <c r="Z125" s="550"/>
    </row>
    <row r="126" spans="1:26" ht="29.25" hidden="1" customHeight="1" x14ac:dyDescent="0.3">
      <c r="A126" s="1344"/>
      <c r="B126" s="1301"/>
      <c r="C126" s="3890" t="s">
        <v>1787</v>
      </c>
      <c r="D126" s="3890" t="s">
        <v>1851</v>
      </c>
      <c r="E126" s="3891" t="s">
        <v>385</v>
      </c>
      <c r="F126" s="3890" t="s">
        <v>1807</v>
      </c>
      <c r="G126" s="3762"/>
      <c r="H126" s="3763"/>
      <c r="I126" s="3763">
        <v>0</v>
      </c>
      <c r="J126" s="3779">
        <v>1021850</v>
      </c>
      <c r="K126" s="3769">
        <v>1278703</v>
      </c>
      <c r="L126" s="3769">
        <v>1271938</v>
      </c>
      <c r="M126" s="3769">
        <v>2487237</v>
      </c>
      <c r="N126" s="3769">
        <v>1102201</v>
      </c>
      <c r="O126" s="3758">
        <v>1007509</v>
      </c>
      <c r="P126" s="550"/>
      <c r="Q126" s="550"/>
      <c r="R126" s="550"/>
      <c r="S126" s="550"/>
      <c r="T126" s="550"/>
      <c r="U126" s="542"/>
      <c r="V126" s="550"/>
      <c r="W126" s="542"/>
      <c r="X126" s="550"/>
      <c r="Y126" s="542"/>
      <c r="Z126" s="550"/>
    </row>
    <row r="127" spans="1:26" ht="29.25" hidden="1" customHeight="1" x14ac:dyDescent="0.3">
      <c r="A127" s="1344"/>
      <c r="B127" s="1301"/>
      <c r="C127" s="1303" t="s">
        <v>1787</v>
      </c>
      <c r="D127" s="1303" t="s">
        <v>1852</v>
      </c>
      <c r="E127" s="1304" t="s">
        <v>385</v>
      </c>
      <c r="F127" s="1303" t="s">
        <v>1814</v>
      </c>
      <c r="G127" s="3752"/>
      <c r="H127" s="3507"/>
      <c r="I127" s="3507">
        <v>0</v>
      </c>
      <c r="J127" s="1168">
        <v>238365</v>
      </c>
      <c r="K127" s="1168">
        <v>180546</v>
      </c>
      <c r="L127" s="1168">
        <v>86984</v>
      </c>
      <c r="M127" s="1168">
        <v>86984</v>
      </c>
      <c r="N127" s="1168">
        <v>0</v>
      </c>
      <c r="O127" s="2958">
        <v>0</v>
      </c>
      <c r="P127" s="550"/>
      <c r="Q127" s="550"/>
      <c r="R127" s="550"/>
      <c r="S127" s="550"/>
      <c r="T127" s="550"/>
      <c r="U127" s="542"/>
      <c r="V127" s="550"/>
      <c r="W127" s="542"/>
      <c r="X127" s="550"/>
      <c r="Y127" s="542"/>
      <c r="Z127" s="550"/>
    </row>
    <row r="128" spans="1:26" ht="29.25" hidden="1" customHeight="1" x14ac:dyDescent="0.3">
      <c r="A128" s="1344"/>
      <c r="B128" s="1301"/>
      <c r="C128" s="3897" t="s">
        <v>1787</v>
      </c>
      <c r="D128" s="3897" t="s">
        <v>1853</v>
      </c>
      <c r="E128" s="3898" t="s">
        <v>385</v>
      </c>
      <c r="F128" s="3897" t="s">
        <v>1854</v>
      </c>
      <c r="G128" s="3762"/>
      <c r="H128" s="3763"/>
      <c r="I128" s="3763">
        <v>0</v>
      </c>
      <c r="J128" s="3939">
        <v>923341</v>
      </c>
      <c r="K128" s="3940">
        <v>803688</v>
      </c>
      <c r="L128" s="3931">
        <v>1238131</v>
      </c>
      <c r="M128" s="3931">
        <v>2416384</v>
      </c>
      <c r="N128" s="3931">
        <v>1512003</v>
      </c>
      <c r="O128" s="3878">
        <v>634022</v>
      </c>
      <c r="P128" s="550"/>
      <c r="Q128" s="550"/>
      <c r="R128" s="550"/>
      <c r="S128" s="550"/>
      <c r="T128" s="550"/>
      <c r="U128" s="542"/>
      <c r="V128" s="550"/>
      <c r="W128" s="542"/>
      <c r="X128" s="550"/>
      <c r="Y128" s="542"/>
      <c r="Z128" s="550"/>
    </row>
    <row r="129" spans="1:26" ht="29.25" customHeight="1" x14ac:dyDescent="0.3">
      <c r="A129" s="1344"/>
      <c r="B129" s="1301">
        <v>30</v>
      </c>
      <c r="C129" s="1303" t="s">
        <v>1787</v>
      </c>
      <c r="D129" s="1303" t="s">
        <v>2288</v>
      </c>
      <c r="E129" s="1304" t="s">
        <v>385</v>
      </c>
      <c r="F129" s="1303" t="s">
        <v>1854</v>
      </c>
      <c r="G129" s="3752"/>
      <c r="H129" s="3507"/>
      <c r="I129" s="3753">
        <v>122424</v>
      </c>
      <c r="J129" s="1168">
        <v>115015</v>
      </c>
      <c r="K129" s="1168">
        <v>131363</v>
      </c>
      <c r="L129" s="1168">
        <v>194248</v>
      </c>
      <c r="M129" s="1168">
        <v>768761</v>
      </c>
      <c r="N129" s="1168">
        <v>331056</v>
      </c>
      <c r="O129" s="2957">
        <v>216147</v>
      </c>
      <c r="P129" s="550"/>
      <c r="Q129" s="550"/>
      <c r="R129" s="550"/>
      <c r="S129" s="550"/>
      <c r="T129" s="550"/>
      <c r="U129" s="542"/>
      <c r="V129" s="550"/>
      <c r="W129" s="542"/>
      <c r="X129" s="550"/>
      <c r="Y129" s="542"/>
      <c r="Z129" s="550"/>
    </row>
    <row r="130" spans="1:26" ht="29.25" customHeight="1" x14ac:dyDescent="0.3">
      <c r="A130" s="1344"/>
      <c r="B130" s="1301"/>
      <c r="C130" s="3890" t="s">
        <v>1787</v>
      </c>
      <c r="D130" s="3890" t="s">
        <v>2289</v>
      </c>
      <c r="E130" s="3891" t="s">
        <v>385</v>
      </c>
      <c r="F130" s="3890" t="s">
        <v>1854</v>
      </c>
      <c r="G130" s="3762"/>
      <c r="H130" s="3763"/>
      <c r="I130" s="3806">
        <v>61840</v>
      </c>
      <c r="J130" s="3779">
        <v>28889</v>
      </c>
      <c r="K130" s="3847">
        <v>22093</v>
      </c>
      <c r="L130" s="3769">
        <v>24617</v>
      </c>
      <c r="M130" s="3769">
        <v>48352</v>
      </c>
      <c r="N130" s="3769">
        <v>30854</v>
      </c>
      <c r="O130" s="3758">
        <v>2384208</v>
      </c>
      <c r="P130" s="550"/>
      <c r="Q130" s="550"/>
      <c r="R130" s="550"/>
      <c r="S130" s="550"/>
      <c r="T130" s="550"/>
      <c r="U130" s="542"/>
      <c r="V130" s="550"/>
      <c r="W130" s="542"/>
      <c r="X130" s="550"/>
      <c r="Y130" s="542"/>
      <c r="Z130" s="544"/>
    </row>
    <row r="131" spans="1:26" ht="29.25" customHeight="1" x14ac:dyDescent="0.3">
      <c r="A131" s="1344"/>
      <c r="B131" s="3781">
        <v>31</v>
      </c>
      <c r="C131" s="3970" t="s">
        <v>1787</v>
      </c>
      <c r="D131" s="3964" t="s">
        <v>2216</v>
      </c>
      <c r="E131" s="3971" t="s">
        <v>385</v>
      </c>
      <c r="F131" s="3964" t="s">
        <v>1804</v>
      </c>
      <c r="G131" s="3774"/>
      <c r="H131" s="3775"/>
      <c r="I131" s="3776">
        <v>305953</v>
      </c>
      <c r="J131" s="3969">
        <v>216380</v>
      </c>
      <c r="K131" s="3969">
        <v>258460</v>
      </c>
      <c r="L131" s="3969">
        <v>247720</v>
      </c>
      <c r="M131" s="3969">
        <v>493570</v>
      </c>
      <c r="N131" s="3955">
        <v>254645</v>
      </c>
      <c r="O131" s="3972">
        <v>171750</v>
      </c>
      <c r="P131" s="550"/>
      <c r="Q131" s="550"/>
      <c r="R131" s="550"/>
      <c r="S131" s="550"/>
      <c r="T131" s="550"/>
      <c r="U131" s="542"/>
      <c r="V131" s="550"/>
      <c r="W131" s="542"/>
      <c r="X131" s="550"/>
      <c r="Y131" s="542"/>
      <c r="Z131" s="550"/>
    </row>
    <row r="132" spans="1:26" ht="29.25" hidden="1" customHeight="1" x14ac:dyDescent="0.3">
      <c r="A132" s="1344"/>
      <c r="B132" s="1301"/>
      <c r="C132" s="3890" t="s">
        <v>1787</v>
      </c>
      <c r="D132" s="3890" t="s">
        <v>1855</v>
      </c>
      <c r="E132" s="3891" t="s">
        <v>385</v>
      </c>
      <c r="F132" s="3890" t="s">
        <v>1804</v>
      </c>
      <c r="G132" s="3762"/>
      <c r="H132" s="3763"/>
      <c r="I132" s="3763">
        <v>0</v>
      </c>
      <c r="J132" s="3911">
        <v>358379</v>
      </c>
      <c r="K132" s="3769">
        <v>472271</v>
      </c>
      <c r="L132" s="3769">
        <v>309738</v>
      </c>
      <c r="M132" s="3769">
        <v>499985</v>
      </c>
      <c r="N132" s="3768">
        <v>0</v>
      </c>
      <c r="O132" s="3932">
        <v>0</v>
      </c>
      <c r="P132" s="550"/>
      <c r="Q132" s="550"/>
      <c r="R132" s="550"/>
      <c r="S132" s="550"/>
      <c r="T132" s="550"/>
      <c r="U132" s="542"/>
      <c r="V132" s="550"/>
      <c r="W132" s="542"/>
      <c r="X132" s="550"/>
      <c r="Y132" s="542"/>
      <c r="Z132" s="550"/>
    </row>
    <row r="133" spans="1:26" ht="29.25" customHeight="1" x14ac:dyDescent="0.3">
      <c r="A133" s="1344"/>
      <c r="B133" s="1301">
        <v>32</v>
      </c>
      <c r="C133" s="1303" t="s">
        <v>1787</v>
      </c>
      <c r="D133" s="1303" t="s">
        <v>2217</v>
      </c>
      <c r="E133" s="1304" t="s">
        <v>385</v>
      </c>
      <c r="F133" s="1303" t="s">
        <v>1807</v>
      </c>
      <c r="G133" s="3850"/>
      <c r="H133" s="3720"/>
      <c r="I133" s="3721">
        <v>26475</v>
      </c>
      <c r="J133" s="1168">
        <v>5728</v>
      </c>
      <c r="K133" s="1168">
        <v>12432</v>
      </c>
      <c r="L133" s="1168">
        <v>9927</v>
      </c>
      <c r="M133" s="1168">
        <v>16534</v>
      </c>
      <c r="N133" s="1168">
        <v>35046</v>
      </c>
      <c r="O133" s="3870">
        <v>27932</v>
      </c>
      <c r="P133" s="550"/>
      <c r="Q133" s="550"/>
      <c r="R133" s="550"/>
      <c r="S133" s="550"/>
      <c r="T133" s="550"/>
      <c r="U133" s="542"/>
      <c r="V133" s="550"/>
      <c r="W133" s="542"/>
      <c r="X133" s="550"/>
      <c r="Y133" s="542"/>
      <c r="Z133" s="550"/>
    </row>
    <row r="134" spans="1:26" ht="29.25" customHeight="1" x14ac:dyDescent="0.3">
      <c r="A134" s="1344"/>
      <c r="B134" s="1301">
        <v>33</v>
      </c>
      <c r="C134" s="3897" t="s">
        <v>1787</v>
      </c>
      <c r="D134" s="3897" t="s">
        <v>2290</v>
      </c>
      <c r="E134" s="3898" t="s">
        <v>385</v>
      </c>
      <c r="F134" s="3973" t="s">
        <v>1809</v>
      </c>
      <c r="G134" s="3833"/>
      <c r="H134" s="3834"/>
      <c r="I134" s="3834">
        <v>0</v>
      </c>
      <c r="J134" s="3974">
        <v>0</v>
      </c>
      <c r="K134" s="3975">
        <v>0</v>
      </c>
      <c r="L134" s="3976">
        <v>16420</v>
      </c>
      <c r="M134" s="3976">
        <v>114440</v>
      </c>
      <c r="N134" s="3976">
        <v>85800</v>
      </c>
      <c r="O134" s="3878">
        <v>74140</v>
      </c>
      <c r="P134" s="550"/>
      <c r="Q134" s="550"/>
      <c r="R134" s="550"/>
      <c r="S134" s="550"/>
      <c r="T134" s="550"/>
      <c r="U134" s="542"/>
      <c r="V134" s="550"/>
      <c r="W134" s="542"/>
      <c r="X134" s="550"/>
      <c r="Y134" s="542"/>
      <c r="Z134" s="544"/>
    </row>
    <row r="135" spans="1:26" ht="29.25" hidden="1" customHeight="1" x14ac:dyDescent="0.3">
      <c r="A135" s="1344"/>
      <c r="B135" s="1301"/>
      <c r="C135" s="1303" t="s">
        <v>1787</v>
      </c>
      <c r="D135" s="1303" t="s">
        <v>1856</v>
      </c>
      <c r="E135" s="1304" t="s">
        <v>385</v>
      </c>
      <c r="F135" s="1303" t="s">
        <v>1809</v>
      </c>
      <c r="G135" s="3752"/>
      <c r="H135" s="3507"/>
      <c r="I135" s="3507">
        <v>0</v>
      </c>
      <c r="J135" s="1168">
        <v>872838</v>
      </c>
      <c r="K135" s="1168">
        <v>955509</v>
      </c>
      <c r="L135" s="1168">
        <v>636911</v>
      </c>
      <c r="M135" s="1168">
        <v>1604723</v>
      </c>
      <c r="N135" s="1168">
        <v>895482</v>
      </c>
      <c r="O135" s="3870">
        <v>1048444</v>
      </c>
      <c r="P135" s="550"/>
      <c r="Q135" s="550"/>
      <c r="R135" s="550"/>
      <c r="S135" s="550"/>
      <c r="T135" s="550"/>
      <c r="U135" s="542"/>
      <c r="V135" s="550"/>
      <c r="W135" s="542"/>
      <c r="X135" s="550"/>
      <c r="Y135" s="542"/>
      <c r="Z135" s="550"/>
    </row>
    <row r="136" spans="1:26" ht="29.25" hidden="1" customHeight="1" x14ac:dyDescent="0.3">
      <c r="A136" s="1344"/>
      <c r="B136" s="1301"/>
      <c r="C136" s="3897" t="s">
        <v>1787</v>
      </c>
      <c r="D136" s="3897" t="s">
        <v>1857</v>
      </c>
      <c r="E136" s="3898" t="s">
        <v>385</v>
      </c>
      <c r="F136" s="3897" t="s">
        <v>1809</v>
      </c>
      <c r="G136" s="3762"/>
      <c r="H136" s="3763"/>
      <c r="I136" s="3763">
        <v>0</v>
      </c>
      <c r="J136" s="3939">
        <v>1699175</v>
      </c>
      <c r="K136" s="3931">
        <v>1574178</v>
      </c>
      <c r="L136" s="3931">
        <v>1146496</v>
      </c>
      <c r="M136" s="3931">
        <v>2186352</v>
      </c>
      <c r="N136" s="3931">
        <v>1627085</v>
      </c>
      <c r="O136" s="3878">
        <v>1505342</v>
      </c>
      <c r="P136" s="550"/>
      <c r="Q136" s="550"/>
      <c r="R136" s="550"/>
      <c r="S136" s="550"/>
      <c r="T136" s="550"/>
      <c r="U136" s="542"/>
      <c r="V136" s="550"/>
      <c r="W136" s="542"/>
      <c r="X136" s="550"/>
      <c r="Y136" s="542"/>
      <c r="Z136" s="550"/>
    </row>
    <row r="137" spans="1:26" ht="29.25" customHeight="1" x14ac:dyDescent="0.3">
      <c r="A137" s="1344"/>
      <c r="B137" s="3781">
        <v>34</v>
      </c>
      <c r="C137" s="3970" t="s">
        <v>1787</v>
      </c>
      <c r="D137" s="3977" t="s">
        <v>2219</v>
      </c>
      <c r="E137" s="3978" t="s">
        <v>385</v>
      </c>
      <c r="F137" s="3915" t="s">
        <v>1812</v>
      </c>
      <c r="G137" s="3850"/>
      <c r="H137" s="3720"/>
      <c r="I137" s="3721">
        <v>547782</v>
      </c>
      <c r="J137" s="3722">
        <v>499116</v>
      </c>
      <c r="K137" s="3722">
        <v>277137</v>
      </c>
      <c r="L137" s="3722">
        <v>616740</v>
      </c>
      <c r="M137" s="3722">
        <v>653298</v>
      </c>
      <c r="N137" s="3722">
        <v>0</v>
      </c>
      <c r="O137" s="3922">
        <v>0</v>
      </c>
      <c r="P137" s="550"/>
      <c r="Q137" s="550"/>
      <c r="R137" s="550"/>
      <c r="S137" s="550"/>
      <c r="T137" s="550"/>
      <c r="U137" s="542"/>
      <c r="V137" s="550"/>
      <c r="W137" s="542"/>
      <c r="X137" s="550"/>
      <c r="Y137" s="542"/>
      <c r="Z137" s="550"/>
    </row>
    <row r="138" spans="1:26" ht="29.25" hidden="1" customHeight="1" x14ac:dyDescent="0.3">
      <c r="A138" s="1344"/>
      <c r="B138" s="3781"/>
      <c r="C138" s="3979" t="s">
        <v>1787</v>
      </c>
      <c r="D138" s="3980" t="s">
        <v>1858</v>
      </c>
      <c r="E138" s="3981" t="s">
        <v>385</v>
      </c>
      <c r="F138" s="3890" t="s">
        <v>1804</v>
      </c>
      <c r="G138" s="3762"/>
      <c r="H138" s="3763"/>
      <c r="I138" s="3763">
        <v>0</v>
      </c>
      <c r="J138" s="3779">
        <v>735300</v>
      </c>
      <c r="K138" s="3769">
        <v>969481</v>
      </c>
      <c r="L138" s="3769">
        <v>642822</v>
      </c>
      <c r="M138" s="3769">
        <v>642822</v>
      </c>
      <c r="N138" s="3768">
        <v>0</v>
      </c>
      <c r="O138" s="3932">
        <v>0</v>
      </c>
      <c r="P138" s="550"/>
      <c r="Q138" s="550"/>
      <c r="R138" s="550"/>
      <c r="S138" s="550"/>
      <c r="T138" s="550"/>
      <c r="U138" s="542"/>
      <c r="V138" s="550"/>
      <c r="W138" s="542"/>
      <c r="X138" s="550"/>
      <c r="Y138" s="542"/>
      <c r="Z138" s="550"/>
    </row>
    <row r="139" spans="1:26" ht="29.25" customHeight="1" x14ac:dyDescent="0.3">
      <c r="A139" s="1344"/>
      <c r="B139" s="3781">
        <v>35</v>
      </c>
      <c r="C139" s="3982" t="s">
        <v>1787</v>
      </c>
      <c r="D139" s="3983" t="s">
        <v>2291</v>
      </c>
      <c r="E139" s="3984" t="s">
        <v>385</v>
      </c>
      <c r="F139" s="3915" t="s">
        <v>1859</v>
      </c>
      <c r="G139" s="3850"/>
      <c r="H139" s="3720"/>
      <c r="I139" s="3720">
        <v>0</v>
      </c>
      <c r="J139" s="3722">
        <v>760240</v>
      </c>
      <c r="K139" s="3722">
        <v>644870</v>
      </c>
      <c r="L139" s="3722">
        <v>337740</v>
      </c>
      <c r="M139" s="3722">
        <v>1157610</v>
      </c>
      <c r="N139" s="3722">
        <v>572269</v>
      </c>
      <c r="O139" s="3870">
        <v>1083040</v>
      </c>
      <c r="P139" s="550"/>
      <c r="Q139" s="550"/>
      <c r="R139" s="550"/>
      <c r="S139" s="550"/>
      <c r="T139" s="550"/>
      <c r="U139" s="542"/>
      <c r="V139" s="550"/>
      <c r="W139" s="542"/>
      <c r="X139" s="550"/>
      <c r="Y139" s="542"/>
      <c r="Z139" s="550"/>
    </row>
    <row r="140" spans="1:26" ht="29.25" customHeight="1" x14ac:dyDescent="0.3">
      <c r="A140" s="1344"/>
      <c r="B140" s="1301"/>
      <c r="C140" s="3890" t="s">
        <v>1787</v>
      </c>
      <c r="D140" s="3890" t="s">
        <v>2292</v>
      </c>
      <c r="E140" s="3891" t="s">
        <v>385</v>
      </c>
      <c r="F140" s="3890" t="s">
        <v>1859</v>
      </c>
      <c r="G140" s="3762"/>
      <c r="H140" s="3763"/>
      <c r="I140" s="3763">
        <v>0</v>
      </c>
      <c r="J140" s="3911">
        <v>126290</v>
      </c>
      <c r="K140" s="3847">
        <v>120200</v>
      </c>
      <c r="L140" s="3769">
        <v>153660</v>
      </c>
      <c r="M140" s="3769">
        <v>306740</v>
      </c>
      <c r="N140" s="3769">
        <v>180882</v>
      </c>
      <c r="O140" s="3758">
        <v>125170</v>
      </c>
      <c r="P140" s="550"/>
      <c r="Q140" s="550"/>
      <c r="R140" s="550"/>
      <c r="S140" s="550"/>
      <c r="T140" s="550"/>
      <c r="U140" s="542"/>
      <c r="V140" s="550"/>
      <c r="W140" s="542"/>
      <c r="X140" s="550"/>
      <c r="Y140" s="542"/>
      <c r="Z140" s="544"/>
    </row>
    <row r="141" spans="1:26" ht="29.25" customHeight="1" x14ac:dyDescent="0.3">
      <c r="A141" s="1344"/>
      <c r="B141" s="1301"/>
      <c r="C141" s="1303" t="s">
        <v>1787</v>
      </c>
      <c r="D141" s="1303" t="s">
        <v>2293</v>
      </c>
      <c r="E141" s="1304" t="s">
        <v>385</v>
      </c>
      <c r="F141" s="1303" t="s">
        <v>1859</v>
      </c>
      <c r="G141" s="3752"/>
      <c r="H141" s="3507"/>
      <c r="I141" s="3753">
        <v>33033</v>
      </c>
      <c r="J141" s="1168">
        <v>76590</v>
      </c>
      <c r="K141" s="1168">
        <v>46760</v>
      </c>
      <c r="L141" s="1168">
        <v>47620</v>
      </c>
      <c r="M141" s="1168">
        <v>82000</v>
      </c>
      <c r="N141" s="1168">
        <v>84104</v>
      </c>
      <c r="O141" s="2957">
        <v>97280</v>
      </c>
      <c r="P141" s="550"/>
      <c r="Q141" s="550"/>
      <c r="R141" s="550"/>
      <c r="S141" s="550"/>
      <c r="T141" s="550"/>
      <c r="U141" s="542"/>
      <c r="V141" s="550"/>
      <c r="W141" s="542"/>
      <c r="X141" s="550"/>
      <c r="Y141" s="542"/>
      <c r="Z141" s="550"/>
    </row>
    <row r="142" spans="1:26" ht="29.25" customHeight="1" x14ac:dyDescent="0.3">
      <c r="A142" s="1344"/>
      <c r="B142" s="1301"/>
      <c r="C142" s="3890" t="s">
        <v>1787</v>
      </c>
      <c r="D142" s="3890" t="s">
        <v>2294</v>
      </c>
      <c r="E142" s="3891" t="s">
        <v>385</v>
      </c>
      <c r="F142" s="3890" t="s">
        <v>1859</v>
      </c>
      <c r="G142" s="3762"/>
      <c r="H142" s="3763"/>
      <c r="I142" s="3806">
        <v>448820</v>
      </c>
      <c r="J142" s="3779">
        <v>286670</v>
      </c>
      <c r="K142" s="3847">
        <v>359260</v>
      </c>
      <c r="L142" s="3769">
        <v>158431</v>
      </c>
      <c r="M142" s="3769">
        <v>436791</v>
      </c>
      <c r="N142" s="3769">
        <v>221237</v>
      </c>
      <c r="O142" s="3758">
        <v>199700</v>
      </c>
      <c r="P142" s="550"/>
      <c r="Q142" s="550"/>
      <c r="R142" s="550"/>
      <c r="S142" s="550"/>
      <c r="T142" s="550"/>
      <c r="U142" s="542"/>
      <c r="V142" s="550"/>
      <c r="W142" s="542"/>
      <c r="X142" s="550"/>
      <c r="Y142" s="542"/>
      <c r="Z142" s="544"/>
    </row>
    <row r="143" spans="1:26" ht="29.25" customHeight="1" x14ac:dyDescent="0.3">
      <c r="A143" s="1344"/>
      <c r="B143" s="1301"/>
      <c r="C143" s="1303" t="s">
        <v>1787</v>
      </c>
      <c r="D143" s="1303" t="s">
        <v>2295</v>
      </c>
      <c r="E143" s="1304" t="s">
        <v>385</v>
      </c>
      <c r="F143" s="1303" t="s">
        <v>1859</v>
      </c>
      <c r="G143" s="3752"/>
      <c r="H143" s="3507"/>
      <c r="I143" s="3507">
        <v>0</v>
      </c>
      <c r="J143" s="1168">
        <v>0</v>
      </c>
      <c r="K143" s="1168">
        <v>0</v>
      </c>
      <c r="L143" s="1168">
        <v>0</v>
      </c>
      <c r="M143" s="1168">
        <v>0</v>
      </c>
      <c r="N143" s="1168">
        <v>0</v>
      </c>
      <c r="O143" s="2958">
        <v>0</v>
      </c>
      <c r="P143" s="550"/>
      <c r="Q143" s="550"/>
      <c r="R143" s="550"/>
      <c r="S143" s="550"/>
      <c r="T143" s="550"/>
      <c r="U143" s="542"/>
      <c r="V143" s="550"/>
      <c r="W143" s="542"/>
      <c r="X143" s="550"/>
      <c r="Y143" s="542"/>
      <c r="Z143" s="550"/>
    </row>
    <row r="144" spans="1:26" ht="29.25" customHeight="1" x14ac:dyDescent="0.3">
      <c r="A144" s="1344"/>
      <c r="B144" s="1301">
        <v>36</v>
      </c>
      <c r="C144" s="3973" t="s">
        <v>1787</v>
      </c>
      <c r="D144" s="3973" t="s">
        <v>2221</v>
      </c>
      <c r="E144" s="3985" t="s">
        <v>385</v>
      </c>
      <c r="F144" s="3973" t="s">
        <v>1809</v>
      </c>
      <c r="G144" s="3785"/>
      <c r="H144" s="3834"/>
      <c r="I144" s="3787">
        <v>28439</v>
      </c>
      <c r="J144" s="3986">
        <v>30063</v>
      </c>
      <c r="K144" s="3987">
        <v>34666</v>
      </c>
      <c r="L144" s="3976">
        <v>30821</v>
      </c>
      <c r="M144" s="3976">
        <v>34937</v>
      </c>
      <c r="N144" s="3988">
        <v>0</v>
      </c>
      <c r="O144" s="3932">
        <v>0</v>
      </c>
      <c r="P144" s="550"/>
      <c r="Q144" s="550"/>
      <c r="R144" s="550"/>
      <c r="S144" s="550"/>
      <c r="T144" s="550"/>
      <c r="U144" s="542"/>
      <c r="V144" s="550"/>
      <c r="W144" s="542"/>
      <c r="X144" s="550"/>
      <c r="Y144" s="542"/>
      <c r="Z144" s="544"/>
    </row>
    <row r="145" spans="1:26" ht="29.25" customHeight="1" x14ac:dyDescent="0.3">
      <c r="A145" s="1344"/>
      <c r="B145" s="1301">
        <v>37</v>
      </c>
      <c r="C145" s="1303" t="s">
        <v>1787</v>
      </c>
      <c r="D145" s="1303" t="s">
        <v>2222</v>
      </c>
      <c r="E145" s="1304" t="s">
        <v>385</v>
      </c>
      <c r="F145" s="1303" t="s">
        <v>1859</v>
      </c>
      <c r="G145" s="3752"/>
      <c r="H145" s="3507"/>
      <c r="I145" s="3507">
        <v>0</v>
      </c>
      <c r="J145" s="1168">
        <v>12350</v>
      </c>
      <c r="K145" s="1168">
        <v>61870</v>
      </c>
      <c r="L145" s="1168">
        <v>84120</v>
      </c>
      <c r="M145" s="1168">
        <v>61430</v>
      </c>
      <c r="N145" s="1168">
        <v>0</v>
      </c>
      <c r="O145" s="3922">
        <v>0</v>
      </c>
      <c r="P145" s="550"/>
      <c r="Q145" s="550"/>
      <c r="R145" s="550"/>
      <c r="S145" s="550"/>
      <c r="T145" s="550"/>
      <c r="U145" s="542"/>
      <c r="V145" s="550"/>
      <c r="W145" s="542"/>
      <c r="X145" s="550"/>
      <c r="Y145" s="542"/>
      <c r="Z145" s="550"/>
    </row>
    <row r="146" spans="1:26" ht="29.25" customHeight="1" x14ac:dyDescent="0.3">
      <c r="A146" s="1344"/>
      <c r="B146" s="1301"/>
      <c r="C146" s="3890" t="s">
        <v>1787</v>
      </c>
      <c r="D146" s="3890" t="s">
        <v>2298</v>
      </c>
      <c r="E146" s="3891" t="s">
        <v>385</v>
      </c>
      <c r="F146" s="3890" t="s">
        <v>1859</v>
      </c>
      <c r="G146" s="3762"/>
      <c r="H146" s="3763"/>
      <c r="I146" s="3806">
        <v>128320</v>
      </c>
      <c r="J146" s="3769">
        <v>189870</v>
      </c>
      <c r="K146" s="3847">
        <v>89340</v>
      </c>
      <c r="L146" s="3769">
        <v>250720</v>
      </c>
      <c r="M146" s="3769">
        <v>409620</v>
      </c>
      <c r="N146" s="3769">
        <v>375550</v>
      </c>
      <c r="O146" s="3758">
        <v>538980</v>
      </c>
      <c r="P146" s="550"/>
      <c r="Q146" s="550"/>
      <c r="R146" s="550"/>
      <c r="S146" s="550"/>
      <c r="T146" s="550"/>
      <c r="U146" s="542"/>
      <c r="V146" s="550"/>
      <c r="W146" s="542"/>
      <c r="X146" s="550"/>
      <c r="Y146" s="542"/>
      <c r="Z146" s="544"/>
    </row>
    <row r="147" spans="1:26" ht="29.25" customHeight="1" x14ac:dyDescent="0.3">
      <c r="A147" s="1344"/>
      <c r="B147" s="1301"/>
      <c r="C147" s="1303" t="s">
        <v>1787</v>
      </c>
      <c r="D147" s="1303" t="s">
        <v>2299</v>
      </c>
      <c r="E147" s="1304" t="s">
        <v>385</v>
      </c>
      <c r="F147" s="1303" t="s">
        <v>1859</v>
      </c>
      <c r="G147" s="3752"/>
      <c r="H147" s="3507"/>
      <c r="I147" s="3753">
        <v>190170</v>
      </c>
      <c r="J147" s="1168">
        <v>61320</v>
      </c>
      <c r="K147" s="1168">
        <v>69570</v>
      </c>
      <c r="L147" s="1168">
        <v>46670</v>
      </c>
      <c r="M147" s="1168">
        <v>167220</v>
      </c>
      <c r="N147" s="1168">
        <v>150030</v>
      </c>
      <c r="O147" s="2957">
        <v>158910</v>
      </c>
      <c r="P147" s="550"/>
      <c r="Q147" s="550"/>
      <c r="R147" s="550"/>
      <c r="S147" s="550"/>
      <c r="T147" s="550"/>
      <c r="U147" s="542"/>
      <c r="V147" s="550"/>
      <c r="W147" s="542"/>
      <c r="X147" s="550"/>
      <c r="Y147" s="542"/>
      <c r="Z147" s="550"/>
    </row>
    <row r="148" spans="1:26" ht="29.25" customHeight="1" x14ac:dyDescent="0.3">
      <c r="A148" s="1344"/>
      <c r="B148" s="1301"/>
      <c r="C148" s="3890" t="s">
        <v>1787</v>
      </c>
      <c r="D148" s="3890" t="s">
        <v>2300</v>
      </c>
      <c r="E148" s="3891" t="s">
        <v>385</v>
      </c>
      <c r="F148" s="3890" t="s">
        <v>1859</v>
      </c>
      <c r="G148" s="3762"/>
      <c r="H148" s="3763"/>
      <c r="I148" s="3763">
        <v>0</v>
      </c>
      <c r="J148" s="3911">
        <v>3167733</v>
      </c>
      <c r="K148" s="3847">
        <v>2769600</v>
      </c>
      <c r="L148" s="3769">
        <v>3336970</v>
      </c>
      <c r="M148" s="3769">
        <v>6598120</v>
      </c>
      <c r="N148" s="3769">
        <v>4134740</v>
      </c>
      <c r="O148" s="3758">
        <v>3729580</v>
      </c>
      <c r="P148" s="550"/>
      <c r="Q148" s="550"/>
      <c r="R148" s="550"/>
      <c r="S148" s="550"/>
      <c r="T148" s="550"/>
      <c r="U148" s="542"/>
      <c r="V148" s="550"/>
      <c r="W148" s="542"/>
      <c r="X148" s="550"/>
      <c r="Y148" s="542"/>
      <c r="Z148" s="544"/>
    </row>
    <row r="149" spans="1:26" ht="29.25" customHeight="1" x14ac:dyDescent="0.3">
      <c r="A149" s="1344"/>
      <c r="B149" s="1301"/>
      <c r="C149" s="1303" t="s">
        <v>1787</v>
      </c>
      <c r="D149" s="1303" t="s">
        <v>2301</v>
      </c>
      <c r="E149" s="1304" t="s">
        <v>385</v>
      </c>
      <c r="F149" s="1303" t="s">
        <v>1859</v>
      </c>
      <c r="G149" s="3752"/>
      <c r="H149" s="3507"/>
      <c r="I149" s="3507">
        <v>0</v>
      </c>
      <c r="J149" s="1168">
        <v>97237</v>
      </c>
      <c r="K149" s="1168">
        <v>108940</v>
      </c>
      <c r="L149" s="1168">
        <v>96840</v>
      </c>
      <c r="M149" s="1168">
        <v>145470</v>
      </c>
      <c r="N149" s="1168">
        <v>93233</v>
      </c>
      <c r="O149" s="2957">
        <v>520140</v>
      </c>
      <c r="P149" s="550"/>
      <c r="Q149" s="550"/>
      <c r="R149" s="550"/>
      <c r="S149" s="550"/>
      <c r="T149" s="550"/>
      <c r="U149" s="542"/>
      <c r="V149" s="550"/>
      <c r="W149" s="542"/>
      <c r="X149" s="550"/>
      <c r="Y149" s="542"/>
      <c r="Z149" s="550"/>
    </row>
    <row r="150" spans="1:26" ht="29.25" customHeight="1" x14ac:dyDescent="0.3">
      <c r="A150" s="1344"/>
      <c r="B150" s="1301"/>
      <c r="C150" s="3890" t="s">
        <v>1787</v>
      </c>
      <c r="D150" s="3989" t="s">
        <v>2302</v>
      </c>
      <c r="E150" s="3891" t="s">
        <v>385</v>
      </c>
      <c r="F150" s="3890" t="s">
        <v>1789</v>
      </c>
      <c r="G150" s="3762"/>
      <c r="H150" s="3763"/>
      <c r="I150" s="3806">
        <v>2766760</v>
      </c>
      <c r="J150" s="3961">
        <v>0</v>
      </c>
      <c r="K150" s="3961">
        <v>0</v>
      </c>
      <c r="L150" s="3961">
        <v>0</v>
      </c>
      <c r="M150" s="3961">
        <v>0</v>
      </c>
      <c r="N150" s="3961">
        <v>0</v>
      </c>
      <c r="O150" s="3758"/>
      <c r="P150" s="550"/>
      <c r="Q150" s="550"/>
      <c r="R150" s="550"/>
      <c r="S150" s="550"/>
      <c r="T150" s="550"/>
      <c r="U150" s="542"/>
      <c r="V150" s="550"/>
      <c r="W150" s="542"/>
      <c r="X150" s="550"/>
      <c r="Y150" s="542"/>
      <c r="Z150" s="544"/>
    </row>
    <row r="151" spans="1:26" ht="29.25" customHeight="1" x14ac:dyDescent="0.3">
      <c r="A151" s="1344"/>
      <c r="B151" s="1301">
        <v>38</v>
      </c>
      <c r="C151" s="3906" t="s">
        <v>1787</v>
      </c>
      <c r="D151" s="3906" t="s">
        <v>2223</v>
      </c>
      <c r="E151" s="3933" t="s">
        <v>385</v>
      </c>
      <c r="F151" s="3906" t="s">
        <v>1804</v>
      </c>
      <c r="G151" s="3774"/>
      <c r="H151" s="3507"/>
      <c r="I151" s="3775">
        <v>0</v>
      </c>
      <c r="J151" s="3990">
        <v>0</v>
      </c>
      <c r="K151" s="3876">
        <v>3837</v>
      </c>
      <c r="L151" s="3877">
        <v>55770</v>
      </c>
      <c r="M151" s="3877">
        <v>55770</v>
      </c>
      <c r="N151" s="3877">
        <v>106098</v>
      </c>
      <c r="O151" s="3878">
        <v>44960</v>
      </c>
      <c r="P151" s="550"/>
      <c r="Q151" s="550"/>
      <c r="R151" s="550"/>
      <c r="S151" s="550"/>
      <c r="T151" s="550"/>
      <c r="U151" s="542"/>
      <c r="V151" s="550"/>
      <c r="W151" s="542"/>
      <c r="X151" s="550"/>
      <c r="Y151" s="542"/>
      <c r="Z151" s="550"/>
    </row>
    <row r="152" spans="1:26" ht="29.25" hidden="1" customHeight="1" x14ac:dyDescent="0.3">
      <c r="A152" s="1344"/>
      <c r="B152" s="1301"/>
      <c r="C152" s="3880" t="s">
        <v>1787</v>
      </c>
      <c r="D152" s="3880" t="s">
        <v>1860</v>
      </c>
      <c r="E152" s="3881" t="s">
        <v>385</v>
      </c>
      <c r="F152" s="3880" t="s">
        <v>1804</v>
      </c>
      <c r="G152" s="3762"/>
      <c r="H152" s="3763"/>
      <c r="I152" s="3763">
        <v>0</v>
      </c>
      <c r="J152" s="3792">
        <v>0</v>
      </c>
      <c r="K152" s="3498">
        <v>0</v>
      </c>
      <c r="L152" s="3498">
        <v>0</v>
      </c>
      <c r="M152" s="3809">
        <v>266440</v>
      </c>
      <c r="N152" s="3809">
        <v>164050</v>
      </c>
      <c r="O152" s="2958">
        <v>0</v>
      </c>
      <c r="P152" s="550"/>
      <c r="Q152" s="550"/>
      <c r="R152" s="550"/>
      <c r="S152" s="550"/>
      <c r="T152" s="550"/>
      <c r="U152" s="542"/>
      <c r="V152" s="550"/>
      <c r="W152" s="542"/>
      <c r="X152" s="550"/>
      <c r="Y152" s="542"/>
      <c r="Z152" s="550"/>
    </row>
    <row r="153" spans="1:26" ht="29.25" customHeight="1" x14ac:dyDescent="0.3">
      <c r="A153" s="1344"/>
      <c r="B153" s="1301">
        <v>39</v>
      </c>
      <c r="C153" s="3906" t="s">
        <v>1787</v>
      </c>
      <c r="D153" s="3991" t="s">
        <v>2296</v>
      </c>
      <c r="E153" s="3992" t="s">
        <v>385</v>
      </c>
      <c r="F153" s="3991" t="s">
        <v>1807</v>
      </c>
      <c r="G153" s="3752"/>
      <c r="H153" s="3507"/>
      <c r="I153" s="3721">
        <v>250122</v>
      </c>
      <c r="J153" s="3993">
        <v>209483</v>
      </c>
      <c r="K153" s="3994">
        <v>131991</v>
      </c>
      <c r="L153" s="3995">
        <v>1828</v>
      </c>
      <c r="M153" s="3996">
        <v>0</v>
      </c>
      <c r="N153" s="3996">
        <v>0</v>
      </c>
      <c r="O153" s="3856">
        <v>0</v>
      </c>
      <c r="P153" s="550"/>
      <c r="Q153" s="550"/>
      <c r="R153" s="550"/>
      <c r="S153" s="550"/>
      <c r="T153" s="550"/>
      <c r="U153" s="542"/>
      <c r="V153" s="550"/>
      <c r="W153" s="542"/>
      <c r="X153" s="550"/>
      <c r="Y153" s="542"/>
      <c r="Z153" s="550"/>
    </row>
    <row r="154" spans="1:26" ht="29.25" customHeight="1" x14ac:dyDescent="0.3">
      <c r="A154" s="1344"/>
      <c r="B154" s="1301">
        <v>40</v>
      </c>
      <c r="C154" s="3885" t="s">
        <v>1787</v>
      </c>
      <c r="D154" s="3885" t="s">
        <v>2225</v>
      </c>
      <c r="E154" s="3886" t="s">
        <v>385</v>
      </c>
      <c r="F154" s="3918" t="s">
        <v>1804</v>
      </c>
      <c r="G154" s="3816"/>
      <c r="H154" s="3763"/>
      <c r="I154" s="3806">
        <v>248310</v>
      </c>
      <c r="J154" s="3867">
        <v>162120</v>
      </c>
      <c r="K154" s="3868">
        <v>196460</v>
      </c>
      <c r="L154" s="3869">
        <v>19020</v>
      </c>
      <c r="M154" s="3997">
        <v>0</v>
      </c>
      <c r="N154" s="3997">
        <v>0</v>
      </c>
      <c r="O154" s="3922">
        <v>0</v>
      </c>
      <c r="P154" s="550"/>
      <c r="Q154" s="550"/>
      <c r="R154" s="550"/>
      <c r="S154" s="550"/>
      <c r="T154" s="550"/>
      <c r="U154" s="542"/>
      <c r="V154" s="550"/>
      <c r="W154" s="542"/>
      <c r="X154" s="550"/>
      <c r="Y154" s="542"/>
      <c r="Z154" s="544"/>
    </row>
    <row r="155" spans="1:26" ht="29.25" hidden="1" customHeight="1" x14ac:dyDescent="0.3">
      <c r="A155" s="1344"/>
      <c r="B155" s="1301"/>
      <c r="C155" s="3906" t="s">
        <v>1787</v>
      </c>
      <c r="D155" s="3906" t="s">
        <v>1861</v>
      </c>
      <c r="E155" s="3933" t="s">
        <v>385</v>
      </c>
      <c r="F155" s="3906" t="s">
        <v>1859</v>
      </c>
      <c r="G155" s="3752"/>
      <c r="H155" s="3507"/>
      <c r="I155" s="3507">
        <v>0</v>
      </c>
      <c r="J155" s="3934">
        <v>418416</v>
      </c>
      <c r="K155" s="3877">
        <v>620680</v>
      </c>
      <c r="L155" s="3877">
        <v>31792</v>
      </c>
      <c r="M155" s="3877">
        <v>13580</v>
      </c>
      <c r="N155" s="3998">
        <v>0</v>
      </c>
      <c r="O155" s="3932">
        <v>0</v>
      </c>
      <c r="P155" s="550"/>
      <c r="Q155" s="550"/>
      <c r="R155" s="550"/>
      <c r="S155" s="550"/>
      <c r="T155" s="550"/>
      <c r="U155" s="542"/>
      <c r="V155" s="550"/>
      <c r="W155" s="542"/>
      <c r="X155" s="550"/>
      <c r="Y155" s="542"/>
      <c r="Z155" s="550"/>
    </row>
    <row r="156" spans="1:26" ht="29.25" hidden="1" customHeight="1" x14ac:dyDescent="0.3">
      <c r="A156" s="1344"/>
      <c r="B156" s="1301"/>
      <c r="C156" s="3885" t="s">
        <v>1787</v>
      </c>
      <c r="D156" s="3885" t="s">
        <v>1862</v>
      </c>
      <c r="E156" s="3886" t="s">
        <v>385</v>
      </c>
      <c r="F156" s="3918" t="s">
        <v>1809</v>
      </c>
      <c r="G156" s="3762"/>
      <c r="H156" s="3763"/>
      <c r="I156" s="3763">
        <v>0</v>
      </c>
      <c r="J156" s="3999">
        <v>21636</v>
      </c>
      <c r="K156" s="3997">
        <v>0</v>
      </c>
      <c r="L156" s="3869">
        <v>19123</v>
      </c>
      <c r="M156" s="3869">
        <v>85554</v>
      </c>
      <c r="N156" s="3997">
        <v>0</v>
      </c>
      <c r="O156" s="3922">
        <v>0</v>
      </c>
      <c r="P156" s="550"/>
      <c r="Q156" s="550"/>
      <c r="R156" s="550"/>
      <c r="S156" s="550"/>
      <c r="T156" s="550"/>
      <c r="U156" s="542"/>
      <c r="V156" s="550"/>
      <c r="W156" s="542"/>
      <c r="X156" s="550"/>
      <c r="Y156" s="542"/>
      <c r="Z156" s="550"/>
    </row>
    <row r="157" spans="1:26" ht="29.25" hidden="1" customHeight="1" x14ac:dyDescent="0.3">
      <c r="A157" s="1344"/>
      <c r="B157" s="1301"/>
      <c r="C157" s="3906" t="s">
        <v>1787</v>
      </c>
      <c r="D157" s="3906" t="s">
        <v>1863</v>
      </c>
      <c r="E157" s="3933" t="s">
        <v>385</v>
      </c>
      <c r="F157" s="3906" t="s">
        <v>1809</v>
      </c>
      <c r="G157" s="3752"/>
      <c r="H157" s="3507"/>
      <c r="I157" s="3507">
        <v>0</v>
      </c>
      <c r="J157" s="4000">
        <v>0</v>
      </c>
      <c r="K157" s="3877">
        <v>49841</v>
      </c>
      <c r="L157" s="3877">
        <v>3685</v>
      </c>
      <c r="M157" s="3998">
        <v>0</v>
      </c>
      <c r="N157" s="3998">
        <v>0</v>
      </c>
      <c r="O157" s="3932">
        <v>0</v>
      </c>
      <c r="P157" s="550"/>
      <c r="Q157" s="550"/>
      <c r="R157" s="550"/>
      <c r="S157" s="550"/>
      <c r="T157" s="550"/>
      <c r="U157" s="542"/>
      <c r="V157" s="550"/>
      <c r="W157" s="542"/>
      <c r="X157" s="550"/>
      <c r="Y157" s="542"/>
      <c r="Z157" s="550"/>
    </row>
    <row r="158" spans="1:26" ht="29.25" hidden="1" customHeight="1" x14ac:dyDescent="0.3">
      <c r="A158" s="1344"/>
      <c r="B158" s="1301"/>
      <c r="C158" s="3885" t="s">
        <v>1787</v>
      </c>
      <c r="D158" s="3885" t="s">
        <v>1864</v>
      </c>
      <c r="E158" s="3886" t="s">
        <v>385</v>
      </c>
      <c r="F158" s="3918" t="s">
        <v>1804</v>
      </c>
      <c r="G158" s="3762"/>
      <c r="H158" s="3763"/>
      <c r="I158" s="3763">
        <v>0</v>
      </c>
      <c r="J158" s="3867">
        <v>1325613</v>
      </c>
      <c r="K158" s="3869">
        <v>1439427</v>
      </c>
      <c r="L158" s="3869">
        <v>39069</v>
      </c>
      <c r="M158" s="3997">
        <v>0</v>
      </c>
      <c r="N158" s="3997">
        <v>0</v>
      </c>
      <c r="O158" s="3922">
        <v>0</v>
      </c>
      <c r="P158" s="550"/>
      <c r="Q158" s="550"/>
      <c r="R158" s="550"/>
      <c r="S158" s="550"/>
      <c r="T158" s="550"/>
      <c r="U158" s="542"/>
      <c r="V158" s="550"/>
      <c r="W158" s="542"/>
      <c r="X158" s="550"/>
      <c r="Y158" s="542"/>
      <c r="Z158" s="550"/>
    </row>
    <row r="159" spans="1:26" ht="29.25" hidden="1" customHeight="1" x14ac:dyDescent="0.3">
      <c r="A159" s="1344"/>
      <c r="B159" s="1301"/>
      <c r="C159" s="3906" t="s">
        <v>1787</v>
      </c>
      <c r="D159" s="3906" t="s">
        <v>1865</v>
      </c>
      <c r="E159" s="3933" t="s">
        <v>385</v>
      </c>
      <c r="F159" s="3906" t="s">
        <v>1807</v>
      </c>
      <c r="G159" s="3752"/>
      <c r="H159" s="3507"/>
      <c r="I159" s="3507">
        <v>0</v>
      </c>
      <c r="J159" s="3934">
        <v>28850</v>
      </c>
      <c r="K159" s="3877">
        <v>31434</v>
      </c>
      <c r="L159" s="3877">
        <v>5386</v>
      </c>
      <c r="M159" s="3998">
        <v>0</v>
      </c>
      <c r="N159" s="3998">
        <v>0</v>
      </c>
      <c r="O159" s="3932">
        <v>0</v>
      </c>
      <c r="P159" s="550"/>
      <c r="Q159" s="550"/>
      <c r="R159" s="550"/>
      <c r="S159" s="550"/>
      <c r="T159" s="550"/>
      <c r="U159" s="542"/>
      <c r="V159" s="550"/>
      <c r="W159" s="542"/>
      <c r="X159" s="550"/>
      <c r="Y159" s="542"/>
      <c r="Z159" s="550"/>
    </row>
    <row r="160" spans="1:26" ht="29.25" customHeight="1" x14ac:dyDescent="0.3">
      <c r="A160" s="1344"/>
      <c r="B160" s="1301">
        <v>41</v>
      </c>
      <c r="C160" s="3885" t="s">
        <v>1787</v>
      </c>
      <c r="D160" s="3885" t="s">
        <v>2297</v>
      </c>
      <c r="E160" s="3886" t="s">
        <v>385</v>
      </c>
      <c r="F160" s="3918" t="s">
        <v>1809</v>
      </c>
      <c r="G160" s="3785"/>
      <c r="H160" s="3763"/>
      <c r="I160" s="3787">
        <v>15355</v>
      </c>
      <c r="J160" s="3867">
        <v>30153</v>
      </c>
      <c r="K160" s="3868">
        <v>49765</v>
      </c>
      <c r="L160" s="3997">
        <v>0</v>
      </c>
      <c r="M160" s="3997">
        <v>0</v>
      </c>
      <c r="N160" s="3997">
        <v>0</v>
      </c>
      <c r="O160" s="3922">
        <v>0</v>
      </c>
      <c r="P160" s="550"/>
      <c r="Q160" s="550"/>
      <c r="R160" s="550"/>
      <c r="S160" s="550"/>
      <c r="T160" s="550"/>
      <c r="U160" s="542"/>
      <c r="V160" s="550"/>
      <c r="W160" s="542"/>
      <c r="X160" s="550"/>
      <c r="Y160" s="542"/>
      <c r="Z160" s="544"/>
    </row>
    <row r="161" spans="1:26" ht="29.25" hidden="1" customHeight="1" x14ac:dyDescent="0.3">
      <c r="A161" s="1344"/>
      <c r="B161" s="1301"/>
      <c r="C161" s="3906" t="s">
        <v>1787</v>
      </c>
      <c r="D161" s="3906" t="s">
        <v>1866</v>
      </c>
      <c r="E161" s="3933" t="s">
        <v>385</v>
      </c>
      <c r="F161" s="3906" t="s">
        <v>1807</v>
      </c>
      <c r="G161" s="3752"/>
      <c r="H161" s="3507"/>
      <c r="I161" s="3507">
        <v>0</v>
      </c>
      <c r="J161" s="3875">
        <v>27113</v>
      </c>
      <c r="K161" s="3877">
        <v>42902</v>
      </c>
      <c r="L161" s="3998">
        <v>0</v>
      </c>
      <c r="M161" s="3998">
        <v>0</v>
      </c>
      <c r="N161" s="3998">
        <v>0</v>
      </c>
      <c r="O161" s="3932">
        <v>0</v>
      </c>
      <c r="P161" s="550"/>
      <c r="Q161" s="550"/>
      <c r="R161" s="550"/>
      <c r="S161" s="550"/>
      <c r="T161" s="550"/>
      <c r="U161" s="542"/>
      <c r="V161" s="550"/>
      <c r="W161" s="542"/>
      <c r="X161" s="550"/>
      <c r="Y161" s="542"/>
      <c r="Z161" s="550"/>
    </row>
    <row r="162" spans="1:26" ht="29.25" hidden="1" customHeight="1" x14ac:dyDescent="0.3">
      <c r="A162" s="1344"/>
      <c r="B162" s="1301"/>
      <c r="C162" s="3885" t="s">
        <v>1787</v>
      </c>
      <c r="D162" s="3885" t="s">
        <v>1867</v>
      </c>
      <c r="E162" s="3886" t="s">
        <v>385</v>
      </c>
      <c r="F162" s="3918" t="s">
        <v>1807</v>
      </c>
      <c r="G162" s="3762"/>
      <c r="H162" s="3763"/>
      <c r="I162" s="3763">
        <v>0</v>
      </c>
      <c r="J162" s="3999">
        <v>0</v>
      </c>
      <c r="K162" s="3869">
        <v>2590</v>
      </c>
      <c r="L162" s="3997">
        <v>0</v>
      </c>
      <c r="M162" s="3997">
        <v>0</v>
      </c>
      <c r="N162" s="3997"/>
      <c r="O162" s="3922">
        <v>0</v>
      </c>
      <c r="P162" s="550"/>
      <c r="Q162" s="550"/>
      <c r="R162" s="550"/>
      <c r="S162" s="550"/>
      <c r="T162" s="550"/>
      <c r="U162" s="542"/>
      <c r="V162" s="550"/>
      <c r="W162" s="542"/>
      <c r="X162" s="550"/>
      <c r="Y162" s="542"/>
      <c r="Z162" s="550"/>
    </row>
    <row r="163" spans="1:26" ht="29.25" customHeight="1" x14ac:dyDescent="0.3">
      <c r="A163" s="1344"/>
      <c r="B163" s="1301">
        <v>42</v>
      </c>
      <c r="C163" s="3906" t="s">
        <v>1787</v>
      </c>
      <c r="D163" s="3906" t="s">
        <v>2227</v>
      </c>
      <c r="E163" s="3933" t="s">
        <v>385</v>
      </c>
      <c r="F163" s="3906" t="s">
        <v>1807</v>
      </c>
      <c r="G163" s="3850"/>
      <c r="H163" s="3507"/>
      <c r="I163" s="3753">
        <v>343134</v>
      </c>
      <c r="J163" s="3875">
        <v>269379</v>
      </c>
      <c r="K163" s="3876">
        <v>90525</v>
      </c>
      <c r="L163" s="3998">
        <v>0</v>
      </c>
      <c r="M163" s="3998">
        <v>0</v>
      </c>
      <c r="N163" s="3998">
        <v>0</v>
      </c>
      <c r="O163" s="3932">
        <v>0</v>
      </c>
      <c r="P163" s="550"/>
      <c r="Q163" s="550"/>
      <c r="R163" s="550"/>
      <c r="S163" s="550"/>
      <c r="T163" s="550"/>
      <c r="U163" s="542"/>
      <c r="V163" s="550"/>
      <c r="W163" s="542"/>
      <c r="X163" s="550"/>
      <c r="Y163" s="542"/>
      <c r="Z163" s="550"/>
    </row>
    <row r="164" spans="1:26" ht="29.25" customHeight="1" x14ac:dyDescent="0.3">
      <c r="A164" s="1344"/>
      <c r="B164" s="1301">
        <v>43</v>
      </c>
      <c r="C164" s="3885" t="s">
        <v>1787</v>
      </c>
      <c r="D164" s="3885" t="s">
        <v>2228</v>
      </c>
      <c r="E164" s="3886" t="s">
        <v>385</v>
      </c>
      <c r="F164" s="3918" t="s">
        <v>1804</v>
      </c>
      <c r="G164" s="3762"/>
      <c r="H164" s="3763"/>
      <c r="I164" s="3786">
        <v>0</v>
      </c>
      <c r="J164" s="3999">
        <v>0</v>
      </c>
      <c r="K164" s="4001">
        <v>0</v>
      </c>
      <c r="L164" s="3869">
        <v>133270</v>
      </c>
      <c r="M164" s="3869">
        <v>121460</v>
      </c>
      <c r="N164" s="3869">
        <v>124420</v>
      </c>
      <c r="O164" s="3870">
        <v>28550</v>
      </c>
      <c r="P164" s="550"/>
      <c r="Q164" s="550"/>
      <c r="R164" s="550"/>
      <c r="S164" s="550"/>
      <c r="T164" s="550"/>
      <c r="U164" s="542"/>
      <c r="V164" s="550"/>
      <c r="W164" s="542"/>
      <c r="X164" s="550"/>
      <c r="Y164" s="542"/>
      <c r="Z164" s="544"/>
    </row>
    <row r="165" spans="1:26" ht="29.25" customHeight="1" x14ac:dyDescent="0.3">
      <c r="A165" s="1344"/>
      <c r="B165" s="1301">
        <v>44</v>
      </c>
      <c r="C165" s="3906" t="s">
        <v>1787</v>
      </c>
      <c r="D165" s="3906" t="s">
        <v>2304</v>
      </c>
      <c r="E165" s="3933" t="s">
        <v>385</v>
      </c>
      <c r="F165" s="3906" t="s">
        <v>1809</v>
      </c>
      <c r="G165" s="3739"/>
      <c r="H165" s="3507"/>
      <c r="I165" s="3740">
        <v>0</v>
      </c>
      <c r="J165" s="4000">
        <v>0</v>
      </c>
      <c r="K165" s="4002">
        <v>0</v>
      </c>
      <c r="L165" s="3998">
        <v>0</v>
      </c>
      <c r="M165" s="3998">
        <v>0</v>
      </c>
      <c r="N165" s="3998">
        <v>0</v>
      </c>
      <c r="O165" s="3878">
        <v>291310</v>
      </c>
      <c r="P165" s="550"/>
      <c r="Q165" s="550"/>
      <c r="R165" s="550"/>
      <c r="S165" s="550"/>
      <c r="T165" s="550"/>
      <c r="U165" s="542"/>
      <c r="V165" s="550"/>
      <c r="W165" s="542"/>
      <c r="X165" s="550"/>
      <c r="Y165" s="542"/>
      <c r="Z165" s="550"/>
    </row>
    <row r="166" spans="1:26" ht="29.25" customHeight="1" x14ac:dyDescent="0.3">
      <c r="A166" s="1344"/>
      <c r="B166" s="1301"/>
      <c r="C166" s="1308" t="s">
        <v>1787</v>
      </c>
      <c r="D166" s="1308" t="s">
        <v>2305</v>
      </c>
      <c r="E166" s="3889" t="s">
        <v>385</v>
      </c>
      <c r="F166" s="3880" t="s">
        <v>1809</v>
      </c>
      <c r="G166" s="3762"/>
      <c r="H166" s="3763"/>
      <c r="I166" s="3763">
        <v>0</v>
      </c>
      <c r="J166" s="3874">
        <v>0</v>
      </c>
      <c r="K166" s="3483">
        <v>0</v>
      </c>
      <c r="L166" s="3498">
        <v>0</v>
      </c>
      <c r="M166" s="3498">
        <v>0</v>
      </c>
      <c r="N166" s="3498">
        <v>0</v>
      </c>
      <c r="O166" s="2958">
        <v>0</v>
      </c>
      <c r="P166" s="550"/>
      <c r="Q166" s="550"/>
      <c r="R166" s="550"/>
      <c r="S166" s="550"/>
      <c r="T166" s="550"/>
      <c r="U166" s="542"/>
      <c r="V166" s="550"/>
      <c r="W166" s="542"/>
      <c r="X166" s="550"/>
      <c r="Y166" s="542"/>
      <c r="Z166" s="544"/>
    </row>
    <row r="167" spans="1:26" ht="29.25" customHeight="1" x14ac:dyDescent="0.3">
      <c r="A167" s="1344"/>
      <c r="B167" s="1301"/>
      <c r="C167" s="1303" t="s">
        <v>1787</v>
      </c>
      <c r="D167" s="1303" t="s">
        <v>2306</v>
      </c>
      <c r="E167" s="3790" t="s">
        <v>385</v>
      </c>
      <c r="F167" s="1303" t="s">
        <v>1809</v>
      </c>
      <c r="G167" s="3752"/>
      <c r="H167" s="3507"/>
      <c r="I167" s="3507">
        <v>0</v>
      </c>
      <c r="J167" s="3791">
        <v>0</v>
      </c>
      <c r="K167" s="3791">
        <v>0</v>
      </c>
      <c r="L167" s="3791">
        <v>0</v>
      </c>
      <c r="M167" s="3791">
        <v>0</v>
      </c>
      <c r="N167" s="3791">
        <v>0</v>
      </c>
      <c r="O167" s="4003">
        <v>0</v>
      </c>
      <c r="P167" s="4003">
        <v>0</v>
      </c>
      <c r="Q167" s="4003">
        <v>0</v>
      </c>
      <c r="R167" s="4003">
        <v>0</v>
      </c>
      <c r="S167" s="4003">
        <v>0</v>
      </c>
      <c r="T167" s="4003">
        <v>0</v>
      </c>
      <c r="U167" s="4003">
        <v>0</v>
      </c>
      <c r="V167" s="4003">
        <v>0</v>
      </c>
      <c r="W167" s="4003">
        <v>0</v>
      </c>
      <c r="X167" s="4003">
        <v>0</v>
      </c>
      <c r="Y167" s="4003">
        <v>0</v>
      </c>
      <c r="Z167" s="4003">
        <v>0</v>
      </c>
    </row>
    <row r="168" spans="1:26" ht="29.25" customHeight="1" x14ac:dyDescent="0.3">
      <c r="A168" s="1344"/>
      <c r="B168" s="3781">
        <v>45</v>
      </c>
      <c r="C168" s="3782" t="s">
        <v>1787</v>
      </c>
      <c r="D168" s="3783" t="s">
        <v>2307</v>
      </c>
      <c r="E168" s="3784" t="s">
        <v>385</v>
      </c>
      <c r="F168" s="3783" t="s">
        <v>1812</v>
      </c>
      <c r="G168" s="3785">
        <v>2024</v>
      </c>
      <c r="H168" s="3786"/>
      <c r="I168" s="3787">
        <v>33955</v>
      </c>
      <c r="J168" s="3788">
        <v>0</v>
      </c>
      <c r="K168" s="3788">
        <v>0</v>
      </c>
      <c r="L168" s="3788">
        <v>0</v>
      </c>
      <c r="M168" s="3788">
        <v>0</v>
      </c>
      <c r="N168" s="3789">
        <v>0</v>
      </c>
      <c r="O168" s="3717"/>
      <c r="P168" s="550"/>
      <c r="Q168" s="550"/>
      <c r="R168" s="550"/>
      <c r="S168" s="550"/>
      <c r="T168" s="550"/>
      <c r="U168" s="542"/>
      <c r="V168" s="550"/>
      <c r="W168" s="542"/>
      <c r="X168" s="550"/>
      <c r="Y168" s="542"/>
      <c r="Z168" s="544"/>
    </row>
    <row r="169" spans="1:26" ht="29.25" customHeight="1" x14ac:dyDescent="0.3">
      <c r="A169" s="1344"/>
      <c r="B169" s="1301">
        <v>46</v>
      </c>
      <c r="C169" s="1303" t="s">
        <v>1787</v>
      </c>
      <c r="D169" s="1303" t="s">
        <v>2308</v>
      </c>
      <c r="E169" s="3790" t="s">
        <v>385</v>
      </c>
      <c r="F169" s="1303" t="s">
        <v>1868</v>
      </c>
      <c r="G169" s="3752">
        <v>2024</v>
      </c>
      <c r="H169" s="3507"/>
      <c r="I169" s="3753">
        <v>37562</v>
      </c>
      <c r="J169" s="3791">
        <v>0</v>
      </c>
      <c r="K169" s="3791">
        <v>0</v>
      </c>
      <c r="L169" s="3791">
        <v>0</v>
      </c>
      <c r="M169" s="3791">
        <v>0</v>
      </c>
      <c r="N169" s="3791">
        <v>0</v>
      </c>
      <c r="O169" s="3758"/>
      <c r="P169" s="550"/>
      <c r="Q169" s="550"/>
      <c r="R169" s="550"/>
      <c r="S169" s="550"/>
      <c r="T169" s="550"/>
      <c r="U169" s="542"/>
      <c r="V169" s="550"/>
      <c r="W169" s="542"/>
      <c r="X169" s="550"/>
      <c r="Y169" s="542"/>
      <c r="Z169" s="550"/>
    </row>
    <row r="170" spans="1:26" ht="29.25" customHeight="1" x14ac:dyDescent="0.3">
      <c r="A170" s="1344"/>
      <c r="B170" s="1301">
        <v>47</v>
      </c>
      <c r="C170" s="3890" t="s">
        <v>1787</v>
      </c>
      <c r="D170" s="3890" t="s">
        <v>2309</v>
      </c>
      <c r="E170" s="3891" t="s">
        <v>385</v>
      </c>
      <c r="F170" s="3890" t="s">
        <v>1869</v>
      </c>
      <c r="G170" s="3762">
        <v>2024</v>
      </c>
      <c r="H170" s="3763"/>
      <c r="I170" s="3806">
        <v>48110</v>
      </c>
      <c r="J170" s="3961">
        <v>0</v>
      </c>
      <c r="K170" s="3961">
        <v>0</v>
      </c>
      <c r="L170" s="3961">
        <v>0</v>
      </c>
      <c r="M170" s="3961">
        <v>0</v>
      </c>
      <c r="N170" s="3961">
        <v>0</v>
      </c>
      <c r="O170" s="3758"/>
      <c r="P170" s="550"/>
      <c r="Q170" s="550"/>
      <c r="R170" s="550"/>
      <c r="S170" s="550"/>
      <c r="T170" s="550"/>
      <c r="U170" s="542"/>
      <c r="V170" s="550"/>
      <c r="W170" s="542"/>
      <c r="X170" s="550"/>
      <c r="Y170" s="542"/>
      <c r="Z170" s="544"/>
    </row>
    <row r="171" spans="1:26" ht="29.25" customHeight="1" x14ac:dyDescent="0.3">
      <c r="A171" s="1344"/>
      <c r="B171" s="1301">
        <v>48</v>
      </c>
      <c r="C171" s="1303" t="s">
        <v>1787</v>
      </c>
      <c r="D171" s="1303" t="s">
        <v>2310</v>
      </c>
      <c r="E171" s="3790" t="s">
        <v>385</v>
      </c>
      <c r="F171" s="1303" t="s">
        <v>1804</v>
      </c>
      <c r="G171" s="3752">
        <v>2024</v>
      </c>
      <c r="H171" s="3507"/>
      <c r="I171" s="3753">
        <v>52150</v>
      </c>
      <c r="J171" s="3791">
        <v>0</v>
      </c>
      <c r="K171" s="3791">
        <v>0</v>
      </c>
      <c r="L171" s="3791">
        <v>0</v>
      </c>
      <c r="M171" s="3791">
        <v>0</v>
      </c>
      <c r="N171" s="3791">
        <v>0</v>
      </c>
      <c r="O171" s="3758"/>
      <c r="P171" s="550"/>
      <c r="Q171" s="550"/>
      <c r="R171" s="550"/>
      <c r="S171" s="550"/>
      <c r="T171" s="550"/>
      <c r="U171" s="542"/>
      <c r="V171" s="550"/>
      <c r="W171" s="542"/>
      <c r="X171" s="550"/>
      <c r="Y171" s="542"/>
      <c r="Z171" s="550"/>
    </row>
    <row r="172" spans="1:26" ht="29.25" customHeight="1" x14ac:dyDescent="0.3">
      <c r="A172" s="1344"/>
      <c r="B172" s="1301">
        <v>49</v>
      </c>
      <c r="C172" s="3890" t="s">
        <v>1787</v>
      </c>
      <c r="D172" s="3989" t="s">
        <v>2311</v>
      </c>
      <c r="E172" s="3891" t="s">
        <v>385</v>
      </c>
      <c r="F172" s="3890" t="s">
        <v>1804</v>
      </c>
      <c r="G172" s="3762">
        <v>2024</v>
      </c>
      <c r="H172" s="3763"/>
      <c r="I172" s="3806">
        <v>127040</v>
      </c>
      <c r="J172" s="3961">
        <v>0</v>
      </c>
      <c r="K172" s="3961">
        <v>0</v>
      </c>
      <c r="L172" s="3961">
        <v>0</v>
      </c>
      <c r="M172" s="3961">
        <v>0</v>
      </c>
      <c r="N172" s="3961">
        <v>0</v>
      </c>
      <c r="O172" s="3758"/>
      <c r="P172" s="550"/>
      <c r="Q172" s="550"/>
      <c r="R172" s="550"/>
      <c r="S172" s="550"/>
      <c r="T172" s="550"/>
      <c r="U172" s="542"/>
      <c r="V172" s="550"/>
      <c r="W172" s="542"/>
      <c r="X172" s="550"/>
      <c r="Y172" s="542"/>
      <c r="Z172" s="544"/>
    </row>
    <row r="173" spans="1:26" ht="29.25" customHeight="1" x14ac:dyDescent="0.3">
      <c r="A173" s="1344"/>
      <c r="B173" s="1301">
        <v>50</v>
      </c>
      <c r="C173" s="1303" t="s">
        <v>1787</v>
      </c>
      <c r="D173" s="1303" t="s">
        <v>2312</v>
      </c>
      <c r="E173" s="3790" t="s">
        <v>385</v>
      </c>
      <c r="F173" s="1303" t="s">
        <v>1792</v>
      </c>
      <c r="G173" s="3752">
        <v>2024</v>
      </c>
      <c r="H173" s="3507"/>
      <c r="I173" s="3753">
        <v>56490</v>
      </c>
      <c r="J173" s="3791">
        <v>0</v>
      </c>
      <c r="K173" s="3791">
        <v>0</v>
      </c>
      <c r="L173" s="3791">
        <v>0</v>
      </c>
      <c r="M173" s="3791">
        <v>0</v>
      </c>
      <c r="N173" s="3791">
        <v>0</v>
      </c>
      <c r="O173" s="3758"/>
      <c r="P173" s="550"/>
      <c r="Q173" s="550"/>
      <c r="R173" s="550"/>
      <c r="S173" s="550"/>
      <c r="T173" s="550"/>
      <c r="U173" s="542"/>
      <c r="V173" s="550"/>
      <c r="W173" s="542"/>
      <c r="X173" s="550"/>
      <c r="Y173" s="542"/>
      <c r="Z173" s="550"/>
    </row>
    <row r="174" spans="1:26" ht="29.25" customHeight="1" x14ac:dyDescent="0.3">
      <c r="A174" s="1344"/>
      <c r="B174" s="3180"/>
      <c r="C174" s="4004"/>
      <c r="D174" s="4004"/>
      <c r="E174" s="4005"/>
      <c r="F174" s="4006" t="s">
        <v>1870</v>
      </c>
      <c r="G174" s="3833"/>
      <c r="H174" s="3834"/>
      <c r="I174" s="3834">
        <f>SUM(I13:I173)/1000</f>
        <v>32496.070898431532</v>
      </c>
      <c r="J174" s="4007">
        <v>49523.25</v>
      </c>
      <c r="K174" s="4008">
        <v>50143.83</v>
      </c>
      <c r="L174" s="4009">
        <v>45292.43</v>
      </c>
      <c r="M174" s="4009">
        <v>58713.97</v>
      </c>
      <c r="N174" s="4009">
        <v>43008.35</v>
      </c>
      <c r="O174" s="4010">
        <v>56652.5</v>
      </c>
      <c r="P174" s="550"/>
      <c r="Q174" s="550"/>
      <c r="R174" s="550"/>
      <c r="S174" s="550"/>
      <c r="T174" s="550"/>
      <c r="U174" s="542"/>
      <c r="V174" s="550"/>
      <c r="W174" s="542"/>
      <c r="X174" s="550"/>
      <c r="Y174" s="542"/>
      <c r="Z174" s="544"/>
    </row>
    <row r="175" spans="1:26" ht="13.5" customHeight="1" x14ac:dyDescent="0.3">
      <c r="A175" s="1344"/>
      <c r="B175" s="558"/>
      <c r="C175" s="528"/>
      <c r="D175" s="528"/>
      <c r="E175" s="528"/>
      <c r="F175" s="528"/>
      <c r="G175" s="479"/>
      <c r="H175" s="479"/>
      <c r="I175" s="479"/>
      <c r="J175" s="479"/>
      <c r="K175" s="479"/>
      <c r="L175" s="479"/>
      <c r="M175" s="559"/>
      <c r="N175" s="559"/>
      <c r="O175" s="559"/>
      <c r="P175" s="559"/>
      <c r="Q175" s="559"/>
      <c r="R175" s="559"/>
      <c r="S175" s="559"/>
      <c r="T175" s="559"/>
      <c r="U175" s="559"/>
      <c r="V175" s="559"/>
      <c r="W175" s="559"/>
      <c r="X175" s="559"/>
      <c r="Y175" s="559"/>
      <c r="Z175" s="559"/>
    </row>
    <row r="176" spans="1:26" ht="13.5" customHeight="1" x14ac:dyDescent="0.3">
      <c r="A176" s="1344"/>
      <c r="B176" s="560" t="s">
        <v>355</v>
      </c>
      <c r="C176" s="561" t="s">
        <v>356</v>
      </c>
      <c r="D176" s="528"/>
      <c r="E176" s="528"/>
      <c r="F176" s="528"/>
      <c r="G176" s="479"/>
      <c r="H176" s="479"/>
      <c r="I176" s="479"/>
      <c r="J176" s="479"/>
      <c r="K176" s="479"/>
      <c r="L176" s="479"/>
      <c r="M176" s="559"/>
      <c r="N176" s="559"/>
      <c r="O176" s="559"/>
      <c r="P176" s="559"/>
      <c r="Q176" s="559"/>
      <c r="R176" s="559"/>
      <c r="S176" s="559"/>
      <c r="T176" s="559"/>
      <c r="U176" s="559"/>
      <c r="V176" s="559"/>
      <c r="W176" s="559"/>
      <c r="X176" s="559"/>
      <c r="Y176" s="559"/>
      <c r="Z176" s="559"/>
    </row>
    <row r="177" spans="1:27" ht="13.5" customHeight="1" x14ac:dyDescent="0.3">
      <c r="A177" s="1344"/>
      <c r="B177" s="558"/>
      <c r="C177" s="528"/>
      <c r="D177" s="528"/>
      <c r="E177" s="528"/>
      <c r="F177" s="528"/>
      <c r="G177" s="479"/>
      <c r="H177" s="479"/>
      <c r="I177" s="479"/>
      <c r="J177" s="479"/>
      <c r="K177" s="479"/>
      <c r="L177" s="479"/>
      <c r="M177" s="559"/>
      <c r="N177" s="559"/>
      <c r="O177" s="559"/>
      <c r="P177" s="559"/>
      <c r="Q177" s="559"/>
      <c r="R177" s="559"/>
      <c r="S177" s="559"/>
      <c r="T177" s="559"/>
      <c r="U177" s="559"/>
      <c r="V177" s="559"/>
      <c r="W177" s="559"/>
      <c r="X177" s="559"/>
      <c r="Y177" s="559"/>
      <c r="Z177" s="559"/>
    </row>
    <row r="178" spans="1:27" ht="13.5" customHeight="1" x14ac:dyDescent="0.3">
      <c r="A178" s="1344"/>
      <c r="B178" s="4383" t="s">
        <v>357</v>
      </c>
      <c r="C178" s="4383"/>
      <c r="D178" s="528"/>
      <c r="E178" s="528"/>
      <c r="F178" s="528"/>
      <c r="G178" s="479"/>
      <c r="H178" s="479"/>
      <c r="I178" s="479"/>
      <c r="J178" s="479"/>
      <c r="K178" s="479"/>
      <c r="L178" s="479"/>
      <c r="M178" s="559"/>
      <c r="N178" s="559"/>
      <c r="O178" s="559"/>
      <c r="P178" s="559"/>
      <c r="Q178" s="559"/>
      <c r="R178" s="559"/>
      <c r="S178" s="559"/>
      <c r="T178" s="559"/>
      <c r="U178" s="559"/>
      <c r="V178" s="559"/>
      <c r="W178" s="559"/>
      <c r="X178" s="559"/>
      <c r="Y178" s="559"/>
      <c r="Z178" s="559"/>
    </row>
    <row r="179" spans="1:27" ht="13.5" customHeight="1" x14ac:dyDescent="0.3">
      <c r="A179" s="1344"/>
      <c r="B179" s="562" t="s">
        <v>301</v>
      </c>
      <c r="C179" s="4011">
        <v>0.7202640674326759</v>
      </c>
      <c r="D179" s="528"/>
      <c r="E179" s="528"/>
      <c r="F179" s="528"/>
      <c r="G179" s="479"/>
      <c r="H179" s="479"/>
      <c r="I179" s="479"/>
      <c r="J179" s="479"/>
      <c r="K179" s="479"/>
      <c r="L179" s="479"/>
      <c r="M179" s="559"/>
      <c r="N179" s="559"/>
      <c r="O179" s="559"/>
      <c r="P179" s="559"/>
      <c r="Q179" s="559"/>
      <c r="R179" s="559"/>
      <c r="S179" s="559"/>
      <c r="T179" s="559"/>
      <c r="U179" s="559"/>
      <c r="V179" s="559"/>
      <c r="W179" s="559"/>
      <c r="X179" s="559"/>
      <c r="Y179" s="559"/>
      <c r="Z179" s="559"/>
    </row>
    <row r="180" spans="1:27" ht="13.5" customHeight="1" x14ac:dyDescent="0.3">
      <c r="A180" s="1344"/>
      <c r="B180" s="562" t="s">
        <v>301</v>
      </c>
      <c r="C180" s="528" t="s">
        <v>2325</v>
      </c>
      <c r="D180" s="528"/>
      <c r="E180" s="528">
        <f>ROUNDDOWN(((I31/1000)*'CF-1603|2024'!DB18)-'CF-1603|2024'!BK14,0)</f>
        <v>355</v>
      </c>
      <c r="F180" s="528"/>
      <c r="G180" s="479"/>
      <c r="H180" s="479"/>
      <c r="I180" s="479"/>
      <c r="J180" s="479"/>
      <c r="K180" s="479"/>
      <c r="L180" s="479"/>
      <c r="M180" s="559"/>
      <c r="N180" s="559"/>
      <c r="O180" s="559"/>
      <c r="P180" s="559"/>
      <c r="Q180" s="559"/>
      <c r="R180" s="559"/>
      <c r="S180" s="559"/>
      <c r="T180" s="559"/>
      <c r="U180" s="559"/>
      <c r="V180" s="559"/>
      <c r="W180" s="559"/>
      <c r="X180" s="559"/>
      <c r="Y180" s="559"/>
      <c r="Z180" s="559"/>
    </row>
    <row r="181" spans="1:27" ht="13.5" customHeight="1" x14ac:dyDescent="0.3">
      <c r="A181" s="1344"/>
      <c r="B181" s="3339"/>
      <c r="C181" s="1344"/>
      <c r="D181" s="1344"/>
      <c r="E181" s="1344"/>
      <c r="F181" s="1344"/>
      <c r="G181" s="1344"/>
      <c r="H181" s="1344"/>
      <c r="I181" s="1344"/>
      <c r="J181" s="1344"/>
      <c r="K181" s="1344"/>
      <c r="L181" s="1344"/>
      <c r="M181" s="1344"/>
      <c r="N181" s="1344"/>
      <c r="O181" s="1344"/>
      <c r="P181" s="1344"/>
      <c r="Q181" s="1344"/>
      <c r="R181" s="1344"/>
      <c r="S181" s="1344"/>
      <c r="T181" s="1344"/>
      <c r="U181" s="1344"/>
      <c r="V181" s="1344"/>
      <c r="W181" s="1344"/>
      <c r="X181" s="1344"/>
      <c r="Y181" s="1344"/>
      <c r="Z181" s="1344"/>
    </row>
    <row r="182" spans="1:27" ht="13.5" customHeight="1" x14ac:dyDescent="0.3">
      <c r="A182" s="1344"/>
      <c r="B182" s="3339"/>
      <c r="C182" s="1344"/>
      <c r="D182" s="1344"/>
      <c r="E182" s="1344"/>
      <c r="F182" s="1344"/>
      <c r="G182" s="1344"/>
      <c r="H182" s="1344"/>
      <c r="I182" s="1344"/>
      <c r="J182" s="1344"/>
      <c r="K182" s="1344"/>
      <c r="L182" s="1344"/>
      <c r="M182" s="1344"/>
      <c r="N182" s="1344"/>
      <c r="O182" s="1344"/>
      <c r="P182" s="1344"/>
      <c r="Q182" s="1344"/>
      <c r="R182" s="1344"/>
      <c r="S182" s="1344"/>
      <c r="T182" s="1344"/>
      <c r="U182" s="1344"/>
      <c r="V182" s="1344"/>
      <c r="W182" s="1344"/>
      <c r="X182" s="1344"/>
      <c r="Y182" s="1344"/>
      <c r="Z182" s="1344"/>
    </row>
    <row r="183" spans="1:27" ht="15.75" customHeight="1" x14ac:dyDescent="0.3"/>
    <row r="184" spans="1:27" ht="21" customHeight="1" x14ac:dyDescent="0.3">
      <c r="B184" s="1342" t="s">
        <v>409</v>
      </c>
    </row>
    <row r="185" spans="1:27" ht="9" customHeight="1" x14ac:dyDescent="0.3">
      <c r="B185" s="1342"/>
    </row>
    <row r="186" spans="1:27" ht="21" customHeight="1" x14ac:dyDescent="0.3">
      <c r="B186" s="1340" t="s">
        <v>410</v>
      </c>
      <c r="C186" s="1341"/>
      <c r="D186" s="1341"/>
    </row>
    <row r="187" spans="1:27" ht="12" customHeight="1" x14ac:dyDescent="0.3"/>
    <row r="188" spans="1:27" ht="15.75" customHeight="1" x14ac:dyDescent="0.3">
      <c r="B188" s="3341" t="s">
        <v>301</v>
      </c>
      <c r="C188" s="3342" t="s">
        <v>343</v>
      </c>
      <c r="D188" s="3343" t="s">
        <v>344</v>
      </c>
      <c r="E188" s="4012" t="s">
        <v>345</v>
      </c>
      <c r="F188" s="3343" t="s">
        <v>346</v>
      </c>
      <c r="G188" s="4013" t="s">
        <v>347</v>
      </c>
      <c r="H188" s="1349">
        <v>2025</v>
      </c>
      <c r="I188" s="4014">
        <v>2024</v>
      </c>
      <c r="J188" s="1349">
        <v>2023</v>
      </c>
      <c r="K188" s="1349">
        <v>2022</v>
      </c>
      <c r="L188" s="1349">
        <v>2021</v>
      </c>
      <c r="M188" s="1349">
        <v>2020</v>
      </c>
      <c r="N188" s="1349">
        <v>2019</v>
      </c>
      <c r="O188" s="1350">
        <v>2018</v>
      </c>
      <c r="P188" s="1350">
        <v>2017</v>
      </c>
      <c r="Q188" s="1350">
        <v>2016</v>
      </c>
      <c r="R188" s="1350">
        <v>2015</v>
      </c>
      <c r="S188" s="1350">
        <v>2014</v>
      </c>
      <c r="T188" s="1350">
        <v>2013</v>
      </c>
      <c r="U188" s="1350">
        <v>2012</v>
      </c>
      <c r="V188" s="1350">
        <v>2011</v>
      </c>
      <c r="W188" s="1350">
        <v>2010</v>
      </c>
      <c r="X188" s="1350">
        <v>2009</v>
      </c>
      <c r="Y188" s="1350">
        <v>2008</v>
      </c>
      <c r="Z188" s="4304" t="s">
        <v>332</v>
      </c>
      <c r="AA188" s="1430"/>
    </row>
    <row r="189" spans="1:27" ht="24" customHeight="1" x14ac:dyDescent="0.3">
      <c r="B189" s="4015">
        <v>1</v>
      </c>
      <c r="C189" s="4016" t="s">
        <v>1787</v>
      </c>
      <c r="D189" s="4017" t="s">
        <v>1871</v>
      </c>
      <c r="E189" s="1304" t="s">
        <v>1872</v>
      </c>
      <c r="F189" s="4018"/>
      <c r="G189" s="4019"/>
      <c r="H189" s="3348"/>
      <c r="I189" s="4020">
        <v>29642</v>
      </c>
      <c r="J189" s="4021">
        <v>29128</v>
      </c>
      <c r="K189" s="4022">
        <v>26326</v>
      </c>
      <c r="L189" s="4022">
        <v>24378</v>
      </c>
      <c r="M189" s="4022">
        <v>21638</v>
      </c>
      <c r="N189" s="4022">
        <v>20990</v>
      </c>
      <c r="O189" s="4022">
        <v>14145</v>
      </c>
      <c r="P189" s="3350"/>
      <c r="Q189" s="3350"/>
      <c r="R189" s="3350"/>
      <c r="S189" s="3350"/>
      <c r="T189" s="3350"/>
      <c r="U189" s="3351"/>
      <c r="V189" s="3350"/>
      <c r="W189" s="3351"/>
      <c r="X189" s="3350"/>
      <c r="Y189" s="3351"/>
      <c r="Z189" s="4183"/>
    </row>
    <row r="190" spans="1:27" ht="24" customHeight="1" x14ac:dyDescent="0.3">
      <c r="B190" s="4023"/>
      <c r="C190" s="4024" t="s">
        <v>1787</v>
      </c>
      <c r="D190" s="1308" t="s">
        <v>1873</v>
      </c>
      <c r="E190" s="1309" t="s">
        <v>385</v>
      </c>
      <c r="F190" s="4025" t="s">
        <v>1874</v>
      </c>
      <c r="G190" s="4026"/>
      <c r="H190" s="1935"/>
      <c r="I190" s="4027">
        <f>I189*20.48</f>
        <v>607068.16000000003</v>
      </c>
      <c r="J190" s="4028">
        <v>596541.43999999994</v>
      </c>
      <c r="K190" s="3453">
        <v>539156.47999999998</v>
      </c>
      <c r="L190" s="3453">
        <v>499261.44</v>
      </c>
      <c r="M190" s="3453">
        <v>443146.23999999999</v>
      </c>
      <c r="N190" s="3453">
        <v>429875.20000000001</v>
      </c>
      <c r="O190" s="3453">
        <v>289689.59999999998</v>
      </c>
      <c r="P190" s="1444"/>
      <c r="Q190" s="1444"/>
      <c r="R190" s="1444"/>
      <c r="S190" s="1444"/>
      <c r="T190" s="1444"/>
      <c r="U190" s="1935"/>
      <c r="V190" s="1444"/>
      <c r="W190" s="1935"/>
      <c r="X190" s="1444"/>
      <c r="Y190" s="1935"/>
      <c r="Z190" s="3603"/>
    </row>
    <row r="191" spans="1:27" ht="24" customHeight="1" x14ac:dyDescent="0.3">
      <c r="B191" s="4023">
        <v>2</v>
      </c>
      <c r="C191" s="4029" t="s">
        <v>1787</v>
      </c>
      <c r="D191" s="1303" t="s">
        <v>1730</v>
      </c>
      <c r="E191" s="1304" t="s">
        <v>385</v>
      </c>
      <c r="F191" s="4030"/>
      <c r="G191" s="4019"/>
      <c r="H191" s="1420"/>
      <c r="I191" s="4031">
        <f>SUM(K204:K208)</f>
        <v>36450</v>
      </c>
      <c r="J191" s="4032">
        <v>394380</v>
      </c>
      <c r="K191" s="3446">
        <v>325670</v>
      </c>
      <c r="L191" s="3446">
        <v>139041</v>
      </c>
      <c r="M191" s="3780">
        <v>0</v>
      </c>
      <c r="N191" s="3780">
        <v>0</v>
      </c>
      <c r="O191" s="3780">
        <v>0</v>
      </c>
      <c r="P191" s="1438"/>
      <c r="Q191" s="1438"/>
      <c r="R191" s="1438"/>
      <c r="S191" s="1438"/>
      <c r="T191" s="1438"/>
      <c r="U191" s="1420"/>
      <c r="V191" s="1438"/>
      <c r="W191" s="1420"/>
      <c r="X191" s="1438"/>
      <c r="Y191" s="1420"/>
      <c r="Z191" s="4305"/>
    </row>
    <row r="192" spans="1:27" ht="24" customHeight="1" x14ac:dyDescent="0.3">
      <c r="B192" s="4023">
        <v>3</v>
      </c>
      <c r="C192" s="4024" t="s">
        <v>1787</v>
      </c>
      <c r="D192" s="1308" t="s">
        <v>1729</v>
      </c>
      <c r="E192" s="1309" t="s">
        <v>385</v>
      </c>
      <c r="F192" s="4025"/>
      <c r="G192" s="4033"/>
      <c r="H192" s="1420"/>
      <c r="I192" s="4034">
        <v>16961</v>
      </c>
      <c r="J192" s="4035">
        <v>0</v>
      </c>
      <c r="K192" s="3453">
        <v>7390</v>
      </c>
      <c r="L192" s="2958">
        <v>0</v>
      </c>
      <c r="M192" s="2958">
        <v>0</v>
      </c>
      <c r="N192" s="2958">
        <v>0</v>
      </c>
      <c r="O192" s="2958">
        <v>0</v>
      </c>
      <c r="P192" s="1438"/>
      <c r="Q192" s="1438"/>
      <c r="R192" s="1438"/>
      <c r="S192" s="1438"/>
      <c r="T192" s="1438"/>
      <c r="U192" s="1420"/>
      <c r="V192" s="1438"/>
      <c r="W192" s="1420"/>
      <c r="X192" s="1438"/>
      <c r="Y192" s="1420"/>
      <c r="Z192" s="4187"/>
    </row>
    <row r="193" spans="2:133" s="3363" customFormat="1" ht="24" customHeight="1" x14ac:dyDescent="0.3">
      <c r="B193" s="4036"/>
      <c r="C193" s="4037"/>
      <c r="D193" s="4038"/>
      <c r="E193" s="4039"/>
      <c r="F193" s="4040"/>
      <c r="G193" s="4041"/>
      <c r="H193" s="1283"/>
      <c r="I193" s="4042"/>
      <c r="J193" s="4043"/>
      <c r="K193" s="4044"/>
      <c r="L193" s="4044"/>
      <c r="M193" s="4044"/>
      <c r="N193" s="4044"/>
      <c r="O193" s="3373"/>
      <c r="P193" s="3373"/>
      <c r="Q193" s="3373"/>
      <c r="R193" s="3373"/>
      <c r="S193" s="3374"/>
      <c r="T193" s="3374"/>
      <c r="U193" s="3374"/>
      <c r="V193" s="3374"/>
      <c r="W193" s="3374"/>
      <c r="X193" s="3374"/>
      <c r="Y193" s="3374"/>
      <c r="Z193" s="4306"/>
      <c r="AA193" s="1336"/>
      <c r="AB193" s="1336"/>
      <c r="AC193" s="1336"/>
      <c r="AD193" s="1336"/>
      <c r="AE193" s="1336"/>
      <c r="AF193" s="1336"/>
      <c r="AG193" s="1336"/>
      <c r="AH193" s="1336"/>
      <c r="AI193" s="1336"/>
      <c r="AJ193" s="1336"/>
      <c r="AK193" s="1336"/>
      <c r="AL193" s="1336"/>
      <c r="AM193" s="1336"/>
      <c r="AN193" s="1336"/>
      <c r="AO193" s="1336"/>
      <c r="AP193" s="1336"/>
      <c r="AQ193" s="1336"/>
      <c r="AR193" s="1336"/>
      <c r="AS193" s="1336"/>
      <c r="AT193" s="1336"/>
      <c r="AU193" s="1336"/>
      <c r="AV193" s="1336"/>
      <c r="AW193" s="1336"/>
      <c r="AX193" s="1336"/>
      <c r="AY193" s="1336"/>
      <c r="AZ193" s="1336"/>
      <c r="BA193" s="1336"/>
      <c r="BB193" s="1336"/>
      <c r="BC193" s="1336"/>
      <c r="BD193" s="1336"/>
      <c r="BE193" s="1336"/>
      <c r="BF193" s="1336"/>
      <c r="BG193" s="1336"/>
      <c r="BH193" s="1336"/>
      <c r="BI193" s="1336"/>
      <c r="BJ193" s="1336"/>
      <c r="BK193" s="1336"/>
      <c r="BL193" s="1336"/>
      <c r="BM193" s="1336"/>
      <c r="BN193" s="1336"/>
      <c r="BO193" s="1336"/>
      <c r="BP193" s="1336"/>
      <c r="BQ193" s="1336"/>
      <c r="BR193" s="1336"/>
      <c r="BS193" s="1336"/>
      <c r="BT193" s="1336"/>
      <c r="BU193" s="1336"/>
      <c r="BV193" s="1336"/>
      <c r="BW193" s="1336"/>
      <c r="BX193" s="1336"/>
      <c r="BY193" s="1336"/>
      <c r="BZ193" s="1336"/>
      <c r="CA193" s="1336"/>
      <c r="CB193" s="1336"/>
      <c r="CC193" s="1336"/>
      <c r="CD193" s="1336"/>
      <c r="CE193" s="1336"/>
      <c r="CF193" s="1336"/>
      <c r="CG193" s="1336"/>
      <c r="CH193" s="1336"/>
      <c r="CI193" s="1336"/>
      <c r="CJ193" s="1336"/>
      <c r="CK193" s="1336"/>
      <c r="CL193" s="1336"/>
      <c r="CM193" s="1336"/>
      <c r="CN193" s="1336"/>
      <c r="CO193" s="1336"/>
      <c r="CP193" s="1336"/>
      <c r="CQ193" s="1336"/>
      <c r="CR193" s="1336"/>
      <c r="CS193" s="1336"/>
      <c r="CT193" s="1336"/>
      <c r="CU193" s="1336"/>
      <c r="CV193" s="1336"/>
      <c r="CW193" s="1336"/>
      <c r="CX193" s="1336"/>
      <c r="CY193" s="1336"/>
      <c r="CZ193" s="1336"/>
      <c r="DA193" s="1336"/>
      <c r="DB193" s="1336"/>
      <c r="DC193" s="1336"/>
      <c r="DD193" s="1336"/>
      <c r="DE193" s="1336"/>
      <c r="DF193" s="1336"/>
      <c r="DG193" s="1336"/>
      <c r="DH193" s="1336"/>
      <c r="DI193" s="1336"/>
      <c r="DJ193" s="1336"/>
      <c r="DK193" s="1336"/>
      <c r="DL193" s="1336"/>
      <c r="DM193" s="1336"/>
      <c r="DN193" s="1336"/>
      <c r="DO193" s="1336"/>
      <c r="DP193" s="1336"/>
      <c r="DQ193" s="1336"/>
      <c r="DR193" s="1336"/>
      <c r="DS193" s="1336"/>
      <c r="DT193" s="1336"/>
      <c r="DU193" s="1336"/>
      <c r="DV193" s="1336"/>
      <c r="DW193" s="1336"/>
      <c r="DX193" s="1336"/>
      <c r="DY193" s="1336"/>
      <c r="DZ193" s="1336"/>
      <c r="EA193" s="1336"/>
      <c r="EB193" s="1336"/>
      <c r="EC193" s="1336"/>
    </row>
    <row r="194" spans="2:133" ht="15.75" customHeight="1" x14ac:dyDescent="0.3">
      <c r="B194" s="3675"/>
    </row>
    <row r="195" spans="2:133" ht="15.75" customHeight="1" x14ac:dyDescent="0.3">
      <c r="B195" s="1421" t="s">
        <v>355</v>
      </c>
      <c r="C195" s="1422" t="s">
        <v>356</v>
      </c>
    </row>
    <row r="196" spans="2:133" ht="15.75" customHeight="1" x14ac:dyDescent="0.3"/>
    <row r="197" spans="2:133" ht="15.75" customHeight="1" x14ac:dyDescent="0.3">
      <c r="B197" s="4402" t="s">
        <v>357</v>
      </c>
      <c r="C197" s="4402"/>
    </row>
    <row r="198" spans="2:133" ht="15.75" customHeight="1" x14ac:dyDescent="0.3">
      <c r="B198" s="2968"/>
    </row>
    <row r="199" spans="2:133" ht="15.75" customHeight="1" x14ac:dyDescent="0.3">
      <c r="B199" s="3383" t="s">
        <v>1875</v>
      </c>
      <c r="C199" s="1336" t="s">
        <v>1876</v>
      </c>
    </row>
    <row r="200" spans="2:133" ht="15.75" customHeight="1" x14ac:dyDescent="0.3">
      <c r="B200" s="3383"/>
      <c r="G200" s="3384"/>
    </row>
    <row r="201" spans="2:133" ht="15.75" customHeight="1" x14ac:dyDescent="0.3">
      <c r="B201" s="3385" t="s">
        <v>446</v>
      </c>
      <c r="C201" s="1336" t="s">
        <v>1877</v>
      </c>
    </row>
    <row r="202" spans="2:133" ht="15.75" customHeight="1" x14ac:dyDescent="0.3">
      <c r="C202" s="1942"/>
      <c r="D202" s="1942"/>
    </row>
    <row r="203" spans="2:133" ht="15.75" customHeight="1" x14ac:dyDescent="0.3">
      <c r="B203" s="3383"/>
      <c r="J203" s="4045" t="s">
        <v>1878</v>
      </c>
      <c r="K203" s="4046" t="s">
        <v>1879</v>
      </c>
    </row>
    <row r="204" spans="2:133" ht="15.75" customHeight="1" x14ac:dyDescent="0.3">
      <c r="J204" s="4047">
        <v>45657</v>
      </c>
      <c r="K204" s="4048">
        <v>6840</v>
      </c>
    </row>
    <row r="205" spans="2:133" ht="15.75" customHeight="1" x14ac:dyDescent="0.3">
      <c r="C205" s="4049"/>
      <c r="D205" s="3388"/>
      <c r="E205" s="3389"/>
      <c r="J205" s="4050">
        <v>45482</v>
      </c>
      <c r="K205" s="4048">
        <v>7610</v>
      </c>
    </row>
    <row r="206" spans="2:133" ht="15.75" customHeight="1" x14ac:dyDescent="0.3">
      <c r="C206" s="3391"/>
      <c r="D206" s="3388"/>
      <c r="J206" s="4047">
        <v>45379</v>
      </c>
      <c r="K206" s="4048">
        <v>7410</v>
      </c>
    </row>
    <row r="207" spans="2:133" ht="15.75" customHeight="1" x14ac:dyDescent="0.3">
      <c r="C207" s="3387"/>
      <c r="D207" s="3388"/>
      <c r="J207" s="4047">
        <v>45572</v>
      </c>
      <c r="K207" s="4048">
        <v>7600</v>
      </c>
    </row>
    <row r="208" spans="2:133" ht="15.75" customHeight="1" x14ac:dyDescent="0.3">
      <c r="C208" s="3387"/>
      <c r="D208" s="3392"/>
      <c r="J208" s="4047">
        <v>45559</v>
      </c>
      <c r="K208" s="4048">
        <v>6990</v>
      </c>
    </row>
    <row r="209" spans="2:4" ht="15.75" customHeight="1" x14ac:dyDescent="0.3">
      <c r="D209" s="3388"/>
    </row>
    <row r="210" spans="2:4" ht="15.75" customHeight="1" x14ac:dyDescent="0.3">
      <c r="C210" s="3394"/>
      <c r="D210" s="3388"/>
    </row>
    <row r="211" spans="2:4" ht="15.75" customHeight="1" x14ac:dyDescent="0.3">
      <c r="D211" s="3388"/>
    </row>
    <row r="212" spans="2:4" ht="15.75" customHeight="1" x14ac:dyDescent="0.3">
      <c r="B212" s="3393"/>
      <c r="C212" s="428"/>
      <c r="D212" s="3388"/>
    </row>
    <row r="213" spans="2:4" ht="15.75" customHeight="1" x14ac:dyDescent="0.3">
      <c r="C213" s="428"/>
      <c r="D213" s="3388"/>
    </row>
    <row r="214" spans="2:4" ht="15.75" customHeight="1" x14ac:dyDescent="0.3">
      <c r="D214" s="3388"/>
    </row>
    <row r="215" spans="2:4" ht="15.75" customHeight="1" x14ac:dyDescent="0.3">
      <c r="D215" s="3388"/>
    </row>
    <row r="216" spans="2:4" ht="15.75" customHeight="1" x14ac:dyDescent="0.3">
      <c r="D216" s="3388"/>
    </row>
    <row r="217" spans="2:4" ht="15.75" customHeight="1" x14ac:dyDescent="0.3">
      <c r="D217" s="3388"/>
    </row>
    <row r="218" spans="2:4" ht="15.75" customHeight="1" x14ac:dyDescent="0.3">
      <c r="D218" s="3388"/>
    </row>
    <row r="219" spans="2:4" ht="15.75" customHeight="1" x14ac:dyDescent="0.3">
      <c r="D219" s="3388"/>
    </row>
    <row r="220" spans="2:4" ht="15.75" customHeight="1" x14ac:dyDescent="0.3">
      <c r="D220" s="3388"/>
    </row>
    <row r="221" spans="2:4" ht="15.75" customHeight="1" x14ac:dyDescent="0.3"/>
    <row r="222" spans="2:4" ht="15.75" customHeight="1" x14ac:dyDescent="0.3"/>
    <row r="223" spans="2:4" ht="15.75" customHeight="1" x14ac:dyDescent="0.3"/>
    <row r="224" spans="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row r="1019" ht="15.75" customHeight="1" x14ac:dyDescent="0.3"/>
    <row r="1020" ht="15.75" customHeight="1" x14ac:dyDescent="0.3"/>
    <row r="1021" ht="15.75" customHeight="1" x14ac:dyDescent="0.3"/>
    <row r="1022" ht="15.75" customHeight="1" x14ac:dyDescent="0.3"/>
    <row r="1023" ht="15.75" customHeight="1" x14ac:dyDescent="0.3"/>
    <row r="1024" ht="15.75" customHeight="1" x14ac:dyDescent="0.3"/>
    <row r="1025" ht="15.75" customHeight="1" x14ac:dyDescent="0.3"/>
    <row r="1026" ht="15.75" customHeight="1" x14ac:dyDescent="0.3"/>
    <row r="1027" ht="15.75" customHeight="1" x14ac:dyDescent="0.3"/>
    <row r="1028" ht="15.75" customHeight="1" x14ac:dyDescent="0.3"/>
    <row r="1029" ht="15.75" customHeight="1" x14ac:dyDescent="0.3"/>
    <row r="1030" ht="15.75" customHeight="1" x14ac:dyDescent="0.3"/>
    <row r="1031" ht="15.75" customHeight="1" x14ac:dyDescent="0.3"/>
    <row r="1032" ht="15.75" customHeight="1" x14ac:dyDescent="0.3"/>
    <row r="1033" ht="15.75" customHeight="1" x14ac:dyDescent="0.3"/>
    <row r="1034" ht="15.75" customHeight="1" x14ac:dyDescent="0.3"/>
    <row r="1035" ht="15.75" customHeight="1" x14ac:dyDescent="0.3"/>
    <row r="1036" ht="15.75" customHeight="1" x14ac:dyDescent="0.3"/>
    <row r="1037" ht="15.75" customHeight="1" x14ac:dyDescent="0.3"/>
    <row r="1038" ht="15.75" customHeight="1" x14ac:dyDescent="0.3"/>
    <row r="1039" ht="15.75" customHeight="1" x14ac:dyDescent="0.3"/>
    <row r="1040" ht="15.75" customHeight="1" x14ac:dyDescent="0.3"/>
    <row r="1041" ht="15.75" customHeight="1" x14ac:dyDescent="0.3"/>
    <row r="1042" ht="15.75" customHeight="1" x14ac:dyDescent="0.3"/>
    <row r="1043" ht="15.75" customHeight="1" x14ac:dyDescent="0.3"/>
    <row r="1044" ht="15.75" customHeight="1" x14ac:dyDescent="0.3"/>
    <row r="1045" ht="15.75" customHeight="1" x14ac:dyDescent="0.3"/>
    <row r="1046" ht="15.75" customHeight="1" x14ac:dyDescent="0.3"/>
    <row r="1047" ht="15.75" customHeight="1" x14ac:dyDescent="0.3"/>
    <row r="1048" ht="15.75" customHeight="1" x14ac:dyDescent="0.3"/>
    <row r="1049" ht="15.75" customHeight="1" x14ac:dyDescent="0.3"/>
    <row r="1050" ht="15.75" customHeight="1" x14ac:dyDescent="0.3"/>
    <row r="1051" ht="15.75" customHeight="1" x14ac:dyDescent="0.3"/>
    <row r="1052" ht="15.75" customHeight="1" x14ac:dyDescent="0.3"/>
    <row r="1053" ht="15.75" customHeight="1" x14ac:dyDescent="0.3"/>
    <row r="1054" ht="15.75" customHeight="1" x14ac:dyDescent="0.3"/>
    <row r="1055" ht="15.75" customHeight="1" x14ac:dyDescent="0.3"/>
    <row r="1056" ht="15.75" customHeight="1" x14ac:dyDescent="0.3"/>
    <row r="1057" ht="15.75" customHeight="1" x14ac:dyDescent="0.3"/>
    <row r="1058" ht="15.75" customHeight="1" x14ac:dyDescent="0.3"/>
    <row r="1059" ht="15.75" customHeight="1" x14ac:dyDescent="0.3"/>
    <row r="1060" ht="15.75" customHeight="1" x14ac:dyDescent="0.3"/>
  </sheetData>
  <mergeCells count="2">
    <mergeCell ref="B178:C178"/>
    <mergeCell ref="B197:C197"/>
  </mergeCells>
  <phoneticPr fontId="94" type="noConversion"/>
  <pageMargins left="0.70866141732283472" right="0.70866141732283472" top="0.74803149606299213" bottom="0.74803149606299213" header="0" footer="0"/>
  <pageSetup scale="75" orientation="landscape" r:id="rId1"/>
  <headerFooter>
    <oddHeader>&amp;R00-049CONFIDENTIAL</oddHeader>
    <oddFooter>&amp;L00-049v6 - May 2019 Property of Will Solutions Inc.</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468BA-E817-41C2-A8AE-F39861E10B76}">
  <dimension ref="A1:G986"/>
  <sheetViews>
    <sheetView topLeftCell="A7" zoomScale="82" workbookViewId="0">
      <selection activeCell="D18" sqref="D18"/>
    </sheetView>
  </sheetViews>
  <sheetFormatPr defaultColWidth="12.33203125" defaultRowHeight="15" customHeight="1" x14ac:dyDescent="0.3"/>
  <cols>
    <col min="1" max="1" width="2.6640625" style="428" customWidth="1"/>
    <col min="2" max="2" width="34" style="428" customWidth="1"/>
    <col min="3" max="4" width="21.21875" style="428" customWidth="1"/>
    <col min="5" max="5" width="1.5546875" style="428" customWidth="1"/>
    <col min="6" max="6" width="15.109375" style="428" customWidth="1"/>
    <col min="7" max="7" width="11.6640625" style="428" customWidth="1"/>
    <col min="8" max="16384" width="12.33203125" style="428"/>
  </cols>
  <sheetData>
    <row r="1" spans="1:7" ht="21.75" customHeight="1" x14ac:dyDescent="0.35">
      <c r="A1" s="424"/>
      <c r="B1" s="425" t="s">
        <v>549</v>
      </c>
      <c r="E1" s="427"/>
    </row>
    <row r="2" spans="1:7" ht="15.75" customHeight="1" x14ac:dyDescent="0.3">
      <c r="A2" s="424"/>
      <c r="B2" s="429" t="s">
        <v>299</v>
      </c>
      <c r="C2" s="430"/>
      <c r="D2" s="430"/>
      <c r="E2" s="430"/>
      <c r="F2" s="430"/>
    </row>
    <row r="3" spans="1:7" ht="9.75" customHeight="1" x14ac:dyDescent="0.3">
      <c r="A3" s="427"/>
      <c r="E3" s="427"/>
    </row>
    <row r="4" spans="1:7" ht="6" customHeight="1" x14ac:dyDescent="0.3">
      <c r="E4" s="427"/>
    </row>
    <row r="5" spans="1:7" ht="6" customHeight="1" x14ac:dyDescent="0.3">
      <c r="A5" s="431"/>
      <c r="E5" s="427"/>
    </row>
    <row r="6" spans="1:7" ht="15.75" customHeight="1" x14ac:dyDescent="0.3">
      <c r="E6" s="427"/>
    </row>
    <row r="7" spans="1:7" ht="37.35" customHeight="1" x14ac:dyDescent="0.3">
      <c r="A7" s="432"/>
      <c r="B7" s="433">
        <v>2024</v>
      </c>
      <c r="C7" s="4385" t="s">
        <v>23</v>
      </c>
      <c r="D7" s="4386"/>
      <c r="E7" s="609"/>
      <c r="F7" s="435" t="s">
        <v>300</v>
      </c>
      <c r="G7" s="432"/>
    </row>
    <row r="8" spans="1:7" ht="18" customHeight="1" x14ac:dyDescent="0.35">
      <c r="B8" s="436" t="s">
        <v>301</v>
      </c>
      <c r="C8" s="648">
        <v>1</v>
      </c>
      <c r="D8" s="572">
        <v>2</v>
      </c>
      <c r="E8" s="610"/>
      <c r="F8" s="438"/>
    </row>
    <row r="9" spans="1:7" ht="54.6" customHeight="1" x14ac:dyDescent="0.3">
      <c r="B9" s="439" t="s">
        <v>302</v>
      </c>
      <c r="C9" s="1295" t="s">
        <v>1586</v>
      </c>
      <c r="D9" s="1295" t="s">
        <v>1587</v>
      </c>
      <c r="E9" s="611"/>
      <c r="F9" s="442"/>
    </row>
    <row r="10" spans="1:7" ht="53.4" customHeight="1" x14ac:dyDescent="0.3">
      <c r="B10" s="444" t="s">
        <v>304</v>
      </c>
      <c r="C10" s="1296" t="s">
        <v>1588</v>
      </c>
      <c r="D10" s="1296" t="s">
        <v>1589</v>
      </c>
      <c r="E10" s="612"/>
      <c r="F10" s="446"/>
    </row>
    <row r="11" spans="1:7" ht="18.75" customHeight="1" x14ac:dyDescent="0.3">
      <c r="A11" s="447"/>
      <c r="B11" s="448" t="s">
        <v>306</v>
      </c>
      <c r="C11" s="1089">
        <f>(C17*C18)</f>
        <v>22456.818906765591</v>
      </c>
      <c r="D11" s="613">
        <f>(D17*D18)</f>
        <v>9096.49</v>
      </c>
      <c r="E11" s="614"/>
      <c r="F11" s="451">
        <f>SUM(C11:D11)</f>
        <v>31553.308906765589</v>
      </c>
      <c r="G11" s="447"/>
    </row>
    <row r="12" spans="1:7" ht="18.75" customHeight="1" x14ac:dyDescent="0.3">
      <c r="A12" s="447"/>
      <c r="B12" s="453" t="s">
        <v>307</v>
      </c>
      <c r="C12" s="577">
        <f>(C22*C23)</f>
        <v>0</v>
      </c>
      <c r="D12" s="577">
        <f>(D22*D23)</f>
        <v>0</v>
      </c>
      <c r="E12" s="614"/>
      <c r="F12" s="456">
        <f>SUM(C12:D12)</f>
        <v>0</v>
      </c>
      <c r="G12" s="447"/>
    </row>
    <row r="13" spans="1:7" ht="18.75" customHeight="1" x14ac:dyDescent="0.3">
      <c r="A13" s="447"/>
      <c r="B13" s="448" t="s">
        <v>308</v>
      </c>
      <c r="C13" s="654" t="s">
        <v>8</v>
      </c>
      <c r="D13" s="578" t="s">
        <v>8</v>
      </c>
      <c r="E13" s="615"/>
      <c r="F13" s="460"/>
      <c r="G13" s="447"/>
    </row>
    <row r="14" spans="1:7" ht="18.75" customHeight="1" x14ac:dyDescent="0.3">
      <c r="A14" s="447"/>
      <c r="B14" s="462" t="s">
        <v>309</v>
      </c>
      <c r="C14" s="655">
        <f t="shared" ref="C14:D14" si="0">C11-C12</f>
        <v>22456.818906765591</v>
      </c>
      <c r="D14" s="579">
        <f t="shared" si="0"/>
        <v>9096.49</v>
      </c>
      <c r="E14" s="614"/>
      <c r="F14" s="464">
        <f>SUM(C14:D14)</f>
        <v>31553.308906765589</v>
      </c>
      <c r="G14" s="447"/>
    </row>
    <row r="15" spans="1:7" ht="19.5" customHeight="1" x14ac:dyDescent="0.4">
      <c r="B15" s="616" t="s">
        <v>395</v>
      </c>
      <c r="C15" s="659"/>
      <c r="D15" s="617"/>
      <c r="E15" s="618"/>
      <c r="F15" s="468"/>
      <c r="G15" s="427"/>
    </row>
    <row r="16" spans="1:7" ht="35.4" customHeight="1" x14ac:dyDescent="0.3">
      <c r="A16" s="447"/>
      <c r="B16" s="469" t="s">
        <v>311</v>
      </c>
      <c r="C16" s="601" t="s">
        <v>397</v>
      </c>
      <c r="D16" s="601" t="s">
        <v>496</v>
      </c>
      <c r="E16" s="619"/>
      <c r="F16" s="620"/>
      <c r="G16" s="447"/>
    </row>
    <row r="17" spans="1:7" ht="21" customHeight="1" x14ac:dyDescent="0.3">
      <c r="A17" s="447"/>
      <c r="B17" s="472" t="s">
        <v>398</v>
      </c>
      <c r="C17" s="662">
        <f>'CF-1604|GDS'!I9</f>
        <v>37520.049999999988</v>
      </c>
      <c r="D17" s="662">
        <f>'CF-1604|GDS'!I11</f>
        <v>10894</v>
      </c>
      <c r="E17" s="622"/>
      <c r="F17" s="623"/>
      <c r="G17" s="447"/>
    </row>
    <row r="18" spans="1:7" ht="18.75" customHeight="1" x14ac:dyDescent="0.3">
      <c r="A18" s="447"/>
      <c r="B18" s="476" t="s">
        <v>314</v>
      </c>
      <c r="C18" s="584">
        <v>0.59852849094725613</v>
      </c>
      <c r="D18" s="584">
        <f>'CF-1604|GDS'!G24</f>
        <v>0.83499999999999996</v>
      </c>
      <c r="E18" s="614"/>
      <c r="F18" s="491"/>
      <c r="G18" s="447"/>
    </row>
    <row r="19" spans="1:7" ht="19.5" customHeight="1" x14ac:dyDescent="0.3">
      <c r="A19" s="447"/>
      <c r="B19" s="480" t="s">
        <v>315</v>
      </c>
      <c r="C19" s="664">
        <f>C17*C18</f>
        <v>22456.818906765591</v>
      </c>
      <c r="D19" s="663">
        <f>D17*D18</f>
        <v>9096.49</v>
      </c>
      <c r="E19" s="614"/>
      <c r="F19" s="494"/>
      <c r="G19" s="647"/>
    </row>
    <row r="20" spans="1:7" ht="21" customHeight="1" x14ac:dyDescent="0.4">
      <c r="B20" s="465" t="s">
        <v>316</v>
      </c>
      <c r="C20" s="665"/>
      <c r="D20" s="587"/>
      <c r="E20" s="618"/>
      <c r="F20" s="495"/>
    </row>
    <row r="21" spans="1:7" ht="32.4" customHeight="1" x14ac:dyDescent="0.3">
      <c r="A21" s="447"/>
      <c r="B21" s="469" t="s">
        <v>183</v>
      </c>
      <c r="C21" s="601" t="s">
        <v>1590</v>
      </c>
      <c r="D21" s="601" t="s">
        <v>1591</v>
      </c>
      <c r="E21" s="614"/>
      <c r="F21" s="496"/>
      <c r="G21" s="447"/>
    </row>
    <row r="22" spans="1:7" ht="21" customHeight="1" x14ac:dyDescent="0.3">
      <c r="A22" s="447"/>
      <c r="B22" s="486" t="s">
        <v>398</v>
      </c>
      <c r="C22" s="666">
        <f>C17</f>
        <v>37520.049999999988</v>
      </c>
      <c r="D22" s="589">
        <f>D17</f>
        <v>10894</v>
      </c>
      <c r="E22" s="622"/>
      <c r="F22" s="623"/>
      <c r="G22" s="447"/>
    </row>
    <row r="23" spans="1:7" ht="21" customHeight="1" x14ac:dyDescent="0.3">
      <c r="A23" s="447"/>
      <c r="B23" s="489" t="s">
        <v>314</v>
      </c>
      <c r="C23" s="590">
        <v>0</v>
      </c>
      <c r="D23" s="590">
        <f>'CF-1604|GDS'!G25</f>
        <v>0</v>
      </c>
      <c r="E23" s="614"/>
      <c r="F23" s="491"/>
      <c r="G23" s="447"/>
    </row>
    <row r="24" spans="1:7" ht="21" customHeight="1" x14ac:dyDescent="0.3">
      <c r="A24" s="447"/>
      <c r="B24" s="492" t="s">
        <v>315</v>
      </c>
      <c r="C24" s="668">
        <f t="shared" ref="C24:D24" si="1">C22*C23</f>
        <v>0</v>
      </c>
      <c r="D24" s="591">
        <f t="shared" si="1"/>
        <v>0</v>
      </c>
      <c r="E24" s="614"/>
      <c r="F24" s="494"/>
      <c r="G24" s="447"/>
    </row>
    <row r="25" spans="1:7" ht="28.5" customHeight="1" x14ac:dyDescent="0.3">
      <c r="A25" s="447"/>
      <c r="B25" s="498" t="s">
        <v>320</v>
      </c>
      <c r="C25" s="626" t="s">
        <v>401</v>
      </c>
      <c r="D25" s="626" t="s">
        <v>1592</v>
      </c>
      <c r="E25" s="614"/>
      <c r="F25" s="496"/>
      <c r="G25" s="447"/>
    </row>
    <row r="26" spans="1:7" ht="24" customHeight="1" x14ac:dyDescent="0.3">
      <c r="B26" s="502" t="s">
        <v>322</v>
      </c>
      <c r="C26" s="674">
        <v>13</v>
      </c>
      <c r="D26" s="596">
        <v>13</v>
      </c>
      <c r="E26" s="618"/>
      <c r="F26" s="495"/>
    </row>
    <row r="27" spans="1:7" ht="33" customHeight="1" x14ac:dyDescent="0.3">
      <c r="A27" s="447"/>
      <c r="B27" s="506" t="s">
        <v>323</v>
      </c>
      <c r="C27" s="496" t="s">
        <v>324</v>
      </c>
      <c r="D27" s="595" t="s">
        <v>324</v>
      </c>
      <c r="E27" s="614"/>
      <c r="F27" s="496"/>
      <c r="G27" s="447"/>
    </row>
    <row r="28" spans="1:7" ht="33" customHeight="1" x14ac:dyDescent="0.3">
      <c r="A28" s="447"/>
      <c r="B28" s="508" t="s">
        <v>325</v>
      </c>
      <c r="C28" s="674" t="s">
        <v>326</v>
      </c>
      <c r="D28" s="596" t="s">
        <v>326</v>
      </c>
      <c r="E28" s="614"/>
      <c r="F28" s="496"/>
      <c r="G28" s="447"/>
    </row>
    <row r="29" spans="1:7" ht="33" customHeight="1" x14ac:dyDescent="0.3">
      <c r="A29" s="447"/>
      <c r="B29" s="506" t="s">
        <v>327</v>
      </c>
      <c r="C29" s="595" t="s">
        <v>402</v>
      </c>
      <c r="D29" s="595" t="s">
        <v>402</v>
      </c>
      <c r="E29" s="614"/>
      <c r="F29" s="496"/>
      <c r="G29" s="447"/>
    </row>
    <row r="30" spans="1:7" ht="21" customHeight="1" x14ac:dyDescent="0.3">
      <c r="B30" s="510" t="s">
        <v>329</v>
      </c>
      <c r="C30" s="596">
        <v>1534</v>
      </c>
      <c r="D30" s="596">
        <f>'CF-1604|GDS'!I12</f>
        <v>14</v>
      </c>
      <c r="E30" s="618"/>
      <c r="F30" s="467"/>
    </row>
    <row r="31" spans="1:7" ht="21" customHeight="1" x14ac:dyDescent="0.3">
      <c r="B31" s="453" t="s">
        <v>330</v>
      </c>
      <c r="C31" s="496" t="s">
        <v>324</v>
      </c>
      <c r="D31" s="595" t="s">
        <v>324</v>
      </c>
      <c r="E31" s="618"/>
      <c r="F31" s="495"/>
    </row>
    <row r="32" spans="1:7" ht="21" customHeight="1" x14ac:dyDescent="0.3">
      <c r="B32" s="510" t="s">
        <v>331</v>
      </c>
      <c r="C32" s="674" t="s">
        <v>324</v>
      </c>
      <c r="D32" s="596" t="s">
        <v>324</v>
      </c>
      <c r="E32" s="618"/>
      <c r="F32" s="495"/>
    </row>
    <row r="33" spans="2:6" ht="21" customHeight="1" x14ac:dyDescent="0.3">
      <c r="B33" s="462" t="s">
        <v>332</v>
      </c>
      <c r="C33" s="675" t="s">
        <v>333</v>
      </c>
      <c r="D33" s="555" t="s">
        <v>333</v>
      </c>
      <c r="E33" s="618"/>
      <c r="F33" s="495"/>
    </row>
    <row r="34" spans="2:6" ht="15.75" customHeight="1" x14ac:dyDescent="0.3">
      <c r="B34" s="4158" t="s">
        <v>2324</v>
      </c>
      <c r="C34" s="4159">
        <f>C14/C30</f>
        <v>14.639386510277438</v>
      </c>
      <c r="D34" s="4159">
        <f>D14/D30</f>
        <v>649.74928571428575</v>
      </c>
      <c r="E34" s="427"/>
      <c r="F34" s="427"/>
    </row>
    <row r="35" spans="2:6" ht="15.75" customHeight="1" x14ac:dyDescent="0.3">
      <c r="E35" s="427"/>
      <c r="F35" s="427"/>
    </row>
    <row r="36" spans="2:6" ht="15.75" customHeight="1" x14ac:dyDescent="0.3">
      <c r="E36" s="427"/>
      <c r="F36" s="427"/>
    </row>
    <row r="37" spans="2:6" ht="15.75" customHeight="1" x14ac:dyDescent="0.3">
      <c r="E37" s="427"/>
      <c r="F37" s="427"/>
    </row>
    <row r="38" spans="2:6" ht="15.75" customHeight="1" x14ac:dyDescent="0.3">
      <c r="E38" s="427"/>
      <c r="F38" s="427"/>
    </row>
    <row r="39" spans="2:6" ht="15.75" customHeight="1" x14ac:dyDescent="0.3">
      <c r="E39" s="427"/>
      <c r="F39" s="427"/>
    </row>
    <row r="40" spans="2:6" ht="15.75" customHeight="1" x14ac:dyDescent="0.3">
      <c r="E40" s="427"/>
      <c r="F40" s="427"/>
    </row>
    <row r="41" spans="2:6" ht="15.75" customHeight="1" x14ac:dyDescent="0.3">
      <c r="E41" s="427"/>
      <c r="F41" s="427"/>
    </row>
    <row r="42" spans="2:6" ht="15.75" customHeight="1" x14ac:dyDescent="0.3">
      <c r="E42" s="427"/>
      <c r="F42" s="427"/>
    </row>
    <row r="43" spans="2:6" ht="15.75" customHeight="1" x14ac:dyDescent="0.3">
      <c r="E43" s="427"/>
      <c r="F43" s="427"/>
    </row>
    <row r="44" spans="2:6" ht="15.75" customHeight="1" x14ac:dyDescent="0.3">
      <c r="E44" s="427"/>
    </row>
    <row r="45" spans="2:6" ht="15.75" customHeight="1" x14ac:dyDescent="0.3">
      <c r="E45" s="427"/>
    </row>
    <row r="46" spans="2:6" ht="15.75" customHeight="1" x14ac:dyDescent="0.3">
      <c r="E46" s="427"/>
    </row>
    <row r="47" spans="2:6" ht="15.75" customHeight="1" x14ac:dyDescent="0.3">
      <c r="E47" s="427"/>
    </row>
    <row r="48" spans="2:6" ht="15.75" customHeight="1" x14ac:dyDescent="0.3">
      <c r="E48" s="427"/>
    </row>
    <row r="49" spans="5:5" ht="15.75" customHeight="1" x14ac:dyDescent="0.3">
      <c r="E49" s="427"/>
    </row>
    <row r="50" spans="5:5" ht="15.75" customHeight="1" x14ac:dyDescent="0.3">
      <c r="E50" s="427"/>
    </row>
    <row r="51" spans="5:5" ht="15.75" customHeight="1" x14ac:dyDescent="0.3">
      <c r="E51" s="427"/>
    </row>
    <row r="52" spans="5:5" ht="15.75" customHeight="1" x14ac:dyDescent="0.3">
      <c r="E52" s="427"/>
    </row>
    <row r="53" spans="5:5" ht="15.75" customHeight="1" x14ac:dyDescent="0.3">
      <c r="E53" s="427"/>
    </row>
    <row r="54" spans="5:5" ht="15.75" customHeight="1" x14ac:dyDescent="0.3">
      <c r="E54" s="427"/>
    </row>
    <row r="55" spans="5:5" ht="15.75" customHeight="1" x14ac:dyDescent="0.3">
      <c r="E55" s="427"/>
    </row>
    <row r="56" spans="5:5" ht="15.75" customHeight="1" x14ac:dyDescent="0.3">
      <c r="E56" s="427"/>
    </row>
    <row r="57" spans="5:5" ht="15.75" customHeight="1" x14ac:dyDescent="0.3">
      <c r="E57" s="427"/>
    </row>
    <row r="58" spans="5:5" ht="15.75" customHeight="1" x14ac:dyDescent="0.3">
      <c r="E58" s="427"/>
    </row>
    <row r="59" spans="5:5" ht="15.75" customHeight="1" x14ac:dyDescent="0.3">
      <c r="E59" s="427"/>
    </row>
    <row r="60" spans="5:5" ht="15.75" customHeight="1" x14ac:dyDescent="0.3">
      <c r="E60" s="427"/>
    </row>
    <row r="61" spans="5:5" ht="15.75" customHeight="1" x14ac:dyDescent="0.3">
      <c r="E61" s="427"/>
    </row>
    <row r="62" spans="5:5" ht="15.75" customHeight="1" x14ac:dyDescent="0.3">
      <c r="E62" s="427"/>
    </row>
    <row r="63" spans="5:5" ht="15.75" customHeight="1" x14ac:dyDescent="0.3">
      <c r="E63" s="427"/>
    </row>
    <row r="64" spans="5:5" ht="15.75" customHeight="1" x14ac:dyDescent="0.3">
      <c r="E64" s="427"/>
    </row>
    <row r="65" spans="5:5" ht="15.75" customHeight="1" x14ac:dyDescent="0.3">
      <c r="E65" s="427"/>
    </row>
    <row r="66" spans="5:5" ht="15.75" customHeight="1" x14ac:dyDescent="0.3">
      <c r="E66" s="427"/>
    </row>
    <row r="67" spans="5:5" ht="15.75" customHeight="1" x14ac:dyDescent="0.3">
      <c r="E67" s="427"/>
    </row>
    <row r="68" spans="5:5" ht="15.75" customHeight="1" x14ac:dyDescent="0.3">
      <c r="E68" s="427"/>
    </row>
    <row r="69" spans="5:5" ht="15.75" customHeight="1" x14ac:dyDescent="0.3">
      <c r="E69" s="427"/>
    </row>
    <row r="70" spans="5:5" ht="15.75" customHeight="1" x14ac:dyDescent="0.3">
      <c r="E70" s="427"/>
    </row>
    <row r="71" spans="5:5" ht="15.75" customHeight="1" x14ac:dyDescent="0.3">
      <c r="E71" s="427"/>
    </row>
    <row r="72" spans="5:5" ht="15.75" customHeight="1" x14ac:dyDescent="0.3">
      <c r="E72" s="427"/>
    </row>
    <row r="73" spans="5:5" ht="15.75" customHeight="1" x14ac:dyDescent="0.3">
      <c r="E73" s="427"/>
    </row>
    <row r="74" spans="5:5" ht="15.75" customHeight="1" x14ac:dyDescent="0.3">
      <c r="E74" s="427"/>
    </row>
    <row r="75" spans="5:5" ht="15.75" customHeight="1" x14ac:dyDescent="0.3">
      <c r="E75" s="427"/>
    </row>
    <row r="76" spans="5:5" ht="15.75" customHeight="1" x14ac:dyDescent="0.3">
      <c r="E76" s="427"/>
    </row>
    <row r="77" spans="5:5" ht="15.75" customHeight="1" x14ac:dyDescent="0.3">
      <c r="E77" s="427"/>
    </row>
    <row r="78" spans="5:5" ht="15.75" customHeight="1" x14ac:dyDescent="0.3">
      <c r="E78" s="427"/>
    </row>
    <row r="79" spans="5:5" ht="15.75" customHeight="1" x14ac:dyDescent="0.3">
      <c r="E79" s="427"/>
    </row>
    <row r="80" spans="5:5" ht="15.75" customHeight="1" x14ac:dyDescent="0.3">
      <c r="E80" s="427"/>
    </row>
    <row r="81" spans="5:5" ht="15.75" customHeight="1" x14ac:dyDescent="0.3">
      <c r="E81" s="427"/>
    </row>
    <row r="82" spans="5:5" ht="15.75" customHeight="1" x14ac:dyDescent="0.3">
      <c r="E82" s="427"/>
    </row>
    <row r="83" spans="5:5" ht="15.75" customHeight="1" x14ac:dyDescent="0.3">
      <c r="E83" s="427"/>
    </row>
    <row r="84" spans="5:5" ht="15.75" customHeight="1" x14ac:dyDescent="0.3">
      <c r="E84" s="427"/>
    </row>
    <row r="85" spans="5:5" ht="15.75" customHeight="1" x14ac:dyDescent="0.3">
      <c r="E85" s="427"/>
    </row>
    <row r="86" spans="5:5" ht="15.75" customHeight="1" x14ac:dyDescent="0.3">
      <c r="E86" s="427"/>
    </row>
    <row r="87" spans="5:5" ht="15.75" customHeight="1" x14ac:dyDescent="0.3">
      <c r="E87" s="427"/>
    </row>
    <row r="88" spans="5:5" ht="15.75" customHeight="1" x14ac:dyDescent="0.3">
      <c r="E88" s="427"/>
    </row>
    <row r="89" spans="5:5" ht="15.75" customHeight="1" x14ac:dyDescent="0.3">
      <c r="E89" s="427"/>
    </row>
    <row r="90" spans="5:5" ht="15.75" customHeight="1" x14ac:dyDescent="0.3">
      <c r="E90" s="427"/>
    </row>
    <row r="91" spans="5:5" ht="15.75" customHeight="1" x14ac:dyDescent="0.3">
      <c r="E91" s="427"/>
    </row>
    <row r="92" spans="5:5" ht="15.75" customHeight="1" x14ac:dyDescent="0.3">
      <c r="E92" s="427"/>
    </row>
    <row r="93" spans="5:5" ht="15.75" customHeight="1" x14ac:dyDescent="0.3">
      <c r="E93" s="427"/>
    </row>
    <row r="94" spans="5:5" ht="15.75" customHeight="1" x14ac:dyDescent="0.3">
      <c r="E94" s="427"/>
    </row>
    <row r="95" spans="5:5" ht="15.75" customHeight="1" x14ac:dyDescent="0.3">
      <c r="E95" s="427"/>
    </row>
    <row r="96" spans="5:5" ht="15.75" customHeight="1" x14ac:dyDescent="0.3">
      <c r="E96" s="427"/>
    </row>
    <row r="97" spans="5:5" ht="15.75" customHeight="1" x14ac:dyDescent="0.3">
      <c r="E97" s="427"/>
    </row>
    <row r="98" spans="5:5" ht="15.75" customHeight="1" x14ac:dyDescent="0.3">
      <c r="E98" s="427"/>
    </row>
    <row r="99" spans="5:5" ht="15.75" customHeight="1" x14ac:dyDescent="0.3">
      <c r="E99" s="427"/>
    </row>
    <row r="100" spans="5:5" ht="15.75" customHeight="1" x14ac:dyDescent="0.3">
      <c r="E100" s="427"/>
    </row>
    <row r="101" spans="5:5" ht="15.75" customHeight="1" x14ac:dyDescent="0.3">
      <c r="E101" s="427"/>
    </row>
    <row r="102" spans="5:5" ht="15.75" customHeight="1" x14ac:dyDescent="0.3">
      <c r="E102" s="427"/>
    </row>
    <row r="103" spans="5:5" ht="15.75" customHeight="1" x14ac:dyDescent="0.3">
      <c r="E103" s="427"/>
    </row>
    <row r="104" spans="5:5" ht="15.75" customHeight="1" x14ac:dyDescent="0.3">
      <c r="E104" s="427"/>
    </row>
    <row r="105" spans="5:5" ht="15.75" customHeight="1" x14ac:dyDescent="0.3">
      <c r="E105" s="427"/>
    </row>
    <row r="106" spans="5:5" ht="15.75" customHeight="1" x14ac:dyDescent="0.3">
      <c r="E106" s="427"/>
    </row>
    <row r="107" spans="5:5" ht="15.75" customHeight="1" x14ac:dyDescent="0.3">
      <c r="E107" s="427"/>
    </row>
    <row r="108" spans="5:5" ht="15.75" customHeight="1" x14ac:dyDescent="0.3">
      <c r="E108" s="427"/>
    </row>
    <row r="109" spans="5:5" ht="15.75" customHeight="1" x14ac:dyDescent="0.3">
      <c r="E109" s="427"/>
    </row>
    <row r="110" spans="5:5" ht="15.75" customHeight="1" x14ac:dyDescent="0.3">
      <c r="E110" s="427"/>
    </row>
    <row r="111" spans="5:5" ht="15.75" customHeight="1" x14ac:dyDescent="0.3">
      <c r="E111" s="427"/>
    </row>
    <row r="112" spans="5:5" ht="15.75" customHeight="1" x14ac:dyDescent="0.3">
      <c r="E112" s="427"/>
    </row>
    <row r="113" spans="5:5" ht="15.75" customHeight="1" x14ac:dyDescent="0.3">
      <c r="E113" s="427"/>
    </row>
    <row r="114" spans="5:5" ht="15.75" customHeight="1" x14ac:dyDescent="0.3">
      <c r="E114" s="427"/>
    </row>
    <row r="115" spans="5:5" ht="15.75" customHeight="1" x14ac:dyDescent="0.3">
      <c r="E115" s="427"/>
    </row>
    <row r="116" spans="5:5" ht="15.75" customHeight="1" x14ac:dyDescent="0.3">
      <c r="E116" s="427"/>
    </row>
    <row r="117" spans="5:5" ht="15.75" customHeight="1" x14ac:dyDescent="0.3">
      <c r="E117" s="427"/>
    </row>
    <row r="118" spans="5:5" ht="15.75" customHeight="1" x14ac:dyDescent="0.3">
      <c r="E118" s="427"/>
    </row>
    <row r="119" spans="5:5" ht="15.75" customHeight="1" x14ac:dyDescent="0.3">
      <c r="E119" s="427"/>
    </row>
    <row r="120" spans="5:5" ht="15.75" customHeight="1" x14ac:dyDescent="0.3">
      <c r="E120" s="427"/>
    </row>
    <row r="121" spans="5:5" ht="15.75" customHeight="1" x14ac:dyDescent="0.3">
      <c r="E121" s="427"/>
    </row>
    <row r="122" spans="5:5" ht="15.75" customHeight="1" x14ac:dyDescent="0.3">
      <c r="E122" s="427"/>
    </row>
    <row r="123" spans="5:5" ht="15.75" customHeight="1" x14ac:dyDescent="0.3">
      <c r="E123" s="427"/>
    </row>
    <row r="124" spans="5:5" ht="15.75" customHeight="1" x14ac:dyDescent="0.3">
      <c r="E124" s="427"/>
    </row>
    <row r="125" spans="5:5" ht="15.75" customHeight="1" x14ac:dyDescent="0.3">
      <c r="E125" s="427"/>
    </row>
    <row r="126" spans="5:5" ht="15.75" customHeight="1" x14ac:dyDescent="0.3">
      <c r="E126" s="427"/>
    </row>
    <row r="127" spans="5:5" ht="15.75" customHeight="1" x14ac:dyDescent="0.3">
      <c r="E127" s="427"/>
    </row>
    <row r="128" spans="5:5" ht="15.75" customHeight="1" x14ac:dyDescent="0.3">
      <c r="E128" s="427"/>
    </row>
    <row r="129" spans="5:5" ht="15.75" customHeight="1" x14ac:dyDescent="0.3">
      <c r="E129" s="427"/>
    </row>
    <row r="130" spans="5:5" ht="15.75" customHeight="1" x14ac:dyDescent="0.3">
      <c r="E130" s="427"/>
    </row>
    <row r="131" spans="5:5" ht="15.75" customHeight="1" x14ac:dyDescent="0.3">
      <c r="E131" s="427"/>
    </row>
    <row r="132" spans="5:5" ht="15.75" customHeight="1" x14ac:dyDescent="0.3">
      <c r="E132" s="427"/>
    </row>
    <row r="133" spans="5:5" ht="15.75" customHeight="1" x14ac:dyDescent="0.3">
      <c r="E133" s="427"/>
    </row>
    <row r="134" spans="5:5" ht="15.75" customHeight="1" x14ac:dyDescent="0.3">
      <c r="E134" s="427"/>
    </row>
    <row r="135" spans="5:5" ht="15.75" customHeight="1" x14ac:dyDescent="0.3">
      <c r="E135" s="427"/>
    </row>
    <row r="136" spans="5:5" ht="15.75" customHeight="1" x14ac:dyDescent="0.3">
      <c r="E136" s="427"/>
    </row>
    <row r="137" spans="5:5" ht="15.75" customHeight="1" x14ac:dyDescent="0.3">
      <c r="E137" s="427"/>
    </row>
    <row r="138" spans="5:5" ht="15.75" customHeight="1" x14ac:dyDescent="0.3">
      <c r="E138" s="427"/>
    </row>
    <row r="139" spans="5:5" ht="15.75" customHeight="1" x14ac:dyDescent="0.3">
      <c r="E139" s="427"/>
    </row>
    <row r="140" spans="5:5" ht="15.75" customHeight="1" x14ac:dyDescent="0.3">
      <c r="E140" s="427"/>
    </row>
    <row r="141" spans="5:5" ht="15.75" customHeight="1" x14ac:dyDescent="0.3">
      <c r="E141" s="427"/>
    </row>
    <row r="142" spans="5:5" ht="15.75" customHeight="1" x14ac:dyDescent="0.3">
      <c r="E142" s="427"/>
    </row>
    <row r="143" spans="5:5" ht="15.75" customHeight="1" x14ac:dyDescent="0.3">
      <c r="E143" s="427"/>
    </row>
    <row r="144" spans="5:5" ht="15.75" customHeight="1" x14ac:dyDescent="0.3">
      <c r="E144" s="427"/>
    </row>
    <row r="145" spans="5:5" ht="15.75" customHeight="1" x14ac:dyDescent="0.3">
      <c r="E145" s="427"/>
    </row>
    <row r="146" spans="5:5" ht="15.75" customHeight="1" x14ac:dyDescent="0.3">
      <c r="E146" s="427"/>
    </row>
    <row r="147" spans="5:5" ht="15.75" customHeight="1" x14ac:dyDescent="0.3">
      <c r="E147" s="427"/>
    </row>
    <row r="148" spans="5:5" ht="15.75" customHeight="1" x14ac:dyDescent="0.3">
      <c r="E148" s="427"/>
    </row>
    <row r="149" spans="5:5" ht="15.75" customHeight="1" x14ac:dyDescent="0.3">
      <c r="E149" s="427"/>
    </row>
    <row r="150" spans="5:5" ht="15.75" customHeight="1" x14ac:dyDescent="0.3">
      <c r="E150" s="427"/>
    </row>
    <row r="151" spans="5:5" ht="15.75" customHeight="1" x14ac:dyDescent="0.3">
      <c r="E151" s="427"/>
    </row>
    <row r="152" spans="5:5" ht="15.75" customHeight="1" x14ac:dyDescent="0.3">
      <c r="E152" s="427"/>
    </row>
    <row r="153" spans="5:5" ht="15.75" customHeight="1" x14ac:dyDescent="0.3">
      <c r="E153" s="427"/>
    </row>
    <row r="154" spans="5:5" ht="15.75" customHeight="1" x14ac:dyDescent="0.3">
      <c r="E154" s="427"/>
    </row>
    <row r="155" spans="5:5" ht="15.75" customHeight="1" x14ac:dyDescent="0.3">
      <c r="E155" s="427"/>
    </row>
    <row r="156" spans="5:5" ht="15.75" customHeight="1" x14ac:dyDescent="0.3">
      <c r="E156" s="427"/>
    </row>
    <row r="157" spans="5:5" ht="15.75" customHeight="1" x14ac:dyDescent="0.3">
      <c r="E157" s="427"/>
    </row>
    <row r="158" spans="5:5" ht="15.75" customHeight="1" x14ac:dyDescent="0.3">
      <c r="E158" s="427"/>
    </row>
    <row r="159" spans="5:5" ht="15.75" customHeight="1" x14ac:dyDescent="0.3">
      <c r="E159" s="427"/>
    </row>
    <row r="160" spans="5:5" ht="15.75" customHeight="1" x14ac:dyDescent="0.3">
      <c r="E160" s="427"/>
    </row>
    <row r="161" spans="5:5" ht="15.75" customHeight="1" x14ac:dyDescent="0.3">
      <c r="E161" s="427"/>
    </row>
    <row r="162" spans="5:5" ht="15.75" customHeight="1" x14ac:dyDescent="0.3">
      <c r="E162" s="427"/>
    </row>
    <row r="163" spans="5:5" ht="15.75" customHeight="1" x14ac:dyDescent="0.3">
      <c r="E163" s="427"/>
    </row>
    <row r="164" spans="5:5" ht="15.75" customHeight="1" x14ac:dyDescent="0.3">
      <c r="E164" s="427"/>
    </row>
    <row r="165" spans="5:5" ht="15.75" customHeight="1" x14ac:dyDescent="0.3">
      <c r="E165" s="427"/>
    </row>
    <row r="166" spans="5:5" ht="15.75" customHeight="1" x14ac:dyDescent="0.3">
      <c r="E166" s="427"/>
    </row>
    <row r="167" spans="5:5" ht="15.75" customHeight="1" x14ac:dyDescent="0.3">
      <c r="E167" s="427"/>
    </row>
    <row r="168" spans="5:5" ht="15.75" customHeight="1" x14ac:dyDescent="0.3">
      <c r="E168" s="427"/>
    </row>
    <row r="169" spans="5:5" ht="15.75" customHeight="1" x14ac:dyDescent="0.3">
      <c r="E169" s="427"/>
    </row>
    <row r="170" spans="5:5" ht="15.75" customHeight="1" x14ac:dyDescent="0.3">
      <c r="E170" s="427"/>
    </row>
    <row r="171" spans="5:5" ht="15.75" customHeight="1" x14ac:dyDescent="0.3">
      <c r="E171" s="427"/>
    </row>
    <row r="172" spans="5:5" ht="15.75" customHeight="1" x14ac:dyDescent="0.3">
      <c r="E172" s="427"/>
    </row>
    <row r="173" spans="5:5" ht="15.75" customHeight="1" x14ac:dyDescent="0.3">
      <c r="E173" s="427"/>
    </row>
    <row r="174" spans="5:5" ht="15.75" customHeight="1" x14ac:dyDescent="0.3">
      <c r="E174" s="427"/>
    </row>
    <row r="175" spans="5:5" ht="15.75" customHeight="1" x14ac:dyDescent="0.3">
      <c r="E175" s="427"/>
    </row>
    <row r="176" spans="5:5" ht="15.75" customHeight="1" x14ac:dyDescent="0.3">
      <c r="E176" s="427"/>
    </row>
    <row r="177" spans="5:5" ht="15.75" customHeight="1" x14ac:dyDescent="0.3">
      <c r="E177" s="427"/>
    </row>
    <row r="178" spans="5:5" ht="15.75" customHeight="1" x14ac:dyDescent="0.3">
      <c r="E178" s="427"/>
    </row>
    <row r="179" spans="5:5" ht="15.75" customHeight="1" x14ac:dyDescent="0.3">
      <c r="E179" s="427"/>
    </row>
    <row r="180" spans="5:5" ht="15.75" customHeight="1" x14ac:dyDescent="0.3">
      <c r="E180" s="427"/>
    </row>
    <row r="181" spans="5:5" ht="15.75" customHeight="1" x14ac:dyDescent="0.3">
      <c r="E181" s="427"/>
    </row>
    <row r="182" spans="5:5" ht="15.75" customHeight="1" x14ac:dyDescent="0.3">
      <c r="E182" s="427"/>
    </row>
    <row r="183" spans="5:5" ht="15.75" customHeight="1" x14ac:dyDescent="0.3">
      <c r="E183" s="427"/>
    </row>
    <row r="184" spans="5:5" ht="15.75" customHeight="1" x14ac:dyDescent="0.3">
      <c r="E184" s="427"/>
    </row>
    <row r="185" spans="5:5" ht="15.75" customHeight="1" x14ac:dyDescent="0.3">
      <c r="E185" s="427"/>
    </row>
    <row r="186" spans="5:5" ht="15.75" customHeight="1" x14ac:dyDescent="0.3">
      <c r="E186" s="427"/>
    </row>
    <row r="187" spans="5:5" ht="15.75" customHeight="1" x14ac:dyDescent="0.3">
      <c r="E187" s="427"/>
    </row>
    <row r="188" spans="5:5" ht="15.75" customHeight="1" x14ac:dyDescent="0.3">
      <c r="E188" s="427"/>
    </row>
    <row r="189" spans="5:5" ht="15.75" customHeight="1" x14ac:dyDescent="0.3">
      <c r="E189" s="427"/>
    </row>
    <row r="190" spans="5:5" ht="15.75" customHeight="1" x14ac:dyDescent="0.3">
      <c r="E190" s="427"/>
    </row>
    <row r="191" spans="5:5" ht="15.75" customHeight="1" x14ac:dyDescent="0.3">
      <c r="E191" s="427"/>
    </row>
    <row r="192" spans="5:5" ht="15.75" customHeight="1" x14ac:dyDescent="0.3">
      <c r="E192" s="427"/>
    </row>
    <row r="193" spans="5:5" ht="15.75" customHeight="1" x14ac:dyDescent="0.3">
      <c r="E193" s="427"/>
    </row>
    <row r="194" spans="5:5" ht="15.75" customHeight="1" x14ac:dyDescent="0.3">
      <c r="E194" s="427"/>
    </row>
    <row r="195" spans="5:5" ht="15.75" customHeight="1" x14ac:dyDescent="0.3">
      <c r="E195" s="427"/>
    </row>
    <row r="196" spans="5:5" ht="15.75" customHeight="1" x14ac:dyDescent="0.3">
      <c r="E196" s="427"/>
    </row>
    <row r="197" spans="5:5" ht="15.75" customHeight="1" x14ac:dyDescent="0.3">
      <c r="E197" s="427"/>
    </row>
    <row r="198" spans="5:5" ht="15.75" customHeight="1" x14ac:dyDescent="0.3">
      <c r="E198" s="427"/>
    </row>
    <row r="199" spans="5:5" ht="15.75" customHeight="1" x14ac:dyDescent="0.3">
      <c r="E199" s="427"/>
    </row>
    <row r="200" spans="5:5" ht="15.75" customHeight="1" x14ac:dyDescent="0.3">
      <c r="E200" s="427"/>
    </row>
    <row r="201" spans="5:5" ht="15.75" customHeight="1" x14ac:dyDescent="0.3">
      <c r="E201" s="427"/>
    </row>
    <row r="202" spans="5:5" ht="15.75" customHeight="1" x14ac:dyDescent="0.3">
      <c r="E202" s="427"/>
    </row>
    <row r="203" spans="5:5" ht="15.75" customHeight="1" x14ac:dyDescent="0.3">
      <c r="E203" s="427"/>
    </row>
    <row r="204" spans="5:5" ht="15.75" customHeight="1" x14ac:dyDescent="0.3">
      <c r="E204" s="427"/>
    </row>
    <row r="205" spans="5:5" ht="15.75" customHeight="1" x14ac:dyDescent="0.3">
      <c r="E205" s="427"/>
    </row>
    <row r="206" spans="5:5" ht="15.75" customHeight="1" x14ac:dyDescent="0.3">
      <c r="E206" s="427"/>
    </row>
    <row r="207" spans="5:5" ht="15.75" customHeight="1" x14ac:dyDescent="0.3">
      <c r="E207" s="427"/>
    </row>
    <row r="208" spans="5:5" ht="15.75" customHeight="1" x14ac:dyDescent="0.3">
      <c r="E208" s="427"/>
    </row>
    <row r="209" spans="5:5" ht="15.75" customHeight="1" x14ac:dyDescent="0.3">
      <c r="E209" s="427"/>
    </row>
    <row r="210" spans="5:5" ht="15.75" customHeight="1" x14ac:dyDescent="0.3">
      <c r="E210" s="427"/>
    </row>
    <row r="211" spans="5:5" ht="15.75" customHeight="1" x14ac:dyDescent="0.3">
      <c r="E211" s="427"/>
    </row>
    <row r="212" spans="5:5" ht="15.75" customHeight="1" x14ac:dyDescent="0.3">
      <c r="E212" s="427"/>
    </row>
    <row r="213" spans="5:5" ht="15.75" customHeight="1" x14ac:dyDescent="0.3">
      <c r="E213" s="427"/>
    </row>
    <row r="214" spans="5:5" ht="15.75" customHeight="1" x14ac:dyDescent="0.3">
      <c r="E214" s="427"/>
    </row>
    <row r="215" spans="5:5" ht="15.75" customHeight="1" x14ac:dyDescent="0.3">
      <c r="E215" s="427"/>
    </row>
    <row r="216" spans="5:5" ht="15.75" customHeight="1" x14ac:dyDescent="0.3">
      <c r="E216" s="427"/>
    </row>
    <row r="217" spans="5:5" ht="15.75" customHeight="1" x14ac:dyDescent="0.3">
      <c r="E217" s="427"/>
    </row>
    <row r="218" spans="5:5" ht="15.75" customHeight="1" x14ac:dyDescent="0.3">
      <c r="E218" s="427"/>
    </row>
    <row r="219" spans="5:5" ht="15.75" customHeight="1" x14ac:dyDescent="0.3">
      <c r="E219" s="427"/>
    </row>
    <row r="220" spans="5:5" ht="15.75" customHeight="1" x14ac:dyDescent="0.3">
      <c r="E220" s="427"/>
    </row>
    <row r="221" spans="5:5" ht="15.75" customHeight="1" x14ac:dyDescent="0.3">
      <c r="E221" s="427"/>
    </row>
    <row r="222" spans="5:5" ht="15.75" customHeight="1" x14ac:dyDescent="0.3">
      <c r="E222" s="427"/>
    </row>
    <row r="223" spans="5:5" ht="15.75" customHeight="1" x14ac:dyDescent="0.3">
      <c r="E223" s="427"/>
    </row>
    <row r="224" spans="5:5" ht="15.75" customHeight="1" x14ac:dyDescent="0.3">
      <c r="E224" s="427"/>
    </row>
    <row r="225" spans="5:5" ht="15.75" customHeight="1" x14ac:dyDescent="0.3">
      <c r="E225" s="427"/>
    </row>
    <row r="226" spans="5:5" ht="15.75" customHeight="1" x14ac:dyDescent="0.3">
      <c r="E226" s="427"/>
    </row>
    <row r="227" spans="5:5" ht="15.75" customHeight="1" x14ac:dyDescent="0.3">
      <c r="E227" s="427"/>
    </row>
    <row r="228" spans="5:5" ht="15.75" customHeight="1" x14ac:dyDescent="0.3">
      <c r="E228" s="427"/>
    </row>
    <row r="229" spans="5:5" ht="15.75" customHeight="1" x14ac:dyDescent="0.3">
      <c r="E229" s="427"/>
    </row>
    <row r="230" spans="5:5" ht="15.75" customHeight="1" x14ac:dyDescent="0.3">
      <c r="E230" s="427"/>
    </row>
    <row r="231" spans="5:5" ht="15.75" customHeight="1" x14ac:dyDescent="0.3">
      <c r="E231" s="427"/>
    </row>
    <row r="232" spans="5:5" ht="15.75" customHeight="1" x14ac:dyDescent="0.3">
      <c r="E232" s="427"/>
    </row>
    <row r="233" spans="5:5" ht="15.75" customHeight="1" x14ac:dyDescent="0.3">
      <c r="E233" s="427"/>
    </row>
    <row r="234" spans="5:5" ht="15.75" customHeight="1" x14ac:dyDescent="0.3">
      <c r="E234" s="427"/>
    </row>
    <row r="235" spans="5:5" ht="15.75" customHeight="1" x14ac:dyDescent="0.3">
      <c r="E235" s="427"/>
    </row>
    <row r="236" spans="5:5" ht="15.75" customHeight="1" x14ac:dyDescent="0.3">
      <c r="E236" s="427"/>
    </row>
    <row r="237" spans="5:5" ht="15.75" customHeight="1" x14ac:dyDescent="0.3">
      <c r="E237" s="427"/>
    </row>
    <row r="238" spans="5:5" ht="15.75" customHeight="1" x14ac:dyDescent="0.3">
      <c r="E238" s="427"/>
    </row>
    <row r="239" spans="5:5" ht="15.75" customHeight="1" x14ac:dyDescent="0.3">
      <c r="E239" s="427"/>
    </row>
    <row r="240" spans="5:5" ht="15.75" customHeight="1" x14ac:dyDescent="0.3">
      <c r="E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C7:D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4FF0A-6A2C-4882-81E7-7DA371D3A362}">
  <dimension ref="A1:Z886"/>
  <sheetViews>
    <sheetView topLeftCell="A8" zoomScale="90" zoomScaleNormal="90" workbookViewId="0">
      <selection activeCell="J1" sqref="J1:N1048576"/>
    </sheetView>
  </sheetViews>
  <sheetFormatPr defaultColWidth="12.33203125" defaultRowHeight="15" customHeight="1" x14ac:dyDescent="0.3"/>
  <cols>
    <col min="1" max="1" width="2.6640625" style="428" customWidth="1"/>
    <col min="2" max="2" width="5.109375" style="428" customWidth="1"/>
    <col min="3" max="3" width="31.21875" style="428" customWidth="1"/>
    <col min="4" max="4" width="43" style="428" customWidth="1"/>
    <col min="5" max="5" width="8.88671875" style="428" customWidth="1"/>
    <col min="6" max="6" width="32.33203125" style="428" customWidth="1"/>
    <col min="7" max="7" width="12.6640625" style="428" customWidth="1"/>
    <col min="8" max="8" width="11.6640625" style="428" customWidth="1"/>
    <col min="9" max="9" width="12.1093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33203125" style="428"/>
  </cols>
  <sheetData>
    <row r="1" spans="1:26" ht="23.25" customHeight="1" x14ac:dyDescent="0.35">
      <c r="A1" s="513"/>
      <c r="B1" s="514" t="s">
        <v>2407</v>
      </c>
    </row>
    <row r="2" spans="1:26"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26" ht="15.75" customHeight="1" x14ac:dyDescent="0.3">
      <c r="B3" s="516"/>
    </row>
    <row r="4" spans="1:26" ht="21" customHeight="1" x14ac:dyDescent="0.3">
      <c r="B4" s="519" t="s">
        <v>409</v>
      </c>
    </row>
    <row r="5" spans="1:26" ht="9" customHeight="1" x14ac:dyDescent="0.3">
      <c r="B5" s="519"/>
    </row>
    <row r="6" spans="1:26" ht="21" customHeight="1" x14ac:dyDescent="0.3">
      <c r="B6" s="517" t="s">
        <v>410</v>
      </c>
      <c r="C6" s="518"/>
      <c r="D6" s="518"/>
    </row>
    <row r="7" spans="1:26" ht="12" customHeight="1" x14ac:dyDescent="0.3"/>
    <row r="8" spans="1:26" ht="15.75" customHeight="1" x14ac:dyDescent="0.3">
      <c r="B8" s="1297" t="s">
        <v>301</v>
      </c>
      <c r="C8" s="1298" t="s">
        <v>343</v>
      </c>
      <c r="D8" s="1299" t="s">
        <v>344</v>
      </c>
      <c r="E8" s="1299" t="s">
        <v>345</v>
      </c>
      <c r="F8" s="1299" t="s">
        <v>346</v>
      </c>
      <c r="G8" s="1300" t="s">
        <v>347</v>
      </c>
      <c r="H8" s="3141">
        <v>2025</v>
      </c>
      <c r="I8" s="3141">
        <v>2024</v>
      </c>
      <c r="J8" s="3141">
        <v>2023</v>
      </c>
      <c r="K8" s="3141">
        <v>2022</v>
      </c>
      <c r="L8" s="3141">
        <v>2021</v>
      </c>
      <c r="M8" s="3141">
        <v>2020</v>
      </c>
      <c r="N8" s="3141">
        <v>2019</v>
      </c>
      <c r="O8" s="3142">
        <v>2018</v>
      </c>
      <c r="P8" s="3142">
        <v>2017</v>
      </c>
      <c r="Q8" s="3142">
        <v>2016</v>
      </c>
      <c r="R8" s="3142">
        <v>2015</v>
      </c>
      <c r="S8" s="3142">
        <v>2014</v>
      </c>
      <c r="T8" s="3142">
        <v>2013</v>
      </c>
      <c r="U8" s="3142">
        <v>2012</v>
      </c>
      <c r="V8" s="3142">
        <v>2011</v>
      </c>
      <c r="W8" s="3142">
        <v>2010</v>
      </c>
      <c r="X8" s="3142">
        <v>2009</v>
      </c>
      <c r="Y8" s="3142">
        <v>2008</v>
      </c>
      <c r="Z8" s="3143" t="s">
        <v>332</v>
      </c>
    </row>
    <row r="9" spans="1:26" ht="34.799999999999997" customHeight="1" x14ac:dyDescent="0.3">
      <c r="B9" s="1301">
        <v>1</v>
      </c>
      <c r="C9" s="1302" t="s">
        <v>1593</v>
      </c>
      <c r="D9" s="3144" t="s">
        <v>1594</v>
      </c>
      <c r="E9" s="1304" t="s">
        <v>1595</v>
      </c>
      <c r="F9" s="1303"/>
      <c r="G9" s="3145"/>
      <c r="H9" s="1307"/>
      <c r="I9" s="3146">
        <v>37520.049999999988</v>
      </c>
      <c r="J9" s="3147">
        <v>35282.94</v>
      </c>
      <c r="K9" s="3147">
        <v>38799</v>
      </c>
      <c r="L9" s="3147">
        <v>33233</v>
      </c>
      <c r="M9" s="3147">
        <v>39928</v>
      </c>
      <c r="N9" s="3147">
        <v>36269</v>
      </c>
      <c r="O9" s="3148"/>
      <c r="P9" s="2959"/>
      <c r="Q9" s="2959"/>
      <c r="R9" s="2959"/>
      <c r="S9" s="2959"/>
      <c r="T9" s="2959"/>
      <c r="U9" s="3149"/>
      <c r="V9" s="2959"/>
      <c r="W9" s="3149"/>
      <c r="X9" s="2959"/>
      <c r="Y9" s="3149"/>
      <c r="Z9" s="2959"/>
    </row>
    <row r="10" spans="1:26" ht="24" customHeight="1" x14ac:dyDescent="0.3">
      <c r="B10" s="1301"/>
      <c r="C10" s="3150"/>
      <c r="D10" s="3150" t="s">
        <v>1596</v>
      </c>
      <c r="E10" s="3151" t="s">
        <v>1595</v>
      </c>
      <c r="F10" s="3150"/>
      <c r="G10" s="3152"/>
      <c r="H10" s="3153"/>
      <c r="I10" s="3154">
        <v>4556</v>
      </c>
      <c r="J10" s="3155">
        <v>0</v>
      </c>
      <c r="K10" s="3156">
        <v>6926</v>
      </c>
      <c r="L10" s="3157">
        <v>0</v>
      </c>
      <c r="M10" s="3157">
        <v>0</v>
      </c>
      <c r="N10" s="3157">
        <v>0</v>
      </c>
      <c r="O10" s="3154"/>
      <c r="P10" s="3158"/>
      <c r="Q10" s="3158"/>
      <c r="R10" s="3158"/>
      <c r="S10" s="3158"/>
      <c r="T10" s="3158"/>
      <c r="U10" s="3159"/>
      <c r="V10" s="3158"/>
      <c r="W10" s="3159"/>
      <c r="X10" s="3158"/>
      <c r="Y10" s="3159"/>
      <c r="Z10" s="3158"/>
    </row>
    <row r="11" spans="1:26" ht="24" customHeight="1" x14ac:dyDescent="0.3">
      <c r="B11" s="1301">
        <v>2</v>
      </c>
      <c r="C11" s="1308" t="s">
        <v>1593</v>
      </c>
      <c r="D11" s="1308" t="s">
        <v>1597</v>
      </c>
      <c r="E11" s="1309" t="s">
        <v>1595</v>
      </c>
      <c r="F11" s="1308"/>
      <c r="G11" s="3160"/>
      <c r="H11" s="3161"/>
      <c r="I11" s="3162">
        <v>10894</v>
      </c>
      <c r="J11" s="3163">
        <v>5685.42</v>
      </c>
      <c r="K11" s="3163">
        <v>10791</v>
      </c>
      <c r="L11" s="3163">
        <v>9661</v>
      </c>
      <c r="M11" s="3163">
        <v>9859</v>
      </c>
      <c r="N11" s="3163">
        <v>5921</v>
      </c>
      <c r="O11" s="3164"/>
      <c r="P11" s="3161"/>
      <c r="Q11" s="3161"/>
      <c r="R11" s="3161"/>
      <c r="S11" s="3161"/>
      <c r="T11" s="3161"/>
      <c r="U11" s="3165"/>
      <c r="V11" s="3161"/>
      <c r="W11" s="3165"/>
      <c r="X11" s="3161"/>
      <c r="Y11" s="3165"/>
      <c r="Z11" s="3161"/>
    </row>
    <row r="12" spans="1:26" ht="33.6" customHeight="1" x14ac:dyDescent="0.3">
      <c r="B12" s="1301"/>
      <c r="C12" s="3166" t="s">
        <v>1593</v>
      </c>
      <c r="D12" s="3167" t="s">
        <v>2188</v>
      </c>
      <c r="E12" s="3168" t="s">
        <v>798</v>
      </c>
      <c r="F12" s="3169" t="s">
        <v>1598</v>
      </c>
      <c r="G12" s="3170"/>
      <c r="H12" s="3171"/>
      <c r="I12" s="3171">
        <v>14</v>
      </c>
      <c r="J12" s="3172">
        <v>14</v>
      </c>
      <c r="K12" s="3173">
        <v>14</v>
      </c>
      <c r="L12" s="3173">
        <v>18</v>
      </c>
      <c r="M12" s="3173">
        <v>12</v>
      </c>
      <c r="N12" s="3173">
        <v>12</v>
      </c>
      <c r="O12" s="3172"/>
      <c r="P12" s="3171"/>
      <c r="Q12" s="3171"/>
      <c r="R12" s="3171"/>
      <c r="S12" s="3171"/>
      <c r="T12" s="3171"/>
      <c r="U12" s="3174"/>
      <c r="V12" s="3171"/>
      <c r="W12" s="3174"/>
      <c r="X12" s="3171"/>
      <c r="Y12" s="3174"/>
      <c r="Z12" s="3171"/>
    </row>
    <row r="13" spans="1:26" ht="24" customHeight="1" x14ac:dyDescent="0.3">
      <c r="B13" s="1301"/>
      <c r="C13" s="1303"/>
      <c r="D13" s="1303"/>
      <c r="E13" s="1304"/>
      <c r="F13" s="1303"/>
      <c r="G13" s="3175"/>
      <c r="H13" s="3176"/>
      <c r="I13" s="3176"/>
      <c r="J13" s="3177"/>
      <c r="K13" s="3178"/>
      <c r="L13" s="3177"/>
      <c r="M13" s="3177"/>
      <c r="N13" s="3177"/>
      <c r="O13" s="3177"/>
      <c r="P13" s="3176"/>
      <c r="Q13" s="3176"/>
      <c r="R13" s="3176"/>
      <c r="S13" s="3176"/>
      <c r="T13" s="3176"/>
      <c r="U13" s="3176"/>
      <c r="V13" s="3176"/>
      <c r="W13" s="3179"/>
      <c r="X13" s="3176"/>
      <c r="Y13" s="3179"/>
      <c r="Z13" s="3176"/>
    </row>
    <row r="14" spans="1:26" ht="24" customHeight="1" x14ac:dyDescent="0.3">
      <c r="B14" s="1301"/>
      <c r="C14" s="1308"/>
      <c r="D14" s="1308"/>
      <c r="E14" s="1309"/>
      <c r="F14" s="1308"/>
      <c r="G14" s="3160"/>
      <c r="H14" s="3161"/>
      <c r="I14" s="3161"/>
      <c r="J14" s="3164"/>
      <c r="K14" s="3164"/>
      <c r="L14" s="3164"/>
      <c r="M14" s="3164"/>
      <c r="N14" s="3164"/>
      <c r="O14" s="3164"/>
      <c r="P14" s="3161"/>
      <c r="Q14" s="3161"/>
      <c r="R14" s="3161"/>
      <c r="S14" s="3161"/>
      <c r="T14" s="3161"/>
      <c r="U14" s="3165"/>
      <c r="V14" s="3161"/>
      <c r="W14" s="3165"/>
      <c r="X14" s="3161"/>
      <c r="Y14" s="3165"/>
      <c r="Z14" s="3161"/>
    </row>
    <row r="15" spans="1:26" ht="24" customHeight="1" x14ac:dyDescent="0.3">
      <c r="B15" s="1301"/>
      <c r="C15" s="1303"/>
      <c r="D15" s="1303"/>
      <c r="E15" s="1304"/>
      <c r="F15" s="1303"/>
      <c r="G15" s="3175"/>
      <c r="H15" s="3176"/>
      <c r="I15" s="3176"/>
      <c r="J15" s="3177"/>
      <c r="K15" s="3177"/>
      <c r="L15" s="3177"/>
      <c r="M15" s="3177"/>
      <c r="N15" s="3177"/>
      <c r="O15" s="3177"/>
      <c r="P15" s="3176"/>
      <c r="Q15" s="3176"/>
      <c r="R15" s="3176"/>
      <c r="S15" s="3176"/>
      <c r="T15" s="3176"/>
      <c r="U15" s="3179"/>
      <c r="V15" s="3176"/>
      <c r="W15" s="3179"/>
      <c r="X15" s="3176"/>
      <c r="Y15" s="3179"/>
      <c r="Z15" s="3176"/>
    </row>
    <row r="16" spans="1:26" ht="24" customHeight="1" x14ac:dyDescent="0.3">
      <c r="B16" s="3180"/>
      <c r="C16" s="3181"/>
      <c r="D16" s="3181"/>
      <c r="E16" s="3182"/>
      <c r="F16" s="3181"/>
      <c r="G16" s="3183"/>
      <c r="H16" s="3184"/>
      <c r="I16" s="3184"/>
      <c r="J16" s="3185"/>
      <c r="K16" s="3185"/>
      <c r="L16" s="3185"/>
      <c r="M16" s="3185"/>
      <c r="N16" s="3185"/>
      <c r="O16" s="3185"/>
      <c r="P16" s="3184"/>
      <c r="Q16" s="3184"/>
      <c r="R16" s="3184"/>
      <c r="S16" s="3184"/>
      <c r="T16" s="3184"/>
      <c r="U16" s="3186"/>
      <c r="V16" s="3184"/>
      <c r="W16" s="3186"/>
      <c r="X16" s="3184"/>
      <c r="Y16" s="3186"/>
      <c r="Z16" s="3184"/>
    </row>
    <row r="17" spans="2:26" ht="15.75" customHeight="1" x14ac:dyDescent="0.3">
      <c r="B17" s="4451"/>
      <c r="C17" s="4451"/>
      <c r="D17" s="3187"/>
      <c r="E17" s="3187"/>
      <c r="F17" s="3187"/>
      <c r="G17" s="3187"/>
      <c r="H17" s="3187"/>
      <c r="I17" s="3187"/>
      <c r="J17" s="3187"/>
      <c r="K17" s="3187"/>
      <c r="L17" s="3187"/>
      <c r="M17" s="3187"/>
      <c r="N17" s="3187"/>
      <c r="O17" s="3187"/>
      <c r="P17" s="3187"/>
      <c r="Q17" s="3187"/>
      <c r="R17" s="3187"/>
      <c r="S17" s="3187"/>
      <c r="T17" s="3187"/>
      <c r="U17" s="3187"/>
      <c r="V17" s="3187"/>
      <c r="W17" s="3187"/>
      <c r="X17" s="3187"/>
      <c r="Y17" s="3187"/>
      <c r="Z17" s="3187"/>
    </row>
    <row r="18" spans="2:26" ht="15.75" customHeight="1" x14ac:dyDescent="0.3">
      <c r="B18" s="3188" t="s">
        <v>355</v>
      </c>
      <c r="C18" s="3189" t="s">
        <v>356</v>
      </c>
      <c r="D18" s="3187"/>
      <c r="E18" s="3187"/>
      <c r="F18" s="3187"/>
      <c r="G18" s="3187"/>
      <c r="H18" s="3187"/>
      <c r="I18" s="3187"/>
      <c r="J18" s="3187"/>
      <c r="K18" s="3187"/>
      <c r="L18" s="3187"/>
      <c r="M18" s="3187"/>
      <c r="N18" s="3187"/>
      <c r="O18" s="3187"/>
      <c r="P18" s="3187"/>
      <c r="Q18" s="3187"/>
      <c r="R18" s="3187"/>
      <c r="S18" s="3187"/>
      <c r="T18" s="3187"/>
      <c r="U18" s="3187"/>
      <c r="V18" s="3187"/>
      <c r="W18" s="3187"/>
      <c r="X18" s="3187"/>
      <c r="Y18" s="3187"/>
      <c r="Z18" s="3187"/>
    </row>
    <row r="19" spans="2:26" ht="15.75" customHeight="1" x14ac:dyDescent="0.3">
      <c r="B19" s="4450"/>
      <c r="C19" s="4450"/>
      <c r="D19" s="3187"/>
      <c r="E19" s="3187"/>
      <c r="F19" s="3187"/>
      <c r="G19" s="3187"/>
      <c r="H19" s="3187"/>
      <c r="I19" s="3187"/>
      <c r="J19" s="3187"/>
      <c r="K19" s="3187"/>
      <c r="L19" s="3187"/>
      <c r="M19" s="3187"/>
      <c r="N19" s="3187"/>
      <c r="O19" s="3187"/>
      <c r="P19" s="3187"/>
      <c r="Q19" s="3187"/>
      <c r="R19" s="3187"/>
      <c r="S19" s="3187"/>
      <c r="T19" s="3187"/>
      <c r="U19" s="3187"/>
      <c r="V19" s="3187"/>
      <c r="W19" s="3187"/>
      <c r="X19" s="3187"/>
      <c r="Y19" s="3187"/>
      <c r="Z19" s="3187"/>
    </row>
    <row r="20" spans="2:26" ht="15.75" customHeight="1" x14ac:dyDescent="0.3">
      <c r="B20" s="4452" t="s">
        <v>357</v>
      </c>
      <c r="C20" s="4452"/>
      <c r="D20" s="3187"/>
      <c r="E20" s="3187"/>
      <c r="F20" s="3187"/>
      <c r="G20" s="3187"/>
      <c r="H20" s="3187"/>
      <c r="I20" s="3187"/>
      <c r="J20" s="3187"/>
      <c r="K20" s="3187"/>
      <c r="L20" s="3187"/>
      <c r="M20" s="3187"/>
      <c r="N20" s="3187"/>
      <c r="O20" s="3187"/>
      <c r="P20" s="3187"/>
      <c r="Q20" s="3187"/>
      <c r="R20" s="3187"/>
      <c r="S20" s="3187"/>
      <c r="T20" s="3187"/>
      <c r="U20" s="3187"/>
      <c r="V20" s="3187"/>
      <c r="W20" s="3187"/>
      <c r="X20" s="3187"/>
      <c r="Y20" s="3187"/>
      <c r="Z20" s="3187"/>
    </row>
    <row r="21" spans="2:26" ht="15.75" customHeight="1" x14ac:dyDescent="0.3">
      <c r="B21" s="3190" t="s">
        <v>365</v>
      </c>
      <c r="C21" s="3191" t="s">
        <v>1599</v>
      </c>
      <c r="D21" s="3187"/>
      <c r="E21" s="3187"/>
      <c r="F21" s="3187"/>
      <c r="G21" s="3187"/>
      <c r="H21" s="3187"/>
      <c r="I21" s="3187"/>
      <c r="J21" s="3187"/>
      <c r="K21" s="3187"/>
      <c r="L21" s="3187"/>
      <c r="M21" s="3187"/>
      <c r="N21" s="3187"/>
      <c r="O21" s="3187"/>
      <c r="P21" s="3187"/>
      <c r="Q21" s="3187"/>
      <c r="R21" s="3187"/>
      <c r="S21" s="3187"/>
      <c r="T21" s="3187"/>
      <c r="U21" s="3187"/>
      <c r="V21" s="3187"/>
      <c r="W21" s="3187"/>
      <c r="X21" s="3187"/>
      <c r="Y21" s="3187"/>
      <c r="Z21" s="3187"/>
    </row>
    <row r="22" spans="2:26" ht="15.75" customHeight="1" x14ac:dyDescent="0.3">
      <c r="B22" s="4450"/>
      <c r="C22" s="4450"/>
      <c r="D22" s="3187"/>
      <c r="E22" s="3187"/>
      <c r="F22" s="3187"/>
      <c r="G22" s="3187"/>
      <c r="H22" s="3187"/>
      <c r="I22" s="3187"/>
      <c r="J22" s="3187"/>
      <c r="K22" s="3187"/>
      <c r="L22" s="3187"/>
      <c r="M22" s="3187"/>
      <c r="N22" s="3187"/>
      <c r="O22" s="3187"/>
      <c r="P22" s="3187"/>
      <c r="Q22" s="3187"/>
      <c r="R22" s="3187"/>
      <c r="S22" s="3187"/>
      <c r="T22" s="3187"/>
      <c r="U22" s="3187"/>
      <c r="V22" s="3187"/>
      <c r="W22" s="3187"/>
      <c r="X22" s="3187"/>
      <c r="Y22" s="3187"/>
      <c r="Z22" s="3187"/>
    </row>
    <row r="23" spans="2:26" ht="15.75" customHeight="1" x14ac:dyDescent="0.3">
      <c r="B23" s="3190" t="s">
        <v>546</v>
      </c>
      <c r="C23" s="3187" t="s">
        <v>1600</v>
      </c>
      <c r="D23" s="3187"/>
      <c r="E23" s="3187"/>
      <c r="F23" s="3187"/>
      <c r="G23" s="3187"/>
      <c r="H23" s="3187"/>
      <c r="I23" s="3187"/>
      <c r="J23" s="3187"/>
      <c r="K23" s="3187"/>
      <c r="L23" s="3187"/>
      <c r="M23" s="3187"/>
      <c r="N23" s="3187"/>
      <c r="O23" s="3187"/>
      <c r="P23" s="3187"/>
      <c r="Q23" s="3187"/>
      <c r="R23" s="3187"/>
      <c r="S23" s="3187"/>
      <c r="T23" s="3187"/>
      <c r="U23" s="3187"/>
      <c r="V23" s="3187"/>
      <c r="W23" s="3187"/>
      <c r="X23" s="3187"/>
      <c r="Y23" s="3187"/>
      <c r="Z23" s="3187"/>
    </row>
    <row r="24" spans="2:26" ht="15.75" customHeight="1" x14ac:dyDescent="0.3">
      <c r="B24" s="3187"/>
      <c r="C24" s="3187" t="s">
        <v>1601</v>
      </c>
      <c r="D24" s="428" t="s">
        <v>1602</v>
      </c>
      <c r="G24" s="428">
        <v>0.83499999999999996</v>
      </c>
      <c r="H24" s="428" t="s">
        <v>618</v>
      </c>
      <c r="K24" s="3187"/>
      <c r="L24" s="3187"/>
      <c r="M24" s="3187"/>
      <c r="N24" s="3187"/>
      <c r="O24" s="3187"/>
      <c r="P24" s="3187"/>
      <c r="Q24" s="3187"/>
      <c r="R24" s="3187"/>
      <c r="S24" s="3187"/>
      <c r="T24" s="3187"/>
      <c r="U24" s="3187"/>
      <c r="V24" s="3187"/>
      <c r="W24" s="3187"/>
      <c r="X24" s="3187"/>
      <c r="Y24" s="3187"/>
      <c r="Z24" s="3187"/>
    </row>
    <row r="25" spans="2:26" ht="15.75" customHeight="1" x14ac:dyDescent="0.3">
      <c r="B25" s="4450"/>
      <c r="C25" s="4450"/>
      <c r="D25" s="3187"/>
      <c r="E25" s="3187"/>
      <c r="F25" s="3187"/>
      <c r="G25" s="3187"/>
      <c r="H25" s="3187"/>
      <c r="I25" s="3187"/>
      <c r="J25" s="3187"/>
      <c r="K25" s="3187"/>
      <c r="L25" s="3187"/>
      <c r="M25" s="3187"/>
      <c r="N25" s="3187"/>
      <c r="O25" s="3187"/>
      <c r="P25" s="3187"/>
      <c r="Q25" s="3187"/>
      <c r="R25" s="3187"/>
      <c r="S25" s="3187"/>
      <c r="T25" s="3187"/>
      <c r="U25" s="3187"/>
      <c r="V25" s="3187"/>
      <c r="W25" s="3187"/>
      <c r="X25" s="3187"/>
      <c r="Y25" s="3187"/>
      <c r="Z25" s="3187"/>
    </row>
    <row r="26" spans="2:26" ht="15.75" customHeight="1" x14ac:dyDescent="0.3">
      <c r="B26" s="3187"/>
      <c r="C26" s="3192" t="s">
        <v>1603</v>
      </c>
      <c r="D26" s="3187"/>
      <c r="E26" s="3187"/>
      <c r="F26" s="3187"/>
      <c r="G26" s="3187"/>
      <c r="H26" s="3187"/>
      <c r="I26" s="3187"/>
      <c r="J26" s="3187"/>
      <c r="K26" s="3187"/>
      <c r="L26" s="3187"/>
      <c r="M26" s="3187"/>
      <c r="N26" s="3187"/>
      <c r="O26" s="3187"/>
      <c r="P26" s="3187"/>
      <c r="Q26" s="3187"/>
      <c r="R26" s="3187"/>
      <c r="S26" s="3187"/>
      <c r="T26" s="3187"/>
      <c r="U26" s="3187"/>
      <c r="V26" s="3187"/>
      <c r="W26" s="3187"/>
      <c r="X26" s="3187"/>
      <c r="Y26" s="3187"/>
      <c r="Z26" s="3187"/>
    </row>
    <row r="27" spans="2:26" ht="15.75" customHeight="1" x14ac:dyDescent="0.3">
      <c r="B27" s="4450"/>
      <c r="C27" s="4450"/>
      <c r="D27" s="3187"/>
      <c r="E27" s="3187"/>
      <c r="F27" s="3187"/>
      <c r="G27" s="3187"/>
      <c r="H27" s="3187"/>
      <c r="I27" s="3187"/>
      <c r="J27" s="3187"/>
      <c r="K27" s="3187"/>
      <c r="L27" s="3187"/>
      <c r="M27" s="3187"/>
      <c r="N27" s="3187"/>
      <c r="O27" s="3187"/>
      <c r="P27" s="3187"/>
      <c r="Q27" s="3187"/>
      <c r="R27" s="3187"/>
      <c r="S27" s="3187"/>
      <c r="T27" s="3187"/>
      <c r="U27" s="3187"/>
      <c r="V27" s="3187"/>
      <c r="W27" s="3187"/>
      <c r="X27" s="3187"/>
      <c r="Y27" s="3187"/>
      <c r="Z27" s="3187"/>
    </row>
    <row r="28" spans="2:26" ht="15.75" customHeight="1" x14ac:dyDescent="0.3"/>
    <row r="29" spans="2:26" ht="15.75" customHeight="1" x14ac:dyDescent="0.3"/>
    <row r="30" spans="2:26" ht="15.75" customHeight="1" x14ac:dyDescent="0.3"/>
    <row r="31" spans="2:26" ht="15.75" customHeight="1" x14ac:dyDescent="0.3"/>
    <row r="32" spans="2:2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sheetData>
  <mergeCells count="6">
    <mergeCell ref="B27:C27"/>
    <mergeCell ref="B17:C17"/>
    <mergeCell ref="B19:C19"/>
    <mergeCell ref="B20:C20"/>
    <mergeCell ref="B22:C22"/>
    <mergeCell ref="B25:C25"/>
  </mergeCells>
  <hyperlinks>
    <hyperlink ref="C26" r:id="rId1" display="../../../../../../../:b:/r/sites/quipe-Quantifs-QC/Shared Documents/Analyse et recherches/Projets d%27analyse et recherche/S%C3%89MECS/F.%C3%89. %C3%89pandage du digestat et GNR- v.30 juin 2023 - Version FINALE.pdf?csf=1&amp;web=1&amp;e=8e4bnT" xr:uid="{3033E883-06D1-452D-A320-36A753929129}"/>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E1A75-0368-4C1E-B807-58D1412C4EDF}">
  <dimension ref="A1:Q996"/>
  <sheetViews>
    <sheetView topLeftCell="A17" zoomScale="97" workbookViewId="0">
      <selection activeCell="T38" sqref="T38"/>
    </sheetView>
  </sheetViews>
  <sheetFormatPr defaultColWidth="12.44140625" defaultRowHeight="15" customHeight="1" x14ac:dyDescent="0.3"/>
  <cols>
    <col min="1" max="1" width="2.6640625" style="2686" customWidth="1"/>
    <col min="2" max="2" width="35.109375" style="2686" hidden="1" customWidth="1"/>
    <col min="3" max="6" width="20" style="2686" hidden="1" customWidth="1"/>
    <col min="7" max="7" width="1.5546875" style="2686" hidden="1" customWidth="1"/>
    <col min="8" max="8" width="14.6640625" style="2686" hidden="1" customWidth="1"/>
    <col min="9" max="9" width="7.33203125" style="2686" hidden="1" customWidth="1"/>
    <col min="10" max="10" width="34" style="2686" customWidth="1"/>
    <col min="11" max="11" width="22.77734375" style="2686" customWidth="1"/>
    <col min="12" max="14" width="16" style="2686" hidden="1" customWidth="1"/>
    <col min="15" max="15" width="1.5546875" style="2686" customWidth="1"/>
    <col min="16" max="16" width="15.21875" style="2686" customWidth="1"/>
    <col min="17" max="17" width="11.6640625" style="2686" customWidth="1"/>
    <col min="18" max="16384" width="12.44140625" style="2686"/>
  </cols>
  <sheetData>
    <row r="1" spans="1:17" ht="21.75" customHeight="1" x14ac:dyDescent="0.35">
      <c r="A1" s="2969"/>
      <c r="C1" s="2970"/>
      <c r="G1" s="2971"/>
      <c r="I1" s="2971"/>
      <c r="J1" s="2972" t="s">
        <v>549</v>
      </c>
      <c r="O1" s="2971"/>
    </row>
    <row r="2" spans="1:17" ht="15.75" customHeight="1" x14ac:dyDescent="0.3">
      <c r="A2" s="2969"/>
      <c r="C2" s="2973"/>
      <c r="D2" s="2973"/>
      <c r="E2" s="2973"/>
      <c r="F2" s="2973"/>
      <c r="G2" s="2973"/>
      <c r="H2" s="2973"/>
      <c r="I2" s="2973"/>
      <c r="J2" s="2687" t="s">
        <v>299</v>
      </c>
      <c r="K2" s="2973"/>
      <c r="L2" s="2973"/>
      <c r="M2" s="2973"/>
      <c r="N2" s="2973"/>
      <c r="O2" s="2973"/>
      <c r="P2" s="2973"/>
    </row>
    <row r="3" spans="1:17" ht="9.75" customHeight="1" x14ac:dyDescent="0.3">
      <c r="A3" s="2971"/>
      <c r="B3" s="2974"/>
      <c r="G3" s="2971"/>
      <c r="I3" s="2971"/>
      <c r="O3" s="2971"/>
    </row>
    <row r="4" spans="1:17" ht="6" customHeight="1" x14ac:dyDescent="0.3">
      <c r="B4" s="2971"/>
      <c r="G4" s="2971"/>
      <c r="I4" s="2971"/>
      <c r="O4" s="2971"/>
    </row>
    <row r="5" spans="1:17" ht="6" customHeight="1" x14ac:dyDescent="0.3">
      <c r="A5" s="2974"/>
      <c r="G5" s="2971"/>
      <c r="I5" s="2971"/>
      <c r="O5" s="2971"/>
    </row>
    <row r="6" spans="1:17" ht="15.75" customHeight="1" x14ac:dyDescent="0.3">
      <c r="G6" s="2971"/>
      <c r="H6" s="2971"/>
      <c r="I6" s="2971"/>
      <c r="O6" s="2971"/>
    </row>
    <row r="7" spans="1:17" ht="37.200000000000003" customHeight="1" x14ac:dyDescent="0.3">
      <c r="A7" s="2975"/>
      <c r="B7" s="2976">
        <v>2024</v>
      </c>
      <c r="C7" s="4453" t="s">
        <v>22</v>
      </c>
      <c r="D7" s="4454"/>
      <c r="E7" s="4454"/>
      <c r="F7" s="4455"/>
      <c r="G7" s="2975"/>
      <c r="H7" s="2977" t="s">
        <v>300</v>
      </c>
      <c r="I7" s="2975"/>
      <c r="J7" s="2976">
        <v>2024</v>
      </c>
      <c r="K7" s="4453" t="s">
        <v>23</v>
      </c>
      <c r="L7" s="4454"/>
      <c r="M7" s="4454"/>
      <c r="N7" s="4454"/>
      <c r="O7" s="2978"/>
      <c r="P7" s="2977" t="s">
        <v>300</v>
      </c>
      <c r="Q7" s="2975"/>
    </row>
    <row r="8" spans="1:17" ht="18" customHeight="1" x14ac:dyDescent="0.35">
      <c r="B8" s="2979" t="s">
        <v>301</v>
      </c>
      <c r="C8" s="2980">
        <v>1</v>
      </c>
      <c r="D8" s="2981">
        <v>2</v>
      </c>
      <c r="E8" s="2982">
        <v>3</v>
      </c>
      <c r="F8" s="2981">
        <v>4</v>
      </c>
      <c r="G8" s="2971"/>
      <c r="H8" s="2983"/>
      <c r="I8" s="2971"/>
      <c r="J8" s="2979" t="s">
        <v>301</v>
      </c>
      <c r="K8" s="2980">
        <v>1</v>
      </c>
      <c r="L8" s="2981">
        <v>2</v>
      </c>
      <c r="M8" s="2982">
        <v>3</v>
      </c>
      <c r="N8" s="2981">
        <v>4</v>
      </c>
      <c r="O8" s="2984"/>
      <c r="P8" s="2983"/>
    </row>
    <row r="9" spans="1:17" ht="46.5" customHeight="1" x14ac:dyDescent="0.3">
      <c r="B9" s="2985" t="s">
        <v>302</v>
      </c>
      <c r="C9" s="2986" t="s">
        <v>2356</v>
      </c>
      <c r="D9" s="2986" t="s">
        <v>2356</v>
      </c>
      <c r="E9" s="2986" t="s">
        <v>2356</v>
      </c>
      <c r="F9" s="2986" t="s">
        <v>2356</v>
      </c>
      <c r="G9" s="2987"/>
      <c r="H9" s="2988"/>
      <c r="I9" s="2989"/>
      <c r="J9" s="2985" t="s">
        <v>302</v>
      </c>
      <c r="K9" s="2986" t="s">
        <v>1560</v>
      </c>
      <c r="L9" s="2986" t="s">
        <v>2356</v>
      </c>
      <c r="M9" s="2986" t="s">
        <v>2356</v>
      </c>
      <c r="N9" s="2986" t="s">
        <v>2356</v>
      </c>
      <c r="O9" s="2990"/>
      <c r="P9" s="2988"/>
    </row>
    <row r="10" spans="1:17" ht="46.5" customHeight="1" x14ac:dyDescent="0.3">
      <c r="B10" s="2991" t="s">
        <v>1561</v>
      </c>
      <c r="C10" s="2992" t="s">
        <v>2357</v>
      </c>
      <c r="D10" s="2992" t="s">
        <v>2357</v>
      </c>
      <c r="E10" s="2992" t="s">
        <v>2357</v>
      </c>
      <c r="F10" s="2992" t="s">
        <v>2357</v>
      </c>
      <c r="G10" s="2987"/>
      <c r="H10" s="2993"/>
      <c r="I10" s="2989"/>
      <c r="J10" s="2991" t="s">
        <v>1561</v>
      </c>
      <c r="K10" s="2704" t="s">
        <v>1562</v>
      </c>
      <c r="L10" s="2992" t="s">
        <v>2357</v>
      </c>
      <c r="M10" s="2992" t="s">
        <v>2357</v>
      </c>
      <c r="N10" s="2992" t="s">
        <v>2357</v>
      </c>
      <c r="O10" s="2994"/>
      <c r="P10" s="2993"/>
    </row>
    <row r="11" spans="1:17" ht="18.75" customHeight="1" x14ac:dyDescent="0.3">
      <c r="A11" s="2995"/>
      <c r="B11" s="2996" t="s">
        <v>1563</v>
      </c>
      <c r="C11" s="2997">
        <f>(C17*C18)+(C22*C23)</f>
        <v>0</v>
      </c>
      <c r="D11" s="2997">
        <f>(D17*D18)+(D22*D23)</f>
        <v>0</v>
      </c>
      <c r="E11" s="2997">
        <f>(E17*E18)+(E22*E23)</f>
        <v>0</v>
      </c>
      <c r="F11" s="2997">
        <f>(F17*F18)+(F22*F23)</f>
        <v>0</v>
      </c>
      <c r="G11" s="2998"/>
      <c r="H11" s="2999">
        <f t="shared" ref="H11:H12" si="0">SUM(C11:F11)</f>
        <v>0</v>
      </c>
      <c r="I11" s="3000"/>
      <c r="J11" s="2996" t="s">
        <v>1563</v>
      </c>
      <c r="K11" s="3001">
        <f>(K17*K18)+(K22*K23)</f>
        <v>16.200804113956902</v>
      </c>
      <c r="L11" s="3002">
        <f>(L17*L18)+(L22*L23)</f>
        <v>0</v>
      </c>
      <c r="M11" s="3002">
        <f>(M17*M18)+(M22*M23)</f>
        <v>0</v>
      </c>
      <c r="N11" s="3002">
        <f>(N17*N18)+(N22*N23)</f>
        <v>0</v>
      </c>
      <c r="O11" s="3003"/>
      <c r="P11" s="2999">
        <f t="shared" ref="P11:P12" si="1">SUM(K11:N11)</f>
        <v>16.200804113956902</v>
      </c>
      <c r="Q11" s="2995"/>
    </row>
    <row r="12" spans="1:17" ht="18.75" customHeight="1" x14ac:dyDescent="0.3">
      <c r="A12" s="2995"/>
      <c r="B12" s="3004" t="s">
        <v>1564</v>
      </c>
      <c r="C12" s="3005">
        <f t="shared" ref="C12:F12" si="2">(C27*C28)+(C32*C33)</f>
        <v>0</v>
      </c>
      <c r="D12" s="3006">
        <f t="shared" si="2"/>
        <v>0</v>
      </c>
      <c r="E12" s="3007">
        <f t="shared" si="2"/>
        <v>0</v>
      </c>
      <c r="F12" s="3005">
        <f t="shared" si="2"/>
        <v>0</v>
      </c>
      <c r="G12" s="3008"/>
      <c r="H12" s="3009">
        <f t="shared" si="0"/>
        <v>0</v>
      </c>
      <c r="I12" s="3010"/>
      <c r="J12" s="3004" t="s">
        <v>1564</v>
      </c>
      <c r="K12" s="3005">
        <f t="shared" ref="K12:N12" si="3">(K27*K28)+(K32*K33)</f>
        <v>0</v>
      </c>
      <c r="L12" s="3005">
        <f t="shared" si="3"/>
        <v>0</v>
      </c>
      <c r="M12" s="3005">
        <f t="shared" si="3"/>
        <v>0</v>
      </c>
      <c r="N12" s="3005">
        <f t="shared" si="3"/>
        <v>0</v>
      </c>
      <c r="O12" s="3003"/>
      <c r="P12" s="3009">
        <f t="shared" si="1"/>
        <v>0</v>
      </c>
      <c r="Q12" s="2995"/>
    </row>
    <row r="13" spans="1:17" ht="18.75" customHeight="1" x14ac:dyDescent="0.3">
      <c r="A13" s="2995"/>
      <c r="B13" s="2996" t="s">
        <v>1565</v>
      </c>
      <c r="C13" s="3011" t="s">
        <v>8</v>
      </c>
      <c r="D13" s="3012" t="s">
        <v>8</v>
      </c>
      <c r="E13" s="3011" t="s">
        <v>8</v>
      </c>
      <c r="F13" s="3012" t="s">
        <v>8</v>
      </c>
      <c r="G13" s="3013"/>
      <c r="H13" s="3014"/>
      <c r="I13" s="3015"/>
      <c r="J13" s="2996" t="s">
        <v>1565</v>
      </c>
      <c r="K13" s="3011" t="s">
        <v>8</v>
      </c>
      <c r="L13" s="3012" t="s">
        <v>8</v>
      </c>
      <c r="M13" s="3011" t="s">
        <v>8</v>
      </c>
      <c r="N13" s="3012" t="s">
        <v>8</v>
      </c>
      <c r="O13" s="3016"/>
      <c r="P13" s="3014"/>
      <c r="Q13" s="2995"/>
    </row>
    <row r="14" spans="1:17" ht="18.75" customHeight="1" x14ac:dyDescent="0.3">
      <c r="A14" s="2995"/>
      <c r="B14" s="3017" t="s">
        <v>1566</v>
      </c>
      <c r="C14" s="3018">
        <f t="shared" ref="C14:F14" si="4">C11-C12</f>
        <v>0</v>
      </c>
      <c r="D14" s="3019">
        <f t="shared" si="4"/>
        <v>0</v>
      </c>
      <c r="E14" s="3018">
        <f t="shared" si="4"/>
        <v>0</v>
      </c>
      <c r="F14" s="3019">
        <f t="shared" si="4"/>
        <v>0</v>
      </c>
      <c r="G14" s="3008"/>
      <c r="H14" s="3020">
        <f>SUM(C14:F14)</f>
        <v>0</v>
      </c>
      <c r="I14" s="3010"/>
      <c r="J14" s="3017" t="s">
        <v>1566</v>
      </c>
      <c r="K14" s="3018">
        <f t="shared" ref="K14:N14" si="5">K11-K12</f>
        <v>16.200804113956902</v>
      </c>
      <c r="L14" s="3019">
        <f t="shared" si="5"/>
        <v>0</v>
      </c>
      <c r="M14" s="3018">
        <f t="shared" si="5"/>
        <v>0</v>
      </c>
      <c r="N14" s="3019">
        <f t="shared" si="5"/>
        <v>0</v>
      </c>
      <c r="O14" s="3003"/>
      <c r="P14" s="3020">
        <f>SUM(K14:N14)</f>
        <v>16.200804113956902</v>
      </c>
      <c r="Q14" s="2995"/>
    </row>
    <row r="15" spans="1:17" ht="19.5" customHeight="1" x14ac:dyDescent="0.4">
      <c r="B15" s="3021" t="s">
        <v>1567</v>
      </c>
      <c r="C15" s="3022"/>
      <c r="D15" s="3023"/>
      <c r="E15" s="3024"/>
      <c r="F15" s="3025"/>
      <c r="G15" s="3026"/>
      <c r="H15" s="3027"/>
      <c r="I15" s="3026"/>
      <c r="J15" s="3028" t="s">
        <v>1568</v>
      </c>
      <c r="K15" s="3029"/>
      <c r="L15" s="3030"/>
      <c r="M15" s="3029"/>
      <c r="N15" s="3030"/>
      <c r="O15" s="3031"/>
      <c r="P15" s="3027"/>
      <c r="Q15" s="2971"/>
    </row>
    <row r="16" spans="1:17" ht="35.4" customHeight="1" x14ac:dyDescent="0.3">
      <c r="A16" s="2995"/>
      <c r="B16" s="3032" t="s">
        <v>311</v>
      </c>
      <c r="C16" s="3033" t="s">
        <v>2358</v>
      </c>
      <c r="D16" s="3033" t="s">
        <v>2358</v>
      </c>
      <c r="E16" s="3033" t="s">
        <v>2358</v>
      </c>
      <c r="F16" s="3033" t="s">
        <v>2358</v>
      </c>
      <c r="G16" s="3034"/>
      <c r="H16" s="3035"/>
      <c r="I16" s="3010"/>
      <c r="J16" s="3032" t="s">
        <v>311</v>
      </c>
      <c r="K16" s="2730" t="s">
        <v>1569</v>
      </c>
      <c r="L16" s="3033" t="s">
        <v>2358</v>
      </c>
      <c r="M16" s="3033" t="s">
        <v>2358</v>
      </c>
      <c r="N16" s="3033" t="s">
        <v>2358</v>
      </c>
      <c r="O16" s="3036"/>
      <c r="P16" s="3037"/>
      <c r="Q16" s="2995"/>
    </row>
    <row r="17" spans="1:17" ht="21" customHeight="1" x14ac:dyDescent="0.3">
      <c r="A17" s="2995"/>
      <c r="B17" s="3038" t="s">
        <v>2342</v>
      </c>
      <c r="C17" s="3039">
        <v>0</v>
      </c>
      <c r="D17" s="3040">
        <v>0</v>
      </c>
      <c r="E17" s="3041">
        <v>0</v>
      </c>
      <c r="F17" s="3039">
        <v>0</v>
      </c>
      <c r="G17" s="3042"/>
      <c r="I17" s="3043"/>
      <c r="J17" s="3038" t="s">
        <v>398</v>
      </c>
      <c r="K17" s="3044">
        <f>'CF-1605|GDS'!I10+'CF-1605|GDS'!I11</f>
        <v>19.97</v>
      </c>
      <c r="L17" s="3044">
        <v>0</v>
      </c>
      <c r="M17" s="3044">
        <v>0</v>
      </c>
      <c r="N17" s="3045">
        <v>0</v>
      </c>
      <c r="O17" s="3046"/>
      <c r="P17" s="3047"/>
      <c r="Q17" s="2995"/>
    </row>
    <row r="18" spans="1:17" ht="18.75" customHeight="1" x14ac:dyDescent="0.3">
      <c r="A18" s="2995"/>
      <c r="B18" s="3048" t="s">
        <v>1570</v>
      </c>
      <c r="C18" s="3049">
        <v>0</v>
      </c>
      <c r="D18" s="3049">
        <v>0</v>
      </c>
      <c r="E18" s="3049">
        <v>0</v>
      </c>
      <c r="F18" s="3049">
        <v>0</v>
      </c>
      <c r="G18" s="3050"/>
      <c r="I18" s="3051"/>
      <c r="J18" s="3048" t="s">
        <v>1570</v>
      </c>
      <c r="K18" s="3049">
        <v>0.81125709133484736</v>
      </c>
      <c r="L18" s="3049">
        <v>0</v>
      </c>
      <c r="M18" s="3049">
        <v>0</v>
      </c>
      <c r="N18" s="3049">
        <v>0</v>
      </c>
      <c r="O18" s="3003"/>
      <c r="P18" s="3052"/>
      <c r="Q18" s="2995"/>
    </row>
    <row r="19" spans="1:17" ht="19.5" customHeight="1" x14ac:dyDescent="0.3">
      <c r="A19" s="2995"/>
      <c r="B19" s="3053" t="s">
        <v>1571</v>
      </c>
      <c r="C19" s="3054">
        <f>C17*C18</f>
        <v>0</v>
      </c>
      <c r="D19" s="3055">
        <f>D17*D18</f>
        <v>0</v>
      </c>
      <c r="E19" s="3056">
        <f>E17*E18</f>
        <v>0</v>
      </c>
      <c r="F19" s="3056">
        <f>F17*F18</f>
        <v>0</v>
      </c>
      <c r="G19" s="3057"/>
      <c r="I19" s="3051"/>
      <c r="J19" s="3053" t="s">
        <v>1571</v>
      </c>
      <c r="K19" s="3055">
        <f>K17*K18</f>
        <v>16.200804113956902</v>
      </c>
      <c r="L19" s="3054">
        <f>L17*L18</f>
        <v>0</v>
      </c>
      <c r="M19" s="3055">
        <f>M17*M18</f>
        <v>0</v>
      </c>
      <c r="N19" s="3056">
        <f>N17*N18</f>
        <v>0</v>
      </c>
      <c r="O19" s="3003"/>
      <c r="P19" s="3058"/>
      <c r="Q19" s="2995"/>
    </row>
    <row r="20" spans="1:17" ht="19.5" hidden="1" customHeight="1" x14ac:dyDescent="0.4">
      <c r="B20" s="3021" t="s">
        <v>1567</v>
      </c>
      <c r="C20" s="3022"/>
      <c r="D20" s="3023"/>
      <c r="E20" s="3024"/>
      <c r="F20" s="3025"/>
      <c r="G20" s="3026"/>
      <c r="I20" s="3026"/>
      <c r="J20" s="3021"/>
      <c r="K20" s="3022"/>
      <c r="L20" s="3023"/>
      <c r="M20" s="3022"/>
      <c r="N20" s="3023"/>
      <c r="O20" s="3031"/>
      <c r="P20" s="3026"/>
    </row>
    <row r="21" spans="1:17" ht="37.950000000000003" hidden="1" customHeight="1" x14ac:dyDescent="0.3">
      <c r="A21" s="2995"/>
      <c r="B21" s="3032" t="s">
        <v>311</v>
      </c>
      <c r="C21" s="3033" t="s">
        <v>2359</v>
      </c>
      <c r="D21" s="3033" t="s">
        <v>2358</v>
      </c>
      <c r="E21" s="3033" t="s">
        <v>2358</v>
      </c>
      <c r="F21" s="3033" t="s">
        <v>2358</v>
      </c>
      <c r="G21" s="3059"/>
      <c r="I21" s="3010"/>
      <c r="J21" s="3032"/>
      <c r="K21" s="3033"/>
      <c r="L21" s="3033"/>
      <c r="M21" s="3033"/>
      <c r="N21" s="3033"/>
      <c r="O21" s="3036"/>
      <c r="P21" s="3037"/>
      <c r="Q21" s="2995"/>
    </row>
    <row r="22" spans="1:17" ht="21" hidden="1" customHeight="1" x14ac:dyDescent="0.3">
      <c r="A22" s="2995"/>
      <c r="B22" s="3038" t="s">
        <v>2342</v>
      </c>
      <c r="C22" s="3041">
        <v>0</v>
      </c>
      <c r="D22" s="3041">
        <v>0</v>
      </c>
      <c r="E22" s="3041">
        <v>0</v>
      </c>
      <c r="F22" s="3041">
        <v>0</v>
      </c>
      <c r="G22" s="3042"/>
      <c r="I22" s="3043"/>
      <c r="J22" s="3038"/>
      <c r="K22" s="3044"/>
      <c r="L22" s="3044"/>
      <c r="M22" s="3044"/>
      <c r="N22" s="3045"/>
      <c r="O22" s="3046"/>
      <c r="P22" s="3047"/>
      <c r="Q22" s="2995"/>
    </row>
    <row r="23" spans="1:17" ht="18.75" hidden="1" customHeight="1" x14ac:dyDescent="0.3">
      <c r="A23" s="2995"/>
      <c r="B23" s="3048" t="s">
        <v>1570</v>
      </c>
      <c r="C23" s="3049">
        <v>0</v>
      </c>
      <c r="D23" s="3049">
        <v>0</v>
      </c>
      <c r="E23" s="3049">
        <v>0</v>
      </c>
      <c r="F23" s="3049">
        <v>0</v>
      </c>
      <c r="G23" s="3057"/>
      <c r="H23" s="3060"/>
      <c r="I23" s="3051"/>
      <c r="J23" s="3048"/>
      <c r="K23" s="3049"/>
      <c r="L23" s="3049"/>
      <c r="M23" s="3049"/>
      <c r="N23" s="3049"/>
      <c r="O23" s="3003"/>
      <c r="P23" s="3052"/>
      <c r="Q23" s="2995"/>
    </row>
    <row r="24" spans="1:17" ht="19.5" hidden="1" customHeight="1" x14ac:dyDescent="0.3">
      <c r="A24" s="2995"/>
      <c r="B24" s="3053" t="s">
        <v>1571</v>
      </c>
      <c r="C24" s="3054">
        <f>C22*C23</f>
        <v>0</v>
      </c>
      <c r="D24" s="3055">
        <f>D22*D23</f>
        <v>0</v>
      </c>
      <c r="E24" s="3056">
        <f>E22*E23</f>
        <v>0</v>
      </c>
      <c r="F24" s="3056">
        <f>F22*F23</f>
        <v>0</v>
      </c>
      <c r="G24" s="3057"/>
      <c r="H24" s="3061"/>
      <c r="I24" s="3051"/>
      <c r="J24" s="3053"/>
      <c r="K24" s="3054"/>
      <c r="L24" s="3054"/>
      <c r="M24" s="3054"/>
      <c r="N24" s="3055"/>
      <c r="O24" s="3003"/>
      <c r="P24" s="3058"/>
      <c r="Q24" s="2995"/>
    </row>
    <row r="25" spans="1:17" ht="21" customHeight="1" x14ac:dyDescent="0.4">
      <c r="B25" s="3021" t="s">
        <v>1572</v>
      </c>
      <c r="C25" s="3062"/>
      <c r="D25" s="3063"/>
      <c r="E25" s="3062"/>
      <c r="F25" s="3063"/>
      <c r="G25" s="3064"/>
      <c r="H25" s="3065"/>
      <c r="I25" s="3064"/>
      <c r="J25" s="3021" t="s">
        <v>1572</v>
      </c>
      <c r="K25" s="3062"/>
      <c r="L25" s="3063"/>
      <c r="M25" s="3062"/>
      <c r="N25" s="3063"/>
      <c r="O25" s="3031"/>
      <c r="P25" s="3066"/>
      <c r="Q25" s="3140"/>
    </row>
    <row r="26" spans="1:17" ht="32.4" customHeight="1" x14ac:dyDescent="0.3">
      <c r="A26" s="2995"/>
      <c r="B26" s="3032" t="s">
        <v>183</v>
      </c>
      <c r="C26" s="3033" t="s">
        <v>2359</v>
      </c>
      <c r="D26" s="3033" t="s">
        <v>2359</v>
      </c>
      <c r="E26" s="3033" t="s">
        <v>2359</v>
      </c>
      <c r="F26" s="3033" t="s">
        <v>2359</v>
      </c>
      <c r="G26" s="3067"/>
      <c r="H26" s="3068"/>
      <c r="I26" s="3051"/>
      <c r="J26" s="3032" t="s">
        <v>183</v>
      </c>
      <c r="K26" s="2730" t="s">
        <v>1573</v>
      </c>
      <c r="L26" s="3033" t="s">
        <v>2359</v>
      </c>
      <c r="M26" s="3033" t="s">
        <v>2359</v>
      </c>
      <c r="N26" s="3033" t="s">
        <v>2359</v>
      </c>
      <c r="O26" s="3003"/>
      <c r="P26" s="3069"/>
      <c r="Q26" s="2995"/>
    </row>
    <row r="27" spans="1:17" ht="21" customHeight="1" x14ac:dyDescent="0.3">
      <c r="A27" s="2995"/>
      <c r="B27" s="3070" t="s">
        <v>2342</v>
      </c>
      <c r="C27" s="3071">
        <v>0</v>
      </c>
      <c r="D27" s="3072">
        <v>0</v>
      </c>
      <c r="E27" s="3071">
        <v>0</v>
      </c>
      <c r="F27" s="3072">
        <v>0</v>
      </c>
      <c r="G27" s="3051"/>
      <c r="H27" s="3073"/>
      <c r="I27" s="3051"/>
      <c r="J27" s="3070" t="s">
        <v>398</v>
      </c>
      <c r="K27" s="3071">
        <f>K17</f>
        <v>19.97</v>
      </c>
      <c r="L27" s="3072">
        <f>L17</f>
        <v>0</v>
      </c>
      <c r="M27" s="3071">
        <f>M17</f>
        <v>0</v>
      </c>
      <c r="N27" s="3072">
        <f>N17</f>
        <v>0</v>
      </c>
      <c r="O27" s="3046"/>
      <c r="P27" s="3047"/>
      <c r="Q27" s="2995"/>
    </row>
    <row r="28" spans="1:17" ht="21" customHeight="1" x14ac:dyDescent="0.3">
      <c r="A28" s="2995"/>
      <c r="B28" s="3074" t="s">
        <v>1570</v>
      </c>
      <c r="C28" s="3075">
        <v>0</v>
      </c>
      <c r="D28" s="3075">
        <f>C28</f>
        <v>0</v>
      </c>
      <c r="E28" s="3075">
        <v>0</v>
      </c>
      <c r="F28" s="3075">
        <v>0</v>
      </c>
      <c r="G28" s="3067"/>
      <c r="H28" s="3052"/>
      <c r="I28" s="3051"/>
      <c r="J28" s="3074" t="s">
        <v>1570</v>
      </c>
      <c r="K28" s="3075">
        <v>0</v>
      </c>
      <c r="L28" s="3075">
        <v>0</v>
      </c>
      <c r="M28" s="3075">
        <v>0</v>
      </c>
      <c r="N28" s="3075">
        <v>0</v>
      </c>
      <c r="O28" s="3003"/>
      <c r="P28" s="3052"/>
      <c r="Q28" s="2995"/>
    </row>
    <row r="29" spans="1:17" ht="21" customHeight="1" x14ac:dyDescent="0.3">
      <c r="A29" s="2995"/>
      <c r="B29" s="3076" t="s">
        <v>1571</v>
      </c>
      <c r="C29" s="3077">
        <f t="shared" ref="C29:F29" si="6">C27*C28</f>
        <v>0</v>
      </c>
      <c r="D29" s="3077">
        <f t="shared" si="6"/>
        <v>0</v>
      </c>
      <c r="E29" s="3077">
        <f t="shared" si="6"/>
        <v>0</v>
      </c>
      <c r="F29" s="3078">
        <f t="shared" si="6"/>
        <v>0</v>
      </c>
      <c r="G29" s="3067"/>
      <c r="H29" s="3058"/>
      <c r="I29" s="3051"/>
      <c r="J29" s="3076" t="s">
        <v>1571</v>
      </c>
      <c r="K29" s="3077">
        <f t="shared" ref="K29:N29" si="7">K27*K28</f>
        <v>0</v>
      </c>
      <c r="L29" s="3078">
        <f t="shared" si="7"/>
        <v>0</v>
      </c>
      <c r="M29" s="3079">
        <f t="shared" si="7"/>
        <v>0</v>
      </c>
      <c r="N29" s="3079">
        <f t="shared" si="7"/>
        <v>0</v>
      </c>
      <c r="O29" s="3003"/>
      <c r="P29" s="3058"/>
      <c r="Q29" s="2995"/>
    </row>
    <row r="30" spans="1:17" ht="21" hidden="1" customHeight="1" x14ac:dyDescent="0.4">
      <c r="B30" s="3021" t="s">
        <v>1572</v>
      </c>
      <c r="C30" s="3062"/>
      <c r="D30" s="3063"/>
      <c r="E30" s="3062"/>
      <c r="F30" s="3063"/>
      <c r="G30" s="3064"/>
      <c r="H30" s="3066"/>
      <c r="I30" s="3064"/>
      <c r="J30" s="3021"/>
      <c r="K30" s="3062"/>
      <c r="L30" s="3063"/>
      <c r="M30" s="3062"/>
      <c r="N30" s="3063"/>
      <c r="O30" s="3031"/>
      <c r="P30" s="3066"/>
    </row>
    <row r="31" spans="1:17" ht="30.6" hidden="1" customHeight="1" x14ac:dyDescent="0.3">
      <c r="A31" s="2995"/>
      <c r="B31" s="3032" t="s">
        <v>183</v>
      </c>
      <c r="C31" s="3033" t="s">
        <v>2359</v>
      </c>
      <c r="D31" s="3033" t="s">
        <v>2359</v>
      </c>
      <c r="E31" s="3033" t="s">
        <v>2359</v>
      </c>
      <c r="F31" s="3033" t="s">
        <v>2359</v>
      </c>
      <c r="G31" s="3067"/>
      <c r="H31" s="3069"/>
      <c r="I31" s="3051"/>
      <c r="J31" s="3032"/>
      <c r="K31" s="3033"/>
      <c r="L31" s="3033"/>
      <c r="M31" s="3033"/>
      <c r="N31" s="3033"/>
      <c r="O31" s="3003"/>
      <c r="P31" s="3069"/>
      <c r="Q31" s="2995"/>
    </row>
    <row r="32" spans="1:17" ht="21" hidden="1" customHeight="1" x14ac:dyDescent="0.3">
      <c r="A32" s="2995"/>
      <c r="B32" s="3070" t="s">
        <v>2342</v>
      </c>
      <c r="C32" s="3071">
        <v>0</v>
      </c>
      <c r="D32" s="3072">
        <v>0</v>
      </c>
      <c r="E32" s="3071">
        <v>0</v>
      </c>
      <c r="F32" s="3072">
        <v>0</v>
      </c>
      <c r="G32" s="3051"/>
      <c r="H32" s="3073"/>
      <c r="I32" s="3051"/>
      <c r="J32" s="3070"/>
      <c r="K32" s="3071"/>
      <c r="L32" s="3072"/>
      <c r="M32" s="3071"/>
      <c r="N32" s="3072"/>
      <c r="O32" s="3046"/>
      <c r="P32" s="3047"/>
      <c r="Q32" s="2995"/>
    </row>
    <row r="33" spans="1:17" ht="21" hidden="1" customHeight="1" x14ac:dyDescent="0.3">
      <c r="A33" s="2995"/>
      <c r="B33" s="3074" t="s">
        <v>1570</v>
      </c>
      <c r="C33" s="3075">
        <v>0</v>
      </c>
      <c r="D33" s="3075">
        <v>0</v>
      </c>
      <c r="E33" s="3075">
        <v>0</v>
      </c>
      <c r="F33" s="3075">
        <v>0</v>
      </c>
      <c r="G33" s="3067"/>
      <c r="H33" s="3052"/>
      <c r="I33" s="3051"/>
      <c r="J33" s="3074"/>
      <c r="K33" s="3080"/>
      <c r="L33" s="3081"/>
      <c r="M33" s="3075"/>
      <c r="N33" s="3080"/>
      <c r="O33" s="3003"/>
      <c r="P33" s="3052"/>
      <c r="Q33" s="2995"/>
    </row>
    <row r="34" spans="1:17" ht="21" hidden="1" customHeight="1" x14ac:dyDescent="0.3">
      <c r="A34" s="2995"/>
      <c r="B34" s="3076" t="s">
        <v>1571</v>
      </c>
      <c r="C34" s="3077">
        <f t="shared" ref="C34:F34" si="8">C32*C33</f>
        <v>0</v>
      </c>
      <c r="D34" s="3077">
        <f t="shared" si="8"/>
        <v>0</v>
      </c>
      <c r="E34" s="3077">
        <f t="shared" si="8"/>
        <v>0</v>
      </c>
      <c r="F34" s="3078">
        <f t="shared" si="8"/>
        <v>0</v>
      </c>
      <c r="G34" s="3067"/>
      <c r="H34" s="3058"/>
      <c r="I34" s="3051"/>
      <c r="J34" s="3076"/>
      <c r="K34" s="3078"/>
      <c r="L34" s="3079"/>
      <c r="M34" s="3077"/>
      <c r="N34" s="3078"/>
      <c r="O34" s="3003"/>
      <c r="P34" s="3058"/>
      <c r="Q34" s="2995"/>
    </row>
    <row r="35" spans="1:17" ht="28.5" customHeight="1" x14ac:dyDescent="0.3">
      <c r="A35" s="2995"/>
      <c r="B35" s="3082" t="s">
        <v>320</v>
      </c>
      <c r="C35" s="3083" t="s">
        <v>1625</v>
      </c>
      <c r="D35" s="3083" t="s">
        <v>1625</v>
      </c>
      <c r="E35" s="3083" t="s">
        <v>1625</v>
      </c>
      <c r="F35" s="3083" t="s">
        <v>1625</v>
      </c>
      <c r="G35" s="3084"/>
      <c r="H35" s="3085"/>
      <c r="I35" s="3086"/>
      <c r="J35" s="3082" t="s">
        <v>320</v>
      </c>
      <c r="K35" s="3087" t="s">
        <v>401</v>
      </c>
      <c r="L35" s="3087" t="s">
        <v>1625</v>
      </c>
      <c r="M35" s="3087" t="s">
        <v>1625</v>
      </c>
      <c r="N35" s="3087" t="s">
        <v>1625</v>
      </c>
      <c r="O35" s="3003"/>
      <c r="P35" s="3069"/>
      <c r="Q35" s="2995"/>
    </row>
    <row r="36" spans="1:17" ht="24" customHeight="1" x14ac:dyDescent="0.3">
      <c r="B36" s="3088" t="s">
        <v>322</v>
      </c>
      <c r="C36" s="3089">
        <v>3</v>
      </c>
      <c r="D36" s="3090">
        <v>3</v>
      </c>
      <c r="E36" s="3089">
        <v>3</v>
      </c>
      <c r="F36" s="3090">
        <v>3</v>
      </c>
      <c r="G36" s="3091"/>
      <c r="H36" s="3092"/>
      <c r="I36" s="3091"/>
      <c r="J36" s="3088" t="s">
        <v>322</v>
      </c>
      <c r="K36" s="3093">
        <v>13</v>
      </c>
      <c r="L36" s="3094">
        <v>13</v>
      </c>
      <c r="M36" s="3093">
        <v>13</v>
      </c>
      <c r="N36" s="3094">
        <v>13</v>
      </c>
      <c r="O36" s="3031"/>
      <c r="P36" s="3066"/>
    </row>
    <row r="37" spans="1:17" ht="33" customHeight="1" x14ac:dyDescent="0.3">
      <c r="A37" s="2995"/>
      <c r="B37" s="2768" t="s">
        <v>1574</v>
      </c>
      <c r="C37" s="3069" t="s">
        <v>324</v>
      </c>
      <c r="D37" s="3095" t="s">
        <v>324</v>
      </c>
      <c r="E37" s="3069" t="s">
        <v>324</v>
      </c>
      <c r="F37" s="3095" t="s">
        <v>324</v>
      </c>
      <c r="G37" s="3051"/>
      <c r="H37" s="3069"/>
      <c r="I37" s="3051"/>
      <c r="J37" s="2768" t="s">
        <v>1574</v>
      </c>
      <c r="K37" s="3069" t="s">
        <v>324</v>
      </c>
      <c r="L37" s="3095" t="s">
        <v>324</v>
      </c>
      <c r="M37" s="3069" t="s">
        <v>324</v>
      </c>
      <c r="N37" s="3095" t="s">
        <v>324</v>
      </c>
      <c r="O37" s="3003"/>
      <c r="P37" s="3069"/>
      <c r="Q37" s="2995"/>
    </row>
    <row r="38" spans="1:17" ht="33" customHeight="1" x14ac:dyDescent="0.3">
      <c r="A38" s="2995"/>
      <c r="B38" s="2771" t="s">
        <v>1575</v>
      </c>
      <c r="C38" s="3093" t="s">
        <v>326</v>
      </c>
      <c r="D38" s="3094" t="s">
        <v>326</v>
      </c>
      <c r="E38" s="3093" t="s">
        <v>326</v>
      </c>
      <c r="F38" s="3094" t="s">
        <v>326</v>
      </c>
      <c r="G38" s="3051"/>
      <c r="H38" s="3069"/>
      <c r="I38" s="3051"/>
      <c r="J38" s="2771" t="s">
        <v>1575</v>
      </c>
      <c r="K38" s="3093" t="s">
        <v>326</v>
      </c>
      <c r="L38" s="3094" t="s">
        <v>326</v>
      </c>
      <c r="M38" s="3093" t="s">
        <v>326</v>
      </c>
      <c r="N38" s="3096" t="s">
        <v>326</v>
      </c>
      <c r="O38" s="3003"/>
      <c r="P38" s="3069"/>
      <c r="Q38" s="2995"/>
    </row>
    <row r="39" spans="1:17" ht="33" customHeight="1" x14ac:dyDescent="0.3">
      <c r="A39" s="2995"/>
      <c r="B39" s="2768" t="s">
        <v>1576</v>
      </c>
      <c r="C39" s="3095" t="s">
        <v>433</v>
      </c>
      <c r="D39" s="3095" t="s">
        <v>729</v>
      </c>
      <c r="E39" s="3095" t="s">
        <v>729</v>
      </c>
      <c r="F39" s="3095" t="s">
        <v>729</v>
      </c>
      <c r="G39" s="3051"/>
      <c r="H39" s="3069"/>
      <c r="I39" s="3051"/>
      <c r="J39" s="2768" t="s">
        <v>1576</v>
      </c>
      <c r="K39" s="3095" t="s">
        <v>402</v>
      </c>
      <c r="L39" s="3095" t="s">
        <v>402</v>
      </c>
      <c r="M39" s="3095" t="s">
        <v>402</v>
      </c>
      <c r="N39" s="3095" t="s">
        <v>402</v>
      </c>
      <c r="O39" s="3003"/>
      <c r="P39" s="3069"/>
      <c r="Q39" s="2995"/>
    </row>
    <row r="40" spans="1:17" ht="21" customHeight="1" x14ac:dyDescent="0.3">
      <c r="B40" s="3097" t="s">
        <v>329</v>
      </c>
      <c r="C40" s="3094">
        <v>0</v>
      </c>
      <c r="D40" s="3094">
        <v>0</v>
      </c>
      <c r="E40" s="3094">
        <v>0</v>
      </c>
      <c r="F40" s="3094">
        <v>0</v>
      </c>
      <c r="G40" s="3026"/>
      <c r="H40" s="3026"/>
      <c r="I40" s="3026"/>
      <c r="J40" s="3097" t="s">
        <v>329</v>
      </c>
      <c r="K40" s="3094">
        <v>1</v>
      </c>
      <c r="L40" s="3094">
        <v>0</v>
      </c>
      <c r="M40" s="3094">
        <v>0</v>
      </c>
      <c r="N40" s="3094">
        <v>0</v>
      </c>
      <c r="O40" s="3031"/>
      <c r="P40" s="3026"/>
    </row>
    <row r="41" spans="1:17" ht="21" customHeight="1" x14ac:dyDescent="0.3">
      <c r="B41" s="3004" t="s">
        <v>330</v>
      </c>
      <c r="C41" s="3069" t="s">
        <v>324</v>
      </c>
      <c r="D41" s="3095" t="s">
        <v>324</v>
      </c>
      <c r="E41" s="3069" t="s">
        <v>324</v>
      </c>
      <c r="F41" s="3095" t="s">
        <v>324</v>
      </c>
      <c r="G41" s="3064"/>
      <c r="H41" s="3066"/>
      <c r="I41" s="3064"/>
      <c r="J41" s="3004" t="s">
        <v>330</v>
      </c>
      <c r="K41" s="3069" t="s">
        <v>324</v>
      </c>
      <c r="L41" s="3095" t="s">
        <v>324</v>
      </c>
      <c r="M41" s="3069" t="s">
        <v>324</v>
      </c>
      <c r="N41" s="3095" t="s">
        <v>324</v>
      </c>
      <c r="O41" s="3031"/>
      <c r="P41" s="3066"/>
    </row>
    <row r="42" spans="1:17" ht="21" customHeight="1" x14ac:dyDescent="0.3">
      <c r="B42" s="3097" t="s">
        <v>331</v>
      </c>
      <c r="C42" s="3093" t="s">
        <v>324</v>
      </c>
      <c r="D42" s="3094" t="s">
        <v>324</v>
      </c>
      <c r="E42" s="3093" t="s">
        <v>324</v>
      </c>
      <c r="F42" s="3094" t="s">
        <v>324</v>
      </c>
      <c r="G42" s="3064"/>
      <c r="H42" s="3066"/>
      <c r="I42" s="3064"/>
      <c r="J42" s="3097" t="s">
        <v>331</v>
      </c>
      <c r="K42" s="3093" t="s">
        <v>324</v>
      </c>
      <c r="L42" s="3094" t="s">
        <v>324</v>
      </c>
      <c r="M42" s="3093" t="s">
        <v>324</v>
      </c>
      <c r="N42" s="3094" t="s">
        <v>324</v>
      </c>
      <c r="O42" s="3031"/>
      <c r="P42" s="3066"/>
    </row>
    <row r="43" spans="1:17" ht="21" customHeight="1" x14ac:dyDescent="0.3">
      <c r="B43" s="3017" t="s">
        <v>332</v>
      </c>
      <c r="C43" s="3098" t="s">
        <v>333</v>
      </c>
      <c r="D43" s="3099" t="s">
        <v>333</v>
      </c>
      <c r="E43" s="3100" t="s">
        <v>333</v>
      </c>
      <c r="F43" s="3099" t="s">
        <v>333</v>
      </c>
      <c r="G43" s="3064"/>
      <c r="H43" s="3066"/>
      <c r="I43" s="3064"/>
      <c r="J43" s="3017" t="s">
        <v>332</v>
      </c>
      <c r="K43" s="3098" t="s">
        <v>333</v>
      </c>
      <c r="L43" s="3099" t="s">
        <v>333</v>
      </c>
      <c r="M43" s="3100" t="s">
        <v>333</v>
      </c>
      <c r="N43" s="3099" t="s">
        <v>333</v>
      </c>
      <c r="O43" s="3031"/>
      <c r="P43" s="3066"/>
    </row>
    <row r="44" spans="1:17" ht="15.75" customHeight="1" x14ac:dyDescent="0.3">
      <c r="B44" s="2971"/>
      <c r="C44" s="2971"/>
      <c r="D44" s="2971"/>
      <c r="E44" s="2971"/>
      <c r="F44" s="2971"/>
      <c r="G44" s="3064"/>
      <c r="H44" s="3064"/>
      <c r="I44" s="3064"/>
      <c r="J44" s="2971"/>
      <c r="O44" s="2971"/>
      <c r="P44" s="2971"/>
    </row>
    <row r="45" spans="1:17" ht="15.75" customHeight="1" x14ac:dyDescent="0.3">
      <c r="B45" s="3101" t="s">
        <v>1577</v>
      </c>
      <c r="C45" s="2971"/>
      <c r="D45" s="2971"/>
      <c r="E45" s="2971"/>
      <c r="F45" s="2971"/>
      <c r="G45" s="3064"/>
      <c r="H45" s="3064"/>
      <c r="I45" s="3064"/>
      <c r="O45" s="2971"/>
      <c r="P45" s="2971"/>
    </row>
    <row r="46" spans="1:17" ht="15.75" customHeight="1" x14ac:dyDescent="0.3">
      <c r="B46" s="3101" t="s">
        <v>1578</v>
      </c>
      <c r="C46" s="2971"/>
      <c r="D46" s="2971"/>
      <c r="E46" s="2971"/>
      <c r="F46" s="2971"/>
      <c r="G46" s="3064"/>
      <c r="H46" s="3064"/>
      <c r="I46" s="3064"/>
      <c r="O46" s="2971"/>
      <c r="P46" s="2971"/>
    </row>
    <row r="47" spans="1:17" ht="15.75" customHeight="1" x14ac:dyDescent="0.3">
      <c r="B47" s="3101" t="s">
        <v>1579</v>
      </c>
      <c r="C47" s="2971"/>
      <c r="D47" s="2971"/>
      <c r="E47" s="2971"/>
      <c r="F47" s="2971"/>
      <c r="G47" s="3064"/>
      <c r="H47" s="3064"/>
      <c r="I47" s="3064"/>
      <c r="O47" s="2971"/>
      <c r="P47" s="2971"/>
    </row>
    <row r="48" spans="1:17" ht="15.75" customHeight="1" x14ac:dyDescent="0.3">
      <c r="B48" s="3101" t="s">
        <v>1580</v>
      </c>
      <c r="C48" s="2971"/>
      <c r="D48" s="2971"/>
      <c r="E48" s="2971"/>
      <c r="F48" s="2971"/>
      <c r="G48" s="3064"/>
      <c r="H48" s="3064"/>
      <c r="I48" s="3064"/>
      <c r="O48" s="2971"/>
      <c r="P48" s="2971"/>
    </row>
    <row r="49" spans="2:16" ht="15.75" customHeight="1" x14ac:dyDescent="0.3">
      <c r="B49" s="3101" t="s">
        <v>1581</v>
      </c>
      <c r="G49" s="2971"/>
      <c r="I49" s="2971"/>
      <c r="O49" s="2971"/>
      <c r="P49" s="2971"/>
    </row>
    <row r="50" spans="2:16" ht="15.75" customHeight="1" x14ac:dyDescent="0.3">
      <c r="B50" s="3101" t="s">
        <v>1582</v>
      </c>
      <c r="G50" s="2971"/>
      <c r="I50" s="2971"/>
      <c r="O50" s="2971"/>
      <c r="P50" s="2971"/>
    </row>
    <row r="51" spans="2:16" ht="15.75" customHeight="1" x14ac:dyDescent="0.3">
      <c r="G51" s="2971"/>
      <c r="I51" s="2971"/>
      <c r="O51" s="2971"/>
      <c r="P51" s="2971"/>
    </row>
    <row r="52" spans="2:16" ht="15.75" customHeight="1" x14ac:dyDescent="0.3">
      <c r="G52" s="2971"/>
      <c r="I52" s="2971"/>
      <c r="O52" s="2971"/>
      <c r="P52" s="2971"/>
    </row>
    <row r="53" spans="2:16" ht="15.75" customHeight="1" x14ac:dyDescent="0.3">
      <c r="G53" s="2971"/>
      <c r="I53" s="2971"/>
      <c r="O53" s="2971"/>
      <c r="P53" s="2971"/>
    </row>
    <row r="54" spans="2:16" ht="15.75" customHeight="1" x14ac:dyDescent="0.3">
      <c r="G54" s="2971"/>
      <c r="I54" s="2971"/>
      <c r="O54" s="2971"/>
    </row>
    <row r="55" spans="2:16" ht="15.75" customHeight="1" x14ac:dyDescent="0.3">
      <c r="G55" s="2971"/>
      <c r="I55" s="2971"/>
      <c r="O55" s="2971"/>
    </row>
    <row r="56" spans="2:16" ht="15.75" customHeight="1" x14ac:dyDescent="0.3">
      <c r="G56" s="2971"/>
      <c r="I56" s="2971"/>
      <c r="O56" s="2971"/>
    </row>
    <row r="57" spans="2:16" ht="15.75" customHeight="1" x14ac:dyDescent="0.3">
      <c r="G57" s="2971"/>
      <c r="I57" s="2971"/>
      <c r="O57" s="2971"/>
    </row>
    <row r="58" spans="2:16" ht="15.75" customHeight="1" x14ac:dyDescent="0.3">
      <c r="G58" s="2971"/>
      <c r="I58" s="2971"/>
      <c r="O58" s="2971"/>
    </row>
    <row r="59" spans="2:16" ht="15.75" customHeight="1" x14ac:dyDescent="0.3">
      <c r="G59" s="2971"/>
      <c r="I59" s="2971"/>
      <c r="O59" s="2971"/>
    </row>
    <row r="60" spans="2:16" ht="15.75" customHeight="1" x14ac:dyDescent="0.3">
      <c r="G60" s="2971"/>
      <c r="I60" s="2971"/>
      <c r="O60" s="2971"/>
    </row>
    <row r="61" spans="2:16" ht="15.75" customHeight="1" x14ac:dyDescent="0.3">
      <c r="G61" s="2971"/>
      <c r="I61" s="2971"/>
      <c r="O61" s="2971"/>
    </row>
    <row r="62" spans="2:16" ht="15.75" customHeight="1" x14ac:dyDescent="0.3">
      <c r="G62" s="2971"/>
      <c r="I62" s="2971"/>
      <c r="O62" s="2971"/>
    </row>
    <row r="63" spans="2:16" ht="15.75" customHeight="1" x14ac:dyDescent="0.3">
      <c r="G63" s="2971"/>
      <c r="I63" s="2971"/>
      <c r="O63" s="2971"/>
    </row>
    <row r="64" spans="2:16" ht="15.75" customHeight="1" x14ac:dyDescent="0.3">
      <c r="G64" s="2971"/>
      <c r="I64" s="2971"/>
      <c r="O64" s="2971"/>
    </row>
    <row r="65" spans="7:15" ht="15.75" customHeight="1" x14ac:dyDescent="0.3">
      <c r="G65" s="2971"/>
      <c r="I65" s="2971"/>
      <c r="O65" s="2971"/>
    </row>
    <row r="66" spans="7:15" ht="15.75" customHeight="1" x14ac:dyDescent="0.3">
      <c r="G66" s="2971"/>
      <c r="I66" s="2971"/>
      <c r="O66" s="2971"/>
    </row>
    <row r="67" spans="7:15" ht="15.75" customHeight="1" x14ac:dyDescent="0.3">
      <c r="G67" s="2971"/>
      <c r="I67" s="2971"/>
      <c r="O67" s="2971"/>
    </row>
    <row r="68" spans="7:15" ht="15.75" customHeight="1" x14ac:dyDescent="0.3">
      <c r="G68" s="2971"/>
      <c r="I68" s="2971"/>
      <c r="O68" s="2971"/>
    </row>
    <row r="69" spans="7:15" ht="15.75" customHeight="1" x14ac:dyDescent="0.3">
      <c r="G69" s="2971"/>
      <c r="I69" s="2971"/>
      <c r="O69" s="2971"/>
    </row>
    <row r="70" spans="7:15" ht="15.75" customHeight="1" x14ac:dyDescent="0.3">
      <c r="G70" s="2971"/>
      <c r="I70" s="2971"/>
      <c r="O70" s="2971"/>
    </row>
    <row r="71" spans="7:15" ht="15.75" customHeight="1" x14ac:dyDescent="0.3">
      <c r="G71" s="2971"/>
      <c r="I71" s="2971"/>
      <c r="O71" s="2971"/>
    </row>
    <row r="72" spans="7:15" ht="15.75" customHeight="1" x14ac:dyDescent="0.3">
      <c r="G72" s="2971"/>
      <c r="I72" s="2971"/>
      <c r="O72" s="2971"/>
    </row>
    <row r="73" spans="7:15" ht="15.75" customHeight="1" x14ac:dyDescent="0.3">
      <c r="G73" s="2971"/>
      <c r="I73" s="2971"/>
      <c r="O73" s="2971"/>
    </row>
    <row r="74" spans="7:15" ht="15.75" customHeight="1" x14ac:dyDescent="0.3">
      <c r="G74" s="2971"/>
      <c r="I74" s="2971"/>
      <c r="O74" s="2971"/>
    </row>
    <row r="75" spans="7:15" ht="15.75" customHeight="1" x14ac:dyDescent="0.3">
      <c r="G75" s="2971"/>
      <c r="I75" s="2971"/>
      <c r="O75" s="2971"/>
    </row>
    <row r="76" spans="7:15" ht="15.75" customHeight="1" x14ac:dyDescent="0.3">
      <c r="G76" s="2971"/>
      <c r="I76" s="2971"/>
      <c r="O76" s="2971"/>
    </row>
    <row r="77" spans="7:15" ht="15.75" customHeight="1" x14ac:dyDescent="0.3">
      <c r="G77" s="2971"/>
      <c r="I77" s="2971"/>
      <c r="O77" s="2971"/>
    </row>
    <row r="78" spans="7:15" ht="15.75" customHeight="1" x14ac:dyDescent="0.3">
      <c r="G78" s="2971"/>
      <c r="I78" s="2971"/>
      <c r="O78" s="2971"/>
    </row>
    <row r="79" spans="7:15" ht="15.75" customHeight="1" x14ac:dyDescent="0.3">
      <c r="G79" s="2971"/>
      <c r="I79" s="2971"/>
      <c r="O79" s="2971"/>
    </row>
    <row r="80" spans="7:15" ht="15.75" customHeight="1" x14ac:dyDescent="0.3">
      <c r="G80" s="2971"/>
      <c r="I80" s="2971"/>
      <c r="O80" s="2971"/>
    </row>
    <row r="81" spans="7:15" ht="15.75" customHeight="1" x14ac:dyDescent="0.3">
      <c r="G81" s="2971"/>
      <c r="I81" s="2971"/>
      <c r="O81" s="2971"/>
    </row>
    <row r="82" spans="7:15" ht="15.75" customHeight="1" x14ac:dyDescent="0.3">
      <c r="G82" s="2971"/>
      <c r="I82" s="2971"/>
      <c r="O82" s="2971"/>
    </row>
    <row r="83" spans="7:15" ht="15.75" customHeight="1" x14ac:dyDescent="0.3">
      <c r="G83" s="2971"/>
      <c r="I83" s="2971"/>
      <c r="O83" s="2971"/>
    </row>
    <row r="84" spans="7:15" ht="15.75" customHeight="1" x14ac:dyDescent="0.3">
      <c r="G84" s="2971"/>
      <c r="I84" s="2971"/>
      <c r="O84" s="2971"/>
    </row>
    <row r="85" spans="7:15" ht="15.75" customHeight="1" x14ac:dyDescent="0.3">
      <c r="G85" s="2971"/>
      <c r="I85" s="2971"/>
      <c r="O85" s="2971"/>
    </row>
    <row r="86" spans="7:15" ht="15.75" customHeight="1" x14ac:dyDescent="0.3">
      <c r="G86" s="2971"/>
      <c r="I86" s="2971"/>
      <c r="O86" s="2971"/>
    </row>
    <row r="87" spans="7:15" ht="15.75" customHeight="1" x14ac:dyDescent="0.3">
      <c r="G87" s="2971"/>
      <c r="I87" s="2971"/>
      <c r="O87" s="2971"/>
    </row>
    <row r="88" spans="7:15" ht="15.75" customHeight="1" x14ac:dyDescent="0.3">
      <c r="G88" s="2971"/>
      <c r="I88" s="2971"/>
      <c r="O88" s="2971"/>
    </row>
    <row r="89" spans="7:15" ht="15.75" customHeight="1" x14ac:dyDescent="0.3">
      <c r="G89" s="2971"/>
      <c r="I89" s="2971"/>
      <c r="O89" s="2971"/>
    </row>
    <row r="90" spans="7:15" ht="15.75" customHeight="1" x14ac:dyDescent="0.3">
      <c r="G90" s="2971"/>
      <c r="I90" s="2971"/>
      <c r="O90" s="2971"/>
    </row>
    <row r="91" spans="7:15" ht="15.75" customHeight="1" x14ac:dyDescent="0.3">
      <c r="G91" s="2971"/>
      <c r="I91" s="2971"/>
      <c r="O91" s="2971"/>
    </row>
    <row r="92" spans="7:15" ht="15.75" customHeight="1" x14ac:dyDescent="0.3">
      <c r="G92" s="2971"/>
      <c r="I92" s="2971"/>
      <c r="O92" s="2971"/>
    </row>
    <row r="93" spans="7:15" ht="15.75" customHeight="1" x14ac:dyDescent="0.3">
      <c r="G93" s="2971"/>
      <c r="I93" s="2971"/>
      <c r="O93" s="2971"/>
    </row>
    <row r="94" spans="7:15" ht="15.75" customHeight="1" x14ac:dyDescent="0.3">
      <c r="G94" s="2971"/>
      <c r="I94" s="2971"/>
      <c r="O94" s="2971"/>
    </row>
    <row r="95" spans="7:15" ht="15.75" customHeight="1" x14ac:dyDescent="0.3">
      <c r="G95" s="2971"/>
      <c r="I95" s="2971"/>
      <c r="O95" s="2971"/>
    </row>
    <row r="96" spans="7:15" ht="15.75" customHeight="1" x14ac:dyDescent="0.3">
      <c r="G96" s="2971"/>
      <c r="I96" s="2971"/>
      <c r="O96" s="2971"/>
    </row>
    <row r="97" spans="7:15" ht="15.75" customHeight="1" x14ac:dyDescent="0.3">
      <c r="G97" s="2971"/>
      <c r="I97" s="2971"/>
      <c r="O97" s="2971"/>
    </row>
    <row r="98" spans="7:15" ht="15.75" customHeight="1" x14ac:dyDescent="0.3">
      <c r="G98" s="2971"/>
      <c r="I98" s="2971"/>
      <c r="O98" s="2971"/>
    </row>
    <row r="99" spans="7:15" ht="15.75" customHeight="1" x14ac:dyDescent="0.3">
      <c r="G99" s="2971"/>
      <c r="I99" s="2971"/>
      <c r="O99" s="2971"/>
    </row>
    <row r="100" spans="7:15" ht="15.75" customHeight="1" x14ac:dyDescent="0.3">
      <c r="G100" s="2971"/>
      <c r="I100" s="2971"/>
      <c r="O100" s="2971"/>
    </row>
    <row r="101" spans="7:15" ht="15.75" customHeight="1" x14ac:dyDescent="0.3">
      <c r="G101" s="2971"/>
      <c r="I101" s="2971"/>
      <c r="O101" s="2971"/>
    </row>
    <row r="102" spans="7:15" ht="15.75" customHeight="1" x14ac:dyDescent="0.3">
      <c r="G102" s="2971"/>
      <c r="I102" s="2971"/>
      <c r="O102" s="2971"/>
    </row>
    <row r="103" spans="7:15" ht="15.75" customHeight="1" x14ac:dyDescent="0.3">
      <c r="G103" s="2971"/>
      <c r="I103" s="2971"/>
      <c r="O103" s="2971"/>
    </row>
    <row r="104" spans="7:15" ht="15.75" customHeight="1" x14ac:dyDescent="0.3">
      <c r="G104" s="2971"/>
      <c r="I104" s="2971"/>
      <c r="O104" s="2971"/>
    </row>
    <row r="105" spans="7:15" ht="15.75" customHeight="1" x14ac:dyDescent="0.3">
      <c r="G105" s="2971"/>
      <c r="I105" s="2971"/>
      <c r="O105" s="2971"/>
    </row>
    <row r="106" spans="7:15" ht="15.75" customHeight="1" x14ac:dyDescent="0.3">
      <c r="G106" s="2971"/>
      <c r="I106" s="2971"/>
      <c r="O106" s="2971"/>
    </row>
    <row r="107" spans="7:15" ht="15.75" customHeight="1" x14ac:dyDescent="0.3">
      <c r="G107" s="2971"/>
      <c r="I107" s="2971"/>
      <c r="O107" s="2971"/>
    </row>
    <row r="108" spans="7:15" ht="15.75" customHeight="1" x14ac:dyDescent="0.3">
      <c r="G108" s="2971"/>
      <c r="I108" s="2971"/>
      <c r="O108" s="2971"/>
    </row>
    <row r="109" spans="7:15" ht="15.75" customHeight="1" x14ac:dyDescent="0.3">
      <c r="G109" s="2971"/>
      <c r="I109" s="2971"/>
      <c r="O109" s="2971"/>
    </row>
    <row r="110" spans="7:15" ht="15.75" customHeight="1" x14ac:dyDescent="0.3">
      <c r="G110" s="2971"/>
      <c r="I110" s="2971"/>
      <c r="O110" s="2971"/>
    </row>
    <row r="111" spans="7:15" ht="15.75" customHeight="1" x14ac:dyDescent="0.3">
      <c r="G111" s="2971"/>
      <c r="I111" s="2971"/>
      <c r="O111" s="2971"/>
    </row>
    <row r="112" spans="7:15" ht="15.75" customHeight="1" x14ac:dyDescent="0.3">
      <c r="G112" s="2971"/>
      <c r="I112" s="2971"/>
      <c r="O112" s="2971"/>
    </row>
    <row r="113" spans="7:15" ht="15.75" customHeight="1" x14ac:dyDescent="0.3">
      <c r="G113" s="2971"/>
      <c r="I113" s="2971"/>
      <c r="O113" s="2971"/>
    </row>
    <row r="114" spans="7:15" ht="15.75" customHeight="1" x14ac:dyDescent="0.3">
      <c r="G114" s="2971"/>
      <c r="I114" s="2971"/>
      <c r="O114" s="2971"/>
    </row>
    <row r="115" spans="7:15" ht="15.75" customHeight="1" x14ac:dyDescent="0.3">
      <c r="G115" s="2971"/>
      <c r="I115" s="2971"/>
      <c r="O115" s="2971"/>
    </row>
    <row r="116" spans="7:15" ht="15.75" customHeight="1" x14ac:dyDescent="0.3">
      <c r="G116" s="2971"/>
      <c r="I116" s="2971"/>
      <c r="O116" s="2971"/>
    </row>
    <row r="117" spans="7:15" ht="15.75" customHeight="1" x14ac:dyDescent="0.3">
      <c r="G117" s="2971"/>
      <c r="I117" s="2971"/>
      <c r="O117" s="2971"/>
    </row>
    <row r="118" spans="7:15" ht="15.75" customHeight="1" x14ac:dyDescent="0.3">
      <c r="G118" s="2971"/>
      <c r="I118" s="2971"/>
      <c r="O118" s="2971"/>
    </row>
    <row r="119" spans="7:15" ht="15.75" customHeight="1" x14ac:dyDescent="0.3">
      <c r="G119" s="2971"/>
      <c r="I119" s="2971"/>
      <c r="O119" s="2971"/>
    </row>
    <row r="120" spans="7:15" ht="15.75" customHeight="1" x14ac:dyDescent="0.3">
      <c r="G120" s="2971"/>
      <c r="I120" s="2971"/>
      <c r="O120" s="2971"/>
    </row>
    <row r="121" spans="7:15" ht="15.75" customHeight="1" x14ac:dyDescent="0.3">
      <c r="G121" s="2971"/>
      <c r="I121" s="2971"/>
      <c r="O121" s="2971"/>
    </row>
    <row r="122" spans="7:15" ht="15.75" customHeight="1" x14ac:dyDescent="0.3">
      <c r="G122" s="2971"/>
      <c r="I122" s="2971"/>
      <c r="O122" s="2971"/>
    </row>
    <row r="123" spans="7:15" ht="15.75" customHeight="1" x14ac:dyDescent="0.3">
      <c r="G123" s="2971"/>
      <c r="I123" s="2971"/>
      <c r="O123" s="2971"/>
    </row>
    <row r="124" spans="7:15" ht="15.75" customHeight="1" x14ac:dyDescent="0.3">
      <c r="G124" s="2971"/>
      <c r="I124" s="2971"/>
      <c r="O124" s="2971"/>
    </row>
    <row r="125" spans="7:15" ht="15.75" customHeight="1" x14ac:dyDescent="0.3">
      <c r="G125" s="2971"/>
      <c r="I125" s="2971"/>
      <c r="O125" s="2971"/>
    </row>
    <row r="126" spans="7:15" ht="15.75" customHeight="1" x14ac:dyDescent="0.3">
      <c r="G126" s="2971"/>
      <c r="I126" s="2971"/>
      <c r="O126" s="2971"/>
    </row>
    <row r="127" spans="7:15" ht="15.75" customHeight="1" x14ac:dyDescent="0.3">
      <c r="G127" s="2971"/>
      <c r="I127" s="2971"/>
      <c r="O127" s="2971"/>
    </row>
    <row r="128" spans="7:15" ht="15.75" customHeight="1" x14ac:dyDescent="0.3">
      <c r="G128" s="2971"/>
      <c r="I128" s="2971"/>
      <c r="O128" s="2971"/>
    </row>
    <row r="129" spans="7:15" ht="15.75" customHeight="1" x14ac:dyDescent="0.3">
      <c r="G129" s="2971"/>
      <c r="I129" s="2971"/>
      <c r="O129" s="2971"/>
    </row>
    <row r="130" spans="7:15" ht="15.75" customHeight="1" x14ac:dyDescent="0.3">
      <c r="G130" s="2971"/>
      <c r="I130" s="2971"/>
      <c r="O130" s="2971"/>
    </row>
    <row r="131" spans="7:15" ht="15.75" customHeight="1" x14ac:dyDescent="0.3">
      <c r="G131" s="2971"/>
      <c r="I131" s="2971"/>
      <c r="O131" s="2971"/>
    </row>
    <row r="132" spans="7:15" ht="15.75" customHeight="1" x14ac:dyDescent="0.3">
      <c r="G132" s="2971"/>
      <c r="I132" s="2971"/>
      <c r="O132" s="2971"/>
    </row>
    <row r="133" spans="7:15" ht="15.75" customHeight="1" x14ac:dyDescent="0.3">
      <c r="G133" s="2971"/>
      <c r="I133" s="2971"/>
      <c r="O133" s="2971"/>
    </row>
    <row r="134" spans="7:15" ht="15.75" customHeight="1" x14ac:dyDescent="0.3">
      <c r="G134" s="2971"/>
      <c r="I134" s="2971"/>
      <c r="O134" s="2971"/>
    </row>
    <row r="135" spans="7:15" ht="15.75" customHeight="1" x14ac:dyDescent="0.3">
      <c r="G135" s="2971"/>
      <c r="I135" s="2971"/>
      <c r="O135" s="2971"/>
    </row>
    <row r="136" spans="7:15" ht="15.75" customHeight="1" x14ac:dyDescent="0.3">
      <c r="G136" s="2971"/>
      <c r="I136" s="2971"/>
      <c r="O136" s="2971"/>
    </row>
    <row r="137" spans="7:15" ht="15.75" customHeight="1" x14ac:dyDescent="0.3">
      <c r="G137" s="2971"/>
      <c r="I137" s="2971"/>
      <c r="O137" s="2971"/>
    </row>
    <row r="138" spans="7:15" ht="15.75" customHeight="1" x14ac:dyDescent="0.3">
      <c r="G138" s="2971"/>
      <c r="I138" s="2971"/>
      <c r="O138" s="2971"/>
    </row>
    <row r="139" spans="7:15" ht="15.75" customHeight="1" x14ac:dyDescent="0.3">
      <c r="G139" s="2971"/>
      <c r="I139" s="2971"/>
      <c r="O139" s="2971"/>
    </row>
    <row r="140" spans="7:15" ht="15.75" customHeight="1" x14ac:dyDescent="0.3">
      <c r="G140" s="2971"/>
      <c r="I140" s="2971"/>
      <c r="O140" s="2971"/>
    </row>
    <row r="141" spans="7:15" ht="15.75" customHeight="1" x14ac:dyDescent="0.3">
      <c r="G141" s="2971"/>
      <c r="I141" s="2971"/>
      <c r="O141" s="2971"/>
    </row>
    <row r="142" spans="7:15" ht="15.75" customHeight="1" x14ac:dyDescent="0.3">
      <c r="G142" s="2971"/>
      <c r="I142" s="2971"/>
      <c r="O142" s="2971"/>
    </row>
    <row r="143" spans="7:15" ht="15.75" customHeight="1" x14ac:dyDescent="0.3">
      <c r="G143" s="2971"/>
      <c r="I143" s="2971"/>
      <c r="O143" s="2971"/>
    </row>
    <row r="144" spans="7:15" ht="15.75" customHeight="1" x14ac:dyDescent="0.3">
      <c r="G144" s="2971"/>
      <c r="I144" s="2971"/>
      <c r="O144" s="2971"/>
    </row>
    <row r="145" spans="7:15" ht="15.75" customHeight="1" x14ac:dyDescent="0.3">
      <c r="G145" s="2971"/>
      <c r="I145" s="2971"/>
      <c r="O145" s="2971"/>
    </row>
    <row r="146" spans="7:15" ht="15.75" customHeight="1" x14ac:dyDescent="0.3">
      <c r="G146" s="2971"/>
      <c r="I146" s="2971"/>
      <c r="O146" s="2971"/>
    </row>
    <row r="147" spans="7:15" ht="15.75" customHeight="1" x14ac:dyDescent="0.3">
      <c r="G147" s="2971"/>
      <c r="I147" s="2971"/>
      <c r="O147" s="2971"/>
    </row>
    <row r="148" spans="7:15" ht="15.75" customHeight="1" x14ac:dyDescent="0.3">
      <c r="G148" s="2971"/>
      <c r="I148" s="2971"/>
      <c r="O148" s="2971"/>
    </row>
    <row r="149" spans="7:15" ht="15.75" customHeight="1" x14ac:dyDescent="0.3">
      <c r="G149" s="2971"/>
      <c r="I149" s="2971"/>
      <c r="O149" s="2971"/>
    </row>
    <row r="150" spans="7:15" ht="15.75" customHeight="1" x14ac:dyDescent="0.3">
      <c r="G150" s="2971"/>
      <c r="I150" s="2971"/>
      <c r="O150" s="2971"/>
    </row>
    <row r="151" spans="7:15" ht="15.75" customHeight="1" x14ac:dyDescent="0.3">
      <c r="G151" s="2971"/>
      <c r="I151" s="2971"/>
      <c r="O151" s="2971"/>
    </row>
    <row r="152" spans="7:15" ht="15.75" customHeight="1" x14ac:dyDescent="0.3">
      <c r="G152" s="2971"/>
      <c r="I152" s="2971"/>
      <c r="O152" s="2971"/>
    </row>
    <row r="153" spans="7:15" ht="15.75" customHeight="1" x14ac:dyDescent="0.3">
      <c r="G153" s="2971"/>
      <c r="I153" s="2971"/>
      <c r="O153" s="2971"/>
    </row>
    <row r="154" spans="7:15" ht="15.75" customHeight="1" x14ac:dyDescent="0.3">
      <c r="G154" s="2971"/>
      <c r="I154" s="2971"/>
      <c r="O154" s="2971"/>
    </row>
    <row r="155" spans="7:15" ht="15.75" customHeight="1" x14ac:dyDescent="0.3">
      <c r="G155" s="2971"/>
      <c r="I155" s="2971"/>
      <c r="O155" s="2971"/>
    </row>
    <row r="156" spans="7:15" ht="15.75" customHeight="1" x14ac:dyDescent="0.3">
      <c r="G156" s="2971"/>
      <c r="I156" s="2971"/>
      <c r="O156" s="2971"/>
    </row>
    <row r="157" spans="7:15" ht="15.75" customHeight="1" x14ac:dyDescent="0.3">
      <c r="G157" s="2971"/>
      <c r="I157" s="2971"/>
      <c r="O157" s="2971"/>
    </row>
    <row r="158" spans="7:15" ht="15.75" customHeight="1" x14ac:dyDescent="0.3">
      <c r="G158" s="2971"/>
      <c r="I158" s="2971"/>
      <c r="O158" s="2971"/>
    </row>
    <row r="159" spans="7:15" ht="15.75" customHeight="1" x14ac:dyDescent="0.3">
      <c r="G159" s="2971"/>
      <c r="I159" s="2971"/>
      <c r="O159" s="2971"/>
    </row>
    <row r="160" spans="7:15" ht="15.75" customHeight="1" x14ac:dyDescent="0.3">
      <c r="G160" s="2971"/>
      <c r="I160" s="2971"/>
      <c r="O160" s="2971"/>
    </row>
    <row r="161" spans="7:15" ht="15.75" customHeight="1" x14ac:dyDescent="0.3">
      <c r="G161" s="2971"/>
      <c r="I161" s="2971"/>
      <c r="O161" s="2971"/>
    </row>
    <row r="162" spans="7:15" ht="15.75" customHeight="1" x14ac:dyDescent="0.3">
      <c r="G162" s="2971"/>
      <c r="I162" s="2971"/>
      <c r="O162" s="2971"/>
    </row>
    <row r="163" spans="7:15" ht="15.75" customHeight="1" x14ac:dyDescent="0.3">
      <c r="G163" s="2971"/>
      <c r="I163" s="2971"/>
      <c r="O163" s="2971"/>
    </row>
    <row r="164" spans="7:15" ht="15.75" customHeight="1" x14ac:dyDescent="0.3">
      <c r="G164" s="2971"/>
      <c r="I164" s="2971"/>
      <c r="O164" s="2971"/>
    </row>
    <row r="165" spans="7:15" ht="15.75" customHeight="1" x14ac:dyDescent="0.3">
      <c r="G165" s="2971"/>
      <c r="I165" s="2971"/>
      <c r="O165" s="2971"/>
    </row>
    <row r="166" spans="7:15" ht="15.75" customHeight="1" x14ac:dyDescent="0.3">
      <c r="G166" s="2971"/>
      <c r="I166" s="2971"/>
      <c r="O166" s="2971"/>
    </row>
    <row r="167" spans="7:15" ht="15.75" customHeight="1" x14ac:dyDescent="0.3">
      <c r="G167" s="2971"/>
      <c r="I167" s="2971"/>
      <c r="O167" s="2971"/>
    </row>
    <row r="168" spans="7:15" ht="15.75" customHeight="1" x14ac:dyDescent="0.3">
      <c r="G168" s="2971"/>
      <c r="I168" s="2971"/>
      <c r="O168" s="2971"/>
    </row>
    <row r="169" spans="7:15" ht="15.75" customHeight="1" x14ac:dyDescent="0.3">
      <c r="G169" s="2971"/>
      <c r="I169" s="2971"/>
      <c r="O169" s="2971"/>
    </row>
    <row r="170" spans="7:15" ht="15.75" customHeight="1" x14ac:dyDescent="0.3">
      <c r="G170" s="2971"/>
      <c r="I170" s="2971"/>
      <c r="O170" s="2971"/>
    </row>
    <row r="171" spans="7:15" ht="15.75" customHeight="1" x14ac:dyDescent="0.3">
      <c r="G171" s="2971"/>
      <c r="I171" s="2971"/>
      <c r="O171" s="2971"/>
    </row>
    <row r="172" spans="7:15" ht="15.75" customHeight="1" x14ac:dyDescent="0.3">
      <c r="G172" s="2971"/>
      <c r="I172" s="2971"/>
      <c r="O172" s="2971"/>
    </row>
    <row r="173" spans="7:15" ht="15.75" customHeight="1" x14ac:dyDescent="0.3">
      <c r="G173" s="2971"/>
      <c r="I173" s="2971"/>
      <c r="O173" s="2971"/>
    </row>
    <row r="174" spans="7:15" ht="15.75" customHeight="1" x14ac:dyDescent="0.3">
      <c r="G174" s="2971"/>
      <c r="I174" s="2971"/>
      <c r="O174" s="2971"/>
    </row>
    <row r="175" spans="7:15" ht="15.75" customHeight="1" x14ac:dyDescent="0.3">
      <c r="G175" s="2971"/>
      <c r="I175" s="2971"/>
      <c r="O175" s="2971"/>
    </row>
    <row r="176" spans="7:15" ht="15.75" customHeight="1" x14ac:dyDescent="0.3">
      <c r="G176" s="2971"/>
      <c r="I176" s="2971"/>
      <c r="O176" s="2971"/>
    </row>
    <row r="177" spans="7:15" ht="15.75" customHeight="1" x14ac:dyDescent="0.3">
      <c r="G177" s="2971"/>
      <c r="I177" s="2971"/>
      <c r="O177" s="2971"/>
    </row>
    <row r="178" spans="7:15" ht="15.75" customHeight="1" x14ac:dyDescent="0.3">
      <c r="G178" s="2971"/>
      <c r="I178" s="2971"/>
      <c r="O178" s="2971"/>
    </row>
    <row r="179" spans="7:15" ht="15.75" customHeight="1" x14ac:dyDescent="0.3">
      <c r="G179" s="2971"/>
      <c r="I179" s="2971"/>
      <c r="O179" s="2971"/>
    </row>
    <row r="180" spans="7:15" ht="15.75" customHeight="1" x14ac:dyDescent="0.3">
      <c r="G180" s="2971"/>
      <c r="I180" s="2971"/>
      <c r="O180" s="2971"/>
    </row>
    <row r="181" spans="7:15" ht="15.75" customHeight="1" x14ac:dyDescent="0.3">
      <c r="G181" s="2971"/>
      <c r="I181" s="2971"/>
      <c r="O181" s="2971"/>
    </row>
    <row r="182" spans="7:15" ht="15.75" customHeight="1" x14ac:dyDescent="0.3">
      <c r="G182" s="2971"/>
      <c r="I182" s="2971"/>
      <c r="O182" s="2971"/>
    </row>
    <row r="183" spans="7:15" ht="15.75" customHeight="1" x14ac:dyDescent="0.3">
      <c r="G183" s="2971"/>
      <c r="I183" s="2971"/>
      <c r="O183" s="2971"/>
    </row>
    <row r="184" spans="7:15" ht="15.75" customHeight="1" x14ac:dyDescent="0.3">
      <c r="G184" s="2971"/>
      <c r="I184" s="2971"/>
      <c r="O184" s="2971"/>
    </row>
    <row r="185" spans="7:15" ht="15.75" customHeight="1" x14ac:dyDescent="0.3">
      <c r="G185" s="2971"/>
      <c r="I185" s="2971"/>
      <c r="O185" s="2971"/>
    </row>
    <row r="186" spans="7:15" ht="15.75" customHeight="1" x14ac:dyDescent="0.3">
      <c r="G186" s="2971"/>
      <c r="I186" s="2971"/>
      <c r="O186" s="2971"/>
    </row>
    <row r="187" spans="7:15" ht="15.75" customHeight="1" x14ac:dyDescent="0.3">
      <c r="G187" s="2971"/>
      <c r="I187" s="2971"/>
      <c r="O187" s="2971"/>
    </row>
    <row r="188" spans="7:15" ht="15.75" customHeight="1" x14ac:dyDescent="0.3">
      <c r="G188" s="2971"/>
      <c r="I188" s="2971"/>
      <c r="O188" s="2971"/>
    </row>
    <row r="189" spans="7:15" ht="15.75" customHeight="1" x14ac:dyDescent="0.3">
      <c r="G189" s="2971"/>
      <c r="I189" s="2971"/>
      <c r="O189" s="2971"/>
    </row>
    <row r="190" spans="7:15" ht="15.75" customHeight="1" x14ac:dyDescent="0.3">
      <c r="G190" s="2971"/>
      <c r="I190" s="2971"/>
      <c r="O190" s="2971"/>
    </row>
    <row r="191" spans="7:15" ht="15.75" customHeight="1" x14ac:dyDescent="0.3">
      <c r="G191" s="2971"/>
      <c r="I191" s="2971"/>
      <c r="O191" s="2971"/>
    </row>
    <row r="192" spans="7:15" ht="15.75" customHeight="1" x14ac:dyDescent="0.3">
      <c r="G192" s="2971"/>
      <c r="I192" s="2971"/>
      <c r="O192" s="2971"/>
    </row>
    <row r="193" spans="7:15" ht="15.75" customHeight="1" x14ac:dyDescent="0.3">
      <c r="G193" s="2971"/>
      <c r="I193" s="2971"/>
      <c r="O193" s="2971"/>
    </row>
    <row r="194" spans="7:15" ht="15.75" customHeight="1" x14ac:dyDescent="0.3">
      <c r="G194" s="2971"/>
      <c r="I194" s="2971"/>
      <c r="O194" s="2971"/>
    </row>
    <row r="195" spans="7:15" ht="15.75" customHeight="1" x14ac:dyDescent="0.3">
      <c r="G195" s="2971"/>
      <c r="I195" s="2971"/>
      <c r="O195" s="2971"/>
    </row>
    <row r="196" spans="7:15" ht="15.75" customHeight="1" x14ac:dyDescent="0.3">
      <c r="G196" s="2971"/>
      <c r="I196" s="2971"/>
      <c r="O196" s="2971"/>
    </row>
    <row r="197" spans="7:15" ht="15.75" customHeight="1" x14ac:dyDescent="0.3">
      <c r="G197" s="2971"/>
      <c r="I197" s="2971"/>
      <c r="O197" s="2971"/>
    </row>
    <row r="198" spans="7:15" ht="15.75" customHeight="1" x14ac:dyDescent="0.3">
      <c r="G198" s="2971"/>
      <c r="I198" s="2971"/>
      <c r="O198" s="2971"/>
    </row>
    <row r="199" spans="7:15" ht="15.75" customHeight="1" x14ac:dyDescent="0.3">
      <c r="G199" s="2971"/>
      <c r="I199" s="2971"/>
      <c r="O199" s="2971"/>
    </row>
    <row r="200" spans="7:15" ht="15.75" customHeight="1" x14ac:dyDescent="0.3">
      <c r="G200" s="2971"/>
      <c r="I200" s="2971"/>
      <c r="O200" s="2971"/>
    </row>
    <row r="201" spans="7:15" ht="15.75" customHeight="1" x14ac:dyDescent="0.3">
      <c r="G201" s="2971"/>
      <c r="I201" s="2971"/>
      <c r="O201" s="2971"/>
    </row>
    <row r="202" spans="7:15" ht="15.75" customHeight="1" x14ac:dyDescent="0.3">
      <c r="G202" s="2971"/>
      <c r="I202" s="2971"/>
      <c r="O202" s="2971"/>
    </row>
    <row r="203" spans="7:15" ht="15.75" customHeight="1" x14ac:dyDescent="0.3">
      <c r="G203" s="2971"/>
      <c r="I203" s="2971"/>
      <c r="O203" s="2971"/>
    </row>
    <row r="204" spans="7:15" ht="15.75" customHeight="1" x14ac:dyDescent="0.3">
      <c r="G204" s="2971"/>
      <c r="I204" s="2971"/>
      <c r="O204" s="2971"/>
    </row>
    <row r="205" spans="7:15" ht="15.75" customHeight="1" x14ac:dyDescent="0.3">
      <c r="G205" s="2971"/>
      <c r="I205" s="2971"/>
      <c r="O205" s="2971"/>
    </row>
    <row r="206" spans="7:15" ht="15.75" customHeight="1" x14ac:dyDescent="0.3">
      <c r="G206" s="2971"/>
      <c r="I206" s="2971"/>
      <c r="O206" s="2971"/>
    </row>
    <row r="207" spans="7:15" ht="15.75" customHeight="1" x14ac:dyDescent="0.3">
      <c r="G207" s="2971"/>
      <c r="I207" s="2971"/>
      <c r="O207" s="2971"/>
    </row>
    <row r="208" spans="7:15" ht="15.75" customHeight="1" x14ac:dyDescent="0.3">
      <c r="G208" s="2971"/>
      <c r="I208" s="2971"/>
      <c r="O208" s="2971"/>
    </row>
    <row r="209" spans="7:15" ht="15.75" customHeight="1" x14ac:dyDescent="0.3">
      <c r="G209" s="2971"/>
      <c r="I209" s="2971"/>
      <c r="O209" s="2971"/>
    </row>
    <row r="210" spans="7:15" ht="15.75" customHeight="1" x14ac:dyDescent="0.3">
      <c r="G210" s="2971"/>
      <c r="I210" s="2971"/>
      <c r="O210" s="2971"/>
    </row>
    <row r="211" spans="7:15" ht="15.75" customHeight="1" x14ac:dyDescent="0.3">
      <c r="G211" s="2971"/>
      <c r="I211" s="2971"/>
      <c r="O211" s="2971"/>
    </row>
    <row r="212" spans="7:15" ht="15.75" customHeight="1" x14ac:dyDescent="0.3">
      <c r="G212" s="2971"/>
      <c r="I212" s="2971"/>
      <c r="O212" s="2971"/>
    </row>
    <row r="213" spans="7:15" ht="15.75" customHeight="1" x14ac:dyDescent="0.3">
      <c r="G213" s="2971"/>
      <c r="I213" s="2971"/>
      <c r="O213" s="2971"/>
    </row>
    <row r="214" spans="7:15" ht="15.75" customHeight="1" x14ac:dyDescent="0.3">
      <c r="G214" s="2971"/>
      <c r="I214" s="2971"/>
      <c r="O214" s="2971"/>
    </row>
    <row r="215" spans="7:15" ht="15.75" customHeight="1" x14ac:dyDescent="0.3">
      <c r="G215" s="2971"/>
      <c r="I215" s="2971"/>
      <c r="O215" s="2971"/>
    </row>
    <row r="216" spans="7:15" ht="15.75" customHeight="1" x14ac:dyDescent="0.3">
      <c r="G216" s="2971"/>
      <c r="I216" s="2971"/>
      <c r="O216" s="2971"/>
    </row>
    <row r="217" spans="7:15" ht="15.75" customHeight="1" x14ac:dyDescent="0.3">
      <c r="G217" s="2971"/>
      <c r="I217" s="2971"/>
      <c r="O217" s="2971"/>
    </row>
    <row r="218" spans="7:15" ht="15.75" customHeight="1" x14ac:dyDescent="0.3">
      <c r="G218" s="2971"/>
      <c r="I218" s="2971"/>
      <c r="O218" s="2971"/>
    </row>
    <row r="219" spans="7:15" ht="15.75" customHeight="1" x14ac:dyDescent="0.3">
      <c r="G219" s="2971"/>
      <c r="I219" s="2971"/>
      <c r="O219" s="2971"/>
    </row>
    <row r="220" spans="7:15" ht="15.75" customHeight="1" x14ac:dyDescent="0.3">
      <c r="G220" s="2971"/>
      <c r="I220" s="2971"/>
      <c r="O220" s="2971"/>
    </row>
    <row r="221" spans="7:15" ht="15.75" customHeight="1" x14ac:dyDescent="0.3">
      <c r="G221" s="2971"/>
      <c r="I221" s="2971"/>
      <c r="O221" s="2971"/>
    </row>
    <row r="222" spans="7:15" ht="15.75" customHeight="1" x14ac:dyDescent="0.3">
      <c r="G222" s="2971"/>
      <c r="I222" s="2971"/>
      <c r="O222" s="2971"/>
    </row>
    <row r="223" spans="7:15" ht="15.75" customHeight="1" x14ac:dyDescent="0.3">
      <c r="G223" s="2971"/>
      <c r="I223" s="2971"/>
      <c r="O223" s="2971"/>
    </row>
    <row r="224" spans="7:15" ht="15.75" customHeight="1" x14ac:dyDescent="0.3">
      <c r="G224" s="2971"/>
      <c r="I224" s="2971"/>
      <c r="O224" s="2971"/>
    </row>
    <row r="225" spans="7:15" ht="15.75" customHeight="1" x14ac:dyDescent="0.3">
      <c r="G225" s="2971"/>
      <c r="I225" s="2971"/>
      <c r="O225" s="2971"/>
    </row>
    <row r="226" spans="7:15" ht="15.75" customHeight="1" x14ac:dyDescent="0.3">
      <c r="G226" s="2971"/>
      <c r="I226" s="2971"/>
      <c r="O226" s="2971"/>
    </row>
    <row r="227" spans="7:15" ht="15.75" customHeight="1" x14ac:dyDescent="0.3">
      <c r="G227" s="2971"/>
      <c r="I227" s="2971"/>
      <c r="O227" s="2971"/>
    </row>
    <row r="228" spans="7:15" ht="15.75" customHeight="1" x14ac:dyDescent="0.3">
      <c r="G228" s="2971"/>
      <c r="I228" s="2971"/>
      <c r="O228" s="2971"/>
    </row>
    <row r="229" spans="7:15" ht="15.75" customHeight="1" x14ac:dyDescent="0.3">
      <c r="G229" s="2971"/>
      <c r="I229" s="2971"/>
      <c r="O229" s="2971"/>
    </row>
    <row r="230" spans="7:15" ht="15.75" customHeight="1" x14ac:dyDescent="0.3">
      <c r="G230" s="2971"/>
      <c r="I230" s="2971"/>
      <c r="O230" s="2971"/>
    </row>
    <row r="231" spans="7:15" ht="15.75" customHeight="1" x14ac:dyDescent="0.3">
      <c r="G231" s="2971"/>
      <c r="I231" s="2971"/>
      <c r="O231" s="2971"/>
    </row>
    <row r="232" spans="7:15" ht="15.75" customHeight="1" x14ac:dyDescent="0.3">
      <c r="G232" s="2971"/>
      <c r="I232" s="2971"/>
      <c r="O232" s="2971"/>
    </row>
    <row r="233" spans="7:15" ht="15.75" customHeight="1" x14ac:dyDescent="0.3">
      <c r="G233" s="2971"/>
      <c r="I233" s="2971"/>
      <c r="O233" s="2971"/>
    </row>
    <row r="234" spans="7:15" ht="15.75" customHeight="1" x14ac:dyDescent="0.3">
      <c r="G234" s="2971"/>
      <c r="I234" s="2971"/>
      <c r="O234" s="2971"/>
    </row>
    <row r="235" spans="7:15" ht="15.75" customHeight="1" x14ac:dyDescent="0.3">
      <c r="G235" s="2971"/>
      <c r="I235" s="2971"/>
      <c r="O235" s="2971"/>
    </row>
    <row r="236" spans="7:15" ht="15.75" customHeight="1" x14ac:dyDescent="0.3">
      <c r="G236" s="2971"/>
      <c r="I236" s="2971"/>
      <c r="O236" s="2971"/>
    </row>
    <row r="237" spans="7:15" ht="15.75" customHeight="1" x14ac:dyDescent="0.3">
      <c r="G237" s="2971"/>
      <c r="I237" s="2971"/>
      <c r="O237" s="2971"/>
    </row>
    <row r="238" spans="7:15" ht="15.75" customHeight="1" x14ac:dyDescent="0.3">
      <c r="G238" s="2971"/>
      <c r="I238" s="2971"/>
      <c r="O238" s="2971"/>
    </row>
    <row r="239" spans="7:15" ht="15.75" customHeight="1" x14ac:dyDescent="0.3">
      <c r="G239" s="2971"/>
      <c r="I239" s="2971"/>
      <c r="O239" s="2971"/>
    </row>
    <row r="240" spans="7:15" ht="15.75" customHeight="1" x14ac:dyDescent="0.3">
      <c r="G240" s="2971"/>
      <c r="I240" s="2971"/>
      <c r="O240" s="2971"/>
    </row>
    <row r="241" spans="7:15" ht="15.75" customHeight="1" x14ac:dyDescent="0.3">
      <c r="G241" s="2971"/>
      <c r="I241" s="2971"/>
      <c r="O241" s="2971"/>
    </row>
    <row r="242" spans="7:15" ht="15.75" customHeight="1" x14ac:dyDescent="0.3">
      <c r="G242" s="2971"/>
      <c r="I242" s="2971"/>
      <c r="O242" s="2971"/>
    </row>
    <row r="243" spans="7:15" ht="15.75" customHeight="1" x14ac:dyDescent="0.3">
      <c r="G243" s="2971"/>
      <c r="I243" s="2971"/>
      <c r="O243" s="2971"/>
    </row>
    <row r="244" spans="7:15" ht="15.75" customHeight="1" x14ac:dyDescent="0.3">
      <c r="G244" s="2971"/>
      <c r="I244" s="2971"/>
      <c r="O244" s="2971"/>
    </row>
    <row r="245" spans="7:15" ht="15.75" customHeight="1" x14ac:dyDescent="0.3">
      <c r="G245" s="2971"/>
      <c r="I245" s="2971"/>
      <c r="O245" s="2971"/>
    </row>
    <row r="246" spans="7:15" ht="15.75" customHeight="1" x14ac:dyDescent="0.3">
      <c r="G246" s="2971"/>
      <c r="I246" s="2971"/>
      <c r="O246" s="2971"/>
    </row>
    <row r="247" spans="7:15" ht="15.75" customHeight="1" x14ac:dyDescent="0.3">
      <c r="G247" s="2971"/>
      <c r="I247" s="2971"/>
      <c r="O247" s="2971"/>
    </row>
    <row r="248" spans="7:15" ht="15.75" customHeight="1" x14ac:dyDescent="0.3">
      <c r="G248" s="2971"/>
      <c r="I248" s="2971"/>
      <c r="O248" s="2971"/>
    </row>
    <row r="249" spans="7:15" ht="15.75" customHeight="1" x14ac:dyDescent="0.3">
      <c r="G249" s="2971"/>
      <c r="I249" s="2971"/>
      <c r="O249" s="2971"/>
    </row>
    <row r="250" spans="7:15" ht="15.75" customHeight="1" x14ac:dyDescent="0.3">
      <c r="G250" s="2971"/>
      <c r="I250" s="2971"/>
      <c r="O250" s="2971"/>
    </row>
    <row r="251" spans="7:15" ht="15.75" customHeight="1" x14ac:dyDescent="0.3"/>
    <row r="252" spans="7:15" ht="15.75" customHeight="1" x14ac:dyDescent="0.3"/>
    <row r="253" spans="7:15" ht="15.75" customHeight="1" x14ac:dyDescent="0.3"/>
    <row r="254" spans="7:15" ht="15.75" customHeight="1" x14ac:dyDescent="0.3"/>
    <row r="255" spans="7:15" ht="15.75" customHeight="1" x14ac:dyDescent="0.3"/>
    <row r="256" spans="7:15"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2">
    <mergeCell ref="C7:F7"/>
    <mergeCell ref="K7:N7"/>
  </mergeCells>
  <dataValidations count="1">
    <dataValidation type="list" allowBlank="1" showErrorMessage="1" sqref="B17 B22 B27 B32" xr:uid="{48CB3C53-A73F-4276-8BD3-EE4D9C1BA800}">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5E4AE-F912-4B7A-BE77-DA6499E56A89}">
  <dimension ref="A1:Z885"/>
  <sheetViews>
    <sheetView zoomScale="80" workbookViewId="0">
      <selection activeCell="AD22" sqref="AD22"/>
    </sheetView>
  </sheetViews>
  <sheetFormatPr defaultColWidth="12.44140625" defaultRowHeight="15" customHeight="1" x14ac:dyDescent="0.3"/>
  <cols>
    <col min="1" max="1" width="2.6640625" style="2686" customWidth="1"/>
    <col min="2" max="2" width="5.109375" style="2686" customWidth="1"/>
    <col min="3" max="3" width="31.21875" style="2686" customWidth="1"/>
    <col min="4" max="4" width="34" style="2686" customWidth="1"/>
    <col min="5" max="5" width="8.88671875" style="2686" customWidth="1"/>
    <col min="6" max="6" width="32.44140625" style="2686" customWidth="1"/>
    <col min="7" max="7" width="12.77734375" style="2686" customWidth="1"/>
    <col min="8" max="8" width="12.77734375" style="2686" hidden="1" customWidth="1"/>
    <col min="9" max="9" width="12.88671875" style="2686" customWidth="1"/>
    <col min="10" max="12" width="12.77734375" style="2686" hidden="1" customWidth="1"/>
    <col min="13" max="25" width="11.5546875" style="2686" hidden="1" customWidth="1"/>
    <col min="26" max="26" width="11.5546875" style="2686" customWidth="1"/>
    <col min="27" max="30" width="11.6640625" style="2686" customWidth="1"/>
    <col min="31" max="16384" width="12.44140625" style="2686"/>
  </cols>
  <sheetData>
    <row r="1" spans="1:26" ht="23.25" customHeight="1" x14ac:dyDescent="0.35">
      <c r="A1" s="3102"/>
      <c r="B1" s="3103" t="s">
        <v>2408</v>
      </c>
    </row>
    <row r="2" spans="1:26" ht="13.5" customHeight="1" x14ac:dyDescent="0.3">
      <c r="A2" s="3102"/>
      <c r="B2" s="3104" t="s">
        <v>340</v>
      </c>
      <c r="C2" s="2973"/>
      <c r="D2" s="2973"/>
      <c r="E2" s="2973"/>
      <c r="F2" s="2973"/>
      <c r="G2" s="2973"/>
      <c r="H2" s="2973"/>
      <c r="I2" s="2973"/>
      <c r="J2" s="2973"/>
      <c r="K2" s="2973"/>
      <c r="L2" s="2973"/>
      <c r="M2" s="2973"/>
      <c r="N2" s="2973"/>
      <c r="O2" s="2973"/>
      <c r="P2" s="2973"/>
      <c r="Q2" s="2973"/>
      <c r="R2" s="2973"/>
      <c r="S2" s="2973"/>
      <c r="T2" s="2973"/>
      <c r="U2" s="2973"/>
      <c r="V2" s="2973"/>
      <c r="W2" s="2973"/>
      <c r="X2" s="2973"/>
      <c r="Y2" s="2973"/>
      <c r="Z2" s="2973"/>
    </row>
    <row r="3" spans="1:26" ht="15.75" customHeight="1" x14ac:dyDescent="0.3">
      <c r="B3" s="3105"/>
    </row>
    <row r="4" spans="1:26" ht="15.75" customHeight="1" x14ac:dyDescent="0.3"/>
    <row r="5" spans="1:26" ht="21" customHeight="1" x14ac:dyDescent="0.3">
      <c r="B5" s="3106" t="s">
        <v>1583</v>
      </c>
    </row>
    <row r="6" spans="1:26" ht="9" customHeight="1" x14ac:dyDescent="0.3">
      <c r="B6" s="3106"/>
    </row>
    <row r="7" spans="1:26" ht="21" customHeight="1" x14ac:dyDescent="0.3">
      <c r="B7" s="3107" t="s">
        <v>410</v>
      </c>
      <c r="C7" s="3108"/>
      <c r="D7" s="3108"/>
    </row>
    <row r="8" spans="1:26" ht="12" customHeight="1" x14ac:dyDescent="0.3"/>
    <row r="9" spans="1:26" ht="15.75" customHeight="1" x14ac:dyDescent="0.3">
      <c r="B9" s="3109" t="s">
        <v>301</v>
      </c>
      <c r="C9" s="3110" t="s">
        <v>343</v>
      </c>
      <c r="D9" s="3111" t="s">
        <v>344</v>
      </c>
      <c r="E9" s="3111" t="s">
        <v>345</v>
      </c>
      <c r="F9" s="3111" t="s">
        <v>346</v>
      </c>
      <c r="G9" s="3112" t="s">
        <v>347</v>
      </c>
      <c r="H9" s="3113">
        <v>2025</v>
      </c>
      <c r="I9" s="3113">
        <v>2024</v>
      </c>
      <c r="J9" s="3113">
        <v>2023</v>
      </c>
      <c r="K9" s="3113">
        <v>2022</v>
      </c>
      <c r="L9" s="3113">
        <v>2021</v>
      </c>
      <c r="M9" s="3113">
        <v>2020</v>
      </c>
      <c r="N9" s="3113">
        <v>2019</v>
      </c>
      <c r="O9" s="3114">
        <v>2018</v>
      </c>
      <c r="P9" s="3114">
        <v>2017</v>
      </c>
      <c r="Q9" s="3114">
        <v>2016</v>
      </c>
      <c r="R9" s="3114">
        <v>2015</v>
      </c>
      <c r="S9" s="3114">
        <v>2014</v>
      </c>
      <c r="T9" s="3114">
        <v>2013</v>
      </c>
      <c r="U9" s="3114">
        <v>2012</v>
      </c>
      <c r="V9" s="3114">
        <v>2011</v>
      </c>
      <c r="W9" s="3114">
        <v>2010</v>
      </c>
      <c r="X9" s="3114">
        <v>2009</v>
      </c>
      <c r="Y9" s="3114">
        <v>2008</v>
      </c>
      <c r="Z9" s="3115" t="s">
        <v>332</v>
      </c>
    </row>
    <row r="10" spans="1:26" ht="24" customHeight="1" x14ac:dyDescent="0.3">
      <c r="B10" s="3116">
        <v>1</v>
      </c>
      <c r="C10" s="2795" t="s">
        <v>348</v>
      </c>
      <c r="D10" s="2796" t="s">
        <v>2189</v>
      </c>
      <c r="E10" s="3117" t="s">
        <v>363</v>
      </c>
      <c r="F10" s="2796" t="s">
        <v>1584</v>
      </c>
      <c r="G10" s="3118" t="s">
        <v>1131</v>
      </c>
      <c r="H10" s="3119"/>
      <c r="I10" s="3139">
        <f>(430+1050+1280+570+760+1120+1150+1050+1350+670+1620+860+1540+1500+980+1850+710+1480)/1000</f>
        <v>19.97</v>
      </c>
      <c r="J10" s="2800"/>
      <c r="K10" s="3120"/>
      <c r="L10" s="3120"/>
      <c r="M10" s="3120"/>
      <c r="N10" s="3120"/>
      <c r="O10" s="3120"/>
      <c r="P10" s="3120"/>
      <c r="Q10" s="3120"/>
      <c r="R10" s="3120"/>
      <c r="S10" s="3120"/>
      <c r="T10" s="3120"/>
      <c r="U10" s="2810"/>
      <c r="V10" s="3120"/>
      <c r="W10" s="2810"/>
      <c r="X10" s="3120"/>
      <c r="Y10" s="2810"/>
      <c r="Z10" s="3120"/>
    </row>
    <row r="11" spans="1:26" ht="24" customHeight="1" x14ac:dyDescent="0.3">
      <c r="B11" s="3116"/>
      <c r="C11" s="2712" t="s">
        <v>348</v>
      </c>
      <c r="D11" s="2712" t="s">
        <v>2190</v>
      </c>
      <c r="E11" s="3121" t="s">
        <v>363</v>
      </c>
      <c r="F11" s="2712" t="s">
        <v>1585</v>
      </c>
      <c r="G11" s="3051"/>
      <c r="H11" s="3122"/>
      <c r="I11" s="3123">
        <v>0</v>
      </c>
      <c r="J11" s="3124"/>
      <c r="K11" s="2805"/>
      <c r="L11" s="2805"/>
      <c r="M11" s="2805"/>
      <c r="N11" s="2805"/>
      <c r="O11" s="2805"/>
      <c r="P11" s="2805"/>
      <c r="Q11" s="2805"/>
      <c r="R11" s="2805"/>
      <c r="S11" s="2805"/>
      <c r="T11" s="2805"/>
      <c r="U11" s="2806"/>
      <c r="V11" s="2805"/>
      <c r="W11" s="2806"/>
      <c r="X11" s="2805"/>
      <c r="Y11" s="2806"/>
      <c r="Z11" s="2805"/>
    </row>
    <row r="12" spans="1:26" ht="24" customHeight="1" x14ac:dyDescent="0.3">
      <c r="B12" s="3116"/>
      <c r="C12" s="3125"/>
      <c r="D12" s="3125"/>
      <c r="E12" s="3126"/>
      <c r="F12" s="3125"/>
      <c r="G12" s="3127"/>
      <c r="H12" s="3128"/>
      <c r="I12" s="3129"/>
      <c r="J12" s="2809"/>
      <c r="K12" s="2809"/>
      <c r="L12" s="2809"/>
      <c r="M12" s="2809"/>
      <c r="N12" s="2809"/>
      <c r="O12" s="2809"/>
      <c r="P12" s="2809"/>
      <c r="Q12" s="2809"/>
      <c r="R12" s="2809"/>
      <c r="S12" s="2809"/>
      <c r="T12" s="2809"/>
      <c r="U12" s="2810"/>
      <c r="V12" s="2809"/>
      <c r="W12" s="2810"/>
      <c r="X12" s="2809"/>
      <c r="Y12" s="2810"/>
      <c r="Z12" s="2809"/>
    </row>
    <row r="13" spans="1:26" ht="24" customHeight="1" x14ac:dyDescent="0.3">
      <c r="B13" s="3116"/>
      <c r="C13" s="3004"/>
      <c r="D13" s="3004"/>
      <c r="E13" s="3130"/>
      <c r="F13" s="3004"/>
      <c r="G13" s="3051"/>
      <c r="H13" s="3122"/>
      <c r="I13" s="3123"/>
      <c r="J13" s="2805"/>
      <c r="K13" s="2805"/>
      <c r="L13" s="2805"/>
      <c r="M13" s="2805"/>
      <c r="N13" s="2805"/>
      <c r="O13" s="2805"/>
      <c r="P13" s="2805"/>
      <c r="Q13" s="2805"/>
      <c r="R13" s="2805"/>
      <c r="S13" s="2805"/>
      <c r="T13" s="2805"/>
      <c r="U13" s="2806"/>
      <c r="V13" s="2805"/>
      <c r="W13" s="2806"/>
      <c r="X13" s="2805"/>
      <c r="Y13" s="2806"/>
      <c r="Z13" s="2805"/>
    </row>
    <row r="14" spans="1:26" ht="24" customHeight="1" x14ac:dyDescent="0.3">
      <c r="B14" s="3116"/>
      <c r="C14" s="3125"/>
      <c r="D14" s="3125"/>
      <c r="E14" s="3126"/>
      <c r="F14" s="3125"/>
      <c r="G14" s="3127"/>
      <c r="H14" s="3128"/>
      <c r="I14" s="3129"/>
      <c r="J14" s="2809"/>
      <c r="K14" s="2809"/>
      <c r="L14" s="2809"/>
      <c r="M14" s="2809"/>
      <c r="N14" s="2809"/>
      <c r="O14" s="2809"/>
      <c r="P14" s="2809"/>
      <c r="Q14" s="2809"/>
      <c r="R14" s="2809"/>
      <c r="S14" s="2809"/>
      <c r="T14" s="2809"/>
      <c r="U14" s="2810"/>
      <c r="V14" s="2809"/>
      <c r="W14" s="2810"/>
      <c r="X14" s="2809"/>
      <c r="Y14" s="2810"/>
      <c r="Z14" s="2809"/>
    </row>
    <row r="15" spans="1:26" ht="24" customHeight="1" x14ac:dyDescent="0.3">
      <c r="B15" s="3131"/>
      <c r="C15" s="3017"/>
      <c r="D15" s="3017"/>
      <c r="E15" s="3132"/>
      <c r="F15" s="3017"/>
      <c r="G15" s="3133"/>
      <c r="H15" s="3134"/>
      <c r="I15" s="3135"/>
      <c r="J15" s="2814"/>
      <c r="K15" s="2814"/>
      <c r="L15" s="2814"/>
      <c r="M15" s="2814"/>
      <c r="N15" s="2814"/>
      <c r="O15" s="2814"/>
      <c r="P15" s="2814"/>
      <c r="Q15" s="2814"/>
      <c r="R15" s="2814"/>
      <c r="S15" s="2814"/>
      <c r="T15" s="2814"/>
      <c r="U15" s="2815"/>
      <c r="V15" s="2814"/>
      <c r="W15" s="2815"/>
      <c r="X15" s="2814"/>
      <c r="Y15" s="2815"/>
      <c r="Z15" s="2814"/>
    </row>
    <row r="16" spans="1:26" ht="15.75" customHeight="1" x14ac:dyDescent="0.3"/>
    <row r="17" spans="2:3" ht="15.75" customHeight="1" x14ac:dyDescent="0.3">
      <c r="B17" s="3136" t="s">
        <v>355</v>
      </c>
      <c r="C17" s="3137" t="s">
        <v>356</v>
      </c>
    </row>
    <row r="18" spans="2:3" ht="15.75" customHeight="1" x14ac:dyDescent="0.3"/>
    <row r="19" spans="2:3" ht="15.75" customHeight="1" x14ac:dyDescent="0.3">
      <c r="B19" s="4456" t="s">
        <v>357</v>
      </c>
      <c r="C19" s="4443"/>
    </row>
    <row r="20" spans="2:3" ht="15.75" customHeight="1" x14ac:dyDescent="0.3">
      <c r="B20" s="3138" t="s">
        <v>301</v>
      </c>
    </row>
    <row r="21" spans="2:3" ht="15.75" customHeight="1" x14ac:dyDescent="0.3">
      <c r="B21" s="3138" t="s">
        <v>301</v>
      </c>
    </row>
    <row r="22" spans="2:3" ht="15.75" customHeight="1" x14ac:dyDescent="0.3"/>
    <row r="23" spans="2:3" ht="15.75" customHeight="1" x14ac:dyDescent="0.3"/>
    <row r="24" spans="2:3" ht="15.75" customHeight="1" x14ac:dyDescent="0.3"/>
    <row r="25" spans="2:3" ht="15.75" customHeight="1" x14ac:dyDescent="0.3"/>
    <row r="26" spans="2:3" ht="15.75" customHeight="1" x14ac:dyDescent="0.3"/>
    <row r="27" spans="2:3" ht="15.75" customHeight="1" x14ac:dyDescent="0.3"/>
    <row r="28" spans="2:3" ht="15.75" customHeight="1" x14ac:dyDescent="0.3"/>
    <row r="29" spans="2:3" ht="15.75" customHeight="1" x14ac:dyDescent="0.3"/>
    <row r="30" spans="2:3" ht="15.75" customHeight="1" x14ac:dyDescent="0.3"/>
    <row r="31" spans="2:3" ht="15.75" customHeight="1" x14ac:dyDescent="0.3"/>
    <row r="32" spans="2: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sheetData>
  <mergeCells count="1">
    <mergeCell ref="B19:C19"/>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7C990-3882-474F-9186-6B95AFAFB8B9}">
  <dimension ref="A1:AD892"/>
  <sheetViews>
    <sheetView topLeftCell="D4" workbookViewId="0">
      <selection activeCell="AC13" sqref="AC13"/>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5.664062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2344</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1026</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348</v>
      </c>
      <c r="D10" s="531" t="s">
        <v>370</v>
      </c>
      <c r="E10" s="532" t="s">
        <v>371</v>
      </c>
      <c r="F10" s="533"/>
      <c r="G10" s="534">
        <v>2012</v>
      </c>
      <c r="H10" s="535"/>
      <c r="I10" s="535"/>
      <c r="J10" s="540"/>
      <c r="K10" s="597"/>
      <c r="L10" s="597"/>
      <c r="M10" s="540"/>
      <c r="N10" s="597"/>
      <c r="O10" s="597"/>
      <c r="P10" s="597">
        <v>28610.67</v>
      </c>
      <c r="Q10" s="597">
        <v>32456.07</v>
      </c>
      <c r="R10" s="597">
        <v>47173.62</v>
      </c>
      <c r="S10" s="597">
        <v>35487.949999999997</v>
      </c>
      <c r="T10" s="597">
        <v>86802.51</v>
      </c>
      <c r="U10" s="598">
        <v>57529.94</v>
      </c>
      <c r="V10" s="597">
        <v>56774.19</v>
      </c>
      <c r="W10" s="542"/>
      <c r="X10" s="535"/>
      <c r="Y10" s="542"/>
      <c r="Z10" s="535"/>
      <c r="AA10" s="528"/>
      <c r="AB10" s="528"/>
      <c r="AC10" s="528"/>
      <c r="AD10" s="528"/>
    </row>
    <row r="11" spans="1:30" ht="24" customHeight="1" x14ac:dyDescent="0.3">
      <c r="A11" s="528"/>
      <c r="B11" s="529"/>
      <c r="C11" s="453" t="s">
        <v>348</v>
      </c>
      <c r="D11" s="453" t="s">
        <v>372</v>
      </c>
      <c r="E11" s="543" t="s">
        <v>373</v>
      </c>
      <c r="F11" s="506"/>
      <c r="G11" s="496"/>
      <c r="H11" s="544"/>
      <c r="I11" s="544"/>
      <c r="J11" s="547"/>
      <c r="K11" s="599"/>
      <c r="L11" s="599"/>
      <c r="M11" s="599"/>
      <c r="N11" s="599"/>
      <c r="O11" s="599"/>
      <c r="P11" s="599">
        <v>0.754</v>
      </c>
      <c r="Q11" s="599">
        <v>0.61199999999999999</v>
      </c>
      <c r="R11" s="599">
        <v>0.753</v>
      </c>
      <c r="S11" s="599">
        <v>0.83330000000000004</v>
      </c>
      <c r="T11" s="599">
        <v>1.008</v>
      </c>
      <c r="U11" s="600">
        <v>0.95</v>
      </c>
      <c r="V11" s="599">
        <v>0.95</v>
      </c>
      <c r="W11" s="548"/>
      <c r="X11" s="544"/>
      <c r="Y11" s="548"/>
      <c r="Z11" s="544"/>
      <c r="AA11" s="528"/>
      <c r="AB11" s="528"/>
      <c r="AC11" s="528"/>
      <c r="AD11" s="528"/>
    </row>
    <row r="12" spans="1:30" ht="30" customHeight="1" x14ac:dyDescent="0.3">
      <c r="A12" s="528"/>
      <c r="B12" s="529"/>
      <c r="C12" s="531" t="s">
        <v>374</v>
      </c>
      <c r="D12" s="531" t="s">
        <v>375</v>
      </c>
      <c r="E12" s="532" t="s">
        <v>350</v>
      </c>
      <c r="F12" s="533" t="s">
        <v>376</v>
      </c>
      <c r="G12" s="549"/>
      <c r="H12" s="550"/>
      <c r="I12" s="602">
        <v>21242.7</v>
      </c>
      <c r="J12" s="603">
        <v>35308.6</v>
      </c>
      <c r="K12" s="603">
        <v>36652.6</v>
      </c>
      <c r="L12" s="603">
        <v>20164.3</v>
      </c>
      <c r="M12" s="603">
        <v>50351.6</v>
      </c>
      <c r="N12" s="603">
        <v>36425.300000000003</v>
      </c>
      <c r="O12" s="603">
        <v>43419.3</v>
      </c>
      <c r="P12" s="603">
        <v>37945.185676392568</v>
      </c>
      <c r="Q12" s="603">
        <v>53032.794117647056</v>
      </c>
      <c r="R12" s="603">
        <v>62647.569721115542</v>
      </c>
      <c r="S12" s="603">
        <v>42587.243489739587</v>
      </c>
      <c r="T12" s="603">
        <v>86113.601190476184</v>
      </c>
      <c r="U12" s="598">
        <v>60557.831578947371</v>
      </c>
      <c r="V12" s="603">
        <v>59762.305263157898</v>
      </c>
      <c r="W12" s="542"/>
      <c r="X12" s="550"/>
      <c r="Y12" s="542"/>
      <c r="Z12" s="550"/>
      <c r="AA12" s="528"/>
      <c r="AB12" s="528"/>
      <c r="AC12" s="528"/>
      <c r="AD12" s="528"/>
    </row>
    <row r="13" spans="1:30" ht="30" customHeight="1" x14ac:dyDescent="0.3">
      <c r="A13" s="528"/>
      <c r="B13" s="529"/>
      <c r="C13" s="453" t="s">
        <v>374</v>
      </c>
      <c r="D13" s="453" t="s">
        <v>377</v>
      </c>
      <c r="E13" s="543" t="s">
        <v>378</v>
      </c>
      <c r="F13" s="506"/>
      <c r="G13" s="496"/>
      <c r="H13" s="544"/>
      <c r="I13" s="544">
        <v>817843.95000000007</v>
      </c>
      <c r="J13" s="599">
        <v>1359381.0999999999</v>
      </c>
      <c r="K13" s="599">
        <v>1411125.0999999999</v>
      </c>
      <c r="L13" s="599">
        <v>776325.54999999993</v>
      </c>
      <c r="M13" s="599">
        <v>1938536.5999999999</v>
      </c>
      <c r="N13" s="599">
        <v>1402374.05</v>
      </c>
      <c r="O13" s="599">
        <v>1671643.05</v>
      </c>
      <c r="P13" s="599">
        <v>1460889.6485411138</v>
      </c>
      <c r="Q13" s="599">
        <v>2041762.5735294116</v>
      </c>
      <c r="R13" s="599">
        <v>2411931.4342629486</v>
      </c>
      <c r="S13" s="599">
        <v>1639608.8743549741</v>
      </c>
      <c r="T13" s="599">
        <v>3315373.645833333</v>
      </c>
      <c r="U13" s="600">
        <v>2331476.5157894739</v>
      </c>
      <c r="V13" s="599">
        <v>2300848.7526315791</v>
      </c>
      <c r="W13" s="548"/>
      <c r="X13" s="544"/>
      <c r="Y13" s="548"/>
      <c r="Z13" s="544"/>
      <c r="AA13" s="528"/>
      <c r="AB13" s="528"/>
      <c r="AC13" s="528"/>
      <c r="AD13" s="528"/>
    </row>
    <row r="14" spans="1:30" ht="24" customHeight="1" x14ac:dyDescent="0.3">
      <c r="A14" s="528"/>
      <c r="B14" s="529"/>
      <c r="C14" s="531" t="s">
        <v>348</v>
      </c>
      <c r="D14" s="531" t="s">
        <v>379</v>
      </c>
      <c r="E14" s="532" t="s">
        <v>371</v>
      </c>
      <c r="F14" s="533"/>
      <c r="G14" s="549"/>
      <c r="H14" s="550"/>
      <c r="I14" s="550"/>
      <c r="J14" s="603"/>
      <c r="K14" s="603"/>
      <c r="L14" s="603"/>
      <c r="M14" s="603"/>
      <c r="N14" s="603"/>
      <c r="O14" s="603"/>
      <c r="P14" s="603">
        <v>23376.71</v>
      </c>
      <c r="Q14" s="603">
        <v>34295</v>
      </c>
      <c r="R14" s="603">
        <v>26265.47</v>
      </c>
      <c r="S14" s="603">
        <v>32652.3</v>
      </c>
      <c r="T14" s="603">
        <v>17296.02</v>
      </c>
      <c r="U14" s="598">
        <v>0</v>
      </c>
      <c r="V14" s="603">
        <v>0</v>
      </c>
      <c r="W14" s="542"/>
      <c r="X14" s="550"/>
      <c r="Y14" s="542"/>
      <c r="Z14" s="550"/>
      <c r="AA14" s="528"/>
      <c r="AB14" s="528"/>
      <c r="AC14" s="528"/>
      <c r="AD14" s="528"/>
    </row>
    <row r="15" spans="1:30" ht="24" customHeight="1" x14ac:dyDescent="0.3">
      <c r="A15" s="528"/>
      <c r="B15" s="529"/>
      <c r="C15" s="453" t="s">
        <v>348</v>
      </c>
      <c r="D15" s="453" t="s">
        <v>380</v>
      </c>
      <c r="E15" s="543" t="s">
        <v>381</v>
      </c>
      <c r="F15" s="506"/>
      <c r="G15" s="496"/>
      <c r="H15" s="544"/>
      <c r="I15" s="544"/>
      <c r="J15" s="599"/>
      <c r="K15" s="599"/>
      <c r="L15" s="599"/>
      <c r="M15" s="599"/>
      <c r="N15" s="599"/>
      <c r="O15" s="599"/>
      <c r="P15" s="599">
        <v>75</v>
      </c>
      <c r="Q15" s="599">
        <v>75</v>
      </c>
      <c r="R15" s="599">
        <v>75</v>
      </c>
      <c r="S15" s="599">
        <v>75</v>
      </c>
      <c r="T15" s="599">
        <v>75</v>
      </c>
      <c r="U15" s="600">
        <v>75</v>
      </c>
      <c r="V15" s="599">
        <v>75</v>
      </c>
      <c r="W15" s="548"/>
      <c r="X15" s="544"/>
      <c r="Y15" s="548"/>
      <c r="Z15" s="544"/>
      <c r="AA15" s="528"/>
      <c r="AB15" s="528"/>
      <c r="AC15" s="528"/>
      <c r="AD15" s="528"/>
    </row>
    <row r="16" spans="1:30" ht="24" customHeight="1" x14ac:dyDescent="0.3">
      <c r="A16" s="528"/>
      <c r="B16" s="529"/>
      <c r="C16" s="531" t="s">
        <v>374</v>
      </c>
      <c r="D16" s="531" t="s">
        <v>382</v>
      </c>
      <c r="E16" s="532" t="s">
        <v>383</v>
      </c>
      <c r="F16" s="533" t="s">
        <v>376</v>
      </c>
      <c r="G16" s="549"/>
      <c r="H16" s="550"/>
      <c r="I16" s="550">
        <v>161.654</v>
      </c>
      <c r="J16" s="603"/>
      <c r="K16" s="603">
        <v>209.85900000000001</v>
      </c>
      <c r="L16" s="603">
        <v>146.31399999999999</v>
      </c>
      <c r="M16" s="603">
        <v>170.773</v>
      </c>
      <c r="N16" s="603">
        <v>230.215</v>
      </c>
      <c r="O16" s="603">
        <v>488.18</v>
      </c>
      <c r="P16" s="603">
        <v>311.68946666666665</v>
      </c>
      <c r="Q16" s="603">
        <v>457.26666666666665</v>
      </c>
      <c r="R16" s="603">
        <v>350.20626666666669</v>
      </c>
      <c r="S16" s="603">
        <v>435.36399999999998</v>
      </c>
      <c r="T16" s="603">
        <v>230.61360000000002</v>
      </c>
      <c r="U16" s="598">
        <v>0</v>
      </c>
      <c r="V16" s="603">
        <v>0</v>
      </c>
      <c r="W16" s="542"/>
      <c r="X16" s="550"/>
      <c r="Y16" s="542"/>
      <c r="Z16" s="550"/>
      <c r="AA16" s="528"/>
      <c r="AB16" s="528"/>
      <c r="AC16" s="528"/>
      <c r="AD16" s="528"/>
    </row>
    <row r="17" spans="1:30" ht="24" customHeight="1" x14ac:dyDescent="0.3">
      <c r="A17" s="528"/>
      <c r="B17" s="529"/>
      <c r="C17" s="531"/>
      <c r="D17" s="531" t="s">
        <v>384</v>
      </c>
      <c r="E17" s="532" t="s">
        <v>385</v>
      </c>
      <c r="F17" s="533"/>
      <c r="G17" s="549"/>
      <c r="H17" s="550"/>
      <c r="I17" s="602">
        <f>I16*1000</f>
        <v>161654</v>
      </c>
      <c r="J17" s="603"/>
      <c r="K17" s="603"/>
      <c r="L17" s="603"/>
      <c r="M17" s="603"/>
      <c r="N17" s="603"/>
      <c r="O17" s="603"/>
      <c r="P17" s="603"/>
      <c r="Q17" s="603"/>
      <c r="R17" s="603"/>
      <c r="S17" s="603"/>
      <c r="T17" s="603"/>
      <c r="U17" s="598"/>
      <c r="V17" s="603"/>
      <c r="W17" s="542"/>
      <c r="X17" s="550"/>
      <c r="Y17" s="542"/>
      <c r="Z17" s="550"/>
      <c r="AA17" s="528"/>
      <c r="AB17" s="528"/>
      <c r="AC17" s="528"/>
      <c r="AD17" s="528"/>
    </row>
    <row r="18" spans="1:30" ht="24" customHeight="1" x14ac:dyDescent="0.3">
      <c r="A18" s="528"/>
      <c r="B18" s="529"/>
      <c r="C18" s="453" t="s">
        <v>374</v>
      </c>
      <c r="D18" s="453" t="s">
        <v>386</v>
      </c>
      <c r="E18" s="543" t="s">
        <v>378</v>
      </c>
      <c r="F18" s="506"/>
      <c r="G18" s="496"/>
      <c r="H18" s="544"/>
      <c r="I18" s="544">
        <v>3103756.8</v>
      </c>
      <c r="J18" s="599">
        <v>3053241.5999999996</v>
      </c>
      <c r="K18" s="599">
        <v>4029292.8000000003</v>
      </c>
      <c r="L18" s="599">
        <v>2809228.8</v>
      </c>
      <c r="M18" s="599">
        <v>3278841.5999999996</v>
      </c>
      <c r="N18" s="599">
        <v>4420128</v>
      </c>
      <c r="O18" s="599">
        <v>9373056</v>
      </c>
      <c r="P18" s="599">
        <v>5984437.7599999998</v>
      </c>
      <c r="Q18" s="599">
        <v>8779519.9999999981</v>
      </c>
      <c r="R18" s="599">
        <v>6723960.3200000003</v>
      </c>
      <c r="S18" s="599">
        <v>8358988.7999999989</v>
      </c>
      <c r="T18" s="599">
        <v>4427781.12</v>
      </c>
      <c r="U18" s="600">
        <v>0</v>
      </c>
      <c r="V18" s="599">
        <v>0</v>
      </c>
      <c r="W18" s="548"/>
      <c r="X18" s="544"/>
      <c r="Y18" s="548"/>
      <c r="Z18" s="544"/>
      <c r="AA18" s="528"/>
      <c r="AB18" s="528"/>
      <c r="AC18" s="528"/>
      <c r="AD18" s="528"/>
    </row>
    <row r="19" spans="1:30" ht="24" customHeight="1" x14ac:dyDescent="0.3">
      <c r="A19" s="528"/>
      <c r="B19" s="529"/>
      <c r="C19" s="531" t="s">
        <v>374</v>
      </c>
      <c r="D19" s="531" t="s">
        <v>387</v>
      </c>
      <c r="E19" s="532" t="s">
        <v>378</v>
      </c>
      <c r="F19" s="533"/>
      <c r="G19" s="551"/>
      <c r="H19" s="550"/>
      <c r="I19" s="550">
        <f>I18+I13</f>
        <v>3921600.75</v>
      </c>
      <c r="J19" s="603">
        <v>4412622.6999999993</v>
      </c>
      <c r="K19" s="603">
        <v>5440417.9000000004</v>
      </c>
      <c r="L19" s="603">
        <v>3585554.3499999996</v>
      </c>
      <c r="M19" s="603">
        <v>5217378.1999999993</v>
      </c>
      <c r="N19" s="603">
        <v>5822502.0499999998</v>
      </c>
      <c r="O19" s="603">
        <v>11044699.050000001</v>
      </c>
      <c r="P19" s="603">
        <v>7445327.4085411131</v>
      </c>
      <c r="Q19" s="603">
        <v>10821282.573529409</v>
      </c>
      <c r="R19" s="603">
        <v>9135891.7542629484</v>
      </c>
      <c r="S19" s="603">
        <v>9998597.6743549723</v>
      </c>
      <c r="T19" s="603">
        <v>7743154.7658333331</v>
      </c>
      <c r="U19" s="598">
        <v>2331476.5157894739</v>
      </c>
      <c r="V19" s="603">
        <v>2300848.7526315791</v>
      </c>
      <c r="W19" s="542"/>
      <c r="X19" s="550"/>
      <c r="Y19" s="542"/>
      <c r="Z19" s="550"/>
      <c r="AA19" s="528"/>
      <c r="AB19" s="528"/>
      <c r="AC19" s="528"/>
      <c r="AD19" s="528"/>
    </row>
    <row r="20" spans="1:30" ht="24" customHeight="1" x14ac:dyDescent="0.3">
      <c r="A20" s="528"/>
      <c r="B20" s="552"/>
      <c r="C20" s="462" t="s">
        <v>374</v>
      </c>
      <c r="D20" s="462" t="s">
        <v>388</v>
      </c>
      <c r="E20" s="553" t="s">
        <v>350</v>
      </c>
      <c r="F20" s="554"/>
      <c r="G20" s="555"/>
      <c r="H20" s="556"/>
      <c r="I20" s="679">
        <v>101859.75974025975</v>
      </c>
      <c r="J20" s="604">
        <v>114613.5766233766</v>
      </c>
      <c r="K20" s="604">
        <v>141309.55584415587</v>
      </c>
      <c r="L20" s="604">
        <v>93131.281818181815</v>
      </c>
      <c r="M20" s="604">
        <v>135516.31688311687</v>
      </c>
      <c r="N20" s="604">
        <v>151233.81948051948</v>
      </c>
      <c r="O20" s="604">
        <v>286875.30000000005</v>
      </c>
      <c r="P20" s="604">
        <v>193385.12749457438</v>
      </c>
      <c r="Q20" s="604">
        <v>281072.27463712753</v>
      </c>
      <c r="R20" s="604">
        <v>237295.88972111556</v>
      </c>
      <c r="S20" s="604">
        <v>259703.83569753176</v>
      </c>
      <c r="T20" s="604">
        <v>201120.903008658</v>
      </c>
      <c r="U20" s="605">
        <v>60557.831578947371</v>
      </c>
      <c r="V20" s="604">
        <v>59762.305263157898</v>
      </c>
      <c r="W20" s="557"/>
      <c r="X20" s="556"/>
      <c r="Y20" s="557"/>
      <c r="Z20" s="556"/>
      <c r="AA20" s="528"/>
      <c r="AB20" s="528"/>
      <c r="AC20" s="528"/>
      <c r="AD20" s="528"/>
    </row>
    <row r="21" spans="1:30" ht="15.75" customHeight="1" x14ac:dyDescent="0.3">
      <c r="A21" s="528"/>
      <c r="B21" s="558"/>
      <c r="C21" s="528"/>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560" t="s">
        <v>355</v>
      </c>
      <c r="C22" s="561" t="s">
        <v>356</v>
      </c>
      <c r="D22" s="528"/>
      <c r="E22" s="528"/>
      <c r="F22" s="528"/>
      <c r="G22" s="479"/>
      <c r="H22" s="479"/>
      <c r="I22" s="479"/>
      <c r="J22" s="479"/>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558"/>
      <c r="C23" s="528"/>
      <c r="D23" s="528"/>
      <c r="E23" s="528"/>
      <c r="F23" s="528"/>
      <c r="G23" s="479"/>
      <c r="H23" s="479"/>
      <c r="I23" s="479"/>
      <c r="J23" s="479"/>
      <c r="K23" s="479"/>
      <c r="L23" s="479"/>
      <c r="M23" s="559"/>
      <c r="N23" s="559"/>
      <c r="O23" s="559"/>
      <c r="P23" s="559"/>
      <c r="Q23" s="559"/>
      <c r="R23" s="559"/>
      <c r="S23" s="559"/>
      <c r="T23" s="559"/>
      <c r="U23" s="559"/>
      <c r="V23" s="559"/>
      <c r="W23" s="559"/>
      <c r="X23" s="559"/>
      <c r="Y23" s="559"/>
      <c r="Z23" s="559"/>
      <c r="AA23" s="528"/>
      <c r="AB23" s="528"/>
      <c r="AC23" s="528"/>
      <c r="AD23" s="528"/>
    </row>
    <row r="24" spans="1:30" ht="15.75" customHeight="1" x14ac:dyDescent="0.3">
      <c r="A24" s="528"/>
      <c r="B24" s="4383" t="s">
        <v>357</v>
      </c>
      <c r="C24" s="4384"/>
      <c r="D24" s="528"/>
      <c r="E24" s="528"/>
      <c r="F24" s="528"/>
      <c r="G24" s="479"/>
      <c r="H24" s="479"/>
      <c r="I24" s="479"/>
      <c r="J24" s="479"/>
      <c r="K24" s="479"/>
      <c r="L24" s="479"/>
      <c r="M24" s="559"/>
      <c r="N24" s="559"/>
      <c r="O24" s="559"/>
      <c r="P24" s="559"/>
      <c r="Q24" s="559"/>
      <c r="R24" s="559"/>
      <c r="S24" s="559"/>
      <c r="T24" s="559"/>
      <c r="U24" s="559"/>
      <c r="V24" s="559"/>
      <c r="W24" s="559"/>
      <c r="X24" s="559"/>
      <c r="Y24" s="559"/>
      <c r="Z24" s="559"/>
      <c r="AA24" s="528"/>
      <c r="AB24" s="528"/>
      <c r="AC24" s="528"/>
      <c r="AD24" s="528"/>
    </row>
    <row r="25" spans="1:30" ht="15.75" customHeight="1" x14ac:dyDescent="0.3">
      <c r="A25" s="528"/>
      <c r="B25" s="562" t="s">
        <v>365</v>
      </c>
      <c r="C25" s="528" t="s">
        <v>389</v>
      </c>
      <c r="D25" s="528" t="s">
        <v>390</v>
      </c>
      <c r="E25" s="528"/>
      <c r="F25" s="528"/>
      <c r="G25" s="479"/>
      <c r="H25" s="479"/>
      <c r="I25" s="479"/>
      <c r="J25" s="479"/>
      <c r="K25" s="479"/>
      <c r="L25" s="479"/>
      <c r="M25" s="559"/>
      <c r="N25" s="559"/>
      <c r="O25" s="559"/>
      <c r="P25" s="559"/>
      <c r="Q25" s="559"/>
      <c r="R25" s="559"/>
      <c r="S25" s="559"/>
      <c r="T25" s="559"/>
      <c r="U25" s="559"/>
      <c r="V25" s="559"/>
      <c r="W25" s="559"/>
      <c r="X25" s="559"/>
      <c r="Y25" s="559"/>
      <c r="Z25" s="559"/>
      <c r="AA25" s="528"/>
      <c r="AB25" s="528"/>
      <c r="AC25" s="528"/>
      <c r="AD25" s="528"/>
    </row>
    <row r="26" spans="1:30" ht="15.75" customHeight="1" x14ac:dyDescent="0.3">
      <c r="A26" s="528"/>
      <c r="B26" s="562"/>
      <c r="C26" s="606">
        <v>110</v>
      </c>
      <c r="D26" s="528" t="s">
        <v>1929</v>
      </c>
      <c r="E26" s="528"/>
      <c r="F26" s="528"/>
      <c r="G26" s="479"/>
      <c r="H26" s="479"/>
      <c r="I26" s="479"/>
      <c r="J26" s="479"/>
      <c r="K26" s="479"/>
      <c r="L26" s="479"/>
      <c r="M26" s="559"/>
      <c r="N26" s="559"/>
      <c r="O26" s="559"/>
      <c r="P26" s="559"/>
      <c r="Q26" s="559"/>
      <c r="R26" s="559"/>
      <c r="S26" s="559"/>
      <c r="T26" s="559"/>
      <c r="U26" s="559"/>
      <c r="V26" s="559"/>
      <c r="W26" s="559"/>
      <c r="X26" s="559"/>
      <c r="Y26" s="559"/>
      <c r="Z26" s="559"/>
      <c r="AA26" s="528"/>
      <c r="AB26" s="528"/>
      <c r="AC26" s="528"/>
      <c r="AD26" s="528"/>
    </row>
    <row r="27" spans="1:30" ht="15.75" customHeight="1" x14ac:dyDescent="0.3">
      <c r="C27" s="428">
        <v>75</v>
      </c>
      <c r="D27" s="428" t="s">
        <v>1928</v>
      </c>
    </row>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sheetData>
  <mergeCells count="1">
    <mergeCell ref="B24:C2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BC827-8F4A-4516-8935-E8BD17F03CFB}">
  <dimension ref="A1:K991"/>
  <sheetViews>
    <sheetView topLeftCell="A21" workbookViewId="0">
      <selection activeCell="C30" sqref="C30"/>
    </sheetView>
  </sheetViews>
  <sheetFormatPr defaultColWidth="12.44140625" defaultRowHeight="15" customHeight="1" x14ac:dyDescent="0.3"/>
  <cols>
    <col min="1" max="1" width="2.6640625" style="428" customWidth="1"/>
    <col min="2" max="2" width="35.109375" style="428" customWidth="1"/>
    <col min="3" max="3" width="22.6640625" style="428" customWidth="1"/>
    <col min="4" max="4" width="1.5546875" style="428" customWidth="1"/>
    <col min="5" max="5" width="14.6640625" style="428" customWidth="1"/>
    <col min="6" max="6" width="7.33203125" style="428" customWidth="1"/>
    <col min="7" max="7" width="34" style="428" customWidth="1"/>
    <col min="8" max="8" width="23.109375" style="428" customWidth="1"/>
    <col min="9" max="9" width="1.5546875" style="428" customWidth="1"/>
    <col min="10" max="10" width="15.21875" style="428" customWidth="1"/>
    <col min="11" max="11" width="11.6640625" style="428" customWidth="1"/>
    <col min="12" max="16384" width="12.44140625" style="428"/>
  </cols>
  <sheetData>
    <row r="1" spans="1:11" ht="21.75" customHeight="1" x14ac:dyDescent="0.35">
      <c r="A1" s="424"/>
      <c r="B1" s="425" t="s">
        <v>549</v>
      </c>
      <c r="D1" s="427"/>
      <c r="F1" s="427"/>
      <c r="I1" s="427"/>
    </row>
    <row r="2" spans="1:11" ht="15.75" customHeight="1" x14ac:dyDescent="0.3">
      <c r="A2" s="424"/>
      <c r="B2" s="429" t="s">
        <v>299</v>
      </c>
      <c r="C2" s="430"/>
      <c r="D2" s="430"/>
      <c r="E2" s="430"/>
      <c r="F2" s="430"/>
      <c r="G2" s="430"/>
      <c r="H2" s="430"/>
      <c r="I2" s="430"/>
      <c r="J2" s="430"/>
    </row>
    <row r="3" spans="1:11" ht="9.75" customHeight="1" x14ac:dyDescent="0.3">
      <c r="A3" s="427"/>
      <c r="B3" s="431"/>
      <c r="D3" s="427"/>
      <c r="F3" s="427"/>
      <c r="I3" s="427"/>
    </row>
    <row r="4" spans="1:11" ht="6" customHeight="1" x14ac:dyDescent="0.3">
      <c r="B4" s="427"/>
      <c r="D4" s="427"/>
      <c r="F4" s="427"/>
      <c r="I4" s="427"/>
    </row>
    <row r="5" spans="1:11" ht="6" customHeight="1" x14ac:dyDescent="0.3">
      <c r="A5" s="431"/>
      <c r="D5" s="427"/>
      <c r="F5" s="427"/>
      <c r="I5" s="427"/>
    </row>
    <row r="6" spans="1:11" ht="15.75" customHeight="1" x14ac:dyDescent="0.3">
      <c r="C6" s="428">
        <v>1000000</v>
      </c>
      <c r="D6" s="427"/>
      <c r="E6" s="427"/>
      <c r="F6" s="427"/>
      <c r="I6" s="427"/>
    </row>
    <row r="7" spans="1:11" ht="37.200000000000003" customHeight="1" x14ac:dyDescent="0.3">
      <c r="A7" s="432"/>
      <c r="B7" s="433">
        <v>2024</v>
      </c>
      <c r="C7" s="607"/>
      <c r="D7" s="432"/>
      <c r="E7" s="435" t="s">
        <v>300</v>
      </c>
      <c r="F7" s="432"/>
      <c r="G7" s="433">
        <v>2024</v>
      </c>
      <c r="H7" s="608"/>
      <c r="I7" s="609"/>
      <c r="J7" s="435" t="s">
        <v>300</v>
      </c>
      <c r="K7" s="432"/>
    </row>
    <row r="8" spans="1:11" ht="18" customHeight="1" x14ac:dyDescent="0.35">
      <c r="B8" s="436" t="s">
        <v>301</v>
      </c>
      <c r="C8" s="572">
        <v>1</v>
      </c>
      <c r="D8" s="427"/>
      <c r="E8" s="438"/>
      <c r="F8" s="427"/>
      <c r="G8" s="436" t="s">
        <v>301</v>
      </c>
      <c r="H8" s="572">
        <v>1</v>
      </c>
      <c r="I8" s="610"/>
      <c r="J8" s="438"/>
    </row>
    <row r="9" spans="1:11" ht="46.5" customHeight="1" x14ac:dyDescent="0.3">
      <c r="B9" s="439" t="s">
        <v>302</v>
      </c>
      <c r="C9" s="573" t="s">
        <v>391</v>
      </c>
      <c r="D9" s="574"/>
      <c r="E9" s="442"/>
      <c r="F9" s="443"/>
      <c r="G9" s="439" t="s">
        <v>302</v>
      </c>
      <c r="H9" s="573" t="s">
        <v>392</v>
      </c>
      <c r="I9" s="611"/>
      <c r="J9" s="442"/>
    </row>
    <row r="10" spans="1:11" ht="46.5" customHeight="1" x14ac:dyDescent="0.3">
      <c r="B10" s="444" t="s">
        <v>304</v>
      </c>
      <c r="C10" s="445" t="s">
        <v>393</v>
      </c>
      <c r="D10" s="574"/>
      <c r="E10" s="446"/>
      <c r="F10" s="443"/>
      <c r="G10" s="444" t="s">
        <v>304</v>
      </c>
      <c r="H10" s="445" t="s">
        <v>394</v>
      </c>
      <c r="I10" s="612"/>
      <c r="J10" s="446"/>
    </row>
    <row r="11" spans="1:11" ht="18.75" customHeight="1" x14ac:dyDescent="0.3">
      <c r="A11" s="447"/>
      <c r="B11" s="448" t="s">
        <v>306</v>
      </c>
      <c r="C11" s="575">
        <f>C17*C18</f>
        <v>271.43105481999999</v>
      </c>
      <c r="D11" s="576"/>
      <c r="E11" s="451">
        <f>SUM(C11:C11)</f>
        <v>271.43105481999999</v>
      </c>
      <c r="F11" s="452"/>
      <c r="G11" s="448" t="s">
        <v>306</v>
      </c>
      <c r="H11" s="613">
        <f>H17*H18</f>
        <v>97.538160011732984</v>
      </c>
      <c r="I11" s="614"/>
      <c r="J11" s="451">
        <f>SUM(H11:H11)</f>
        <v>97.538160011732984</v>
      </c>
      <c r="K11" s="447"/>
    </row>
    <row r="12" spans="1:11" ht="18.75" customHeight="1" x14ac:dyDescent="0.3">
      <c r="A12" s="447"/>
      <c r="B12" s="453" t="s">
        <v>307</v>
      </c>
      <c r="C12" s="577">
        <f>(C22*C23)+(C27*C28)</f>
        <v>218.91641501879997</v>
      </c>
      <c r="D12" s="455"/>
      <c r="E12" s="456">
        <f>SUM(C12:C12)</f>
        <v>218.91641501879997</v>
      </c>
      <c r="F12" s="457"/>
      <c r="G12" s="453" t="s">
        <v>307</v>
      </c>
      <c r="H12" s="577">
        <f t="shared" ref="H12" si="0">(H22*H23)+(H27*H28)</f>
        <v>0</v>
      </c>
      <c r="I12" s="614"/>
      <c r="J12" s="456">
        <f>SUM(H12:H12)</f>
        <v>0</v>
      </c>
      <c r="K12" s="447"/>
    </row>
    <row r="13" spans="1:11" ht="18.75" customHeight="1" x14ac:dyDescent="0.3">
      <c r="A13" s="447"/>
      <c r="B13" s="448" t="s">
        <v>308</v>
      </c>
      <c r="C13" s="578" t="s">
        <v>8</v>
      </c>
      <c r="D13" s="459"/>
      <c r="E13" s="460"/>
      <c r="F13" s="461"/>
      <c r="G13" s="448" t="s">
        <v>308</v>
      </c>
      <c r="H13" s="578" t="s">
        <v>8</v>
      </c>
      <c r="I13" s="615"/>
      <c r="J13" s="460"/>
      <c r="K13" s="447"/>
    </row>
    <row r="14" spans="1:11" ht="18.75" customHeight="1" x14ac:dyDescent="0.3">
      <c r="A14" s="447"/>
      <c r="B14" s="462" t="s">
        <v>309</v>
      </c>
      <c r="C14" s="579">
        <f t="shared" ref="C14" si="1">C11-C12</f>
        <v>52.514639801200019</v>
      </c>
      <c r="D14" s="455"/>
      <c r="E14" s="464">
        <f>SUM(C14:C14)</f>
        <v>52.514639801200019</v>
      </c>
      <c r="F14" s="457"/>
      <c r="G14" s="462" t="s">
        <v>309</v>
      </c>
      <c r="H14" s="579">
        <f t="shared" ref="H14" si="2">H11-H12</f>
        <v>97.538160011732984</v>
      </c>
      <c r="I14" s="614"/>
      <c r="J14" s="464">
        <f>SUM(H14:H14)</f>
        <v>97.538160011732984</v>
      </c>
      <c r="K14" s="447"/>
    </row>
    <row r="15" spans="1:11" ht="19.5" customHeight="1" x14ac:dyDescent="0.4">
      <c r="B15" s="465" t="s">
        <v>310</v>
      </c>
      <c r="C15" s="580"/>
      <c r="D15" s="467"/>
      <c r="E15" s="468"/>
      <c r="F15" s="467"/>
      <c r="G15" s="616" t="s">
        <v>395</v>
      </c>
      <c r="H15" s="617"/>
      <c r="I15" s="618"/>
      <c r="J15" s="468"/>
      <c r="K15" s="427"/>
    </row>
    <row r="16" spans="1:11" ht="35.4" customHeight="1" x14ac:dyDescent="0.3">
      <c r="A16" s="447"/>
      <c r="B16" s="469" t="s">
        <v>311</v>
      </c>
      <c r="C16" s="601" t="s">
        <v>396</v>
      </c>
      <c r="D16" s="581"/>
      <c r="E16" s="471"/>
      <c r="F16" s="457"/>
      <c r="G16" s="469" t="s">
        <v>311</v>
      </c>
      <c r="H16" s="601" t="s">
        <v>397</v>
      </c>
      <c r="I16" s="619"/>
      <c r="J16" s="620"/>
      <c r="K16" s="447"/>
    </row>
    <row r="17" spans="1:11" ht="21" customHeight="1" x14ac:dyDescent="0.3">
      <c r="A17" s="447"/>
      <c r="B17" s="472" t="s">
        <v>313</v>
      </c>
      <c r="C17" s="582">
        <f>'CF-0105|GDS'!T10</f>
        <v>176335</v>
      </c>
      <c r="D17" s="583"/>
      <c r="F17" s="475"/>
      <c r="G17" s="472" t="s">
        <v>398</v>
      </c>
      <c r="H17" s="621">
        <f>'CF-0105|GDS'!I31</f>
        <v>135.41999999999999</v>
      </c>
      <c r="I17" s="622"/>
      <c r="J17" s="623"/>
      <c r="K17" s="447"/>
    </row>
    <row r="18" spans="1:11" ht="18.75" customHeight="1" x14ac:dyDescent="0.3">
      <c r="A18" s="447"/>
      <c r="B18" s="476" t="s">
        <v>314</v>
      </c>
      <c r="C18" s="584">
        <v>1.5392919999999998E-3</v>
      </c>
      <c r="D18" s="478"/>
      <c r="F18" s="479"/>
      <c r="G18" s="476" t="s">
        <v>314</v>
      </c>
      <c r="H18" s="584">
        <v>0.72026406743267601</v>
      </c>
      <c r="I18" s="614"/>
      <c r="J18" s="491"/>
      <c r="K18" s="647"/>
    </row>
    <row r="19" spans="1:11" ht="19.5" customHeight="1" x14ac:dyDescent="0.3">
      <c r="A19" s="447"/>
      <c r="B19" s="480" t="s">
        <v>315</v>
      </c>
      <c r="C19" s="585">
        <f>C17*C18</f>
        <v>271.43105481999999</v>
      </c>
      <c r="D19" s="586"/>
      <c r="F19" s="479"/>
      <c r="G19" s="480" t="s">
        <v>315</v>
      </c>
      <c r="H19" s="585">
        <f>H17*H18</f>
        <v>97.538160011732984</v>
      </c>
      <c r="I19" s="614"/>
      <c r="J19" s="494"/>
      <c r="K19" s="447"/>
    </row>
    <row r="20" spans="1:11" ht="21" customHeight="1" x14ac:dyDescent="0.4">
      <c r="B20" s="465" t="s">
        <v>316</v>
      </c>
      <c r="C20" s="587"/>
      <c r="D20" s="483"/>
      <c r="E20" s="484"/>
      <c r="F20" s="483"/>
      <c r="G20" s="465" t="s">
        <v>316</v>
      </c>
      <c r="H20" s="587"/>
      <c r="I20" s="618"/>
      <c r="J20" s="495"/>
    </row>
    <row r="21" spans="1:11" ht="32.4" customHeight="1" x14ac:dyDescent="0.3">
      <c r="A21" s="447"/>
      <c r="B21" s="469" t="s">
        <v>183</v>
      </c>
      <c r="C21" s="601" t="s">
        <v>361</v>
      </c>
      <c r="D21" s="588"/>
      <c r="E21" s="485"/>
      <c r="F21" s="479"/>
      <c r="G21" s="469" t="s">
        <v>183</v>
      </c>
      <c r="H21" s="601" t="s">
        <v>399</v>
      </c>
      <c r="I21" s="614"/>
      <c r="J21" s="496"/>
      <c r="K21" s="447"/>
    </row>
    <row r="22" spans="1:11" ht="21" customHeight="1" x14ac:dyDescent="0.3">
      <c r="A22" s="447"/>
      <c r="B22" s="486" t="s">
        <v>369</v>
      </c>
      <c r="C22" s="589">
        <v>0</v>
      </c>
      <c r="D22" s="479"/>
      <c r="E22" s="488"/>
      <c r="F22" s="479"/>
      <c r="G22" s="486" t="s">
        <v>398</v>
      </c>
      <c r="H22" s="589">
        <f>H17</f>
        <v>135.41999999999999</v>
      </c>
      <c r="I22" s="622"/>
      <c r="J22" s="623"/>
      <c r="K22" s="447"/>
    </row>
    <row r="23" spans="1:11" ht="21" customHeight="1" x14ac:dyDescent="0.3">
      <c r="A23" s="447"/>
      <c r="B23" s="489" t="s">
        <v>314</v>
      </c>
      <c r="C23" s="590">
        <v>3.6533000000000004E-5</v>
      </c>
      <c r="D23" s="588"/>
      <c r="E23" s="491"/>
      <c r="F23" s="479"/>
      <c r="G23" s="489" t="s">
        <v>314</v>
      </c>
      <c r="H23" s="590">
        <v>0</v>
      </c>
      <c r="I23" s="614"/>
      <c r="J23" s="491"/>
      <c r="K23" s="447"/>
    </row>
    <row r="24" spans="1:11" ht="21" customHeight="1" x14ac:dyDescent="0.3">
      <c r="A24" s="447"/>
      <c r="B24" s="492" t="s">
        <v>315</v>
      </c>
      <c r="C24" s="591">
        <f t="shared" ref="C24" si="3">C22*C23</f>
        <v>0</v>
      </c>
      <c r="D24" s="588"/>
      <c r="E24" s="494"/>
      <c r="F24" s="479"/>
      <c r="G24" s="492" t="s">
        <v>315</v>
      </c>
      <c r="H24" s="624">
        <f t="shared" ref="H24" si="4">H22*H23</f>
        <v>0</v>
      </c>
      <c r="I24" s="614"/>
      <c r="J24" s="494"/>
      <c r="K24" s="447"/>
    </row>
    <row r="25" spans="1:11" ht="21" customHeight="1" x14ac:dyDescent="0.4">
      <c r="B25" s="465" t="s">
        <v>316</v>
      </c>
      <c r="C25" s="587"/>
      <c r="D25" s="483"/>
      <c r="E25" s="495"/>
      <c r="F25" s="483"/>
      <c r="G25" s="465"/>
      <c r="H25" s="587"/>
      <c r="I25" s="618"/>
      <c r="J25" s="495"/>
    </row>
    <row r="26" spans="1:11" ht="30.6" customHeight="1" x14ac:dyDescent="0.3">
      <c r="A26" s="447"/>
      <c r="B26" s="469" t="s">
        <v>183</v>
      </c>
      <c r="C26" s="601" t="s">
        <v>400</v>
      </c>
      <c r="D26" s="588"/>
      <c r="E26" s="496"/>
      <c r="F26" s="479"/>
      <c r="G26" s="469"/>
      <c r="H26" s="601"/>
      <c r="I26" s="614"/>
      <c r="J26" s="496"/>
      <c r="K26" s="447"/>
    </row>
    <row r="27" spans="1:11" ht="21" customHeight="1" x14ac:dyDescent="0.3">
      <c r="A27" s="447"/>
      <c r="B27" s="486" t="s">
        <v>313</v>
      </c>
      <c r="C27" s="589">
        <f>'CF-0105|GDS'!I10</f>
        <v>142218.9</v>
      </c>
      <c r="D27" s="479"/>
      <c r="E27" s="488"/>
      <c r="F27" s="479"/>
      <c r="G27" s="486"/>
      <c r="H27" s="589"/>
      <c r="I27" s="622"/>
      <c r="J27" s="623"/>
      <c r="K27" s="447"/>
    </row>
    <row r="28" spans="1:11" ht="21" customHeight="1" x14ac:dyDescent="0.3">
      <c r="A28" s="447"/>
      <c r="B28" s="489" t="s">
        <v>314</v>
      </c>
      <c r="C28" s="590">
        <v>1.5392919999999998E-3</v>
      </c>
      <c r="D28" s="588"/>
      <c r="E28" s="491"/>
      <c r="F28" s="479"/>
      <c r="G28" s="489"/>
      <c r="H28" s="625"/>
      <c r="I28" s="614"/>
      <c r="J28" s="491"/>
      <c r="K28" s="447"/>
    </row>
    <row r="29" spans="1:11" ht="21" customHeight="1" x14ac:dyDescent="0.3">
      <c r="A29" s="447"/>
      <c r="B29" s="492" t="s">
        <v>315</v>
      </c>
      <c r="C29" s="591">
        <f t="shared" ref="C29" si="5">C27*C28</f>
        <v>218.91641501879997</v>
      </c>
      <c r="D29" s="588"/>
      <c r="E29" s="494"/>
      <c r="F29" s="479"/>
      <c r="G29" s="492"/>
      <c r="H29" s="591"/>
      <c r="I29" s="614"/>
      <c r="J29" s="494"/>
      <c r="K29" s="447"/>
    </row>
    <row r="30" spans="1:11" ht="28.5" customHeight="1" x14ac:dyDescent="0.3">
      <c r="A30" s="447"/>
      <c r="B30" s="498" t="s">
        <v>320</v>
      </c>
      <c r="C30" s="592" t="s">
        <v>321</v>
      </c>
      <c r="D30" s="593"/>
      <c r="E30" s="501"/>
      <c r="F30" s="500"/>
      <c r="G30" s="498" t="s">
        <v>320</v>
      </c>
      <c r="H30" s="626" t="s">
        <v>401</v>
      </c>
      <c r="I30" s="614"/>
      <c r="J30" s="496"/>
      <c r="K30" s="447"/>
    </row>
    <row r="31" spans="1:11" ht="24" customHeight="1" x14ac:dyDescent="0.3">
      <c r="B31" s="502" t="s">
        <v>322</v>
      </c>
      <c r="C31" s="594">
        <v>3</v>
      </c>
      <c r="D31" s="504"/>
      <c r="E31" s="505"/>
      <c r="F31" s="504"/>
      <c r="G31" s="502" t="s">
        <v>322</v>
      </c>
      <c r="H31" s="596">
        <v>13</v>
      </c>
      <c r="I31" s="618"/>
      <c r="J31" s="495"/>
    </row>
    <row r="32" spans="1:11" ht="33" customHeight="1" x14ac:dyDescent="0.3">
      <c r="A32" s="447"/>
      <c r="B32" s="506" t="s">
        <v>323</v>
      </c>
      <c r="C32" s="595" t="s">
        <v>324</v>
      </c>
      <c r="D32" s="479"/>
      <c r="E32" s="496"/>
      <c r="F32" s="479"/>
      <c r="G32" s="506" t="s">
        <v>323</v>
      </c>
      <c r="H32" s="595" t="s">
        <v>324</v>
      </c>
      <c r="I32" s="614"/>
      <c r="J32" s="496"/>
      <c r="K32" s="447"/>
    </row>
    <row r="33" spans="1:11" ht="33" customHeight="1" x14ac:dyDescent="0.3">
      <c r="A33" s="447"/>
      <c r="B33" s="508" t="s">
        <v>325</v>
      </c>
      <c r="C33" s="596" t="s">
        <v>326</v>
      </c>
      <c r="D33" s="479"/>
      <c r="E33" s="496"/>
      <c r="F33" s="479"/>
      <c r="G33" s="508" t="s">
        <v>325</v>
      </c>
      <c r="H33" s="627" t="s">
        <v>326</v>
      </c>
      <c r="I33" s="614"/>
      <c r="J33" s="496"/>
      <c r="K33" s="447"/>
    </row>
    <row r="34" spans="1:11" ht="33" customHeight="1" x14ac:dyDescent="0.3">
      <c r="A34" s="447"/>
      <c r="B34" s="506" t="s">
        <v>327</v>
      </c>
      <c r="C34" s="595" t="s">
        <v>729</v>
      </c>
      <c r="D34" s="479"/>
      <c r="E34" s="496"/>
      <c r="F34" s="479"/>
      <c r="G34" s="506" t="s">
        <v>327</v>
      </c>
      <c r="H34" s="595" t="s">
        <v>402</v>
      </c>
      <c r="I34" s="614"/>
      <c r="J34" s="496"/>
      <c r="K34" s="447"/>
    </row>
    <row r="35" spans="1:11" ht="21" customHeight="1" x14ac:dyDescent="0.3">
      <c r="B35" s="510" t="s">
        <v>329</v>
      </c>
      <c r="C35" s="596">
        <v>1</v>
      </c>
      <c r="D35" s="467"/>
      <c r="E35" s="467"/>
      <c r="F35" s="467"/>
      <c r="G35" s="510" t="s">
        <v>329</v>
      </c>
      <c r="H35" s="596">
        <v>1</v>
      </c>
      <c r="I35" s="618"/>
      <c r="J35" s="467"/>
    </row>
    <row r="36" spans="1:11" ht="21" customHeight="1" x14ac:dyDescent="0.3">
      <c r="B36" s="453" t="s">
        <v>330</v>
      </c>
      <c r="C36" s="595" t="s">
        <v>324</v>
      </c>
      <c r="D36" s="483"/>
      <c r="E36" s="495"/>
      <c r="F36" s="483"/>
      <c r="G36" s="453" t="s">
        <v>330</v>
      </c>
      <c r="H36" s="595" t="s">
        <v>324</v>
      </c>
      <c r="I36" s="618"/>
      <c r="J36" s="495"/>
    </row>
    <row r="37" spans="1:11" ht="21" customHeight="1" x14ac:dyDescent="0.3">
      <c r="B37" s="510" t="s">
        <v>331</v>
      </c>
      <c r="C37" s="596" t="s">
        <v>324</v>
      </c>
      <c r="D37" s="483"/>
      <c r="E37" s="495"/>
      <c r="F37" s="483"/>
      <c r="G37" s="510" t="s">
        <v>331</v>
      </c>
      <c r="H37" s="596" t="s">
        <v>324</v>
      </c>
      <c r="I37" s="618"/>
      <c r="J37" s="495"/>
    </row>
    <row r="38" spans="1:11" ht="21" customHeight="1" x14ac:dyDescent="0.3">
      <c r="B38" s="462" t="s">
        <v>332</v>
      </c>
      <c r="C38" s="555" t="s">
        <v>333</v>
      </c>
      <c r="D38" s="483"/>
      <c r="E38" s="495"/>
      <c r="F38" s="483"/>
      <c r="G38" s="462" t="s">
        <v>332</v>
      </c>
      <c r="H38" s="555" t="s">
        <v>333</v>
      </c>
      <c r="I38" s="618"/>
      <c r="J38" s="495"/>
    </row>
    <row r="39" spans="1:11" ht="15.75" customHeight="1" x14ac:dyDescent="0.3">
      <c r="B39" s="427"/>
      <c r="C39" s="427"/>
      <c r="D39" s="483"/>
      <c r="E39" s="483"/>
      <c r="F39" s="483"/>
      <c r="G39" s="427"/>
      <c r="I39" s="427"/>
      <c r="J39" s="427"/>
    </row>
    <row r="40" spans="1:11" ht="15.75" customHeight="1" x14ac:dyDescent="0.3">
      <c r="B40" s="512" t="s">
        <v>334</v>
      </c>
      <c r="C40" s="427"/>
      <c r="D40" s="483"/>
      <c r="E40" s="483"/>
      <c r="F40" s="483"/>
      <c r="I40" s="427"/>
      <c r="J40" s="427"/>
    </row>
    <row r="41" spans="1:11" ht="15.75" customHeight="1" x14ac:dyDescent="0.3">
      <c r="B41" s="512" t="s">
        <v>335</v>
      </c>
      <c r="C41" s="427"/>
      <c r="D41" s="483"/>
      <c r="E41" s="483"/>
      <c r="F41" s="483"/>
      <c r="I41" s="427"/>
      <c r="J41" s="427"/>
    </row>
    <row r="42" spans="1:11" ht="15.75" customHeight="1" x14ac:dyDescent="0.3">
      <c r="B42" s="512" t="s">
        <v>336</v>
      </c>
      <c r="C42" s="427"/>
      <c r="D42" s="483"/>
      <c r="E42" s="483"/>
      <c r="F42" s="483"/>
      <c r="I42" s="427"/>
      <c r="J42" s="427"/>
    </row>
    <row r="43" spans="1:11" ht="15.75" customHeight="1" x14ac:dyDescent="0.3">
      <c r="B43" s="512" t="s">
        <v>337</v>
      </c>
      <c r="C43" s="427"/>
      <c r="D43" s="483"/>
      <c r="E43" s="483"/>
      <c r="F43" s="483"/>
      <c r="I43" s="427"/>
      <c r="J43" s="427"/>
    </row>
    <row r="44" spans="1:11" ht="15.75" customHeight="1" x14ac:dyDescent="0.3">
      <c r="B44" s="512" t="s">
        <v>338</v>
      </c>
      <c r="D44" s="427"/>
      <c r="F44" s="427"/>
      <c r="I44" s="427"/>
      <c r="J44" s="427"/>
    </row>
    <row r="45" spans="1:11" ht="15.75" customHeight="1" x14ac:dyDescent="0.3">
      <c r="B45" s="512" t="s">
        <v>339</v>
      </c>
      <c r="D45" s="427"/>
      <c r="F45" s="427"/>
      <c r="I45" s="427"/>
      <c r="J45" s="427"/>
    </row>
    <row r="46" spans="1:11" ht="15.75" customHeight="1" x14ac:dyDescent="0.3">
      <c r="D46" s="427"/>
      <c r="F46" s="427"/>
      <c r="I46" s="427"/>
      <c r="J46" s="427"/>
    </row>
    <row r="47" spans="1:11" ht="15.75" customHeight="1" x14ac:dyDescent="0.3">
      <c r="D47" s="427"/>
      <c r="F47" s="427"/>
      <c r="I47" s="427"/>
      <c r="J47" s="427"/>
    </row>
    <row r="48" spans="1:11" ht="15.75" customHeight="1" x14ac:dyDescent="0.3">
      <c r="D48" s="427"/>
      <c r="F48" s="427"/>
      <c r="I48" s="427"/>
      <c r="J48" s="427"/>
    </row>
    <row r="49" spans="4:9" ht="15.75" customHeight="1" x14ac:dyDescent="0.3">
      <c r="D49" s="427"/>
      <c r="F49" s="427"/>
      <c r="I49" s="427"/>
    </row>
    <row r="50" spans="4:9" ht="15.75" customHeight="1" x14ac:dyDescent="0.3">
      <c r="D50" s="427"/>
      <c r="F50" s="427"/>
      <c r="I50" s="427"/>
    </row>
    <row r="51" spans="4:9" ht="15.75" customHeight="1" x14ac:dyDescent="0.3">
      <c r="D51" s="427"/>
      <c r="F51" s="427"/>
      <c r="I51" s="427"/>
    </row>
    <row r="52" spans="4:9" ht="15.75" customHeight="1" x14ac:dyDescent="0.3">
      <c r="D52" s="427"/>
      <c r="F52" s="427"/>
      <c r="I52" s="427"/>
    </row>
    <row r="53" spans="4:9" ht="15.75" customHeight="1" x14ac:dyDescent="0.3">
      <c r="D53" s="427"/>
      <c r="F53" s="427"/>
      <c r="I53" s="427"/>
    </row>
    <row r="54" spans="4:9" ht="15.75" customHeight="1" x14ac:dyDescent="0.3">
      <c r="D54" s="427"/>
      <c r="F54" s="427"/>
      <c r="I54" s="427"/>
    </row>
    <row r="55" spans="4:9" ht="15.75" customHeight="1" x14ac:dyDescent="0.3">
      <c r="D55" s="427"/>
      <c r="F55" s="427"/>
      <c r="I55" s="427"/>
    </row>
    <row r="56" spans="4:9" ht="15.75" customHeight="1" x14ac:dyDescent="0.3">
      <c r="D56" s="427"/>
      <c r="F56" s="427"/>
      <c r="I56" s="427"/>
    </row>
    <row r="57" spans="4:9" ht="15.75" customHeight="1" x14ac:dyDescent="0.3">
      <c r="D57" s="427"/>
      <c r="F57" s="427"/>
      <c r="I57" s="427"/>
    </row>
    <row r="58" spans="4:9" ht="15.75" customHeight="1" x14ac:dyDescent="0.3">
      <c r="D58" s="427"/>
      <c r="F58" s="427"/>
      <c r="I58" s="427"/>
    </row>
    <row r="59" spans="4:9" ht="15.75" customHeight="1" x14ac:dyDescent="0.3">
      <c r="D59" s="427"/>
      <c r="F59" s="427"/>
      <c r="I59" s="427"/>
    </row>
    <row r="60" spans="4:9" ht="15.75" customHeight="1" x14ac:dyDescent="0.3">
      <c r="D60" s="427"/>
      <c r="F60" s="427"/>
      <c r="I60" s="427"/>
    </row>
    <row r="61" spans="4:9" ht="15.75" customHeight="1" x14ac:dyDescent="0.3">
      <c r="D61" s="427"/>
      <c r="F61" s="427"/>
      <c r="I61" s="427"/>
    </row>
    <row r="62" spans="4:9" ht="15.75" customHeight="1" x14ac:dyDescent="0.3">
      <c r="D62" s="427"/>
      <c r="F62" s="427"/>
      <c r="I62" s="427"/>
    </row>
    <row r="63" spans="4:9" ht="15.75" customHeight="1" x14ac:dyDescent="0.3">
      <c r="D63" s="427"/>
      <c r="F63" s="427"/>
      <c r="I63" s="427"/>
    </row>
    <row r="64" spans="4:9" ht="15.75" customHeight="1" x14ac:dyDescent="0.3">
      <c r="D64" s="427"/>
      <c r="F64" s="427"/>
      <c r="I64" s="427"/>
    </row>
    <row r="65" spans="4:9" ht="15.75" customHeight="1" x14ac:dyDescent="0.3">
      <c r="D65" s="427"/>
      <c r="F65" s="427"/>
      <c r="I65" s="427"/>
    </row>
    <row r="66" spans="4:9" ht="15.75" customHeight="1" x14ac:dyDescent="0.3">
      <c r="D66" s="427"/>
      <c r="F66" s="427"/>
      <c r="I66" s="427"/>
    </row>
    <row r="67" spans="4:9" ht="15.75" customHeight="1" x14ac:dyDescent="0.3">
      <c r="D67" s="427"/>
      <c r="F67" s="427"/>
      <c r="I67" s="427"/>
    </row>
    <row r="68" spans="4:9" ht="15.75" customHeight="1" x14ac:dyDescent="0.3">
      <c r="D68" s="427"/>
      <c r="F68" s="427"/>
      <c r="I68" s="427"/>
    </row>
    <row r="69" spans="4:9" ht="15.75" customHeight="1" x14ac:dyDescent="0.3">
      <c r="D69" s="427"/>
      <c r="F69" s="427"/>
      <c r="I69" s="427"/>
    </row>
    <row r="70" spans="4:9" ht="15.75" customHeight="1" x14ac:dyDescent="0.3">
      <c r="D70" s="427"/>
      <c r="F70" s="427"/>
      <c r="I70" s="427"/>
    </row>
    <row r="71" spans="4:9" ht="15.75" customHeight="1" x14ac:dyDescent="0.3">
      <c r="D71" s="427"/>
      <c r="F71" s="427"/>
      <c r="I71" s="427"/>
    </row>
    <row r="72" spans="4:9" ht="15.75" customHeight="1" x14ac:dyDescent="0.3">
      <c r="D72" s="427"/>
      <c r="F72" s="427"/>
      <c r="I72" s="427"/>
    </row>
    <row r="73" spans="4:9" ht="15.75" customHeight="1" x14ac:dyDescent="0.3">
      <c r="D73" s="427"/>
      <c r="F73" s="427"/>
      <c r="I73" s="427"/>
    </row>
    <row r="74" spans="4:9" ht="15.75" customHeight="1" x14ac:dyDescent="0.3">
      <c r="D74" s="427"/>
      <c r="F74" s="427"/>
      <c r="I74" s="427"/>
    </row>
    <row r="75" spans="4:9" ht="15.75" customHeight="1" x14ac:dyDescent="0.3">
      <c r="D75" s="427"/>
      <c r="F75" s="427"/>
      <c r="I75" s="427"/>
    </row>
    <row r="76" spans="4:9" ht="15.75" customHeight="1" x14ac:dyDescent="0.3">
      <c r="D76" s="427"/>
      <c r="F76" s="427"/>
      <c r="I76" s="427"/>
    </row>
    <row r="77" spans="4:9" ht="15.75" customHeight="1" x14ac:dyDescent="0.3">
      <c r="D77" s="427"/>
      <c r="F77" s="427"/>
      <c r="I77" s="427"/>
    </row>
    <row r="78" spans="4:9" ht="15.75" customHeight="1" x14ac:dyDescent="0.3">
      <c r="D78" s="427"/>
      <c r="F78" s="427"/>
      <c r="I78" s="427"/>
    </row>
    <row r="79" spans="4:9" ht="15.75" customHeight="1" x14ac:dyDescent="0.3">
      <c r="D79" s="427"/>
      <c r="F79" s="427"/>
      <c r="I79" s="427"/>
    </row>
    <row r="80" spans="4:9" ht="15.75" customHeight="1" x14ac:dyDescent="0.3">
      <c r="D80" s="427"/>
      <c r="F80" s="427"/>
      <c r="I80" s="427"/>
    </row>
    <row r="81" spans="4:9" ht="15.75" customHeight="1" x14ac:dyDescent="0.3">
      <c r="D81" s="427"/>
      <c r="F81" s="427"/>
      <c r="I81" s="427"/>
    </row>
    <row r="82" spans="4:9" ht="15.75" customHeight="1" x14ac:dyDescent="0.3">
      <c r="D82" s="427"/>
      <c r="F82" s="427"/>
      <c r="I82" s="427"/>
    </row>
    <row r="83" spans="4:9" ht="15.75" customHeight="1" x14ac:dyDescent="0.3">
      <c r="D83" s="427"/>
      <c r="F83" s="427"/>
      <c r="I83" s="427"/>
    </row>
    <row r="84" spans="4:9" ht="15.75" customHeight="1" x14ac:dyDescent="0.3">
      <c r="D84" s="427"/>
      <c r="F84" s="427"/>
      <c r="I84" s="427"/>
    </row>
    <row r="85" spans="4:9" ht="15.75" customHeight="1" x14ac:dyDescent="0.3">
      <c r="D85" s="427"/>
      <c r="F85" s="427"/>
      <c r="I85" s="427"/>
    </row>
    <row r="86" spans="4:9" ht="15.75" customHeight="1" x14ac:dyDescent="0.3">
      <c r="D86" s="427"/>
      <c r="F86" s="427"/>
      <c r="I86" s="427"/>
    </row>
    <row r="87" spans="4:9" ht="15.75" customHeight="1" x14ac:dyDescent="0.3">
      <c r="D87" s="427"/>
      <c r="F87" s="427"/>
      <c r="I87" s="427"/>
    </row>
    <row r="88" spans="4:9" ht="15.75" customHeight="1" x14ac:dyDescent="0.3">
      <c r="D88" s="427"/>
      <c r="F88" s="427"/>
      <c r="I88" s="427"/>
    </row>
    <row r="89" spans="4:9" ht="15.75" customHeight="1" x14ac:dyDescent="0.3">
      <c r="D89" s="427"/>
      <c r="F89" s="427"/>
      <c r="I89" s="427"/>
    </row>
    <row r="90" spans="4:9" ht="15.75" customHeight="1" x14ac:dyDescent="0.3">
      <c r="D90" s="427"/>
      <c r="F90" s="427"/>
      <c r="I90" s="427"/>
    </row>
    <row r="91" spans="4:9" ht="15.75" customHeight="1" x14ac:dyDescent="0.3">
      <c r="D91" s="427"/>
      <c r="F91" s="427"/>
      <c r="I91" s="427"/>
    </row>
    <row r="92" spans="4:9" ht="15.75" customHeight="1" x14ac:dyDescent="0.3">
      <c r="D92" s="427"/>
      <c r="F92" s="427"/>
      <c r="I92" s="427"/>
    </row>
    <row r="93" spans="4:9" ht="15.75" customHeight="1" x14ac:dyDescent="0.3">
      <c r="D93" s="427"/>
      <c r="F93" s="427"/>
      <c r="I93" s="427"/>
    </row>
    <row r="94" spans="4:9" ht="15.75" customHeight="1" x14ac:dyDescent="0.3">
      <c r="D94" s="427"/>
      <c r="F94" s="427"/>
      <c r="I94" s="427"/>
    </row>
    <row r="95" spans="4:9" ht="15.75" customHeight="1" x14ac:dyDescent="0.3">
      <c r="D95" s="427"/>
      <c r="F95" s="427"/>
      <c r="I95" s="427"/>
    </row>
    <row r="96" spans="4:9" ht="15.75" customHeight="1" x14ac:dyDescent="0.3">
      <c r="D96" s="427"/>
      <c r="F96" s="427"/>
      <c r="I96" s="427"/>
    </row>
    <row r="97" spans="4:9" ht="15.75" customHeight="1" x14ac:dyDescent="0.3">
      <c r="D97" s="427"/>
      <c r="F97" s="427"/>
      <c r="I97" s="427"/>
    </row>
    <row r="98" spans="4:9" ht="15.75" customHeight="1" x14ac:dyDescent="0.3">
      <c r="D98" s="427"/>
      <c r="F98" s="427"/>
      <c r="I98" s="427"/>
    </row>
    <row r="99" spans="4:9" ht="15.75" customHeight="1" x14ac:dyDescent="0.3">
      <c r="D99" s="427"/>
      <c r="F99" s="427"/>
      <c r="I99" s="427"/>
    </row>
    <row r="100" spans="4:9" ht="15.75" customHeight="1" x14ac:dyDescent="0.3">
      <c r="D100" s="427"/>
      <c r="F100" s="427"/>
      <c r="I100" s="427"/>
    </row>
    <row r="101" spans="4:9" ht="15.75" customHeight="1" x14ac:dyDescent="0.3">
      <c r="D101" s="427"/>
      <c r="F101" s="427"/>
      <c r="I101" s="427"/>
    </row>
    <row r="102" spans="4:9" ht="15.75" customHeight="1" x14ac:dyDescent="0.3">
      <c r="D102" s="427"/>
      <c r="F102" s="427"/>
      <c r="I102" s="427"/>
    </row>
    <row r="103" spans="4:9" ht="15.75" customHeight="1" x14ac:dyDescent="0.3">
      <c r="D103" s="427"/>
      <c r="F103" s="427"/>
      <c r="I103" s="427"/>
    </row>
    <row r="104" spans="4:9" ht="15.75" customHeight="1" x14ac:dyDescent="0.3">
      <c r="D104" s="427"/>
      <c r="F104" s="427"/>
      <c r="I104" s="427"/>
    </row>
    <row r="105" spans="4:9" ht="15.75" customHeight="1" x14ac:dyDescent="0.3">
      <c r="D105" s="427"/>
      <c r="F105" s="427"/>
      <c r="I105" s="427"/>
    </row>
    <row r="106" spans="4:9" ht="15.75" customHeight="1" x14ac:dyDescent="0.3">
      <c r="D106" s="427"/>
      <c r="F106" s="427"/>
      <c r="I106" s="427"/>
    </row>
    <row r="107" spans="4:9" ht="15.75" customHeight="1" x14ac:dyDescent="0.3">
      <c r="D107" s="427"/>
      <c r="F107" s="427"/>
      <c r="I107" s="427"/>
    </row>
    <row r="108" spans="4:9" ht="15.75" customHeight="1" x14ac:dyDescent="0.3">
      <c r="D108" s="427"/>
      <c r="F108" s="427"/>
      <c r="I108" s="427"/>
    </row>
    <row r="109" spans="4:9" ht="15.75" customHeight="1" x14ac:dyDescent="0.3">
      <c r="D109" s="427"/>
      <c r="F109" s="427"/>
      <c r="I109" s="427"/>
    </row>
    <row r="110" spans="4:9" ht="15.75" customHeight="1" x14ac:dyDescent="0.3">
      <c r="D110" s="427"/>
      <c r="F110" s="427"/>
      <c r="I110" s="427"/>
    </row>
    <row r="111" spans="4:9" ht="15.75" customHeight="1" x14ac:dyDescent="0.3">
      <c r="D111" s="427"/>
      <c r="F111" s="427"/>
      <c r="I111" s="427"/>
    </row>
    <row r="112" spans="4:9" ht="15.75" customHeight="1" x14ac:dyDescent="0.3">
      <c r="D112" s="427"/>
      <c r="F112" s="427"/>
      <c r="I112" s="427"/>
    </row>
    <row r="113" spans="4:9" ht="15.75" customHeight="1" x14ac:dyDescent="0.3">
      <c r="D113" s="427"/>
      <c r="F113" s="427"/>
      <c r="I113" s="427"/>
    </row>
    <row r="114" spans="4:9" ht="15.75" customHeight="1" x14ac:dyDescent="0.3">
      <c r="D114" s="427"/>
      <c r="F114" s="427"/>
      <c r="I114" s="427"/>
    </row>
    <row r="115" spans="4:9" ht="15.75" customHeight="1" x14ac:dyDescent="0.3">
      <c r="D115" s="427"/>
      <c r="F115" s="427"/>
      <c r="I115" s="427"/>
    </row>
    <row r="116" spans="4:9" ht="15.75" customHeight="1" x14ac:dyDescent="0.3">
      <c r="D116" s="427"/>
      <c r="F116" s="427"/>
      <c r="I116" s="427"/>
    </row>
    <row r="117" spans="4:9" ht="15.75" customHeight="1" x14ac:dyDescent="0.3">
      <c r="D117" s="427"/>
      <c r="F117" s="427"/>
      <c r="I117" s="427"/>
    </row>
    <row r="118" spans="4:9" ht="15.75" customHeight="1" x14ac:dyDescent="0.3">
      <c r="D118" s="427"/>
      <c r="F118" s="427"/>
      <c r="I118" s="427"/>
    </row>
    <row r="119" spans="4:9" ht="15.75" customHeight="1" x14ac:dyDescent="0.3">
      <c r="D119" s="427"/>
      <c r="F119" s="427"/>
      <c r="I119" s="427"/>
    </row>
    <row r="120" spans="4:9" ht="15.75" customHeight="1" x14ac:dyDescent="0.3">
      <c r="D120" s="427"/>
      <c r="F120" s="427"/>
      <c r="I120" s="427"/>
    </row>
    <row r="121" spans="4:9" ht="15.75" customHeight="1" x14ac:dyDescent="0.3">
      <c r="D121" s="427"/>
      <c r="F121" s="427"/>
      <c r="I121" s="427"/>
    </row>
    <row r="122" spans="4:9" ht="15.75" customHeight="1" x14ac:dyDescent="0.3">
      <c r="D122" s="427"/>
      <c r="F122" s="427"/>
      <c r="I122" s="427"/>
    </row>
    <row r="123" spans="4:9" ht="15.75" customHeight="1" x14ac:dyDescent="0.3">
      <c r="D123" s="427"/>
      <c r="F123" s="427"/>
      <c r="I123" s="427"/>
    </row>
    <row r="124" spans="4:9" ht="15.75" customHeight="1" x14ac:dyDescent="0.3">
      <c r="D124" s="427"/>
      <c r="F124" s="427"/>
      <c r="I124" s="427"/>
    </row>
    <row r="125" spans="4:9" ht="15.75" customHeight="1" x14ac:dyDescent="0.3">
      <c r="D125" s="427"/>
      <c r="F125" s="427"/>
      <c r="I125" s="427"/>
    </row>
    <row r="126" spans="4:9" ht="15.75" customHeight="1" x14ac:dyDescent="0.3">
      <c r="D126" s="427"/>
      <c r="F126" s="427"/>
      <c r="I126" s="427"/>
    </row>
    <row r="127" spans="4:9" ht="15.75" customHeight="1" x14ac:dyDescent="0.3">
      <c r="D127" s="427"/>
      <c r="F127" s="427"/>
      <c r="I127" s="427"/>
    </row>
    <row r="128" spans="4:9" ht="15.75" customHeight="1" x14ac:dyDescent="0.3">
      <c r="D128" s="427"/>
      <c r="F128" s="427"/>
      <c r="I128" s="427"/>
    </row>
    <row r="129" spans="4:9" ht="15.75" customHeight="1" x14ac:dyDescent="0.3">
      <c r="D129" s="427"/>
      <c r="F129" s="427"/>
      <c r="I129" s="427"/>
    </row>
    <row r="130" spans="4:9" ht="15.75" customHeight="1" x14ac:dyDescent="0.3">
      <c r="D130" s="427"/>
      <c r="F130" s="427"/>
      <c r="I130" s="427"/>
    </row>
    <row r="131" spans="4:9" ht="15.75" customHeight="1" x14ac:dyDescent="0.3">
      <c r="D131" s="427"/>
      <c r="F131" s="427"/>
      <c r="I131" s="427"/>
    </row>
    <row r="132" spans="4:9" ht="15.75" customHeight="1" x14ac:dyDescent="0.3">
      <c r="D132" s="427"/>
      <c r="F132" s="427"/>
      <c r="I132" s="427"/>
    </row>
    <row r="133" spans="4:9" ht="15.75" customHeight="1" x14ac:dyDescent="0.3">
      <c r="D133" s="427"/>
      <c r="F133" s="427"/>
      <c r="I133" s="427"/>
    </row>
    <row r="134" spans="4:9" ht="15.75" customHeight="1" x14ac:dyDescent="0.3">
      <c r="D134" s="427"/>
      <c r="F134" s="427"/>
      <c r="I134" s="427"/>
    </row>
    <row r="135" spans="4:9" ht="15.75" customHeight="1" x14ac:dyDescent="0.3">
      <c r="D135" s="427"/>
      <c r="F135" s="427"/>
      <c r="I135" s="427"/>
    </row>
    <row r="136" spans="4:9" ht="15.75" customHeight="1" x14ac:dyDescent="0.3">
      <c r="D136" s="427"/>
      <c r="F136" s="427"/>
      <c r="I136" s="427"/>
    </row>
    <row r="137" spans="4:9" ht="15.75" customHeight="1" x14ac:dyDescent="0.3">
      <c r="D137" s="427"/>
      <c r="F137" s="427"/>
      <c r="I137" s="427"/>
    </row>
    <row r="138" spans="4:9" ht="15.75" customHeight="1" x14ac:dyDescent="0.3">
      <c r="D138" s="427"/>
      <c r="F138" s="427"/>
      <c r="I138" s="427"/>
    </row>
    <row r="139" spans="4:9" ht="15.75" customHeight="1" x14ac:dyDescent="0.3">
      <c r="D139" s="427"/>
      <c r="F139" s="427"/>
      <c r="I139" s="427"/>
    </row>
    <row r="140" spans="4:9" ht="15.75" customHeight="1" x14ac:dyDescent="0.3">
      <c r="D140" s="427"/>
      <c r="F140" s="427"/>
      <c r="I140" s="427"/>
    </row>
    <row r="141" spans="4:9" ht="15.75" customHeight="1" x14ac:dyDescent="0.3">
      <c r="D141" s="427"/>
      <c r="F141" s="427"/>
      <c r="I141" s="427"/>
    </row>
    <row r="142" spans="4:9" ht="15.75" customHeight="1" x14ac:dyDescent="0.3">
      <c r="D142" s="427"/>
      <c r="F142" s="427"/>
      <c r="I142" s="427"/>
    </row>
    <row r="143" spans="4:9" ht="15.75" customHeight="1" x14ac:dyDescent="0.3">
      <c r="D143" s="427"/>
      <c r="F143" s="427"/>
      <c r="I143" s="427"/>
    </row>
    <row r="144" spans="4:9" ht="15.75" customHeight="1" x14ac:dyDescent="0.3">
      <c r="D144" s="427"/>
      <c r="F144" s="427"/>
      <c r="I144" s="427"/>
    </row>
    <row r="145" spans="4:9" ht="15.75" customHeight="1" x14ac:dyDescent="0.3">
      <c r="D145" s="427"/>
      <c r="F145" s="427"/>
      <c r="I145" s="427"/>
    </row>
    <row r="146" spans="4:9" ht="15.75" customHeight="1" x14ac:dyDescent="0.3">
      <c r="D146" s="427"/>
      <c r="F146" s="427"/>
      <c r="I146" s="427"/>
    </row>
    <row r="147" spans="4:9" ht="15.75" customHeight="1" x14ac:dyDescent="0.3">
      <c r="D147" s="427"/>
      <c r="F147" s="427"/>
      <c r="I147" s="427"/>
    </row>
    <row r="148" spans="4:9" ht="15.75" customHeight="1" x14ac:dyDescent="0.3">
      <c r="D148" s="427"/>
      <c r="F148" s="427"/>
      <c r="I148" s="427"/>
    </row>
    <row r="149" spans="4:9" ht="15.75" customHeight="1" x14ac:dyDescent="0.3">
      <c r="D149" s="427"/>
      <c r="F149" s="427"/>
      <c r="I149" s="427"/>
    </row>
    <row r="150" spans="4:9" ht="15.75" customHeight="1" x14ac:dyDescent="0.3">
      <c r="D150" s="427"/>
      <c r="F150" s="427"/>
      <c r="I150" s="427"/>
    </row>
    <row r="151" spans="4:9" ht="15.75" customHeight="1" x14ac:dyDescent="0.3">
      <c r="D151" s="427"/>
      <c r="F151" s="427"/>
      <c r="I151" s="427"/>
    </row>
    <row r="152" spans="4:9" ht="15.75" customHeight="1" x14ac:dyDescent="0.3">
      <c r="D152" s="427"/>
      <c r="F152" s="427"/>
      <c r="I152" s="427"/>
    </row>
    <row r="153" spans="4:9" ht="15.75" customHeight="1" x14ac:dyDescent="0.3">
      <c r="D153" s="427"/>
      <c r="F153" s="427"/>
      <c r="I153" s="427"/>
    </row>
    <row r="154" spans="4:9" ht="15.75" customHeight="1" x14ac:dyDescent="0.3">
      <c r="D154" s="427"/>
      <c r="F154" s="427"/>
      <c r="I154" s="427"/>
    </row>
    <row r="155" spans="4:9" ht="15.75" customHeight="1" x14ac:dyDescent="0.3">
      <c r="D155" s="427"/>
      <c r="F155" s="427"/>
      <c r="I155" s="427"/>
    </row>
    <row r="156" spans="4:9" ht="15.75" customHeight="1" x14ac:dyDescent="0.3">
      <c r="D156" s="427"/>
      <c r="F156" s="427"/>
      <c r="I156" s="427"/>
    </row>
    <row r="157" spans="4:9" ht="15.75" customHeight="1" x14ac:dyDescent="0.3">
      <c r="D157" s="427"/>
      <c r="F157" s="427"/>
      <c r="I157" s="427"/>
    </row>
    <row r="158" spans="4:9" ht="15.75" customHeight="1" x14ac:dyDescent="0.3">
      <c r="D158" s="427"/>
      <c r="F158" s="427"/>
      <c r="I158" s="427"/>
    </row>
    <row r="159" spans="4:9" ht="15.75" customHeight="1" x14ac:dyDescent="0.3">
      <c r="D159" s="427"/>
      <c r="F159" s="427"/>
      <c r="I159" s="427"/>
    </row>
    <row r="160" spans="4:9" ht="15.75" customHeight="1" x14ac:dyDescent="0.3">
      <c r="D160" s="427"/>
      <c r="F160" s="427"/>
      <c r="I160" s="427"/>
    </row>
    <row r="161" spans="4:9" ht="15.75" customHeight="1" x14ac:dyDescent="0.3">
      <c r="D161" s="427"/>
      <c r="F161" s="427"/>
      <c r="I161" s="427"/>
    </row>
    <row r="162" spans="4:9" ht="15.75" customHeight="1" x14ac:dyDescent="0.3">
      <c r="D162" s="427"/>
      <c r="F162" s="427"/>
      <c r="I162" s="427"/>
    </row>
    <row r="163" spans="4:9" ht="15.75" customHeight="1" x14ac:dyDescent="0.3">
      <c r="D163" s="427"/>
      <c r="F163" s="427"/>
      <c r="I163" s="427"/>
    </row>
    <row r="164" spans="4:9" ht="15.75" customHeight="1" x14ac:dyDescent="0.3">
      <c r="D164" s="427"/>
      <c r="F164" s="427"/>
      <c r="I164" s="427"/>
    </row>
    <row r="165" spans="4:9" ht="15.75" customHeight="1" x14ac:dyDescent="0.3">
      <c r="D165" s="427"/>
      <c r="F165" s="427"/>
      <c r="I165" s="427"/>
    </row>
    <row r="166" spans="4:9" ht="15.75" customHeight="1" x14ac:dyDescent="0.3">
      <c r="D166" s="427"/>
      <c r="F166" s="427"/>
      <c r="I166" s="427"/>
    </row>
    <row r="167" spans="4:9" ht="15.75" customHeight="1" x14ac:dyDescent="0.3">
      <c r="D167" s="427"/>
      <c r="F167" s="427"/>
      <c r="I167" s="427"/>
    </row>
    <row r="168" spans="4:9" ht="15.75" customHeight="1" x14ac:dyDescent="0.3">
      <c r="D168" s="427"/>
      <c r="F168" s="427"/>
      <c r="I168" s="427"/>
    </row>
    <row r="169" spans="4:9" ht="15.75" customHeight="1" x14ac:dyDescent="0.3">
      <c r="D169" s="427"/>
      <c r="F169" s="427"/>
      <c r="I169" s="427"/>
    </row>
    <row r="170" spans="4:9" ht="15.75" customHeight="1" x14ac:dyDescent="0.3">
      <c r="D170" s="427"/>
      <c r="F170" s="427"/>
      <c r="I170" s="427"/>
    </row>
    <row r="171" spans="4:9" ht="15.75" customHeight="1" x14ac:dyDescent="0.3">
      <c r="D171" s="427"/>
      <c r="F171" s="427"/>
      <c r="I171" s="427"/>
    </row>
    <row r="172" spans="4:9" ht="15.75" customHeight="1" x14ac:dyDescent="0.3">
      <c r="D172" s="427"/>
      <c r="F172" s="427"/>
      <c r="I172" s="427"/>
    </row>
    <row r="173" spans="4:9" ht="15.75" customHeight="1" x14ac:dyDescent="0.3">
      <c r="D173" s="427"/>
      <c r="F173" s="427"/>
      <c r="I173" s="427"/>
    </row>
    <row r="174" spans="4:9" ht="15.75" customHeight="1" x14ac:dyDescent="0.3">
      <c r="D174" s="427"/>
      <c r="F174" s="427"/>
      <c r="I174" s="427"/>
    </row>
    <row r="175" spans="4:9" ht="15.75" customHeight="1" x14ac:dyDescent="0.3">
      <c r="D175" s="427"/>
      <c r="F175" s="427"/>
      <c r="I175" s="427"/>
    </row>
    <row r="176" spans="4:9" ht="15.75" customHeight="1" x14ac:dyDescent="0.3">
      <c r="D176" s="427"/>
      <c r="F176" s="427"/>
      <c r="I176" s="427"/>
    </row>
    <row r="177" spans="4:9" ht="15.75" customHeight="1" x14ac:dyDescent="0.3">
      <c r="D177" s="427"/>
      <c r="F177" s="427"/>
      <c r="I177" s="427"/>
    </row>
    <row r="178" spans="4:9" ht="15.75" customHeight="1" x14ac:dyDescent="0.3">
      <c r="D178" s="427"/>
      <c r="F178" s="427"/>
      <c r="I178" s="427"/>
    </row>
    <row r="179" spans="4:9" ht="15.75" customHeight="1" x14ac:dyDescent="0.3">
      <c r="D179" s="427"/>
      <c r="F179" s="427"/>
      <c r="I179" s="427"/>
    </row>
    <row r="180" spans="4:9" ht="15.75" customHeight="1" x14ac:dyDescent="0.3">
      <c r="D180" s="427"/>
      <c r="F180" s="427"/>
      <c r="I180" s="427"/>
    </row>
    <row r="181" spans="4:9" ht="15.75" customHeight="1" x14ac:dyDescent="0.3">
      <c r="D181" s="427"/>
      <c r="F181" s="427"/>
      <c r="I181" s="427"/>
    </row>
    <row r="182" spans="4:9" ht="15.75" customHeight="1" x14ac:dyDescent="0.3">
      <c r="D182" s="427"/>
      <c r="F182" s="427"/>
      <c r="I182" s="427"/>
    </row>
    <row r="183" spans="4:9" ht="15.75" customHeight="1" x14ac:dyDescent="0.3">
      <c r="D183" s="427"/>
      <c r="F183" s="427"/>
      <c r="I183" s="427"/>
    </row>
    <row r="184" spans="4:9" ht="15.75" customHeight="1" x14ac:dyDescent="0.3">
      <c r="D184" s="427"/>
      <c r="F184" s="427"/>
      <c r="I184" s="427"/>
    </row>
    <row r="185" spans="4:9" ht="15.75" customHeight="1" x14ac:dyDescent="0.3">
      <c r="D185" s="427"/>
      <c r="F185" s="427"/>
      <c r="I185" s="427"/>
    </row>
    <row r="186" spans="4:9" ht="15.75" customHeight="1" x14ac:dyDescent="0.3">
      <c r="D186" s="427"/>
      <c r="F186" s="427"/>
      <c r="I186" s="427"/>
    </row>
    <row r="187" spans="4:9" ht="15.75" customHeight="1" x14ac:dyDescent="0.3">
      <c r="D187" s="427"/>
      <c r="F187" s="427"/>
      <c r="I187" s="427"/>
    </row>
    <row r="188" spans="4:9" ht="15.75" customHeight="1" x14ac:dyDescent="0.3">
      <c r="D188" s="427"/>
      <c r="F188" s="427"/>
      <c r="I188" s="427"/>
    </row>
    <row r="189" spans="4:9" ht="15.75" customHeight="1" x14ac:dyDescent="0.3">
      <c r="D189" s="427"/>
      <c r="F189" s="427"/>
      <c r="I189" s="427"/>
    </row>
    <row r="190" spans="4:9" ht="15.75" customHeight="1" x14ac:dyDescent="0.3">
      <c r="D190" s="427"/>
      <c r="F190" s="427"/>
      <c r="I190" s="427"/>
    </row>
    <row r="191" spans="4:9" ht="15.75" customHeight="1" x14ac:dyDescent="0.3">
      <c r="D191" s="427"/>
      <c r="F191" s="427"/>
      <c r="I191" s="427"/>
    </row>
    <row r="192" spans="4:9" ht="15.75" customHeight="1" x14ac:dyDescent="0.3">
      <c r="D192" s="427"/>
      <c r="F192" s="427"/>
      <c r="I192" s="427"/>
    </row>
    <row r="193" spans="4:9" ht="15.75" customHeight="1" x14ac:dyDescent="0.3">
      <c r="D193" s="427"/>
      <c r="F193" s="427"/>
      <c r="I193" s="427"/>
    </row>
    <row r="194" spans="4:9" ht="15.75" customHeight="1" x14ac:dyDescent="0.3">
      <c r="D194" s="427"/>
      <c r="F194" s="427"/>
      <c r="I194" s="427"/>
    </row>
    <row r="195" spans="4:9" ht="15.75" customHeight="1" x14ac:dyDescent="0.3">
      <c r="D195" s="427"/>
      <c r="F195" s="427"/>
      <c r="I195" s="427"/>
    </row>
    <row r="196" spans="4:9" ht="15.75" customHeight="1" x14ac:dyDescent="0.3">
      <c r="D196" s="427"/>
      <c r="F196" s="427"/>
      <c r="I196" s="427"/>
    </row>
    <row r="197" spans="4:9" ht="15.75" customHeight="1" x14ac:dyDescent="0.3">
      <c r="D197" s="427"/>
      <c r="F197" s="427"/>
      <c r="I197" s="427"/>
    </row>
    <row r="198" spans="4:9" ht="15.75" customHeight="1" x14ac:dyDescent="0.3">
      <c r="D198" s="427"/>
      <c r="F198" s="427"/>
      <c r="I198" s="427"/>
    </row>
    <row r="199" spans="4:9" ht="15.75" customHeight="1" x14ac:dyDescent="0.3">
      <c r="D199" s="427"/>
      <c r="F199" s="427"/>
      <c r="I199" s="427"/>
    </row>
    <row r="200" spans="4:9" ht="15.75" customHeight="1" x14ac:dyDescent="0.3">
      <c r="D200" s="427"/>
      <c r="F200" s="427"/>
      <c r="I200" s="427"/>
    </row>
    <row r="201" spans="4:9" ht="15.75" customHeight="1" x14ac:dyDescent="0.3">
      <c r="D201" s="427"/>
      <c r="F201" s="427"/>
      <c r="I201" s="427"/>
    </row>
    <row r="202" spans="4:9" ht="15.75" customHeight="1" x14ac:dyDescent="0.3">
      <c r="D202" s="427"/>
      <c r="F202" s="427"/>
      <c r="I202" s="427"/>
    </row>
    <row r="203" spans="4:9" ht="15.75" customHeight="1" x14ac:dyDescent="0.3">
      <c r="D203" s="427"/>
      <c r="F203" s="427"/>
      <c r="I203" s="427"/>
    </row>
    <row r="204" spans="4:9" ht="15.75" customHeight="1" x14ac:dyDescent="0.3">
      <c r="D204" s="427"/>
      <c r="F204" s="427"/>
      <c r="I204" s="427"/>
    </row>
    <row r="205" spans="4:9" ht="15.75" customHeight="1" x14ac:dyDescent="0.3">
      <c r="D205" s="427"/>
      <c r="F205" s="427"/>
      <c r="I205" s="427"/>
    </row>
    <row r="206" spans="4:9" ht="15.75" customHeight="1" x14ac:dyDescent="0.3">
      <c r="D206" s="427"/>
      <c r="F206" s="427"/>
      <c r="I206" s="427"/>
    </row>
    <row r="207" spans="4:9" ht="15.75" customHeight="1" x14ac:dyDescent="0.3">
      <c r="D207" s="427"/>
      <c r="F207" s="427"/>
      <c r="I207" s="427"/>
    </row>
    <row r="208" spans="4:9" ht="15.75" customHeight="1" x14ac:dyDescent="0.3">
      <c r="D208" s="427"/>
      <c r="F208" s="427"/>
      <c r="I208" s="427"/>
    </row>
    <row r="209" spans="4:9" ht="15.75" customHeight="1" x14ac:dyDescent="0.3">
      <c r="D209" s="427"/>
      <c r="F209" s="427"/>
      <c r="I209" s="427"/>
    </row>
    <row r="210" spans="4:9" ht="15.75" customHeight="1" x14ac:dyDescent="0.3">
      <c r="D210" s="427"/>
      <c r="F210" s="427"/>
      <c r="I210" s="427"/>
    </row>
    <row r="211" spans="4:9" ht="15.75" customHeight="1" x14ac:dyDescent="0.3">
      <c r="D211" s="427"/>
      <c r="F211" s="427"/>
      <c r="I211" s="427"/>
    </row>
    <row r="212" spans="4:9" ht="15.75" customHeight="1" x14ac:dyDescent="0.3">
      <c r="D212" s="427"/>
      <c r="F212" s="427"/>
      <c r="I212" s="427"/>
    </row>
    <row r="213" spans="4:9" ht="15.75" customHeight="1" x14ac:dyDescent="0.3">
      <c r="D213" s="427"/>
      <c r="F213" s="427"/>
      <c r="I213" s="427"/>
    </row>
    <row r="214" spans="4:9" ht="15.75" customHeight="1" x14ac:dyDescent="0.3">
      <c r="D214" s="427"/>
      <c r="F214" s="427"/>
      <c r="I214" s="427"/>
    </row>
    <row r="215" spans="4:9" ht="15.75" customHeight="1" x14ac:dyDescent="0.3">
      <c r="D215" s="427"/>
      <c r="F215" s="427"/>
      <c r="I215" s="427"/>
    </row>
    <row r="216" spans="4:9" ht="15.75" customHeight="1" x14ac:dyDescent="0.3">
      <c r="D216" s="427"/>
      <c r="F216" s="427"/>
      <c r="I216" s="427"/>
    </row>
    <row r="217" spans="4:9" ht="15.75" customHeight="1" x14ac:dyDescent="0.3">
      <c r="D217" s="427"/>
      <c r="F217" s="427"/>
      <c r="I217" s="427"/>
    </row>
    <row r="218" spans="4:9" ht="15.75" customHeight="1" x14ac:dyDescent="0.3">
      <c r="D218" s="427"/>
      <c r="F218" s="427"/>
      <c r="I218" s="427"/>
    </row>
    <row r="219" spans="4:9" ht="15.75" customHeight="1" x14ac:dyDescent="0.3">
      <c r="D219" s="427"/>
      <c r="F219" s="427"/>
      <c r="I219" s="427"/>
    </row>
    <row r="220" spans="4:9" ht="15.75" customHeight="1" x14ac:dyDescent="0.3">
      <c r="D220" s="427"/>
      <c r="F220" s="427"/>
      <c r="I220" s="427"/>
    </row>
    <row r="221" spans="4:9" ht="15.75" customHeight="1" x14ac:dyDescent="0.3">
      <c r="D221" s="427"/>
      <c r="F221" s="427"/>
      <c r="I221" s="427"/>
    </row>
    <row r="222" spans="4:9" ht="15.75" customHeight="1" x14ac:dyDescent="0.3">
      <c r="D222" s="427"/>
      <c r="F222" s="427"/>
      <c r="I222" s="427"/>
    </row>
    <row r="223" spans="4:9" ht="15.75" customHeight="1" x14ac:dyDescent="0.3">
      <c r="D223" s="427"/>
      <c r="F223" s="427"/>
      <c r="I223" s="427"/>
    </row>
    <row r="224" spans="4:9" ht="15.75" customHeight="1" x14ac:dyDescent="0.3">
      <c r="D224" s="427"/>
      <c r="F224" s="427"/>
      <c r="I224" s="427"/>
    </row>
    <row r="225" spans="4:9" ht="15.75" customHeight="1" x14ac:dyDescent="0.3">
      <c r="D225" s="427"/>
      <c r="F225" s="427"/>
      <c r="I225" s="427"/>
    </row>
    <row r="226" spans="4:9" ht="15.75" customHeight="1" x14ac:dyDescent="0.3">
      <c r="D226" s="427"/>
      <c r="F226" s="427"/>
      <c r="I226" s="427"/>
    </row>
    <row r="227" spans="4:9" ht="15.75" customHeight="1" x14ac:dyDescent="0.3">
      <c r="D227" s="427"/>
      <c r="F227" s="427"/>
      <c r="I227" s="427"/>
    </row>
    <row r="228" spans="4:9" ht="15.75" customHeight="1" x14ac:dyDescent="0.3">
      <c r="D228" s="427"/>
      <c r="F228" s="427"/>
      <c r="I228" s="427"/>
    </row>
    <row r="229" spans="4:9" ht="15.75" customHeight="1" x14ac:dyDescent="0.3">
      <c r="D229" s="427"/>
      <c r="F229" s="427"/>
      <c r="I229" s="427"/>
    </row>
    <row r="230" spans="4:9" ht="15.75" customHeight="1" x14ac:dyDescent="0.3">
      <c r="D230" s="427"/>
      <c r="F230" s="427"/>
      <c r="I230" s="427"/>
    </row>
    <row r="231" spans="4:9" ht="15.75" customHeight="1" x14ac:dyDescent="0.3">
      <c r="D231" s="427"/>
      <c r="F231" s="427"/>
      <c r="I231" s="427"/>
    </row>
    <row r="232" spans="4:9" ht="15.75" customHeight="1" x14ac:dyDescent="0.3">
      <c r="D232" s="427"/>
      <c r="F232" s="427"/>
      <c r="I232" s="427"/>
    </row>
    <row r="233" spans="4:9" ht="15.75" customHeight="1" x14ac:dyDescent="0.3">
      <c r="D233" s="427"/>
      <c r="F233" s="427"/>
      <c r="I233" s="427"/>
    </row>
    <row r="234" spans="4:9" ht="15.75" customHeight="1" x14ac:dyDescent="0.3">
      <c r="D234" s="427"/>
      <c r="F234" s="427"/>
      <c r="I234" s="427"/>
    </row>
    <row r="235" spans="4:9" ht="15.75" customHeight="1" x14ac:dyDescent="0.3">
      <c r="D235" s="427"/>
      <c r="F235" s="427"/>
      <c r="I235" s="427"/>
    </row>
    <row r="236" spans="4:9" ht="15.75" customHeight="1" x14ac:dyDescent="0.3">
      <c r="D236" s="427"/>
      <c r="F236" s="427"/>
      <c r="I236" s="427"/>
    </row>
    <row r="237" spans="4:9" ht="15.75" customHeight="1" x14ac:dyDescent="0.3">
      <c r="D237" s="427"/>
      <c r="F237" s="427"/>
      <c r="I237" s="427"/>
    </row>
    <row r="238" spans="4:9" ht="15.75" customHeight="1" x14ac:dyDescent="0.3">
      <c r="D238" s="427"/>
      <c r="F238" s="427"/>
      <c r="I238" s="427"/>
    </row>
    <row r="239" spans="4:9" ht="15.75" customHeight="1" x14ac:dyDescent="0.3">
      <c r="D239" s="427"/>
      <c r="F239" s="427"/>
      <c r="I239" s="427"/>
    </row>
    <row r="240" spans="4:9" ht="15.75" customHeight="1" x14ac:dyDescent="0.3">
      <c r="D240" s="427"/>
      <c r="F240" s="427"/>
      <c r="I240" s="427"/>
    </row>
    <row r="241" spans="4:9" ht="15.75" customHeight="1" x14ac:dyDescent="0.3">
      <c r="D241" s="427"/>
      <c r="F241" s="427"/>
      <c r="I241" s="427"/>
    </row>
    <row r="242" spans="4:9" ht="15.75" customHeight="1" x14ac:dyDescent="0.3">
      <c r="D242" s="427"/>
      <c r="F242" s="427"/>
      <c r="I242" s="427"/>
    </row>
    <row r="243" spans="4:9" ht="15.75" customHeight="1" x14ac:dyDescent="0.3">
      <c r="D243" s="427"/>
      <c r="F243" s="427"/>
      <c r="I243" s="427"/>
    </row>
    <row r="244" spans="4:9" ht="15.75" customHeight="1" x14ac:dyDescent="0.3">
      <c r="D244" s="427"/>
      <c r="F244" s="427"/>
      <c r="I244" s="427"/>
    </row>
    <row r="245" spans="4:9" ht="15.75" customHeight="1" x14ac:dyDescent="0.3">
      <c r="D245" s="427"/>
      <c r="F245" s="427"/>
      <c r="I245" s="427"/>
    </row>
    <row r="246" spans="4:9" ht="15.75" customHeight="1" x14ac:dyDescent="0.3"/>
    <row r="247" spans="4:9" ht="15.75" customHeight="1" x14ac:dyDescent="0.3"/>
    <row r="248" spans="4:9" ht="15.75" customHeight="1" x14ac:dyDescent="0.3"/>
    <row r="249" spans="4:9" ht="15.75" customHeight="1" x14ac:dyDescent="0.3"/>
    <row r="250" spans="4:9" ht="15.75" customHeight="1" x14ac:dyDescent="0.3"/>
    <row r="251" spans="4:9" ht="15.75" customHeight="1" x14ac:dyDescent="0.3"/>
    <row r="252" spans="4:9" ht="15.75" customHeight="1" x14ac:dyDescent="0.3"/>
    <row r="253" spans="4:9" ht="15.75" customHeight="1" x14ac:dyDescent="0.3"/>
    <row r="254" spans="4:9" ht="15.75" customHeight="1" x14ac:dyDescent="0.3"/>
    <row r="255" spans="4:9" ht="15.75" customHeight="1" x14ac:dyDescent="0.3"/>
    <row r="256" spans="4:9"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dataValidations count="1">
    <dataValidation type="list" allowBlank="1" showErrorMessage="1" sqref="B17 B27 B22" xr:uid="{1EC40F7B-75CE-4EF5-BBC4-221BF4F57746}">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0F76-8AEE-4A9F-94AB-7DFBCA72FAE5}">
  <dimension ref="A1:AD904"/>
  <sheetViews>
    <sheetView zoomScale="80" zoomScaleNormal="80" workbookViewId="0">
      <selection activeCell="AD29" sqref="AD29"/>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19" width="11.5546875" style="428" hidden="1" customWidth="1"/>
    <col min="20" max="20" width="11.5546875" style="428" customWidth="1"/>
    <col min="21"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2345</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348</v>
      </c>
      <c r="D10" s="531" t="s">
        <v>403</v>
      </c>
      <c r="E10" s="532" t="s">
        <v>350</v>
      </c>
      <c r="F10" s="533" t="s">
        <v>351</v>
      </c>
      <c r="G10" s="534">
        <v>2013</v>
      </c>
      <c r="H10" s="535"/>
      <c r="I10" s="536">
        <v>142218.9</v>
      </c>
      <c r="J10" s="537">
        <v>191528.8</v>
      </c>
      <c r="K10" s="628">
        <v>0</v>
      </c>
      <c r="L10" s="628">
        <v>0</v>
      </c>
      <c r="M10" s="537">
        <v>0</v>
      </c>
      <c r="N10" s="628">
        <v>0</v>
      </c>
      <c r="O10" s="628">
        <v>0</v>
      </c>
      <c r="P10" s="628">
        <v>111589</v>
      </c>
      <c r="Q10" s="628">
        <v>111589</v>
      </c>
      <c r="R10" s="628">
        <v>111589</v>
      </c>
      <c r="S10" s="628">
        <v>125017</v>
      </c>
      <c r="T10" s="677">
        <v>176335</v>
      </c>
      <c r="U10" s="542"/>
      <c r="V10" s="535"/>
      <c r="W10" s="542"/>
      <c r="X10" s="535"/>
      <c r="Y10" s="542"/>
      <c r="Z10" s="535"/>
      <c r="AA10" s="528"/>
      <c r="AB10" s="528"/>
      <c r="AC10" s="528"/>
      <c r="AD10" s="528"/>
    </row>
    <row r="11" spans="1:30" ht="24" customHeight="1" x14ac:dyDescent="0.3">
      <c r="A11" s="528"/>
      <c r="B11" s="529"/>
      <c r="C11" s="453" t="s">
        <v>348</v>
      </c>
      <c r="D11" s="453" t="s">
        <v>404</v>
      </c>
      <c r="E11" s="543" t="s">
        <v>363</v>
      </c>
      <c r="F11" s="506" t="s">
        <v>354</v>
      </c>
      <c r="G11" s="496"/>
      <c r="H11" s="544"/>
      <c r="I11" s="629">
        <v>0</v>
      </c>
      <c r="J11" s="546">
        <v>0</v>
      </c>
      <c r="K11" s="630">
        <v>266.10000000000002</v>
      </c>
      <c r="L11" s="630">
        <v>252.49</v>
      </c>
      <c r="M11" s="630">
        <v>238.64</v>
      </c>
      <c r="N11" s="630">
        <v>377.36</v>
      </c>
      <c r="O11" s="630">
        <v>114.79</v>
      </c>
      <c r="P11" s="630">
        <v>72.75</v>
      </c>
      <c r="Q11" s="544"/>
      <c r="R11" s="544"/>
      <c r="S11" s="544"/>
      <c r="T11" s="544"/>
      <c r="U11" s="548"/>
      <c r="V11" s="544"/>
      <c r="W11" s="548"/>
      <c r="X11" s="544"/>
      <c r="Y11" s="548"/>
      <c r="Z11" s="544"/>
      <c r="AA11" s="528"/>
      <c r="AB11" s="528"/>
      <c r="AC11" s="528"/>
      <c r="AD11" s="528"/>
    </row>
    <row r="12" spans="1:30" ht="30" customHeight="1" x14ac:dyDescent="0.3">
      <c r="A12" s="528"/>
      <c r="B12" s="529"/>
      <c r="C12" s="531" t="s">
        <v>374</v>
      </c>
      <c r="D12" s="531" t="s">
        <v>405</v>
      </c>
      <c r="E12" s="532" t="s">
        <v>385</v>
      </c>
      <c r="F12" s="533" t="s">
        <v>354</v>
      </c>
      <c r="G12" s="549"/>
      <c r="H12" s="550"/>
      <c r="I12" s="602">
        <f>I11/1000</f>
        <v>0</v>
      </c>
      <c r="J12" s="631">
        <v>0</v>
      </c>
      <c r="K12" s="550"/>
      <c r="L12" s="550"/>
      <c r="M12" s="550"/>
      <c r="N12" s="550"/>
      <c r="O12" s="550"/>
      <c r="P12" s="550"/>
      <c r="Q12" s="550"/>
      <c r="R12" s="550"/>
      <c r="S12" s="550"/>
      <c r="T12" s="550"/>
      <c r="U12" s="542"/>
      <c r="V12" s="550"/>
      <c r="W12" s="542"/>
      <c r="X12" s="550"/>
      <c r="Y12" s="542"/>
      <c r="Z12" s="550"/>
      <c r="AA12" s="528"/>
      <c r="AB12" s="528"/>
      <c r="AC12" s="528"/>
      <c r="AD12" s="528"/>
    </row>
    <row r="13" spans="1:30" ht="30" customHeight="1" x14ac:dyDescent="0.3">
      <c r="A13" s="528"/>
      <c r="B13" s="529"/>
      <c r="C13" s="453"/>
      <c r="D13" s="453"/>
      <c r="E13" s="543"/>
      <c r="F13" s="506"/>
      <c r="G13" s="496"/>
      <c r="H13" s="544"/>
      <c r="I13" s="544"/>
      <c r="J13" s="545"/>
      <c r="K13" s="544"/>
      <c r="L13" s="544"/>
      <c r="M13" s="544"/>
      <c r="N13" s="544"/>
      <c r="O13" s="544"/>
      <c r="P13" s="544"/>
      <c r="Q13" s="544"/>
      <c r="R13" s="544"/>
      <c r="S13" s="544"/>
      <c r="T13" s="544"/>
      <c r="U13" s="548"/>
      <c r="V13" s="544"/>
      <c r="W13" s="548"/>
      <c r="X13" s="544"/>
      <c r="Y13" s="548"/>
      <c r="Z13" s="544"/>
      <c r="AA13" s="528"/>
      <c r="AB13" s="528"/>
      <c r="AC13" s="528"/>
      <c r="AD13" s="528"/>
    </row>
    <row r="14" spans="1:30" ht="24" customHeight="1" x14ac:dyDescent="0.3">
      <c r="A14" s="528"/>
      <c r="B14" s="529"/>
      <c r="C14" s="531"/>
      <c r="D14" s="531"/>
      <c r="E14" s="532"/>
      <c r="F14" s="533"/>
      <c r="G14" s="551"/>
      <c r="H14" s="550"/>
      <c r="I14" s="550"/>
      <c r="J14" s="550"/>
      <c r="K14" s="550"/>
      <c r="L14" s="550"/>
      <c r="M14" s="550"/>
      <c r="N14" s="550"/>
      <c r="O14" s="550"/>
      <c r="P14" s="550"/>
      <c r="Q14" s="550"/>
      <c r="R14" s="550"/>
      <c r="S14" s="550"/>
      <c r="T14" s="550"/>
      <c r="U14" s="542"/>
      <c r="V14" s="550"/>
      <c r="W14" s="542"/>
      <c r="X14" s="550"/>
      <c r="Y14" s="542"/>
      <c r="Z14" s="550"/>
      <c r="AA14" s="528"/>
      <c r="AB14" s="528"/>
      <c r="AC14" s="528"/>
      <c r="AD14" s="528"/>
    </row>
    <row r="15" spans="1:30" ht="24" customHeight="1" x14ac:dyDescent="0.3">
      <c r="A15" s="528"/>
      <c r="B15" s="552"/>
      <c r="C15" s="462"/>
      <c r="D15" s="462"/>
      <c r="E15" s="553"/>
      <c r="F15" s="554"/>
      <c r="G15" s="555"/>
      <c r="H15" s="556"/>
      <c r="I15" s="556"/>
      <c r="J15" s="556"/>
      <c r="K15" s="556"/>
      <c r="L15" s="556"/>
      <c r="M15" s="556"/>
      <c r="N15" s="556"/>
      <c r="O15" s="556"/>
      <c r="P15" s="556"/>
      <c r="Q15" s="556"/>
      <c r="R15" s="556"/>
      <c r="S15" s="556"/>
      <c r="T15" s="556"/>
      <c r="U15" s="557"/>
      <c r="V15" s="556"/>
      <c r="W15" s="557"/>
      <c r="X15" s="556"/>
      <c r="Y15" s="557"/>
      <c r="Z15" s="556"/>
      <c r="AA15" s="528"/>
      <c r="AB15" s="528"/>
      <c r="AC15" s="528"/>
      <c r="AD15" s="528"/>
    </row>
    <row r="16" spans="1:30" ht="15.75" customHeight="1" x14ac:dyDescent="0.3">
      <c r="A16" s="528"/>
      <c r="B16" s="558"/>
      <c r="C16" s="528"/>
      <c r="D16" s="528"/>
      <c r="E16" s="528"/>
      <c r="F16" s="528"/>
      <c r="G16" s="479"/>
      <c r="H16" s="479"/>
      <c r="I16" s="479"/>
      <c r="J16" s="479"/>
      <c r="K16" s="479"/>
      <c r="L16" s="479"/>
      <c r="M16" s="559"/>
      <c r="N16" s="559"/>
      <c r="O16" s="559"/>
      <c r="P16" s="559"/>
      <c r="Q16" s="559"/>
      <c r="R16" s="559"/>
      <c r="S16" s="559"/>
      <c r="T16" s="559"/>
      <c r="U16" s="559"/>
      <c r="V16" s="559"/>
      <c r="W16" s="559"/>
      <c r="X16" s="559"/>
      <c r="Y16" s="559"/>
      <c r="Z16" s="559"/>
      <c r="AA16" s="528"/>
      <c r="AB16" s="528"/>
      <c r="AC16" s="528"/>
      <c r="AD16" s="528"/>
    </row>
    <row r="17" spans="1:30" ht="15.75" customHeight="1" x14ac:dyDescent="0.3">
      <c r="A17" s="528"/>
      <c r="B17" s="560" t="s">
        <v>355</v>
      </c>
      <c r="C17" s="561" t="s">
        <v>356</v>
      </c>
      <c r="D17" s="528"/>
      <c r="E17" s="528"/>
      <c r="F17" s="528"/>
      <c r="G17" s="479"/>
      <c r="H17" s="479"/>
      <c r="I17" s="479"/>
      <c r="J17" s="479"/>
      <c r="K17" s="479"/>
      <c r="L17" s="479"/>
      <c r="M17" s="559"/>
      <c r="N17" s="559"/>
      <c r="O17" s="559"/>
      <c r="P17" s="559"/>
      <c r="Q17" s="559"/>
      <c r="R17" s="559"/>
      <c r="S17" s="559"/>
      <c r="T17" s="559"/>
      <c r="U17" s="559"/>
      <c r="V17" s="559"/>
      <c r="W17" s="559"/>
      <c r="X17" s="559"/>
      <c r="Y17" s="559"/>
      <c r="Z17" s="559"/>
      <c r="AA17" s="528"/>
      <c r="AB17" s="528"/>
      <c r="AC17" s="528"/>
      <c r="AD17" s="528"/>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4383" t="s">
        <v>357</v>
      </c>
      <c r="C19" s="4384"/>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62" t="s">
        <v>365</v>
      </c>
      <c r="C20" s="632" t="s">
        <v>406</v>
      </c>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562" t="s">
        <v>365</v>
      </c>
      <c r="C21" s="633" t="s">
        <v>407</v>
      </c>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562" t="s">
        <v>365</v>
      </c>
      <c r="C22" s="633" t="s">
        <v>408</v>
      </c>
      <c r="D22" s="528"/>
      <c r="E22" s="528"/>
      <c r="F22" s="528">
        <v>266.10000000000002</v>
      </c>
      <c r="G22" s="479"/>
      <c r="H22" s="479"/>
      <c r="I22" s="479"/>
      <c r="J22" s="479"/>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562" t="s">
        <v>365</v>
      </c>
      <c r="C23" s="633" t="s">
        <v>413</v>
      </c>
      <c r="D23" s="528"/>
      <c r="E23" s="528"/>
      <c r="F23" s="528"/>
      <c r="G23" s="479"/>
      <c r="H23" s="479"/>
      <c r="I23" s="479"/>
      <c r="J23" s="479"/>
      <c r="K23" s="479"/>
      <c r="L23" s="479"/>
      <c r="M23" s="559"/>
      <c r="N23" s="559"/>
      <c r="O23" s="559"/>
      <c r="P23" s="559"/>
      <c r="Q23" s="559"/>
      <c r="R23" s="559"/>
      <c r="S23" s="559"/>
      <c r="T23" s="559"/>
      <c r="U23" s="559"/>
      <c r="V23" s="559"/>
      <c r="W23" s="559"/>
      <c r="X23" s="559"/>
      <c r="Y23" s="559"/>
      <c r="Z23" s="559"/>
      <c r="AA23" s="528"/>
      <c r="AB23" s="528"/>
      <c r="AC23" s="528"/>
      <c r="AD23" s="528"/>
    </row>
    <row r="24" spans="1:30" ht="15.75" customHeight="1" x14ac:dyDescent="0.3"/>
    <row r="25" spans="1:30" ht="15.75" customHeight="1" x14ac:dyDescent="0.3"/>
    <row r="26" spans="1:30" ht="21" customHeight="1" x14ac:dyDescent="0.3">
      <c r="B26" s="519" t="s">
        <v>409</v>
      </c>
    </row>
    <row r="27" spans="1:30" ht="9" customHeight="1" x14ac:dyDescent="0.3">
      <c r="B27" s="519"/>
    </row>
    <row r="28" spans="1:30" ht="21" customHeight="1" x14ac:dyDescent="0.3">
      <c r="B28" s="517" t="s">
        <v>410</v>
      </c>
      <c r="C28" s="518"/>
      <c r="D28" s="518"/>
    </row>
    <row r="29" spans="1:30" ht="12" customHeight="1" x14ac:dyDescent="0.3"/>
    <row r="30" spans="1:30" ht="15.75" customHeight="1" x14ac:dyDescent="0.3">
      <c r="B30" s="521" t="s">
        <v>301</v>
      </c>
      <c r="C30" s="522" t="s">
        <v>343</v>
      </c>
      <c r="D30" s="523" t="s">
        <v>344</v>
      </c>
      <c r="E30" s="523" t="s">
        <v>345</v>
      </c>
      <c r="F30" s="523" t="s">
        <v>346</v>
      </c>
      <c r="G30" s="524" t="s">
        <v>347</v>
      </c>
      <c r="H30" s="525">
        <v>2025</v>
      </c>
      <c r="I30" s="525">
        <v>2024</v>
      </c>
      <c r="J30" s="525">
        <v>2023</v>
      </c>
      <c r="K30" s="525">
        <v>2022</v>
      </c>
      <c r="L30" s="525">
        <v>2021</v>
      </c>
      <c r="M30" s="525">
        <v>2020</v>
      </c>
      <c r="N30" s="525">
        <v>2019</v>
      </c>
      <c r="O30" s="526">
        <v>2018</v>
      </c>
      <c r="P30" s="526">
        <v>2017</v>
      </c>
      <c r="Q30" s="526">
        <v>2016</v>
      </c>
      <c r="R30" s="526">
        <v>2015</v>
      </c>
      <c r="S30" s="526">
        <v>2014</v>
      </c>
      <c r="T30" s="526">
        <v>2013</v>
      </c>
      <c r="U30" s="526">
        <v>2012</v>
      </c>
      <c r="V30" s="526">
        <v>2011</v>
      </c>
      <c r="W30" s="526">
        <v>2010</v>
      </c>
      <c r="X30" s="526">
        <v>2009</v>
      </c>
      <c r="Y30" s="526">
        <v>2008</v>
      </c>
      <c r="Z30" s="527" t="s">
        <v>332</v>
      </c>
    </row>
    <row r="31" spans="1:30" ht="24" customHeight="1" x14ac:dyDescent="0.3">
      <c r="B31" s="529">
        <v>1</v>
      </c>
      <c r="C31" s="530" t="s">
        <v>348</v>
      </c>
      <c r="D31" s="531" t="s">
        <v>411</v>
      </c>
      <c r="E31" s="532" t="s">
        <v>363</v>
      </c>
      <c r="F31" s="634" t="s">
        <v>412</v>
      </c>
      <c r="G31" s="534">
        <v>2009</v>
      </c>
      <c r="H31" s="635"/>
      <c r="I31" s="536">
        <v>135.41999999999999</v>
      </c>
      <c r="J31" s="628">
        <v>168.67</v>
      </c>
      <c r="K31" s="628">
        <f>4.29+8.27+9.3+7.88+9.66+7.65+13.92+7.09+9.92+7.67+10.07+8.38+9.94+10.43+9.15+8.92+8.4</f>
        <v>150.94</v>
      </c>
      <c r="L31" s="597">
        <v>134.47</v>
      </c>
      <c r="M31" s="597">
        <v>159.36000000000001</v>
      </c>
      <c r="N31" s="597">
        <v>125.42</v>
      </c>
      <c r="O31" s="597">
        <v>109</v>
      </c>
      <c r="P31" s="597">
        <v>275.56</v>
      </c>
      <c r="Q31" s="636">
        <v>301.89</v>
      </c>
      <c r="R31" s="636">
        <v>269.81</v>
      </c>
      <c r="S31" s="636">
        <v>273.62</v>
      </c>
      <c r="T31" s="636">
        <v>320.22000000000003</v>
      </c>
      <c r="U31" s="637">
        <v>315.22000000000003</v>
      </c>
      <c r="V31" s="636">
        <v>310.22000000000003</v>
      </c>
      <c r="W31" s="637">
        <v>305.22000000000003</v>
      </c>
      <c r="X31" s="535"/>
      <c r="Y31" s="542"/>
      <c r="Z31" s="535"/>
    </row>
    <row r="32" spans="1:30" ht="24" customHeight="1" x14ac:dyDescent="0.3">
      <c r="B32" s="529"/>
      <c r="C32" s="453"/>
      <c r="D32" s="453"/>
      <c r="E32" s="543"/>
      <c r="F32" s="453"/>
      <c r="G32" s="479"/>
      <c r="H32" s="638"/>
      <c r="I32" s="638"/>
      <c r="J32" s="545"/>
      <c r="K32" s="544"/>
      <c r="L32" s="544"/>
      <c r="M32" s="544"/>
      <c r="N32" s="544"/>
      <c r="O32" s="544"/>
      <c r="P32" s="544"/>
      <c r="Q32" s="544"/>
      <c r="R32" s="544"/>
      <c r="S32" s="544"/>
      <c r="T32" s="544"/>
      <c r="U32" s="548"/>
      <c r="V32" s="544"/>
      <c r="W32" s="548"/>
      <c r="X32" s="544"/>
      <c r="Y32" s="548"/>
      <c r="Z32" s="544"/>
    </row>
    <row r="33" spans="2:26" ht="24" customHeight="1" x14ac:dyDescent="0.3">
      <c r="B33" s="529"/>
      <c r="C33" s="531"/>
      <c r="D33" s="531"/>
      <c r="E33" s="532"/>
      <c r="F33" s="531"/>
      <c r="G33" s="639"/>
      <c r="H33" s="640"/>
      <c r="I33" s="640"/>
      <c r="J33" s="550"/>
      <c r="K33" s="550"/>
      <c r="L33" s="550"/>
      <c r="M33" s="550"/>
      <c r="N33" s="550"/>
      <c r="O33" s="550"/>
      <c r="P33" s="550"/>
      <c r="Q33" s="550"/>
      <c r="R33" s="550"/>
      <c r="S33" s="550"/>
      <c r="T33" s="550"/>
      <c r="U33" s="542"/>
      <c r="V33" s="550"/>
      <c r="W33" s="542"/>
      <c r="X33" s="550"/>
      <c r="Y33" s="542"/>
      <c r="Z33" s="550"/>
    </row>
    <row r="34" spans="2:26" ht="24" customHeight="1" x14ac:dyDescent="0.3">
      <c r="B34" s="552"/>
      <c r="C34" s="462"/>
      <c r="D34" s="462"/>
      <c r="E34" s="553"/>
      <c r="F34" s="462"/>
      <c r="G34" s="645"/>
      <c r="H34" s="646"/>
      <c r="I34" s="646"/>
      <c r="J34" s="556"/>
      <c r="K34" s="556"/>
      <c r="L34" s="556"/>
      <c r="M34" s="556"/>
      <c r="N34" s="556"/>
      <c r="O34" s="556"/>
      <c r="P34" s="556"/>
      <c r="Q34" s="556"/>
      <c r="R34" s="556"/>
      <c r="S34" s="556"/>
      <c r="T34" s="556"/>
      <c r="U34" s="557"/>
      <c r="V34" s="556"/>
      <c r="W34" s="557"/>
      <c r="X34" s="556"/>
      <c r="Y34" s="557"/>
      <c r="Z34" s="556"/>
    </row>
    <row r="35" spans="2:26" ht="15.75" customHeight="1" x14ac:dyDescent="0.3"/>
    <row r="36" spans="2:26" ht="15.75" customHeight="1" x14ac:dyDescent="0.3">
      <c r="B36" s="560" t="s">
        <v>355</v>
      </c>
      <c r="C36" s="561" t="s">
        <v>356</v>
      </c>
    </row>
    <row r="37" spans="2:26" ht="15.75" customHeight="1" x14ac:dyDescent="0.3"/>
    <row r="38" spans="2:26" ht="15.75" customHeight="1" x14ac:dyDescent="0.3">
      <c r="B38" s="4383" t="s">
        <v>357</v>
      </c>
      <c r="C38" s="4384"/>
    </row>
    <row r="39" spans="2:26" ht="15.75" customHeight="1" x14ac:dyDescent="0.3">
      <c r="B39" s="562" t="s">
        <v>301</v>
      </c>
    </row>
    <row r="40" spans="2:26" ht="15.75" customHeight="1" x14ac:dyDescent="0.3">
      <c r="B40" s="562" t="s">
        <v>301</v>
      </c>
    </row>
    <row r="41" spans="2:26" ht="15.75" customHeight="1" x14ac:dyDescent="0.3"/>
    <row r="42" spans="2:26" ht="15.75" customHeight="1" x14ac:dyDescent="0.3"/>
    <row r="43" spans="2:26" ht="15.75" customHeight="1" x14ac:dyDescent="0.3"/>
    <row r="44" spans="2:26" ht="15.75" customHeight="1" x14ac:dyDescent="0.3"/>
    <row r="45" spans="2:26" ht="15.75" customHeight="1" x14ac:dyDescent="0.3"/>
    <row r="46" spans="2:26" ht="15.75" customHeight="1" x14ac:dyDescent="0.3"/>
    <row r="47" spans="2:26" ht="15.75" customHeight="1" x14ac:dyDescent="0.3"/>
    <row r="48" spans="2:2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sheetData>
  <mergeCells count="2">
    <mergeCell ref="B19:C19"/>
    <mergeCell ref="B38:C38"/>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FED2E-DE12-4989-91F4-45F3BE45AF5F}">
  <dimension ref="A1:P991"/>
  <sheetViews>
    <sheetView zoomScale="90" zoomScaleNormal="90" workbookViewId="0">
      <selection activeCell="L31" sqref="L31"/>
    </sheetView>
  </sheetViews>
  <sheetFormatPr defaultColWidth="12.44140625" defaultRowHeight="15" customHeight="1" x14ac:dyDescent="0.3"/>
  <cols>
    <col min="1" max="1" width="2.6640625" style="428" customWidth="1"/>
    <col min="2" max="2" width="35.109375" style="428" customWidth="1"/>
    <col min="3" max="6" width="18.6640625" style="428" customWidth="1"/>
    <col min="7" max="7" width="1.5546875" style="428" customWidth="1"/>
    <col min="8" max="8" width="14.6640625" style="428" customWidth="1"/>
    <col min="9" max="9" width="7.33203125" style="428" customWidth="1"/>
    <col min="10" max="10" width="34" style="428" customWidth="1"/>
    <col min="11" max="13" width="18.5546875" style="428" customWidth="1"/>
    <col min="14" max="14" width="1.5546875" style="428" customWidth="1"/>
    <col min="15" max="15" width="15.21875" style="428" customWidth="1"/>
    <col min="16" max="16" width="11.6640625" style="428" customWidth="1"/>
    <col min="17" max="16384" width="12.44140625" style="428"/>
  </cols>
  <sheetData>
    <row r="1" spans="1:16" ht="21.75" customHeight="1" x14ac:dyDescent="0.35">
      <c r="A1" s="424"/>
      <c r="B1" s="425" t="s">
        <v>549</v>
      </c>
      <c r="C1" s="426"/>
      <c r="G1" s="427"/>
      <c r="I1" s="427"/>
      <c r="N1" s="427"/>
    </row>
    <row r="2" spans="1:16" ht="15.75" customHeight="1" x14ac:dyDescent="0.3">
      <c r="A2" s="424"/>
      <c r="B2" s="429" t="s">
        <v>299</v>
      </c>
      <c r="C2" s="430"/>
      <c r="D2" s="430"/>
      <c r="E2" s="430"/>
      <c r="F2" s="430"/>
      <c r="G2" s="430"/>
      <c r="H2" s="430"/>
      <c r="I2" s="430"/>
      <c r="J2" s="430"/>
      <c r="K2" s="430"/>
      <c r="L2" s="430"/>
      <c r="M2" s="430"/>
      <c r="N2" s="430"/>
      <c r="O2" s="430"/>
    </row>
    <row r="3" spans="1:16" ht="9.75" customHeight="1" x14ac:dyDescent="0.3">
      <c r="A3" s="427"/>
      <c r="B3" s="431"/>
      <c r="G3" s="427"/>
      <c r="I3" s="427"/>
      <c r="N3" s="427"/>
    </row>
    <row r="4" spans="1:16" ht="6" customHeight="1" x14ac:dyDescent="0.3">
      <c r="B4" s="427"/>
      <c r="G4" s="427"/>
      <c r="I4" s="427"/>
      <c r="N4" s="427"/>
    </row>
    <row r="5" spans="1:16" ht="6" customHeight="1" x14ac:dyDescent="0.3">
      <c r="A5" s="431"/>
      <c r="G5" s="427"/>
      <c r="I5" s="427"/>
      <c r="N5" s="427"/>
    </row>
    <row r="6" spans="1:16" ht="15.75" customHeight="1" x14ac:dyDescent="0.3">
      <c r="C6" s="428">
        <v>1000000</v>
      </c>
      <c r="G6" s="427"/>
      <c r="H6" s="427"/>
      <c r="I6" s="427"/>
      <c r="N6" s="427"/>
    </row>
    <row r="7" spans="1:16" ht="37.200000000000003" customHeight="1" x14ac:dyDescent="0.3">
      <c r="A7" s="432"/>
      <c r="B7" s="433">
        <v>2024</v>
      </c>
      <c r="C7" s="4385" t="s">
        <v>22</v>
      </c>
      <c r="D7" s="4386"/>
      <c r="E7" s="4386"/>
      <c r="F7" s="4387"/>
      <c r="G7" s="432"/>
      <c r="H7" s="435" t="s">
        <v>300</v>
      </c>
      <c r="I7" s="432"/>
      <c r="J7" s="433">
        <v>2024</v>
      </c>
      <c r="K7" s="4385" t="s">
        <v>23</v>
      </c>
      <c r="L7" s="4386"/>
      <c r="M7" s="4386"/>
      <c r="N7" s="609"/>
      <c r="O7" s="435" t="s">
        <v>300</v>
      </c>
      <c r="P7" s="432"/>
    </row>
    <row r="8" spans="1:16" ht="18" customHeight="1" x14ac:dyDescent="0.35">
      <c r="B8" s="436" t="s">
        <v>301</v>
      </c>
      <c r="C8" s="648">
        <v>1</v>
      </c>
      <c r="D8" s="572">
        <v>2</v>
      </c>
      <c r="E8" s="649">
        <v>3</v>
      </c>
      <c r="F8" s="572">
        <v>4</v>
      </c>
      <c r="G8" s="427"/>
      <c r="H8" s="438"/>
      <c r="I8" s="427"/>
      <c r="J8" s="436" t="s">
        <v>301</v>
      </c>
      <c r="K8" s="648">
        <v>1</v>
      </c>
      <c r="L8" s="572">
        <v>2</v>
      </c>
      <c r="M8" s="572">
        <v>3</v>
      </c>
      <c r="N8" s="610"/>
      <c r="O8" s="438"/>
    </row>
    <row r="9" spans="1:16" ht="46.5" customHeight="1" x14ac:dyDescent="0.3">
      <c r="B9" s="439" t="s">
        <v>302</v>
      </c>
      <c r="C9" s="573" t="s">
        <v>414</v>
      </c>
      <c r="D9" s="573" t="s">
        <v>415</v>
      </c>
      <c r="E9" s="573" t="s">
        <v>416</v>
      </c>
      <c r="F9" s="573" t="s">
        <v>417</v>
      </c>
      <c r="G9" s="574"/>
      <c r="H9" s="442"/>
      <c r="I9" s="443"/>
      <c r="J9" s="439" t="s">
        <v>302</v>
      </c>
      <c r="K9" s="573" t="s">
        <v>418</v>
      </c>
      <c r="L9" s="573" t="s">
        <v>1930</v>
      </c>
      <c r="M9" s="573" t="s">
        <v>1931</v>
      </c>
      <c r="N9" s="611"/>
      <c r="O9" s="442"/>
    </row>
    <row r="10" spans="1:16" ht="46.5" customHeight="1" x14ac:dyDescent="0.3">
      <c r="B10" s="444" t="s">
        <v>304</v>
      </c>
      <c r="C10" s="445" t="s">
        <v>419</v>
      </c>
      <c r="D10" s="445" t="s">
        <v>420</v>
      </c>
      <c r="E10" s="445" t="s">
        <v>421</v>
      </c>
      <c r="F10" s="445" t="s">
        <v>422</v>
      </c>
      <c r="G10" s="574"/>
      <c r="H10" s="446"/>
      <c r="I10" s="443"/>
      <c r="J10" s="444" t="s">
        <v>304</v>
      </c>
      <c r="K10" s="445" t="s">
        <v>423</v>
      </c>
      <c r="L10" s="445" t="s">
        <v>424</v>
      </c>
      <c r="M10" s="445" t="s">
        <v>425</v>
      </c>
      <c r="N10" s="612"/>
      <c r="O10" s="446"/>
    </row>
    <row r="11" spans="1:16" ht="18.75" customHeight="1" x14ac:dyDescent="0.3">
      <c r="A11" s="447"/>
      <c r="B11" s="448" t="s">
        <v>306</v>
      </c>
      <c r="C11" s="575">
        <f>(C17*C18)</f>
        <v>75.021036285800008</v>
      </c>
      <c r="D11" s="575">
        <f t="shared" ref="D11:F11" si="0">(D17*D18)</f>
        <v>27.180587911700002</v>
      </c>
      <c r="E11" s="575">
        <f t="shared" si="0"/>
        <v>11.243996733820001</v>
      </c>
      <c r="F11" s="575">
        <f t="shared" si="0"/>
        <v>391.43814747428581</v>
      </c>
      <c r="G11" s="576"/>
      <c r="H11" s="451">
        <f t="shared" ref="H11:H12" si="1">SUM(C11:F11)</f>
        <v>504.88376840560579</v>
      </c>
      <c r="I11" s="452"/>
      <c r="J11" s="448" t="s">
        <v>306</v>
      </c>
      <c r="K11" s="449">
        <f>(K17*K18)</f>
        <v>1872.9145934089329</v>
      </c>
      <c r="L11" s="650">
        <f t="shared" ref="L11:M11" si="2">(L17*L18)</f>
        <v>0</v>
      </c>
      <c r="M11" s="651">
        <f t="shared" si="2"/>
        <v>141.7407658300763</v>
      </c>
      <c r="N11" s="614"/>
      <c r="O11" s="451">
        <f>SUM(K11:M11)</f>
        <v>2014.6553592390092</v>
      </c>
      <c r="P11" s="447"/>
    </row>
    <row r="12" spans="1:16" ht="18.75" customHeight="1" x14ac:dyDescent="0.3">
      <c r="A12" s="447"/>
      <c r="B12" s="453" t="s">
        <v>307</v>
      </c>
      <c r="C12" s="577">
        <f t="shared" ref="C12:F12" si="3">(C22*C23)+(C27*C28)</f>
        <v>22.387028393100003</v>
      </c>
      <c r="D12" s="652">
        <f t="shared" si="3"/>
        <v>0.39412800000000003</v>
      </c>
      <c r="E12" s="653">
        <f t="shared" si="3"/>
        <v>2.6044820639999999</v>
      </c>
      <c r="F12" s="577">
        <f t="shared" si="3"/>
        <v>2.60304</v>
      </c>
      <c r="G12" s="455"/>
      <c r="H12" s="456">
        <f t="shared" si="1"/>
        <v>27.988678457100001</v>
      </c>
      <c r="I12" s="457"/>
      <c r="J12" s="453" t="s">
        <v>307</v>
      </c>
      <c r="K12" s="577">
        <f>(K22*K23)+(K27*K28)</f>
        <v>0</v>
      </c>
      <c r="L12" s="577">
        <f>(L22*L23)+(L27*L28)</f>
        <v>0</v>
      </c>
      <c r="M12" s="577">
        <f>(M22*M23)+(M27*M28)</f>
        <v>0</v>
      </c>
      <c r="N12" s="614"/>
      <c r="O12" s="456">
        <f>SUM(K12:M12)</f>
        <v>0</v>
      </c>
      <c r="P12" s="447"/>
    </row>
    <row r="13" spans="1:16" ht="18.75" customHeight="1" x14ac:dyDescent="0.3">
      <c r="A13" s="447"/>
      <c r="B13" s="448" t="s">
        <v>308</v>
      </c>
      <c r="C13" s="654" t="s">
        <v>8</v>
      </c>
      <c r="D13" s="578" t="s">
        <v>8</v>
      </c>
      <c r="E13" s="654" t="s">
        <v>8</v>
      </c>
      <c r="F13" s="578" t="s">
        <v>8</v>
      </c>
      <c r="G13" s="459"/>
      <c r="H13" s="460"/>
      <c r="I13" s="461"/>
      <c r="J13" s="448" t="s">
        <v>308</v>
      </c>
      <c r="K13" s="654" t="s">
        <v>8</v>
      </c>
      <c r="L13" s="578" t="s">
        <v>8</v>
      </c>
      <c r="M13" s="578" t="s">
        <v>8</v>
      </c>
      <c r="N13" s="615"/>
      <c r="O13" s="460"/>
      <c r="P13" s="447"/>
    </row>
    <row r="14" spans="1:16" ht="18.75" customHeight="1" x14ac:dyDescent="0.3">
      <c r="A14" s="447"/>
      <c r="B14" s="462" t="s">
        <v>309</v>
      </c>
      <c r="C14" s="655">
        <f t="shared" ref="C14:F14" si="4">C11-C12</f>
        <v>52.634007892700005</v>
      </c>
      <c r="D14" s="579">
        <f t="shared" si="4"/>
        <v>26.786459911700003</v>
      </c>
      <c r="E14" s="655">
        <f t="shared" si="4"/>
        <v>8.6395146698200023</v>
      </c>
      <c r="F14" s="579">
        <f t="shared" si="4"/>
        <v>388.83510747428579</v>
      </c>
      <c r="G14" s="455"/>
      <c r="H14" s="464">
        <f>SUM(C14:F14)</f>
        <v>476.89508994850581</v>
      </c>
      <c r="I14" s="457"/>
      <c r="J14" s="462" t="s">
        <v>309</v>
      </c>
      <c r="K14" s="655">
        <f t="shared" ref="K14:M14" si="5">K11-K12</f>
        <v>1872.9145934089329</v>
      </c>
      <c r="L14" s="579">
        <f t="shared" si="5"/>
        <v>0</v>
      </c>
      <c r="M14" s="579">
        <f t="shared" si="5"/>
        <v>141.7407658300763</v>
      </c>
      <c r="N14" s="614"/>
      <c r="O14" s="464">
        <f>SUM(K14:M14)</f>
        <v>2014.6553592390092</v>
      </c>
      <c r="P14" s="447"/>
    </row>
    <row r="15" spans="1:16" ht="19.5" customHeight="1" x14ac:dyDescent="0.4">
      <c r="B15" s="465" t="s">
        <v>310</v>
      </c>
      <c r="C15" s="656"/>
      <c r="D15" s="657"/>
      <c r="E15" s="658"/>
      <c r="F15" s="580"/>
      <c r="G15" s="467"/>
      <c r="H15" s="468"/>
      <c r="I15" s="467"/>
      <c r="J15" s="616" t="s">
        <v>395</v>
      </c>
      <c r="K15" s="659"/>
      <c r="L15" s="617"/>
      <c r="M15" s="617"/>
      <c r="N15" s="618"/>
      <c r="O15" s="468"/>
      <c r="P15" s="427"/>
    </row>
    <row r="16" spans="1:16" ht="35.4" customHeight="1" x14ac:dyDescent="0.3">
      <c r="A16" s="447"/>
      <c r="B16" s="469" t="s">
        <v>311</v>
      </c>
      <c r="C16" s="601" t="s">
        <v>426</v>
      </c>
      <c r="D16" s="601" t="s">
        <v>426</v>
      </c>
      <c r="E16" s="601" t="s">
        <v>426</v>
      </c>
      <c r="F16" s="601" t="s">
        <v>427</v>
      </c>
      <c r="G16" s="581"/>
      <c r="H16" s="471"/>
      <c r="I16" s="457"/>
      <c r="J16" s="469" t="s">
        <v>311</v>
      </c>
      <c r="K16" s="601" t="s">
        <v>428</v>
      </c>
      <c r="L16" s="601" t="s">
        <v>429</v>
      </c>
      <c r="M16" s="601" t="s">
        <v>429</v>
      </c>
      <c r="N16" s="619"/>
      <c r="O16" s="620"/>
      <c r="P16" s="447"/>
    </row>
    <row r="17" spans="1:16" ht="21" customHeight="1" x14ac:dyDescent="0.3">
      <c r="A17" s="447"/>
      <c r="B17" s="472" t="s">
        <v>2342</v>
      </c>
      <c r="C17" s="582">
        <f>'CF-0108|GDS'!R10</f>
        <v>27440.6</v>
      </c>
      <c r="D17" s="660">
        <f>'CF-0108|GDS'!S12</f>
        <v>9941.9</v>
      </c>
      <c r="E17" s="661">
        <f>'CF-0108|GDS'!X14</f>
        <v>4112.74</v>
      </c>
      <c r="F17" s="582">
        <f>'CF-0108|GDS'!I17</f>
        <v>143177.14285714287</v>
      </c>
      <c r="G17" s="583"/>
      <c r="I17" s="475"/>
      <c r="J17" s="472" t="s">
        <v>398</v>
      </c>
      <c r="K17" s="4072">
        <f>'CF-0108|GDS'!I31</f>
        <v>477.32589999999993</v>
      </c>
      <c r="L17" s="662">
        <v>0</v>
      </c>
      <c r="M17" s="621">
        <f>'CF-0108|GDS'!I33</f>
        <v>196.79</v>
      </c>
      <c r="N17" s="622"/>
      <c r="O17" s="623"/>
      <c r="P17" s="447"/>
    </row>
    <row r="18" spans="1:16" ht="18.75" customHeight="1" x14ac:dyDescent="0.3">
      <c r="A18" s="447"/>
      <c r="B18" s="476" t="s">
        <v>314</v>
      </c>
      <c r="C18" s="584">
        <v>2.7339430000000004E-3</v>
      </c>
      <c r="D18" s="584">
        <v>2.7339430000000004E-3</v>
      </c>
      <c r="E18" s="584">
        <v>2.7339430000000004E-3</v>
      </c>
      <c r="F18" s="584">
        <v>2.7339430000000004E-3</v>
      </c>
      <c r="G18" s="478"/>
      <c r="I18" s="479"/>
      <c r="J18" s="476" t="s">
        <v>314</v>
      </c>
      <c r="K18" s="584">
        <v>3.9237648604631201</v>
      </c>
      <c r="L18" s="584">
        <v>0</v>
      </c>
      <c r="M18" s="584">
        <v>0.72026406743267601</v>
      </c>
      <c r="N18" s="614"/>
      <c r="O18" s="491"/>
      <c r="P18" s="447"/>
    </row>
    <row r="19" spans="1:16" ht="19.5" customHeight="1" x14ac:dyDescent="0.3">
      <c r="A19" s="447"/>
      <c r="B19" s="480" t="s">
        <v>315</v>
      </c>
      <c r="C19" s="663">
        <f>C17*C18</f>
        <v>75.021036285800008</v>
      </c>
      <c r="D19" s="664">
        <f>D17*D18</f>
        <v>27.180587911700002</v>
      </c>
      <c r="E19" s="585">
        <f>E17*E18</f>
        <v>11.243996733820001</v>
      </c>
      <c r="F19" s="585">
        <f>F17*F18</f>
        <v>391.43814747428581</v>
      </c>
      <c r="G19" s="586"/>
      <c r="I19" s="479"/>
      <c r="J19" s="480" t="s">
        <v>315</v>
      </c>
      <c r="K19" s="664">
        <f>K17*K18</f>
        <v>1872.9145934089329</v>
      </c>
      <c r="L19" s="663">
        <f>L17*L18</f>
        <v>0</v>
      </c>
      <c r="M19" s="585">
        <f>M17*M18</f>
        <v>141.7407658300763</v>
      </c>
      <c r="N19" s="614"/>
      <c r="O19" s="494"/>
      <c r="P19" s="647"/>
    </row>
    <row r="20" spans="1:16" ht="21" customHeight="1" x14ac:dyDescent="0.4">
      <c r="B20" s="465" t="s">
        <v>316</v>
      </c>
      <c r="C20" s="665"/>
      <c r="D20" s="587"/>
      <c r="E20" s="665"/>
      <c r="F20" s="587"/>
      <c r="G20" s="483"/>
      <c r="H20" s="484"/>
      <c r="I20" s="483"/>
      <c r="J20" s="465" t="s">
        <v>316</v>
      </c>
      <c r="K20" s="665"/>
      <c r="L20" s="587"/>
      <c r="M20" s="587"/>
      <c r="N20" s="618"/>
      <c r="O20" s="495"/>
      <c r="P20" s="685"/>
    </row>
    <row r="21" spans="1:16" ht="32.4" customHeight="1" x14ac:dyDescent="0.3">
      <c r="A21" s="447"/>
      <c r="B21" s="469" t="s">
        <v>183</v>
      </c>
      <c r="C21" s="601" t="s">
        <v>352</v>
      </c>
      <c r="D21" s="601" t="s">
        <v>352</v>
      </c>
      <c r="E21" s="601" t="s">
        <v>430</v>
      </c>
      <c r="F21" s="601" t="s">
        <v>352</v>
      </c>
      <c r="G21" s="588"/>
      <c r="H21" s="485"/>
      <c r="I21" s="479"/>
      <c r="J21" s="469" t="s">
        <v>183</v>
      </c>
      <c r="K21" s="601" t="s">
        <v>431</v>
      </c>
      <c r="L21" s="601" t="s">
        <v>431</v>
      </c>
      <c r="M21" s="601" t="s">
        <v>431</v>
      </c>
      <c r="N21" s="614"/>
      <c r="O21" s="496"/>
      <c r="P21" s="447"/>
    </row>
    <row r="22" spans="1:16" ht="21" customHeight="1" x14ac:dyDescent="0.3">
      <c r="A22" s="447"/>
      <c r="B22" s="486" t="s">
        <v>2342</v>
      </c>
      <c r="C22" s="666">
        <f>'CF-0108|GDS'!I11</f>
        <v>372861.25</v>
      </c>
      <c r="D22" s="589">
        <f>'CF-0108|GDS'!I13</f>
        <v>231840</v>
      </c>
      <c r="E22" s="666">
        <f>'CF-0108|GDS'!I14</f>
        <v>1692</v>
      </c>
      <c r="F22" s="589">
        <f>'CF-0108|GDS'!I15</f>
        <v>1531200</v>
      </c>
      <c r="G22" s="479"/>
      <c r="H22" s="488"/>
      <c r="I22" s="479"/>
      <c r="J22" s="486" t="s">
        <v>398</v>
      </c>
      <c r="K22" s="666">
        <f>K17</f>
        <v>477.32589999999993</v>
      </c>
      <c r="L22" s="589">
        <f>L17</f>
        <v>0</v>
      </c>
      <c r="M22" s="589">
        <f>M17</f>
        <v>196.79</v>
      </c>
      <c r="N22" s="622"/>
      <c r="O22" s="623"/>
      <c r="P22" s="447"/>
    </row>
    <row r="23" spans="1:16" ht="21" customHeight="1" x14ac:dyDescent="0.3">
      <c r="A23" s="447"/>
      <c r="B23" s="489" t="s">
        <v>314</v>
      </c>
      <c r="C23" s="667">
        <v>1.7E-6</v>
      </c>
      <c r="D23" s="667">
        <v>1.7E-6</v>
      </c>
      <c r="E23" s="590">
        <v>1.5392919999999998E-3</v>
      </c>
      <c r="F23" s="667">
        <v>1.7E-6</v>
      </c>
      <c r="G23" s="588"/>
      <c r="H23" s="491"/>
      <c r="I23" s="479"/>
      <c r="J23" s="489" t="s">
        <v>314</v>
      </c>
      <c r="K23" s="590">
        <v>0</v>
      </c>
      <c r="L23" s="590">
        <v>0</v>
      </c>
      <c r="M23" s="590">
        <v>0</v>
      </c>
      <c r="N23" s="614"/>
      <c r="O23" s="491"/>
      <c r="P23" s="447"/>
    </row>
    <row r="24" spans="1:16" ht="21" customHeight="1" x14ac:dyDescent="0.3">
      <c r="A24" s="447"/>
      <c r="B24" s="492" t="s">
        <v>315</v>
      </c>
      <c r="C24" s="668">
        <f t="shared" ref="C24:F24" si="6">C22*C23</f>
        <v>0.633864125</v>
      </c>
      <c r="D24" s="668">
        <f t="shared" si="6"/>
        <v>0.39412800000000003</v>
      </c>
      <c r="E24" s="668">
        <f t="shared" si="6"/>
        <v>2.6044820639999999</v>
      </c>
      <c r="F24" s="591">
        <f t="shared" si="6"/>
        <v>2.60304</v>
      </c>
      <c r="G24" s="588"/>
      <c r="H24" s="494"/>
      <c r="I24" s="479"/>
      <c r="J24" s="492" t="s">
        <v>315</v>
      </c>
      <c r="K24" s="668">
        <f t="shared" ref="K24:M24" si="7">K22*K23</f>
        <v>0</v>
      </c>
      <c r="L24" s="591">
        <f t="shared" si="7"/>
        <v>0</v>
      </c>
      <c r="M24" s="624">
        <f t="shared" si="7"/>
        <v>0</v>
      </c>
      <c r="N24" s="614"/>
      <c r="O24" s="494"/>
      <c r="P24" s="447"/>
    </row>
    <row r="25" spans="1:16" ht="21" customHeight="1" x14ac:dyDescent="0.4">
      <c r="B25" s="465" t="s">
        <v>316</v>
      </c>
      <c r="C25" s="665"/>
      <c r="D25" s="587"/>
      <c r="E25" s="665"/>
      <c r="F25" s="587"/>
      <c r="G25" s="483"/>
      <c r="H25" s="495"/>
      <c r="I25" s="483"/>
      <c r="J25" s="465"/>
      <c r="K25" s="665"/>
      <c r="L25" s="587"/>
      <c r="M25" s="587"/>
      <c r="N25" s="618"/>
      <c r="O25" s="495"/>
    </row>
    <row r="26" spans="1:16" ht="30.6" customHeight="1" x14ac:dyDescent="0.3">
      <c r="A26" s="447"/>
      <c r="B26" s="469" t="s">
        <v>183</v>
      </c>
      <c r="C26" s="601" t="s">
        <v>432</v>
      </c>
      <c r="D26" s="601"/>
      <c r="E26" s="601"/>
      <c r="F26" s="601"/>
      <c r="G26" s="588"/>
      <c r="H26" s="496"/>
      <c r="I26" s="479"/>
      <c r="J26" s="469"/>
      <c r="K26" s="601"/>
      <c r="L26" s="601"/>
      <c r="M26" s="601"/>
      <c r="N26" s="614"/>
      <c r="O26" s="496"/>
      <c r="P26" s="447"/>
    </row>
    <row r="27" spans="1:16" ht="21" customHeight="1" x14ac:dyDescent="0.3">
      <c r="A27" s="447"/>
      <c r="B27" s="486" t="s">
        <v>2342</v>
      </c>
      <c r="C27" s="666">
        <f>'CF-0108|GDS'!I10</f>
        <v>7956.7</v>
      </c>
      <c r="D27" s="589">
        <v>0</v>
      </c>
      <c r="E27" s="666">
        <v>0</v>
      </c>
      <c r="F27" s="589">
        <v>0</v>
      </c>
      <c r="G27" s="479"/>
      <c r="H27" s="488"/>
      <c r="I27" s="479"/>
      <c r="J27" s="486"/>
      <c r="K27" s="666"/>
      <c r="L27" s="589"/>
      <c r="M27" s="589"/>
      <c r="N27" s="622"/>
      <c r="O27" s="623"/>
      <c r="P27" s="447"/>
    </row>
    <row r="28" spans="1:16" ht="21" customHeight="1" x14ac:dyDescent="0.3">
      <c r="A28" s="447"/>
      <c r="B28" s="489" t="s">
        <v>314</v>
      </c>
      <c r="C28" s="590">
        <v>2.7339430000000004E-3</v>
      </c>
      <c r="D28" s="590">
        <v>0</v>
      </c>
      <c r="E28" s="590">
        <v>0</v>
      </c>
      <c r="F28" s="590">
        <v>0</v>
      </c>
      <c r="G28" s="588"/>
      <c r="H28" s="491"/>
      <c r="I28" s="479"/>
      <c r="J28" s="489"/>
      <c r="K28" s="625"/>
      <c r="L28" s="669"/>
      <c r="M28" s="670"/>
      <c r="N28" s="614"/>
      <c r="O28" s="491"/>
      <c r="P28" s="447"/>
    </row>
    <row r="29" spans="1:16" ht="21" customHeight="1" x14ac:dyDescent="0.3">
      <c r="A29" s="447"/>
      <c r="B29" s="492" t="s">
        <v>315</v>
      </c>
      <c r="C29" s="668">
        <f t="shared" ref="C29:F29" si="8">C27*C28</f>
        <v>21.753164268100004</v>
      </c>
      <c r="D29" s="668">
        <f t="shared" si="8"/>
        <v>0</v>
      </c>
      <c r="E29" s="668">
        <f t="shared" si="8"/>
        <v>0</v>
      </c>
      <c r="F29" s="591">
        <f t="shared" si="8"/>
        <v>0</v>
      </c>
      <c r="G29" s="588"/>
      <c r="H29" s="494"/>
      <c r="I29" s="479"/>
      <c r="J29" s="492"/>
      <c r="K29" s="591"/>
      <c r="L29" s="624"/>
      <c r="M29" s="671"/>
      <c r="N29" s="614"/>
      <c r="O29" s="494"/>
      <c r="P29" s="447"/>
    </row>
    <row r="30" spans="1:16" ht="28.5" customHeight="1" x14ac:dyDescent="0.3">
      <c r="A30" s="447"/>
      <c r="B30" s="498" t="s">
        <v>320</v>
      </c>
      <c r="C30" s="592" t="s">
        <v>321</v>
      </c>
      <c r="D30" s="592" t="s">
        <v>321</v>
      </c>
      <c r="E30" s="592" t="s">
        <v>321</v>
      </c>
      <c r="F30" s="592" t="s">
        <v>321</v>
      </c>
      <c r="G30" s="593"/>
      <c r="H30" s="501"/>
      <c r="I30" s="500"/>
      <c r="J30" s="498" t="s">
        <v>320</v>
      </c>
      <c r="K30" s="626" t="s">
        <v>401</v>
      </c>
      <c r="L30" s="626" t="s">
        <v>88</v>
      </c>
      <c r="M30" s="672" t="s">
        <v>401</v>
      </c>
      <c r="N30" s="614"/>
      <c r="O30" s="496"/>
      <c r="P30" s="447"/>
    </row>
    <row r="31" spans="1:16" ht="24" customHeight="1" x14ac:dyDescent="0.3">
      <c r="B31" s="502" t="s">
        <v>322</v>
      </c>
      <c r="C31" s="673">
        <v>3</v>
      </c>
      <c r="D31" s="594">
        <v>3</v>
      </c>
      <c r="E31" s="673">
        <v>3</v>
      </c>
      <c r="F31" s="594">
        <v>3</v>
      </c>
      <c r="G31" s="504"/>
      <c r="H31" s="505"/>
      <c r="I31" s="504"/>
      <c r="J31" s="502" t="s">
        <v>322</v>
      </c>
      <c r="K31" s="674">
        <v>13</v>
      </c>
      <c r="L31" s="596">
        <v>13</v>
      </c>
      <c r="M31" s="596">
        <v>13</v>
      </c>
      <c r="N31" s="618"/>
      <c r="O31" s="495"/>
    </row>
    <row r="32" spans="1:16" ht="33" customHeight="1" x14ac:dyDescent="0.3">
      <c r="A32" s="447"/>
      <c r="B32" s="506" t="s">
        <v>323</v>
      </c>
      <c r="C32" s="496" t="s">
        <v>324</v>
      </c>
      <c r="D32" s="595" t="s">
        <v>324</v>
      </c>
      <c r="E32" s="496" t="s">
        <v>324</v>
      </c>
      <c r="F32" s="595" t="s">
        <v>324</v>
      </c>
      <c r="G32" s="479"/>
      <c r="H32" s="496"/>
      <c r="I32" s="479"/>
      <c r="J32" s="506" t="s">
        <v>323</v>
      </c>
      <c r="K32" s="496" t="s">
        <v>324</v>
      </c>
      <c r="L32" s="595" t="s">
        <v>324</v>
      </c>
      <c r="M32" s="595" t="s">
        <v>324</v>
      </c>
      <c r="N32" s="614"/>
      <c r="O32" s="496"/>
      <c r="P32" s="447"/>
    </row>
    <row r="33" spans="1:16" ht="33" customHeight="1" x14ac:dyDescent="0.3">
      <c r="A33" s="447"/>
      <c r="B33" s="508" t="s">
        <v>325</v>
      </c>
      <c r="C33" s="674" t="s">
        <v>326</v>
      </c>
      <c r="D33" s="596" t="s">
        <v>326</v>
      </c>
      <c r="E33" s="674" t="s">
        <v>326</v>
      </c>
      <c r="F33" s="596" t="s">
        <v>326</v>
      </c>
      <c r="G33" s="479"/>
      <c r="H33" s="496"/>
      <c r="I33" s="479"/>
      <c r="J33" s="508" t="s">
        <v>325</v>
      </c>
      <c r="K33" s="674" t="s">
        <v>326</v>
      </c>
      <c r="L33" s="596" t="s">
        <v>326</v>
      </c>
      <c r="M33" s="627" t="s">
        <v>326</v>
      </c>
      <c r="N33" s="614"/>
      <c r="O33" s="496"/>
      <c r="P33" s="447"/>
    </row>
    <row r="34" spans="1:16" ht="33" customHeight="1" x14ac:dyDescent="0.3">
      <c r="A34" s="447"/>
      <c r="B34" s="506" t="s">
        <v>327</v>
      </c>
      <c r="C34" s="595" t="s">
        <v>433</v>
      </c>
      <c r="D34" s="595" t="s">
        <v>433</v>
      </c>
      <c r="E34" s="595" t="s">
        <v>433</v>
      </c>
      <c r="F34" s="595" t="s">
        <v>434</v>
      </c>
      <c r="G34" s="479"/>
      <c r="H34" s="496"/>
      <c r="I34" s="479"/>
      <c r="J34" s="506" t="s">
        <v>327</v>
      </c>
      <c r="K34" s="595" t="s">
        <v>402</v>
      </c>
      <c r="L34" s="595" t="s">
        <v>402</v>
      </c>
      <c r="M34" s="595" t="s">
        <v>402</v>
      </c>
      <c r="N34" s="614"/>
      <c r="O34" s="496"/>
      <c r="P34" s="447"/>
    </row>
    <row r="35" spans="1:16" ht="21" customHeight="1" x14ac:dyDescent="0.3">
      <c r="B35" s="510" t="s">
        <v>329</v>
      </c>
      <c r="C35" s="596">
        <v>1</v>
      </c>
      <c r="D35" s="596">
        <v>1</v>
      </c>
      <c r="E35" s="596">
        <v>1</v>
      </c>
      <c r="F35" s="596">
        <v>1</v>
      </c>
      <c r="G35" s="467"/>
      <c r="H35" s="467"/>
      <c r="I35" s="467"/>
      <c r="J35" s="510" t="s">
        <v>329</v>
      </c>
      <c r="K35" s="596">
        <v>1</v>
      </c>
      <c r="L35" s="596">
        <v>0</v>
      </c>
      <c r="M35" s="596">
        <v>1</v>
      </c>
      <c r="N35" s="618"/>
      <c r="O35" s="467"/>
    </row>
    <row r="36" spans="1:16" ht="21" customHeight="1" x14ac:dyDescent="0.3">
      <c r="B36" s="453" t="s">
        <v>330</v>
      </c>
      <c r="C36" s="496" t="s">
        <v>324</v>
      </c>
      <c r="D36" s="595" t="s">
        <v>324</v>
      </c>
      <c r="E36" s="496" t="s">
        <v>324</v>
      </c>
      <c r="F36" s="595" t="s">
        <v>324</v>
      </c>
      <c r="G36" s="483"/>
      <c r="H36" s="495"/>
      <c r="I36" s="483"/>
      <c r="J36" s="453" t="s">
        <v>330</v>
      </c>
      <c r="K36" s="496" t="s">
        <v>324</v>
      </c>
      <c r="L36" s="595" t="s">
        <v>324</v>
      </c>
      <c r="M36" s="595" t="s">
        <v>324</v>
      </c>
      <c r="N36" s="618"/>
      <c r="O36" s="495"/>
    </row>
    <row r="37" spans="1:16" ht="21" customHeight="1" x14ac:dyDescent="0.3">
      <c r="B37" s="510" t="s">
        <v>331</v>
      </c>
      <c r="C37" s="674" t="s">
        <v>324</v>
      </c>
      <c r="D37" s="596" t="s">
        <v>324</v>
      </c>
      <c r="E37" s="674" t="s">
        <v>324</v>
      </c>
      <c r="F37" s="596" t="s">
        <v>324</v>
      </c>
      <c r="G37" s="483"/>
      <c r="H37" s="495"/>
      <c r="I37" s="483"/>
      <c r="J37" s="510" t="s">
        <v>331</v>
      </c>
      <c r="K37" s="674" t="s">
        <v>324</v>
      </c>
      <c r="L37" s="596" t="s">
        <v>324</v>
      </c>
      <c r="M37" s="596" t="s">
        <v>324</v>
      </c>
      <c r="N37" s="618"/>
      <c r="O37" s="495"/>
    </row>
    <row r="38" spans="1:16" ht="21" customHeight="1" x14ac:dyDescent="0.3">
      <c r="B38" s="462" t="s">
        <v>332</v>
      </c>
      <c r="C38" s="675" t="s">
        <v>333</v>
      </c>
      <c r="D38" s="555" t="s">
        <v>333</v>
      </c>
      <c r="E38" s="676" t="s">
        <v>333</v>
      </c>
      <c r="F38" s="555" t="s">
        <v>333</v>
      </c>
      <c r="G38" s="483"/>
      <c r="H38" s="495"/>
      <c r="I38" s="483"/>
      <c r="J38" s="462" t="s">
        <v>332</v>
      </c>
      <c r="K38" s="675" t="s">
        <v>333</v>
      </c>
      <c r="L38" s="555" t="s">
        <v>333</v>
      </c>
      <c r="M38" s="555" t="s">
        <v>333</v>
      </c>
      <c r="N38" s="618"/>
      <c r="O38" s="495"/>
    </row>
    <row r="39" spans="1:16" ht="15.75" customHeight="1" x14ac:dyDescent="0.3">
      <c r="B39" s="427"/>
      <c r="C39" s="427"/>
      <c r="D39" s="427"/>
      <c r="E39" s="427"/>
      <c r="F39" s="427"/>
      <c r="G39" s="483"/>
      <c r="H39" s="483"/>
      <c r="I39" s="483"/>
      <c r="J39" s="427"/>
      <c r="N39" s="427"/>
      <c r="O39" s="427"/>
    </row>
    <row r="40" spans="1:16" ht="15.75" customHeight="1" x14ac:dyDescent="0.3">
      <c r="B40" s="512" t="s">
        <v>334</v>
      </c>
      <c r="C40" s="427"/>
      <c r="D40" s="427"/>
      <c r="E40" s="427"/>
      <c r="F40" s="427"/>
      <c r="G40" s="483"/>
      <c r="H40" s="483"/>
      <c r="I40" s="483"/>
      <c r="N40" s="427"/>
      <c r="O40" s="427"/>
    </row>
    <row r="41" spans="1:16" ht="15.75" customHeight="1" x14ac:dyDescent="0.3">
      <c r="B41" s="512" t="s">
        <v>335</v>
      </c>
      <c r="C41" s="427"/>
      <c r="D41" s="427"/>
      <c r="E41" s="427"/>
      <c r="F41" s="427"/>
      <c r="G41" s="483"/>
      <c r="H41" s="483"/>
      <c r="I41" s="483"/>
      <c r="N41" s="427"/>
      <c r="O41" s="427"/>
    </row>
    <row r="42" spans="1:16" ht="15.75" customHeight="1" x14ac:dyDescent="0.3">
      <c r="B42" s="512" t="s">
        <v>336</v>
      </c>
      <c r="C42" s="427"/>
      <c r="D42" s="427"/>
      <c r="E42" s="427"/>
      <c r="F42" s="427"/>
      <c r="G42" s="483"/>
      <c r="H42" s="483"/>
      <c r="I42" s="483"/>
      <c r="N42" s="427"/>
      <c r="O42" s="427"/>
    </row>
    <row r="43" spans="1:16" ht="15.75" customHeight="1" x14ac:dyDescent="0.3">
      <c r="B43" s="512" t="s">
        <v>337</v>
      </c>
      <c r="C43" s="427"/>
      <c r="D43" s="427"/>
      <c r="E43" s="427"/>
      <c r="F43" s="427"/>
      <c r="G43" s="483"/>
      <c r="H43" s="483"/>
      <c r="I43" s="483"/>
      <c r="N43" s="427"/>
      <c r="O43" s="427"/>
    </row>
    <row r="44" spans="1:16" ht="15.75" customHeight="1" x14ac:dyDescent="0.3">
      <c r="B44" s="512" t="s">
        <v>338</v>
      </c>
      <c r="G44" s="427"/>
      <c r="I44" s="427"/>
      <c r="N44" s="427"/>
      <c r="O44" s="427"/>
    </row>
    <row r="45" spans="1:16" ht="15.75" customHeight="1" x14ac:dyDescent="0.3">
      <c r="B45" s="512" t="s">
        <v>339</v>
      </c>
      <c r="G45" s="427"/>
      <c r="I45" s="427"/>
      <c r="N45" s="427"/>
      <c r="O45" s="427"/>
    </row>
    <row r="46" spans="1:16" ht="15.75" customHeight="1" x14ac:dyDescent="0.3">
      <c r="G46" s="427"/>
      <c r="I46" s="427"/>
      <c r="N46" s="427"/>
      <c r="O46" s="427"/>
    </row>
    <row r="47" spans="1:16" ht="15.75" customHeight="1" x14ac:dyDescent="0.3">
      <c r="G47" s="427"/>
      <c r="I47" s="427"/>
      <c r="N47" s="427"/>
      <c r="O47" s="427"/>
    </row>
    <row r="48" spans="1:16" ht="15.75" customHeight="1" x14ac:dyDescent="0.3">
      <c r="G48" s="427"/>
      <c r="I48" s="427"/>
      <c r="N48" s="427"/>
      <c r="O48" s="427"/>
    </row>
    <row r="49" spans="7:14" ht="15.75" customHeight="1" x14ac:dyDescent="0.3">
      <c r="G49" s="427"/>
      <c r="I49" s="427"/>
      <c r="N49" s="427"/>
    </row>
    <row r="50" spans="7:14" ht="15.75" customHeight="1" x14ac:dyDescent="0.3">
      <c r="G50" s="427"/>
      <c r="I50" s="427"/>
      <c r="N50" s="427"/>
    </row>
    <row r="51" spans="7:14" ht="15.75" customHeight="1" x14ac:dyDescent="0.3">
      <c r="G51" s="427"/>
      <c r="I51" s="427"/>
      <c r="N51" s="427"/>
    </row>
    <row r="52" spans="7:14" ht="15.75" customHeight="1" x14ac:dyDescent="0.3">
      <c r="G52" s="427"/>
      <c r="I52" s="427"/>
      <c r="N52" s="427"/>
    </row>
    <row r="53" spans="7:14" ht="15.75" customHeight="1" x14ac:dyDescent="0.3">
      <c r="G53" s="427"/>
      <c r="I53" s="427"/>
      <c r="N53" s="427"/>
    </row>
    <row r="54" spans="7:14" ht="15.75" customHeight="1" x14ac:dyDescent="0.3">
      <c r="G54" s="427"/>
      <c r="I54" s="427"/>
      <c r="N54" s="427"/>
    </row>
    <row r="55" spans="7:14" ht="15.75" customHeight="1" x14ac:dyDescent="0.3">
      <c r="G55" s="427"/>
      <c r="I55" s="427"/>
      <c r="N55" s="427"/>
    </row>
    <row r="56" spans="7:14" ht="15.75" customHeight="1" x14ac:dyDescent="0.3">
      <c r="G56" s="427"/>
      <c r="I56" s="427"/>
      <c r="N56" s="427"/>
    </row>
    <row r="57" spans="7:14" ht="15.75" customHeight="1" x14ac:dyDescent="0.3">
      <c r="G57" s="427"/>
      <c r="I57" s="427"/>
      <c r="N57" s="427"/>
    </row>
    <row r="58" spans="7:14" ht="15.75" customHeight="1" x14ac:dyDescent="0.3">
      <c r="G58" s="427"/>
      <c r="I58" s="427"/>
      <c r="N58" s="427"/>
    </row>
    <row r="59" spans="7:14" ht="15.75" customHeight="1" x14ac:dyDescent="0.3">
      <c r="G59" s="427"/>
      <c r="I59" s="427"/>
      <c r="N59" s="427"/>
    </row>
    <row r="60" spans="7:14" ht="15.75" customHeight="1" x14ac:dyDescent="0.3">
      <c r="G60" s="427"/>
      <c r="I60" s="427"/>
      <c r="N60" s="427"/>
    </row>
    <row r="61" spans="7:14" ht="15.75" customHeight="1" x14ac:dyDescent="0.3">
      <c r="G61" s="427"/>
      <c r="I61" s="427"/>
      <c r="N61" s="427"/>
    </row>
    <row r="62" spans="7:14" ht="15.75" customHeight="1" x14ac:dyDescent="0.3">
      <c r="G62" s="427"/>
      <c r="I62" s="427"/>
      <c r="N62" s="427"/>
    </row>
    <row r="63" spans="7:14" ht="15.75" customHeight="1" x14ac:dyDescent="0.3">
      <c r="G63" s="427"/>
      <c r="I63" s="427"/>
      <c r="N63" s="427"/>
    </row>
    <row r="64" spans="7:14" ht="15.75" customHeight="1" x14ac:dyDescent="0.3">
      <c r="G64" s="427"/>
      <c r="I64" s="427"/>
      <c r="N64" s="427"/>
    </row>
    <row r="65" spans="7:14" ht="15.75" customHeight="1" x14ac:dyDescent="0.3">
      <c r="G65" s="427"/>
      <c r="I65" s="427"/>
      <c r="N65" s="427"/>
    </row>
    <row r="66" spans="7:14" ht="15.75" customHeight="1" x14ac:dyDescent="0.3">
      <c r="G66" s="427"/>
      <c r="I66" s="427"/>
      <c r="N66" s="427"/>
    </row>
    <row r="67" spans="7:14" ht="15.75" customHeight="1" x14ac:dyDescent="0.3">
      <c r="G67" s="427"/>
      <c r="I67" s="427"/>
      <c r="N67" s="427"/>
    </row>
    <row r="68" spans="7:14" ht="15.75" customHeight="1" x14ac:dyDescent="0.3">
      <c r="G68" s="427"/>
      <c r="I68" s="427"/>
      <c r="N68" s="427"/>
    </row>
    <row r="69" spans="7:14" ht="15.75" customHeight="1" x14ac:dyDescent="0.3">
      <c r="G69" s="427"/>
      <c r="I69" s="427"/>
      <c r="N69" s="427"/>
    </row>
    <row r="70" spans="7:14" ht="15.75" customHeight="1" x14ac:dyDescent="0.3">
      <c r="G70" s="427"/>
      <c r="I70" s="427"/>
      <c r="N70" s="427"/>
    </row>
    <row r="71" spans="7:14" ht="15.75" customHeight="1" x14ac:dyDescent="0.3">
      <c r="G71" s="427"/>
      <c r="I71" s="427"/>
      <c r="N71" s="427"/>
    </row>
    <row r="72" spans="7:14" ht="15.75" customHeight="1" x14ac:dyDescent="0.3">
      <c r="G72" s="427"/>
      <c r="I72" s="427"/>
      <c r="N72" s="427"/>
    </row>
    <row r="73" spans="7:14" ht="15.75" customHeight="1" x14ac:dyDescent="0.3">
      <c r="G73" s="427"/>
      <c r="I73" s="427"/>
      <c r="N73" s="427"/>
    </row>
    <row r="74" spans="7:14" ht="15.75" customHeight="1" x14ac:dyDescent="0.3">
      <c r="G74" s="427"/>
      <c r="I74" s="427"/>
      <c r="N74" s="427"/>
    </row>
    <row r="75" spans="7:14" ht="15.75" customHeight="1" x14ac:dyDescent="0.3">
      <c r="G75" s="427"/>
      <c r="I75" s="427"/>
      <c r="N75" s="427"/>
    </row>
    <row r="76" spans="7:14" ht="15.75" customHeight="1" x14ac:dyDescent="0.3">
      <c r="G76" s="427"/>
      <c r="I76" s="427"/>
      <c r="N76" s="427"/>
    </row>
    <row r="77" spans="7:14" ht="15.75" customHeight="1" x14ac:dyDescent="0.3">
      <c r="G77" s="427"/>
      <c r="I77" s="427"/>
      <c r="N77" s="427"/>
    </row>
    <row r="78" spans="7:14" ht="15.75" customHeight="1" x14ac:dyDescent="0.3">
      <c r="G78" s="427"/>
      <c r="I78" s="427"/>
      <c r="N78" s="427"/>
    </row>
    <row r="79" spans="7:14" ht="15.75" customHeight="1" x14ac:dyDescent="0.3">
      <c r="G79" s="427"/>
      <c r="I79" s="427"/>
      <c r="N79" s="427"/>
    </row>
    <row r="80" spans="7:14" ht="15.75" customHeight="1" x14ac:dyDescent="0.3">
      <c r="G80" s="427"/>
      <c r="I80" s="427"/>
      <c r="N80" s="427"/>
    </row>
    <row r="81" spans="7:14" ht="15.75" customHeight="1" x14ac:dyDescent="0.3">
      <c r="G81" s="427"/>
      <c r="I81" s="427"/>
      <c r="N81" s="427"/>
    </row>
    <row r="82" spans="7:14" ht="15.75" customHeight="1" x14ac:dyDescent="0.3">
      <c r="G82" s="427"/>
      <c r="I82" s="427"/>
      <c r="N82" s="427"/>
    </row>
    <row r="83" spans="7:14" ht="15.75" customHeight="1" x14ac:dyDescent="0.3">
      <c r="G83" s="427"/>
      <c r="I83" s="427"/>
      <c r="N83" s="427"/>
    </row>
    <row r="84" spans="7:14" ht="15.75" customHeight="1" x14ac:dyDescent="0.3">
      <c r="G84" s="427"/>
      <c r="I84" s="427"/>
      <c r="N84" s="427"/>
    </row>
    <row r="85" spans="7:14" ht="15.75" customHeight="1" x14ac:dyDescent="0.3">
      <c r="G85" s="427"/>
      <c r="I85" s="427"/>
      <c r="N85" s="427"/>
    </row>
    <row r="86" spans="7:14" ht="15.75" customHeight="1" x14ac:dyDescent="0.3">
      <c r="G86" s="427"/>
      <c r="I86" s="427"/>
      <c r="N86" s="427"/>
    </row>
    <row r="87" spans="7:14" ht="15.75" customHeight="1" x14ac:dyDescent="0.3">
      <c r="G87" s="427"/>
      <c r="I87" s="427"/>
      <c r="N87" s="427"/>
    </row>
    <row r="88" spans="7:14" ht="15.75" customHeight="1" x14ac:dyDescent="0.3">
      <c r="G88" s="427"/>
      <c r="I88" s="427"/>
      <c r="N88" s="427"/>
    </row>
    <row r="89" spans="7:14" ht="15.75" customHeight="1" x14ac:dyDescent="0.3">
      <c r="G89" s="427"/>
      <c r="I89" s="427"/>
      <c r="N89" s="427"/>
    </row>
    <row r="90" spans="7:14" ht="15.75" customHeight="1" x14ac:dyDescent="0.3">
      <c r="G90" s="427"/>
      <c r="I90" s="427"/>
      <c r="N90" s="427"/>
    </row>
    <row r="91" spans="7:14" ht="15.75" customHeight="1" x14ac:dyDescent="0.3">
      <c r="G91" s="427"/>
      <c r="I91" s="427"/>
      <c r="N91" s="427"/>
    </row>
    <row r="92" spans="7:14" ht="15.75" customHeight="1" x14ac:dyDescent="0.3">
      <c r="G92" s="427"/>
      <c r="I92" s="427"/>
      <c r="N92" s="427"/>
    </row>
    <row r="93" spans="7:14" ht="15.75" customHeight="1" x14ac:dyDescent="0.3">
      <c r="G93" s="427"/>
      <c r="I93" s="427"/>
      <c r="N93" s="427"/>
    </row>
    <row r="94" spans="7:14" ht="15.75" customHeight="1" x14ac:dyDescent="0.3">
      <c r="G94" s="427"/>
      <c r="I94" s="427"/>
      <c r="N94" s="427"/>
    </row>
    <row r="95" spans="7:14" ht="15.75" customHeight="1" x14ac:dyDescent="0.3">
      <c r="G95" s="427"/>
      <c r="I95" s="427"/>
      <c r="N95" s="427"/>
    </row>
    <row r="96" spans="7:14" ht="15.75" customHeight="1" x14ac:dyDescent="0.3">
      <c r="G96" s="427"/>
      <c r="I96" s="427"/>
      <c r="N96" s="427"/>
    </row>
    <row r="97" spans="7:14" ht="15.75" customHeight="1" x14ac:dyDescent="0.3">
      <c r="G97" s="427"/>
      <c r="I97" s="427"/>
      <c r="N97" s="427"/>
    </row>
    <row r="98" spans="7:14" ht="15.75" customHeight="1" x14ac:dyDescent="0.3">
      <c r="G98" s="427"/>
      <c r="I98" s="427"/>
      <c r="N98" s="427"/>
    </row>
    <row r="99" spans="7:14" ht="15.75" customHeight="1" x14ac:dyDescent="0.3">
      <c r="G99" s="427"/>
      <c r="I99" s="427"/>
      <c r="N99" s="427"/>
    </row>
    <row r="100" spans="7:14" ht="15.75" customHeight="1" x14ac:dyDescent="0.3">
      <c r="G100" s="427"/>
      <c r="I100" s="427"/>
      <c r="N100" s="427"/>
    </row>
    <row r="101" spans="7:14" ht="15.75" customHeight="1" x14ac:dyDescent="0.3">
      <c r="G101" s="427"/>
      <c r="I101" s="427"/>
      <c r="N101" s="427"/>
    </row>
    <row r="102" spans="7:14" ht="15.75" customHeight="1" x14ac:dyDescent="0.3">
      <c r="G102" s="427"/>
      <c r="I102" s="427"/>
      <c r="N102" s="427"/>
    </row>
    <row r="103" spans="7:14" ht="15.75" customHeight="1" x14ac:dyDescent="0.3">
      <c r="G103" s="427"/>
      <c r="I103" s="427"/>
      <c r="N103" s="427"/>
    </row>
    <row r="104" spans="7:14" ht="15.75" customHeight="1" x14ac:dyDescent="0.3">
      <c r="G104" s="427"/>
      <c r="I104" s="427"/>
      <c r="N104" s="427"/>
    </row>
    <row r="105" spans="7:14" ht="15.75" customHeight="1" x14ac:dyDescent="0.3">
      <c r="G105" s="427"/>
      <c r="I105" s="427"/>
      <c r="N105" s="427"/>
    </row>
    <row r="106" spans="7:14" ht="15.75" customHeight="1" x14ac:dyDescent="0.3">
      <c r="G106" s="427"/>
      <c r="I106" s="427"/>
      <c r="N106" s="427"/>
    </row>
    <row r="107" spans="7:14" ht="15.75" customHeight="1" x14ac:dyDescent="0.3">
      <c r="G107" s="427"/>
      <c r="I107" s="427"/>
      <c r="N107" s="427"/>
    </row>
    <row r="108" spans="7:14" ht="15.75" customHeight="1" x14ac:dyDescent="0.3">
      <c r="G108" s="427"/>
      <c r="I108" s="427"/>
      <c r="N108" s="427"/>
    </row>
    <row r="109" spans="7:14" ht="15.75" customHeight="1" x14ac:dyDescent="0.3">
      <c r="G109" s="427"/>
      <c r="I109" s="427"/>
      <c r="N109" s="427"/>
    </row>
    <row r="110" spans="7:14" ht="15.75" customHeight="1" x14ac:dyDescent="0.3">
      <c r="G110" s="427"/>
      <c r="I110" s="427"/>
      <c r="N110" s="427"/>
    </row>
    <row r="111" spans="7:14" ht="15.75" customHeight="1" x14ac:dyDescent="0.3">
      <c r="G111" s="427"/>
      <c r="I111" s="427"/>
      <c r="N111" s="427"/>
    </row>
    <row r="112" spans="7:14" ht="15.75" customHeight="1" x14ac:dyDescent="0.3">
      <c r="G112" s="427"/>
      <c r="I112" s="427"/>
      <c r="N112" s="427"/>
    </row>
    <row r="113" spans="7:14" ht="15.75" customHeight="1" x14ac:dyDescent="0.3">
      <c r="G113" s="427"/>
      <c r="I113" s="427"/>
      <c r="N113" s="427"/>
    </row>
    <row r="114" spans="7:14" ht="15.75" customHeight="1" x14ac:dyDescent="0.3">
      <c r="G114" s="427"/>
      <c r="I114" s="427"/>
      <c r="N114" s="427"/>
    </row>
    <row r="115" spans="7:14" ht="15.75" customHeight="1" x14ac:dyDescent="0.3">
      <c r="G115" s="427"/>
      <c r="I115" s="427"/>
      <c r="N115" s="427"/>
    </row>
    <row r="116" spans="7:14" ht="15.75" customHeight="1" x14ac:dyDescent="0.3">
      <c r="G116" s="427"/>
      <c r="I116" s="427"/>
      <c r="N116" s="427"/>
    </row>
    <row r="117" spans="7:14" ht="15.75" customHeight="1" x14ac:dyDescent="0.3">
      <c r="G117" s="427"/>
      <c r="I117" s="427"/>
      <c r="N117" s="427"/>
    </row>
    <row r="118" spans="7:14" ht="15.75" customHeight="1" x14ac:dyDescent="0.3">
      <c r="G118" s="427"/>
      <c r="I118" s="427"/>
      <c r="N118" s="427"/>
    </row>
    <row r="119" spans="7:14" ht="15.75" customHeight="1" x14ac:dyDescent="0.3">
      <c r="G119" s="427"/>
      <c r="I119" s="427"/>
      <c r="N119" s="427"/>
    </row>
    <row r="120" spans="7:14" ht="15.75" customHeight="1" x14ac:dyDescent="0.3">
      <c r="G120" s="427"/>
      <c r="I120" s="427"/>
      <c r="N120" s="427"/>
    </row>
    <row r="121" spans="7:14" ht="15.75" customHeight="1" x14ac:dyDescent="0.3">
      <c r="G121" s="427"/>
      <c r="I121" s="427"/>
      <c r="N121" s="427"/>
    </row>
    <row r="122" spans="7:14" ht="15.75" customHeight="1" x14ac:dyDescent="0.3">
      <c r="G122" s="427"/>
      <c r="I122" s="427"/>
      <c r="N122" s="427"/>
    </row>
    <row r="123" spans="7:14" ht="15.75" customHeight="1" x14ac:dyDescent="0.3">
      <c r="G123" s="427"/>
      <c r="I123" s="427"/>
      <c r="N123" s="427"/>
    </row>
    <row r="124" spans="7:14" ht="15.75" customHeight="1" x14ac:dyDescent="0.3">
      <c r="G124" s="427"/>
      <c r="I124" s="427"/>
      <c r="N124" s="427"/>
    </row>
    <row r="125" spans="7:14" ht="15.75" customHeight="1" x14ac:dyDescent="0.3">
      <c r="G125" s="427"/>
      <c r="I125" s="427"/>
      <c r="N125" s="427"/>
    </row>
    <row r="126" spans="7:14" ht="15.75" customHeight="1" x14ac:dyDescent="0.3">
      <c r="G126" s="427"/>
      <c r="I126" s="427"/>
      <c r="N126" s="427"/>
    </row>
    <row r="127" spans="7:14" ht="15.75" customHeight="1" x14ac:dyDescent="0.3">
      <c r="G127" s="427"/>
      <c r="I127" s="427"/>
      <c r="N127" s="427"/>
    </row>
    <row r="128" spans="7:14" ht="15.75" customHeight="1" x14ac:dyDescent="0.3">
      <c r="G128" s="427"/>
      <c r="I128" s="427"/>
      <c r="N128" s="427"/>
    </row>
    <row r="129" spans="7:14" ht="15.75" customHeight="1" x14ac:dyDescent="0.3">
      <c r="G129" s="427"/>
      <c r="I129" s="427"/>
      <c r="N129" s="427"/>
    </row>
    <row r="130" spans="7:14" ht="15.75" customHeight="1" x14ac:dyDescent="0.3">
      <c r="G130" s="427"/>
      <c r="I130" s="427"/>
      <c r="N130" s="427"/>
    </row>
    <row r="131" spans="7:14" ht="15.75" customHeight="1" x14ac:dyDescent="0.3">
      <c r="G131" s="427"/>
      <c r="I131" s="427"/>
      <c r="N131" s="427"/>
    </row>
    <row r="132" spans="7:14" ht="15.75" customHeight="1" x14ac:dyDescent="0.3">
      <c r="G132" s="427"/>
      <c r="I132" s="427"/>
      <c r="N132" s="427"/>
    </row>
    <row r="133" spans="7:14" ht="15.75" customHeight="1" x14ac:dyDescent="0.3">
      <c r="G133" s="427"/>
      <c r="I133" s="427"/>
      <c r="N133" s="427"/>
    </row>
    <row r="134" spans="7:14" ht="15.75" customHeight="1" x14ac:dyDescent="0.3">
      <c r="G134" s="427"/>
      <c r="I134" s="427"/>
      <c r="N134" s="427"/>
    </row>
    <row r="135" spans="7:14" ht="15.75" customHeight="1" x14ac:dyDescent="0.3">
      <c r="G135" s="427"/>
      <c r="I135" s="427"/>
      <c r="N135" s="427"/>
    </row>
    <row r="136" spans="7:14" ht="15.75" customHeight="1" x14ac:dyDescent="0.3">
      <c r="G136" s="427"/>
      <c r="I136" s="427"/>
      <c r="N136" s="427"/>
    </row>
    <row r="137" spans="7:14" ht="15.75" customHeight="1" x14ac:dyDescent="0.3">
      <c r="G137" s="427"/>
      <c r="I137" s="427"/>
      <c r="N137" s="427"/>
    </row>
    <row r="138" spans="7:14" ht="15.75" customHeight="1" x14ac:dyDescent="0.3">
      <c r="G138" s="427"/>
      <c r="I138" s="427"/>
      <c r="N138" s="427"/>
    </row>
    <row r="139" spans="7:14" ht="15.75" customHeight="1" x14ac:dyDescent="0.3">
      <c r="G139" s="427"/>
      <c r="I139" s="427"/>
      <c r="N139" s="427"/>
    </row>
    <row r="140" spans="7:14" ht="15.75" customHeight="1" x14ac:dyDescent="0.3">
      <c r="G140" s="427"/>
      <c r="I140" s="427"/>
      <c r="N140" s="427"/>
    </row>
    <row r="141" spans="7:14" ht="15.75" customHeight="1" x14ac:dyDescent="0.3">
      <c r="G141" s="427"/>
      <c r="I141" s="427"/>
      <c r="N141" s="427"/>
    </row>
    <row r="142" spans="7:14" ht="15.75" customHeight="1" x14ac:dyDescent="0.3">
      <c r="G142" s="427"/>
      <c r="I142" s="427"/>
      <c r="N142" s="427"/>
    </row>
    <row r="143" spans="7:14" ht="15.75" customHeight="1" x14ac:dyDescent="0.3">
      <c r="G143" s="427"/>
      <c r="I143" s="427"/>
      <c r="N143" s="427"/>
    </row>
    <row r="144" spans="7:14" ht="15.75" customHeight="1" x14ac:dyDescent="0.3">
      <c r="G144" s="427"/>
      <c r="I144" s="427"/>
      <c r="N144" s="427"/>
    </row>
    <row r="145" spans="7:14" ht="15.75" customHeight="1" x14ac:dyDescent="0.3">
      <c r="G145" s="427"/>
      <c r="I145" s="427"/>
      <c r="N145" s="427"/>
    </row>
    <row r="146" spans="7:14" ht="15.75" customHeight="1" x14ac:dyDescent="0.3">
      <c r="G146" s="427"/>
      <c r="I146" s="427"/>
      <c r="N146" s="427"/>
    </row>
    <row r="147" spans="7:14" ht="15.75" customHeight="1" x14ac:dyDescent="0.3">
      <c r="G147" s="427"/>
      <c r="I147" s="427"/>
      <c r="N147" s="427"/>
    </row>
    <row r="148" spans="7:14" ht="15.75" customHeight="1" x14ac:dyDescent="0.3">
      <c r="G148" s="427"/>
      <c r="I148" s="427"/>
      <c r="N148" s="427"/>
    </row>
    <row r="149" spans="7:14" ht="15.75" customHeight="1" x14ac:dyDescent="0.3">
      <c r="G149" s="427"/>
      <c r="I149" s="427"/>
      <c r="N149" s="427"/>
    </row>
    <row r="150" spans="7:14" ht="15.75" customHeight="1" x14ac:dyDescent="0.3">
      <c r="G150" s="427"/>
      <c r="I150" s="427"/>
      <c r="N150" s="427"/>
    </row>
    <row r="151" spans="7:14" ht="15.75" customHeight="1" x14ac:dyDescent="0.3">
      <c r="G151" s="427"/>
      <c r="I151" s="427"/>
      <c r="N151" s="427"/>
    </row>
    <row r="152" spans="7:14" ht="15.75" customHeight="1" x14ac:dyDescent="0.3">
      <c r="G152" s="427"/>
      <c r="I152" s="427"/>
      <c r="N152" s="427"/>
    </row>
    <row r="153" spans="7:14" ht="15.75" customHeight="1" x14ac:dyDescent="0.3">
      <c r="G153" s="427"/>
      <c r="I153" s="427"/>
      <c r="N153" s="427"/>
    </row>
    <row r="154" spans="7:14" ht="15.75" customHeight="1" x14ac:dyDescent="0.3">
      <c r="G154" s="427"/>
      <c r="I154" s="427"/>
      <c r="N154" s="427"/>
    </row>
    <row r="155" spans="7:14" ht="15.75" customHeight="1" x14ac:dyDescent="0.3">
      <c r="G155" s="427"/>
      <c r="I155" s="427"/>
      <c r="N155" s="427"/>
    </row>
    <row r="156" spans="7:14" ht="15.75" customHeight="1" x14ac:dyDescent="0.3">
      <c r="G156" s="427"/>
      <c r="I156" s="427"/>
      <c r="N156" s="427"/>
    </row>
    <row r="157" spans="7:14" ht="15.75" customHeight="1" x14ac:dyDescent="0.3">
      <c r="G157" s="427"/>
      <c r="I157" s="427"/>
      <c r="N157" s="427"/>
    </row>
    <row r="158" spans="7:14" ht="15.75" customHeight="1" x14ac:dyDescent="0.3">
      <c r="G158" s="427"/>
      <c r="I158" s="427"/>
      <c r="N158" s="427"/>
    </row>
    <row r="159" spans="7:14" ht="15.75" customHeight="1" x14ac:dyDescent="0.3">
      <c r="G159" s="427"/>
      <c r="I159" s="427"/>
      <c r="N159" s="427"/>
    </row>
    <row r="160" spans="7:14" ht="15.75" customHeight="1" x14ac:dyDescent="0.3">
      <c r="G160" s="427"/>
      <c r="I160" s="427"/>
      <c r="N160" s="427"/>
    </row>
    <row r="161" spans="7:14" ht="15.75" customHeight="1" x14ac:dyDescent="0.3">
      <c r="G161" s="427"/>
      <c r="I161" s="427"/>
      <c r="N161" s="427"/>
    </row>
    <row r="162" spans="7:14" ht="15.75" customHeight="1" x14ac:dyDescent="0.3">
      <c r="G162" s="427"/>
      <c r="I162" s="427"/>
      <c r="N162" s="427"/>
    </row>
    <row r="163" spans="7:14" ht="15.75" customHeight="1" x14ac:dyDescent="0.3">
      <c r="G163" s="427"/>
      <c r="I163" s="427"/>
      <c r="N163" s="427"/>
    </row>
    <row r="164" spans="7:14" ht="15.75" customHeight="1" x14ac:dyDescent="0.3">
      <c r="G164" s="427"/>
      <c r="I164" s="427"/>
      <c r="N164" s="427"/>
    </row>
    <row r="165" spans="7:14" ht="15.75" customHeight="1" x14ac:dyDescent="0.3">
      <c r="G165" s="427"/>
      <c r="I165" s="427"/>
      <c r="N165" s="427"/>
    </row>
    <row r="166" spans="7:14" ht="15.75" customHeight="1" x14ac:dyDescent="0.3">
      <c r="G166" s="427"/>
      <c r="I166" s="427"/>
      <c r="N166" s="427"/>
    </row>
    <row r="167" spans="7:14" ht="15.75" customHeight="1" x14ac:dyDescent="0.3">
      <c r="G167" s="427"/>
      <c r="I167" s="427"/>
      <c r="N167" s="427"/>
    </row>
    <row r="168" spans="7:14" ht="15.75" customHeight="1" x14ac:dyDescent="0.3">
      <c r="G168" s="427"/>
      <c r="I168" s="427"/>
      <c r="N168" s="427"/>
    </row>
    <row r="169" spans="7:14" ht="15.75" customHeight="1" x14ac:dyDescent="0.3">
      <c r="G169" s="427"/>
      <c r="I169" s="427"/>
      <c r="N169" s="427"/>
    </row>
    <row r="170" spans="7:14" ht="15.75" customHeight="1" x14ac:dyDescent="0.3">
      <c r="G170" s="427"/>
      <c r="I170" s="427"/>
      <c r="N170" s="427"/>
    </row>
    <row r="171" spans="7:14" ht="15.75" customHeight="1" x14ac:dyDescent="0.3">
      <c r="G171" s="427"/>
      <c r="I171" s="427"/>
      <c r="N171" s="427"/>
    </row>
    <row r="172" spans="7:14" ht="15.75" customHeight="1" x14ac:dyDescent="0.3">
      <c r="G172" s="427"/>
      <c r="I172" s="427"/>
      <c r="N172" s="427"/>
    </row>
    <row r="173" spans="7:14" ht="15.75" customHeight="1" x14ac:dyDescent="0.3">
      <c r="G173" s="427"/>
      <c r="I173" s="427"/>
      <c r="N173" s="427"/>
    </row>
    <row r="174" spans="7:14" ht="15.75" customHeight="1" x14ac:dyDescent="0.3">
      <c r="G174" s="427"/>
      <c r="I174" s="427"/>
      <c r="N174" s="427"/>
    </row>
    <row r="175" spans="7:14" ht="15.75" customHeight="1" x14ac:dyDescent="0.3">
      <c r="G175" s="427"/>
      <c r="I175" s="427"/>
      <c r="N175" s="427"/>
    </row>
    <row r="176" spans="7:14" ht="15.75" customHeight="1" x14ac:dyDescent="0.3">
      <c r="G176" s="427"/>
      <c r="I176" s="427"/>
      <c r="N176" s="427"/>
    </row>
    <row r="177" spans="7:14" ht="15.75" customHeight="1" x14ac:dyDescent="0.3">
      <c r="G177" s="427"/>
      <c r="I177" s="427"/>
      <c r="N177" s="427"/>
    </row>
    <row r="178" spans="7:14" ht="15.75" customHeight="1" x14ac:dyDescent="0.3">
      <c r="G178" s="427"/>
      <c r="I178" s="427"/>
      <c r="N178" s="427"/>
    </row>
    <row r="179" spans="7:14" ht="15.75" customHeight="1" x14ac:dyDescent="0.3">
      <c r="G179" s="427"/>
      <c r="I179" s="427"/>
      <c r="N179" s="427"/>
    </row>
    <row r="180" spans="7:14" ht="15.75" customHeight="1" x14ac:dyDescent="0.3">
      <c r="G180" s="427"/>
      <c r="I180" s="427"/>
      <c r="N180" s="427"/>
    </row>
    <row r="181" spans="7:14" ht="15.75" customHeight="1" x14ac:dyDescent="0.3">
      <c r="G181" s="427"/>
      <c r="I181" s="427"/>
      <c r="N181" s="427"/>
    </row>
    <row r="182" spans="7:14" ht="15.75" customHeight="1" x14ac:dyDescent="0.3">
      <c r="G182" s="427"/>
      <c r="I182" s="427"/>
      <c r="N182" s="427"/>
    </row>
    <row r="183" spans="7:14" ht="15.75" customHeight="1" x14ac:dyDescent="0.3">
      <c r="G183" s="427"/>
      <c r="I183" s="427"/>
      <c r="N183" s="427"/>
    </row>
    <row r="184" spans="7:14" ht="15.75" customHeight="1" x14ac:dyDescent="0.3">
      <c r="G184" s="427"/>
      <c r="I184" s="427"/>
      <c r="N184" s="427"/>
    </row>
    <row r="185" spans="7:14" ht="15.75" customHeight="1" x14ac:dyDescent="0.3">
      <c r="G185" s="427"/>
      <c r="I185" s="427"/>
      <c r="N185" s="427"/>
    </row>
    <row r="186" spans="7:14" ht="15.75" customHeight="1" x14ac:dyDescent="0.3">
      <c r="G186" s="427"/>
      <c r="I186" s="427"/>
      <c r="N186" s="427"/>
    </row>
    <row r="187" spans="7:14" ht="15.75" customHeight="1" x14ac:dyDescent="0.3">
      <c r="G187" s="427"/>
      <c r="I187" s="427"/>
      <c r="N187" s="427"/>
    </row>
    <row r="188" spans="7:14" ht="15.75" customHeight="1" x14ac:dyDescent="0.3">
      <c r="G188" s="427"/>
      <c r="I188" s="427"/>
      <c r="N188" s="427"/>
    </row>
    <row r="189" spans="7:14" ht="15.75" customHeight="1" x14ac:dyDescent="0.3">
      <c r="G189" s="427"/>
      <c r="I189" s="427"/>
      <c r="N189" s="427"/>
    </row>
    <row r="190" spans="7:14" ht="15.75" customHeight="1" x14ac:dyDescent="0.3">
      <c r="G190" s="427"/>
      <c r="I190" s="427"/>
      <c r="N190" s="427"/>
    </row>
    <row r="191" spans="7:14" ht="15.75" customHeight="1" x14ac:dyDescent="0.3">
      <c r="G191" s="427"/>
      <c r="I191" s="427"/>
      <c r="N191" s="427"/>
    </row>
    <row r="192" spans="7:14" ht="15.75" customHeight="1" x14ac:dyDescent="0.3">
      <c r="G192" s="427"/>
      <c r="I192" s="427"/>
      <c r="N192" s="427"/>
    </row>
    <row r="193" spans="7:14" ht="15.75" customHeight="1" x14ac:dyDescent="0.3">
      <c r="G193" s="427"/>
      <c r="I193" s="427"/>
      <c r="N193" s="427"/>
    </row>
    <row r="194" spans="7:14" ht="15.75" customHeight="1" x14ac:dyDescent="0.3">
      <c r="G194" s="427"/>
      <c r="I194" s="427"/>
      <c r="N194" s="427"/>
    </row>
    <row r="195" spans="7:14" ht="15.75" customHeight="1" x14ac:dyDescent="0.3">
      <c r="G195" s="427"/>
      <c r="I195" s="427"/>
      <c r="N195" s="427"/>
    </row>
    <row r="196" spans="7:14" ht="15.75" customHeight="1" x14ac:dyDescent="0.3">
      <c r="G196" s="427"/>
      <c r="I196" s="427"/>
      <c r="N196" s="427"/>
    </row>
    <row r="197" spans="7:14" ht="15.75" customHeight="1" x14ac:dyDescent="0.3">
      <c r="G197" s="427"/>
      <c r="I197" s="427"/>
      <c r="N197" s="427"/>
    </row>
    <row r="198" spans="7:14" ht="15.75" customHeight="1" x14ac:dyDescent="0.3">
      <c r="G198" s="427"/>
      <c r="I198" s="427"/>
      <c r="N198" s="427"/>
    </row>
    <row r="199" spans="7:14" ht="15.75" customHeight="1" x14ac:dyDescent="0.3">
      <c r="G199" s="427"/>
      <c r="I199" s="427"/>
      <c r="N199" s="427"/>
    </row>
    <row r="200" spans="7:14" ht="15.75" customHeight="1" x14ac:dyDescent="0.3">
      <c r="G200" s="427"/>
      <c r="I200" s="427"/>
      <c r="N200" s="427"/>
    </row>
    <row r="201" spans="7:14" ht="15.75" customHeight="1" x14ac:dyDescent="0.3">
      <c r="G201" s="427"/>
      <c r="I201" s="427"/>
      <c r="N201" s="427"/>
    </row>
    <row r="202" spans="7:14" ht="15.75" customHeight="1" x14ac:dyDescent="0.3">
      <c r="G202" s="427"/>
      <c r="I202" s="427"/>
      <c r="N202" s="427"/>
    </row>
    <row r="203" spans="7:14" ht="15.75" customHeight="1" x14ac:dyDescent="0.3">
      <c r="G203" s="427"/>
      <c r="I203" s="427"/>
      <c r="N203" s="427"/>
    </row>
    <row r="204" spans="7:14" ht="15.75" customHeight="1" x14ac:dyDescent="0.3">
      <c r="G204" s="427"/>
      <c r="I204" s="427"/>
      <c r="N204" s="427"/>
    </row>
    <row r="205" spans="7:14" ht="15.75" customHeight="1" x14ac:dyDescent="0.3">
      <c r="G205" s="427"/>
      <c r="I205" s="427"/>
      <c r="N205" s="427"/>
    </row>
    <row r="206" spans="7:14" ht="15.75" customHeight="1" x14ac:dyDescent="0.3">
      <c r="G206" s="427"/>
      <c r="I206" s="427"/>
      <c r="N206" s="427"/>
    </row>
    <row r="207" spans="7:14" ht="15.75" customHeight="1" x14ac:dyDescent="0.3">
      <c r="G207" s="427"/>
      <c r="I207" s="427"/>
      <c r="N207" s="427"/>
    </row>
    <row r="208" spans="7:14" ht="15.75" customHeight="1" x14ac:dyDescent="0.3">
      <c r="G208" s="427"/>
      <c r="I208" s="427"/>
      <c r="N208" s="427"/>
    </row>
    <row r="209" spans="7:14" ht="15.75" customHeight="1" x14ac:dyDescent="0.3">
      <c r="G209" s="427"/>
      <c r="I209" s="427"/>
      <c r="N209" s="427"/>
    </row>
    <row r="210" spans="7:14" ht="15.75" customHeight="1" x14ac:dyDescent="0.3">
      <c r="G210" s="427"/>
      <c r="I210" s="427"/>
      <c r="N210" s="427"/>
    </row>
    <row r="211" spans="7:14" ht="15.75" customHeight="1" x14ac:dyDescent="0.3">
      <c r="G211" s="427"/>
      <c r="I211" s="427"/>
      <c r="N211" s="427"/>
    </row>
    <row r="212" spans="7:14" ht="15.75" customHeight="1" x14ac:dyDescent="0.3">
      <c r="G212" s="427"/>
      <c r="I212" s="427"/>
      <c r="N212" s="427"/>
    </row>
    <row r="213" spans="7:14" ht="15.75" customHeight="1" x14ac:dyDescent="0.3">
      <c r="G213" s="427"/>
      <c r="I213" s="427"/>
      <c r="N213" s="427"/>
    </row>
    <row r="214" spans="7:14" ht="15.75" customHeight="1" x14ac:dyDescent="0.3">
      <c r="G214" s="427"/>
      <c r="I214" s="427"/>
      <c r="N214" s="427"/>
    </row>
    <row r="215" spans="7:14" ht="15.75" customHeight="1" x14ac:dyDescent="0.3">
      <c r="G215" s="427"/>
      <c r="I215" s="427"/>
      <c r="N215" s="427"/>
    </row>
    <row r="216" spans="7:14" ht="15.75" customHeight="1" x14ac:dyDescent="0.3">
      <c r="G216" s="427"/>
      <c r="I216" s="427"/>
      <c r="N216" s="427"/>
    </row>
    <row r="217" spans="7:14" ht="15.75" customHeight="1" x14ac:dyDescent="0.3">
      <c r="G217" s="427"/>
      <c r="I217" s="427"/>
      <c r="N217" s="427"/>
    </row>
    <row r="218" spans="7:14" ht="15.75" customHeight="1" x14ac:dyDescent="0.3">
      <c r="G218" s="427"/>
      <c r="I218" s="427"/>
      <c r="N218" s="427"/>
    </row>
    <row r="219" spans="7:14" ht="15.75" customHeight="1" x14ac:dyDescent="0.3">
      <c r="G219" s="427"/>
      <c r="I219" s="427"/>
      <c r="N219" s="427"/>
    </row>
    <row r="220" spans="7:14" ht="15.75" customHeight="1" x14ac:dyDescent="0.3">
      <c r="G220" s="427"/>
      <c r="I220" s="427"/>
      <c r="N220" s="427"/>
    </row>
    <row r="221" spans="7:14" ht="15.75" customHeight="1" x14ac:dyDescent="0.3">
      <c r="G221" s="427"/>
      <c r="I221" s="427"/>
      <c r="N221" s="427"/>
    </row>
    <row r="222" spans="7:14" ht="15.75" customHeight="1" x14ac:dyDescent="0.3">
      <c r="G222" s="427"/>
      <c r="I222" s="427"/>
      <c r="N222" s="427"/>
    </row>
    <row r="223" spans="7:14" ht="15.75" customHeight="1" x14ac:dyDescent="0.3">
      <c r="G223" s="427"/>
      <c r="I223" s="427"/>
      <c r="N223" s="427"/>
    </row>
    <row r="224" spans="7:14" ht="15.75" customHeight="1" x14ac:dyDescent="0.3">
      <c r="G224" s="427"/>
      <c r="I224" s="427"/>
      <c r="N224" s="427"/>
    </row>
    <row r="225" spans="7:14" ht="15.75" customHeight="1" x14ac:dyDescent="0.3">
      <c r="G225" s="427"/>
      <c r="I225" s="427"/>
      <c r="N225" s="427"/>
    </row>
    <row r="226" spans="7:14" ht="15.75" customHeight="1" x14ac:dyDescent="0.3">
      <c r="G226" s="427"/>
      <c r="I226" s="427"/>
      <c r="N226" s="427"/>
    </row>
    <row r="227" spans="7:14" ht="15.75" customHeight="1" x14ac:dyDescent="0.3">
      <c r="G227" s="427"/>
      <c r="I227" s="427"/>
      <c r="N227" s="427"/>
    </row>
    <row r="228" spans="7:14" ht="15.75" customHeight="1" x14ac:dyDescent="0.3">
      <c r="G228" s="427"/>
      <c r="I228" s="427"/>
      <c r="N228" s="427"/>
    </row>
    <row r="229" spans="7:14" ht="15.75" customHeight="1" x14ac:dyDescent="0.3">
      <c r="G229" s="427"/>
      <c r="I229" s="427"/>
      <c r="N229" s="427"/>
    </row>
    <row r="230" spans="7:14" ht="15.75" customHeight="1" x14ac:dyDescent="0.3">
      <c r="G230" s="427"/>
      <c r="I230" s="427"/>
      <c r="N230" s="427"/>
    </row>
    <row r="231" spans="7:14" ht="15.75" customHeight="1" x14ac:dyDescent="0.3">
      <c r="G231" s="427"/>
      <c r="I231" s="427"/>
      <c r="N231" s="427"/>
    </row>
    <row r="232" spans="7:14" ht="15.75" customHeight="1" x14ac:dyDescent="0.3">
      <c r="G232" s="427"/>
      <c r="I232" s="427"/>
      <c r="N232" s="427"/>
    </row>
    <row r="233" spans="7:14" ht="15.75" customHeight="1" x14ac:dyDescent="0.3">
      <c r="G233" s="427"/>
      <c r="I233" s="427"/>
      <c r="N233" s="427"/>
    </row>
    <row r="234" spans="7:14" ht="15.75" customHeight="1" x14ac:dyDescent="0.3">
      <c r="G234" s="427"/>
      <c r="I234" s="427"/>
      <c r="N234" s="427"/>
    </row>
    <row r="235" spans="7:14" ht="15.75" customHeight="1" x14ac:dyDescent="0.3">
      <c r="G235" s="427"/>
      <c r="I235" s="427"/>
      <c r="N235" s="427"/>
    </row>
    <row r="236" spans="7:14" ht="15.75" customHeight="1" x14ac:dyDescent="0.3">
      <c r="G236" s="427"/>
      <c r="I236" s="427"/>
      <c r="N236" s="427"/>
    </row>
    <row r="237" spans="7:14" ht="15.75" customHeight="1" x14ac:dyDescent="0.3">
      <c r="G237" s="427"/>
      <c r="I237" s="427"/>
      <c r="N237" s="427"/>
    </row>
    <row r="238" spans="7:14" ht="15.75" customHeight="1" x14ac:dyDescent="0.3">
      <c r="G238" s="427"/>
      <c r="I238" s="427"/>
      <c r="N238" s="427"/>
    </row>
    <row r="239" spans="7:14" ht="15.75" customHeight="1" x14ac:dyDescent="0.3">
      <c r="G239" s="427"/>
      <c r="I239" s="427"/>
      <c r="N239" s="427"/>
    </row>
    <row r="240" spans="7:14" ht="15.75" customHeight="1" x14ac:dyDescent="0.3">
      <c r="G240" s="427"/>
      <c r="I240" s="427"/>
      <c r="N240" s="427"/>
    </row>
    <row r="241" spans="7:14" ht="15.75" customHeight="1" x14ac:dyDescent="0.3">
      <c r="G241" s="427"/>
      <c r="I241" s="427"/>
      <c r="N241" s="427"/>
    </row>
    <row r="242" spans="7:14" ht="15.75" customHeight="1" x14ac:dyDescent="0.3">
      <c r="G242" s="427"/>
      <c r="I242" s="427"/>
      <c r="N242" s="427"/>
    </row>
    <row r="243" spans="7:14" ht="15.75" customHeight="1" x14ac:dyDescent="0.3">
      <c r="G243" s="427"/>
      <c r="I243" s="427"/>
      <c r="N243" s="427"/>
    </row>
    <row r="244" spans="7:14" ht="15.75" customHeight="1" x14ac:dyDescent="0.3">
      <c r="G244" s="427"/>
      <c r="I244" s="427"/>
      <c r="N244" s="427"/>
    </row>
    <row r="245" spans="7:14" ht="15.75" customHeight="1" x14ac:dyDescent="0.3">
      <c r="G245" s="427"/>
      <c r="I245" s="427"/>
      <c r="N245" s="427"/>
    </row>
    <row r="246" spans="7:14" ht="15.75" customHeight="1" x14ac:dyDescent="0.3"/>
    <row r="247" spans="7:14" ht="15.75" customHeight="1" x14ac:dyDescent="0.3"/>
    <row r="248" spans="7:14" ht="15.75" customHeight="1" x14ac:dyDescent="0.3"/>
    <row r="249" spans="7:14" ht="15.75" customHeight="1" x14ac:dyDescent="0.3"/>
    <row r="250" spans="7:14" ht="15.75" customHeight="1" x14ac:dyDescent="0.3"/>
    <row r="251" spans="7:14" ht="15.75" customHeight="1" x14ac:dyDescent="0.3"/>
    <row r="252" spans="7:14" ht="15.75" customHeight="1" x14ac:dyDescent="0.3"/>
    <row r="253" spans="7:14" ht="15.75" customHeight="1" x14ac:dyDescent="0.3"/>
    <row r="254" spans="7:14" ht="15.75" customHeight="1" x14ac:dyDescent="0.3"/>
    <row r="255" spans="7:14" ht="15.75" customHeight="1" x14ac:dyDescent="0.3"/>
    <row r="256" spans="7:14"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mergeCells count="2">
    <mergeCell ref="C7:F7"/>
    <mergeCell ref="K7:M7"/>
  </mergeCells>
  <dataValidations count="1">
    <dataValidation type="list" allowBlank="1" showErrorMessage="1" sqref="B17 B27 B22" xr:uid="{F6972C9A-D375-410F-A9B3-5E41010318F3}">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857D8-89F7-442A-AB6D-29B99D72883C}">
  <dimension ref="A1:AD908"/>
  <sheetViews>
    <sheetView zoomScale="72" workbookViewId="0">
      <selection activeCell="I17" sqref="I17"/>
    </sheetView>
  </sheetViews>
  <sheetFormatPr defaultColWidth="12.44140625" defaultRowHeight="15" customHeight="1" x14ac:dyDescent="0.3"/>
  <cols>
    <col min="1" max="1" width="2.6640625" style="428" customWidth="1"/>
    <col min="2" max="2" width="5.109375" style="428" customWidth="1"/>
    <col min="3" max="3" width="35.5546875" style="428" customWidth="1"/>
    <col min="4" max="4" width="36.44140625"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17" width="11.5546875" style="428" hidden="1" customWidth="1"/>
    <col min="18" max="19" width="11.5546875" style="428" customWidth="1"/>
    <col min="20" max="23" width="11.5546875" style="428" hidden="1" customWidth="1"/>
    <col min="24" max="26" width="11.5546875" style="428" customWidth="1"/>
    <col min="27" max="30" width="11.6640625" style="428" customWidth="1"/>
    <col min="31" max="16384" width="12.44140625" style="428"/>
  </cols>
  <sheetData>
    <row r="1" spans="1:30" ht="23.25" customHeight="1" x14ac:dyDescent="0.35">
      <c r="A1" s="513"/>
      <c r="B1" s="514" t="s">
        <v>2346</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435</v>
      </c>
      <c r="D10" s="531" t="s">
        <v>436</v>
      </c>
      <c r="E10" s="532" t="s">
        <v>350</v>
      </c>
      <c r="F10" s="533"/>
      <c r="G10" s="534">
        <v>2015</v>
      </c>
      <c r="H10" s="535"/>
      <c r="I10" s="536">
        <v>7956.7</v>
      </c>
      <c r="J10" s="597">
        <v>6642.9</v>
      </c>
      <c r="K10" s="597">
        <v>7968.7000000000007</v>
      </c>
      <c r="L10" s="597">
        <v>5569.2</v>
      </c>
      <c r="M10" s="597">
        <v>4204</v>
      </c>
      <c r="N10" s="597">
        <v>5833</v>
      </c>
      <c r="O10" s="597"/>
      <c r="P10" s="597">
        <v>0</v>
      </c>
      <c r="Q10" s="597">
        <v>0</v>
      </c>
      <c r="R10" s="677">
        <v>27440.6</v>
      </c>
      <c r="S10" s="597"/>
      <c r="T10" s="597"/>
      <c r="U10" s="598"/>
      <c r="V10" s="597"/>
      <c r="W10" s="598"/>
      <c r="X10" s="597"/>
      <c r="Y10" s="542"/>
      <c r="Z10" s="535"/>
      <c r="AA10" s="528"/>
      <c r="AB10" s="528"/>
      <c r="AC10" s="528"/>
      <c r="AD10" s="528"/>
    </row>
    <row r="11" spans="1:30" ht="24" customHeight="1" x14ac:dyDescent="0.3">
      <c r="A11" s="528"/>
      <c r="B11" s="529">
        <v>1</v>
      </c>
      <c r="C11" s="453" t="s">
        <v>435</v>
      </c>
      <c r="D11" s="453" t="s">
        <v>437</v>
      </c>
      <c r="E11" s="543" t="s">
        <v>353</v>
      </c>
      <c r="F11" s="506"/>
      <c r="G11" s="496"/>
      <c r="H11" s="544"/>
      <c r="I11" s="545">
        <v>372861.25</v>
      </c>
      <c r="J11" s="599">
        <v>371440</v>
      </c>
      <c r="K11" s="599">
        <v>373440</v>
      </c>
      <c r="L11" s="599">
        <v>389640</v>
      </c>
      <c r="M11" s="599">
        <v>384000</v>
      </c>
      <c r="N11" s="599">
        <v>409760</v>
      </c>
      <c r="O11" s="599">
        <v>379080</v>
      </c>
      <c r="P11" s="599">
        <v>168120</v>
      </c>
      <c r="Q11" s="599">
        <v>325480</v>
      </c>
      <c r="R11" s="599">
        <v>125850</v>
      </c>
      <c r="S11" s="599">
        <v>46695</v>
      </c>
      <c r="T11" s="599"/>
      <c r="U11" s="600"/>
      <c r="V11" s="599"/>
      <c r="W11" s="600"/>
      <c r="X11" s="599"/>
      <c r="Y11" s="548"/>
      <c r="Z11" s="544"/>
      <c r="AA11" s="528"/>
      <c r="AB11" s="528"/>
      <c r="AC11" s="528"/>
      <c r="AD11" s="528"/>
    </row>
    <row r="12" spans="1:30" ht="30" customHeight="1" x14ac:dyDescent="0.3">
      <c r="A12" s="528"/>
      <c r="B12" s="529">
        <v>2</v>
      </c>
      <c r="C12" s="531" t="s">
        <v>435</v>
      </c>
      <c r="D12" s="531" t="s">
        <v>438</v>
      </c>
      <c r="E12" s="532" t="s">
        <v>350</v>
      </c>
      <c r="F12" s="533"/>
      <c r="G12" s="549">
        <v>2014</v>
      </c>
      <c r="H12" s="550"/>
      <c r="I12" s="550">
        <v>0</v>
      </c>
      <c r="J12" s="603">
        <v>0</v>
      </c>
      <c r="K12" s="603">
        <v>0</v>
      </c>
      <c r="L12" s="603">
        <v>0</v>
      </c>
      <c r="M12" s="603">
        <v>0</v>
      </c>
      <c r="N12" s="603">
        <v>0</v>
      </c>
      <c r="O12" s="603">
        <v>0</v>
      </c>
      <c r="P12" s="603">
        <v>0</v>
      </c>
      <c r="Q12" s="603">
        <v>0</v>
      </c>
      <c r="R12" s="603">
        <v>0</v>
      </c>
      <c r="S12" s="678">
        <v>9941.9</v>
      </c>
      <c r="T12" s="603"/>
      <c r="U12" s="598"/>
      <c r="V12" s="603"/>
      <c r="W12" s="598"/>
      <c r="X12" s="603"/>
      <c r="Y12" s="542"/>
      <c r="Z12" s="550"/>
      <c r="AA12" s="528"/>
      <c r="AB12" s="528"/>
      <c r="AC12" s="528"/>
      <c r="AD12" s="528"/>
    </row>
    <row r="13" spans="1:30" ht="30" customHeight="1" x14ac:dyDescent="0.3">
      <c r="A13" s="528"/>
      <c r="B13" s="529">
        <v>2</v>
      </c>
      <c r="C13" s="453" t="s">
        <v>435</v>
      </c>
      <c r="D13" s="453" t="s">
        <v>439</v>
      </c>
      <c r="E13" s="543" t="s">
        <v>353</v>
      </c>
      <c r="F13" s="506"/>
      <c r="G13" s="496"/>
      <c r="H13" s="544"/>
      <c r="I13" s="545">
        <v>231840</v>
      </c>
      <c r="J13" s="599">
        <v>235440</v>
      </c>
      <c r="K13" s="599">
        <v>221040</v>
      </c>
      <c r="L13" s="599">
        <v>190560</v>
      </c>
      <c r="M13" s="599">
        <v>193920</v>
      </c>
      <c r="N13" s="599">
        <v>205680</v>
      </c>
      <c r="O13" s="599">
        <v>216960</v>
      </c>
      <c r="P13" s="599">
        <v>215280</v>
      </c>
      <c r="Q13" s="599">
        <v>242640</v>
      </c>
      <c r="R13" s="599">
        <v>268320</v>
      </c>
      <c r="S13" s="599"/>
      <c r="T13" s="599"/>
      <c r="U13" s="600"/>
      <c r="V13" s="599"/>
      <c r="W13" s="600"/>
      <c r="X13" s="599"/>
      <c r="Y13" s="548"/>
      <c r="Z13" s="544"/>
      <c r="AA13" s="528"/>
      <c r="AB13" s="528"/>
      <c r="AC13" s="528"/>
      <c r="AD13" s="528"/>
    </row>
    <row r="14" spans="1:30" ht="24" customHeight="1" x14ac:dyDescent="0.3">
      <c r="A14" s="528"/>
      <c r="B14" s="529">
        <v>3</v>
      </c>
      <c r="C14" s="531" t="s">
        <v>435</v>
      </c>
      <c r="D14" s="531" t="s">
        <v>440</v>
      </c>
      <c r="E14" s="532" t="s">
        <v>350</v>
      </c>
      <c r="F14" s="533"/>
      <c r="G14" s="549">
        <v>2009</v>
      </c>
      <c r="H14" s="550"/>
      <c r="I14" s="602">
        <v>1692</v>
      </c>
      <c r="J14" s="603">
        <v>2926.3</v>
      </c>
      <c r="K14" s="603">
        <v>4370.5</v>
      </c>
      <c r="L14" s="603">
        <v>3270</v>
      </c>
      <c r="M14" s="603">
        <v>3504</v>
      </c>
      <c r="N14" s="603">
        <v>5909</v>
      </c>
      <c r="O14" s="603">
        <v>4402</v>
      </c>
      <c r="P14" s="603">
        <v>4993</v>
      </c>
      <c r="Q14" s="603">
        <v>4220</v>
      </c>
      <c r="R14" s="603"/>
      <c r="S14" s="603"/>
      <c r="T14" s="603"/>
      <c r="U14" s="598"/>
      <c r="V14" s="603"/>
      <c r="W14" s="598"/>
      <c r="X14" s="678">
        <v>4112.74</v>
      </c>
      <c r="Y14" s="542"/>
      <c r="Z14" s="550"/>
      <c r="AA14" s="528"/>
      <c r="AB14" s="528"/>
      <c r="AC14" s="528"/>
      <c r="AD14" s="528"/>
    </row>
    <row r="15" spans="1:30" ht="24" customHeight="1" x14ac:dyDescent="0.3">
      <c r="A15" s="528"/>
      <c r="B15" s="529">
        <v>4</v>
      </c>
      <c r="C15" s="453" t="s">
        <v>435</v>
      </c>
      <c r="D15" s="453" t="s">
        <v>441</v>
      </c>
      <c r="E15" s="543" t="s">
        <v>353</v>
      </c>
      <c r="F15" s="506"/>
      <c r="G15" s="496">
        <v>2011</v>
      </c>
      <c r="H15" s="544"/>
      <c r="I15" s="545">
        <v>1531200</v>
      </c>
      <c r="J15" s="599">
        <v>1400400</v>
      </c>
      <c r="K15" s="599">
        <v>1213200</v>
      </c>
      <c r="L15" s="599">
        <v>1074000</v>
      </c>
      <c r="M15" s="599">
        <v>1156800</v>
      </c>
      <c r="N15" s="599">
        <v>1365600</v>
      </c>
      <c r="O15" s="599">
        <v>1378800</v>
      </c>
      <c r="P15" s="599">
        <v>1402800</v>
      </c>
      <c r="Q15" s="599">
        <v>1497600</v>
      </c>
      <c r="R15" s="599">
        <v>1562400</v>
      </c>
      <c r="S15" s="599">
        <v>1658400</v>
      </c>
      <c r="T15" s="599">
        <v>1760400</v>
      </c>
      <c r="U15" s="600">
        <v>1706642</v>
      </c>
      <c r="V15" s="599">
        <v>1926958</v>
      </c>
      <c r="W15" s="600"/>
      <c r="X15" s="599"/>
      <c r="Y15" s="548"/>
      <c r="Z15" s="544"/>
      <c r="AA15" s="528"/>
      <c r="AB15" s="528"/>
      <c r="AC15" s="528"/>
      <c r="AD15" s="528"/>
    </row>
    <row r="16" spans="1:30" ht="24" customHeight="1" x14ac:dyDescent="0.3">
      <c r="A16" s="528"/>
      <c r="B16" s="529">
        <v>4</v>
      </c>
      <c r="C16" s="531" t="s">
        <v>435</v>
      </c>
      <c r="D16" s="531" t="s">
        <v>442</v>
      </c>
      <c r="E16" s="532" t="s">
        <v>443</v>
      </c>
      <c r="F16" s="533"/>
      <c r="G16" s="551"/>
      <c r="H16" s="550"/>
      <c r="I16" s="550">
        <v>5512320</v>
      </c>
      <c r="J16" s="603">
        <v>5041440</v>
      </c>
      <c r="K16" s="603">
        <v>4367520</v>
      </c>
      <c r="L16" s="603">
        <v>3866400</v>
      </c>
      <c r="M16" s="603">
        <v>4164480</v>
      </c>
      <c r="N16" s="603">
        <v>4916160</v>
      </c>
      <c r="O16" s="603">
        <v>4963680</v>
      </c>
      <c r="P16" s="603">
        <v>5050080</v>
      </c>
      <c r="Q16" s="603">
        <v>5391360</v>
      </c>
      <c r="R16" s="603">
        <v>5624640</v>
      </c>
      <c r="S16" s="603">
        <v>5970240</v>
      </c>
      <c r="T16" s="603">
        <v>6337440</v>
      </c>
      <c r="U16" s="598">
        <v>6143911</v>
      </c>
      <c r="V16" s="603">
        <v>6937049</v>
      </c>
      <c r="W16" s="598"/>
      <c r="X16" s="603"/>
      <c r="Y16" s="542"/>
      <c r="Z16" s="550"/>
      <c r="AA16" s="528"/>
      <c r="AB16" s="528"/>
      <c r="AC16" s="528"/>
      <c r="AD16" s="528"/>
    </row>
    <row r="17" spans="1:30" ht="24" customHeight="1" x14ac:dyDescent="0.3">
      <c r="A17" s="528"/>
      <c r="B17" s="552">
        <v>4</v>
      </c>
      <c r="C17" s="462" t="s">
        <v>435</v>
      </c>
      <c r="D17" s="462" t="s">
        <v>444</v>
      </c>
      <c r="E17" s="553" t="s">
        <v>350</v>
      </c>
      <c r="F17" s="554"/>
      <c r="G17" s="555"/>
      <c r="H17" s="556"/>
      <c r="I17" s="679">
        <v>143177.14285714287</v>
      </c>
      <c r="J17" s="604">
        <v>130946.49350649351</v>
      </c>
      <c r="K17" s="604">
        <v>113442.07792207792</v>
      </c>
      <c r="L17" s="604">
        <v>100425.97402597402</v>
      </c>
      <c r="M17" s="604">
        <v>108168.31168831169</v>
      </c>
      <c r="N17" s="604">
        <v>127692.46753246753</v>
      </c>
      <c r="O17" s="604">
        <v>128926.75324675324</v>
      </c>
      <c r="P17" s="604">
        <v>131170.90909090909</v>
      </c>
      <c r="Q17" s="604">
        <v>140035.32467532466</v>
      </c>
      <c r="R17" s="604">
        <v>146094.54545454544</v>
      </c>
      <c r="S17" s="604">
        <v>155071.16883116882</v>
      </c>
      <c r="T17" s="604">
        <v>164608.83116883118</v>
      </c>
      <c r="U17" s="605">
        <v>159582.10389610389</v>
      </c>
      <c r="V17" s="604">
        <v>180183.09090909091</v>
      </c>
      <c r="W17" s="605"/>
      <c r="X17" s="604"/>
      <c r="Y17" s="557"/>
      <c r="Z17" s="556"/>
      <c r="AA17" s="528"/>
      <c r="AB17" s="528"/>
      <c r="AC17" s="528"/>
      <c r="AD17" s="528"/>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560" t="s">
        <v>355</v>
      </c>
      <c r="C19" s="561" t="s">
        <v>356</v>
      </c>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58"/>
      <c r="C20" s="528"/>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4383" t="s">
        <v>357</v>
      </c>
      <c r="C21" s="4384"/>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562" t="s">
        <v>365</v>
      </c>
      <c r="C22" s="528" t="s">
        <v>445</v>
      </c>
      <c r="D22" s="528"/>
      <c r="E22" s="528"/>
      <c r="F22" s="528"/>
      <c r="G22" s="479"/>
      <c r="H22" s="479"/>
      <c r="I22" s="479"/>
      <c r="J22" s="479"/>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562" t="s">
        <v>446</v>
      </c>
      <c r="C23" s="479">
        <v>1.5</v>
      </c>
      <c r="D23" s="528" t="s">
        <v>447</v>
      </c>
      <c r="E23" s="528"/>
      <c r="F23" s="528"/>
      <c r="G23" s="479"/>
      <c r="H23" s="479"/>
      <c r="I23" s="479"/>
      <c r="J23" s="479"/>
      <c r="K23" s="479"/>
      <c r="L23" s="479"/>
      <c r="M23" s="559"/>
      <c r="N23" s="559"/>
      <c r="O23" s="559"/>
      <c r="P23" s="559"/>
      <c r="Q23" s="559"/>
      <c r="R23" s="559"/>
      <c r="S23" s="559"/>
      <c r="T23" s="559"/>
      <c r="U23" s="559"/>
      <c r="V23" s="559"/>
      <c r="W23" s="559"/>
      <c r="X23" s="559"/>
      <c r="Y23" s="559"/>
      <c r="Z23" s="559"/>
      <c r="AA23" s="528"/>
      <c r="AB23" s="528"/>
      <c r="AC23" s="528"/>
      <c r="AD23" s="528"/>
    </row>
    <row r="24" spans="1:30" ht="15.75" customHeight="1" x14ac:dyDescent="0.3"/>
    <row r="25" spans="1:30" ht="15.75" customHeight="1" x14ac:dyDescent="0.3"/>
    <row r="26" spans="1:30" ht="21" customHeight="1" x14ac:dyDescent="0.3">
      <c r="B26" s="519" t="s">
        <v>409</v>
      </c>
    </row>
    <row r="27" spans="1:30" ht="9" customHeight="1" x14ac:dyDescent="0.3">
      <c r="B27" s="519"/>
    </row>
    <row r="28" spans="1:30" ht="21" customHeight="1" x14ac:dyDescent="0.3">
      <c r="B28" s="517" t="s">
        <v>410</v>
      </c>
      <c r="C28" s="518"/>
      <c r="D28" s="518"/>
    </row>
    <row r="29" spans="1:30" ht="12" customHeight="1" x14ac:dyDescent="0.3"/>
    <row r="30" spans="1:30" ht="15.75" customHeight="1" x14ac:dyDescent="0.3">
      <c r="B30" s="521" t="s">
        <v>301</v>
      </c>
      <c r="C30" s="522" t="s">
        <v>343</v>
      </c>
      <c r="D30" s="523" t="s">
        <v>344</v>
      </c>
      <c r="E30" s="523" t="s">
        <v>345</v>
      </c>
      <c r="F30" s="523" t="s">
        <v>346</v>
      </c>
      <c r="G30" s="524" t="s">
        <v>347</v>
      </c>
      <c r="H30" s="525">
        <v>2025</v>
      </c>
      <c r="I30" s="525">
        <v>2024</v>
      </c>
      <c r="J30" s="525">
        <v>2023</v>
      </c>
      <c r="K30" s="525">
        <v>2022</v>
      </c>
      <c r="L30" s="525">
        <v>2021</v>
      </c>
      <c r="M30" s="525">
        <v>2020</v>
      </c>
      <c r="N30" s="525">
        <v>2019</v>
      </c>
      <c r="O30" s="526">
        <v>2018</v>
      </c>
      <c r="P30" s="526">
        <v>2017</v>
      </c>
      <c r="Q30" s="526">
        <v>2016</v>
      </c>
      <c r="R30" s="526">
        <v>2015</v>
      </c>
      <c r="S30" s="526">
        <v>2014</v>
      </c>
      <c r="T30" s="526">
        <v>2013</v>
      </c>
      <c r="U30" s="526">
        <v>2012</v>
      </c>
      <c r="V30" s="526">
        <v>2011</v>
      </c>
      <c r="W30" s="526">
        <v>2010</v>
      </c>
      <c r="X30" s="526">
        <v>2009</v>
      </c>
      <c r="Y30" s="526">
        <v>2008</v>
      </c>
      <c r="Z30" s="527" t="s">
        <v>332</v>
      </c>
    </row>
    <row r="31" spans="1:30" ht="24" customHeight="1" x14ac:dyDescent="0.3">
      <c r="B31" s="529">
        <v>1</v>
      </c>
      <c r="C31" s="530" t="s">
        <v>348</v>
      </c>
      <c r="D31" s="531" t="s">
        <v>448</v>
      </c>
      <c r="E31" s="532" t="s">
        <v>363</v>
      </c>
      <c r="F31" s="531" t="s">
        <v>449</v>
      </c>
      <c r="G31" s="534">
        <v>2009</v>
      </c>
      <c r="H31" s="635"/>
      <c r="I31" s="536">
        <f>(239.58+432.71)*I37</f>
        <v>477.32589999999993</v>
      </c>
      <c r="J31" s="540">
        <v>470.02709999999996</v>
      </c>
      <c r="K31" s="597">
        <v>460.89862999999997</v>
      </c>
      <c r="L31" s="597">
        <v>480.81200000000001</v>
      </c>
      <c r="M31" s="597">
        <v>490.78749999999997</v>
      </c>
      <c r="N31" s="597">
        <v>507.10969</v>
      </c>
      <c r="O31" s="597">
        <v>489.73883000000001</v>
      </c>
      <c r="P31" s="597">
        <v>484.3904</v>
      </c>
      <c r="Q31" s="597">
        <v>472</v>
      </c>
      <c r="R31" s="597">
        <v>439.77</v>
      </c>
      <c r="S31" s="597">
        <v>471.97</v>
      </c>
      <c r="T31" s="597">
        <v>490.08</v>
      </c>
      <c r="U31" s="598">
        <v>523.84</v>
      </c>
      <c r="V31" s="597">
        <v>554.1</v>
      </c>
      <c r="W31" s="542"/>
      <c r="X31" s="535"/>
      <c r="Y31" s="542"/>
      <c r="Z31" s="535"/>
    </row>
    <row r="32" spans="1:30" ht="24" customHeight="1" x14ac:dyDescent="0.3">
      <c r="B32" s="529">
        <v>2</v>
      </c>
      <c r="C32" s="453" t="s">
        <v>348</v>
      </c>
      <c r="D32" s="453" t="s">
        <v>450</v>
      </c>
      <c r="E32" s="543" t="s">
        <v>363</v>
      </c>
      <c r="F32" s="453"/>
      <c r="G32" s="479">
        <v>2009</v>
      </c>
      <c r="H32" s="638"/>
      <c r="I32" s="544">
        <v>0</v>
      </c>
      <c r="J32" s="547">
        <v>0</v>
      </c>
      <c r="K32" s="599">
        <v>0</v>
      </c>
      <c r="L32" s="599">
        <v>0</v>
      </c>
      <c r="M32" s="599">
        <v>0</v>
      </c>
      <c r="N32" s="599">
        <v>0</v>
      </c>
      <c r="O32" s="599">
        <v>0</v>
      </c>
      <c r="P32" s="599">
        <v>0</v>
      </c>
      <c r="Q32" s="599">
        <v>0</v>
      </c>
      <c r="R32" s="599">
        <v>0</v>
      </c>
      <c r="S32" s="599">
        <v>0</v>
      </c>
      <c r="T32" s="599">
        <v>122.6</v>
      </c>
      <c r="U32" s="600">
        <v>177.77</v>
      </c>
      <c r="V32" s="599">
        <v>16.670000000000002</v>
      </c>
      <c r="W32" s="548"/>
      <c r="X32" s="544"/>
      <c r="Y32" s="548"/>
      <c r="Z32" s="544"/>
    </row>
    <row r="33" spans="2:26" ht="24" customHeight="1" x14ac:dyDescent="0.3">
      <c r="B33" s="529">
        <v>3</v>
      </c>
      <c r="C33" s="531" t="s">
        <v>348</v>
      </c>
      <c r="D33" s="531" t="s">
        <v>1932</v>
      </c>
      <c r="E33" s="532" t="s">
        <v>363</v>
      </c>
      <c r="F33" s="531"/>
      <c r="G33" s="680">
        <v>2009</v>
      </c>
      <c r="H33" s="681"/>
      <c r="I33" s="682">
        <f>196790/1000</f>
        <v>196.79</v>
      </c>
      <c r="J33" s="683">
        <v>179.87</v>
      </c>
      <c r="K33" s="603">
        <v>179.87</v>
      </c>
      <c r="L33" s="603">
        <v>0</v>
      </c>
      <c r="M33" s="603">
        <v>226.26</v>
      </c>
      <c r="N33" s="603">
        <v>218.72</v>
      </c>
      <c r="O33" s="603">
        <v>195.6</v>
      </c>
      <c r="P33" s="603">
        <v>201.8</v>
      </c>
      <c r="Q33" s="603">
        <v>197.03</v>
      </c>
      <c r="R33" s="603">
        <v>179.9</v>
      </c>
      <c r="S33" s="603">
        <v>0</v>
      </c>
      <c r="T33" s="603">
        <v>0</v>
      </c>
      <c r="U33" s="598">
        <v>0</v>
      </c>
      <c r="V33" s="603">
        <v>0</v>
      </c>
      <c r="W33" s="542"/>
      <c r="X33" s="550"/>
      <c r="Y33" s="542"/>
      <c r="Z33" s="550"/>
    </row>
    <row r="34" spans="2:26" ht="24" customHeight="1" x14ac:dyDescent="0.3">
      <c r="B34" s="529"/>
      <c r="C34" s="453"/>
      <c r="D34" s="453"/>
      <c r="E34" s="543"/>
      <c r="F34" s="453"/>
      <c r="G34" s="479"/>
      <c r="H34" s="638"/>
      <c r="I34" s="638"/>
      <c r="J34" s="599"/>
      <c r="K34" s="599"/>
      <c r="L34" s="599"/>
      <c r="M34" s="599"/>
      <c r="N34" s="599"/>
      <c r="O34" s="599"/>
      <c r="P34" s="599"/>
      <c r="Q34" s="599"/>
      <c r="R34" s="599"/>
      <c r="S34" s="599"/>
      <c r="T34" s="599"/>
      <c r="U34" s="600"/>
      <c r="V34" s="599"/>
      <c r="W34" s="548"/>
      <c r="X34" s="544"/>
      <c r="Y34" s="548"/>
      <c r="Z34" s="544"/>
    </row>
    <row r="35" spans="2:26" ht="24" customHeight="1" x14ac:dyDescent="0.3">
      <c r="B35" s="529"/>
      <c r="C35" s="531"/>
      <c r="D35" s="531"/>
      <c r="E35" s="532"/>
      <c r="F35" s="531"/>
      <c r="G35" s="639"/>
      <c r="H35" s="640"/>
      <c r="I35" s="640"/>
      <c r="J35" s="603"/>
      <c r="K35" s="603"/>
      <c r="L35" s="603"/>
      <c r="M35" s="603"/>
      <c r="N35" s="603"/>
      <c r="O35" s="603"/>
      <c r="P35" s="603"/>
      <c r="Q35" s="603"/>
      <c r="R35" s="603"/>
      <c r="S35" s="603"/>
      <c r="T35" s="603"/>
      <c r="U35" s="598"/>
      <c r="V35" s="603"/>
      <c r="W35" s="542"/>
      <c r="X35" s="550"/>
      <c r="Y35" s="542"/>
      <c r="Z35" s="550"/>
    </row>
    <row r="36" spans="2:26" ht="24" customHeight="1" x14ac:dyDescent="0.3">
      <c r="B36" s="529"/>
      <c r="C36" s="453"/>
      <c r="D36" s="453"/>
      <c r="E36" s="543"/>
      <c r="F36" s="453"/>
      <c r="G36" s="479"/>
      <c r="H36" s="638"/>
      <c r="I36" s="638"/>
      <c r="J36" s="544"/>
      <c r="K36" s="544"/>
      <c r="L36" s="544"/>
      <c r="M36" s="544"/>
      <c r="N36" s="544"/>
      <c r="O36" s="544"/>
      <c r="P36" s="544"/>
      <c r="Q36" s="544"/>
      <c r="R36" s="544"/>
      <c r="S36" s="544"/>
      <c r="T36" s="544"/>
      <c r="U36" s="548"/>
      <c r="V36" s="544"/>
      <c r="W36" s="548"/>
      <c r="X36" s="544"/>
      <c r="Y36" s="548"/>
      <c r="Z36" s="544"/>
    </row>
    <row r="37" spans="2:26" ht="24" customHeight="1" x14ac:dyDescent="0.3">
      <c r="B37" s="529"/>
      <c r="C37" s="531" t="s">
        <v>451</v>
      </c>
      <c r="D37" s="531" t="s">
        <v>452</v>
      </c>
      <c r="E37" s="532" t="s">
        <v>453</v>
      </c>
      <c r="F37" s="531" t="s">
        <v>454</v>
      </c>
      <c r="G37" s="641"/>
      <c r="H37" s="640"/>
      <c r="I37" s="642">
        <v>0.71</v>
      </c>
      <c r="J37" s="642">
        <v>0.71</v>
      </c>
      <c r="K37" s="642">
        <v>0.71</v>
      </c>
      <c r="L37" s="642">
        <v>0.71</v>
      </c>
      <c r="M37" s="642">
        <v>0.71</v>
      </c>
      <c r="N37" s="642">
        <v>0.71</v>
      </c>
      <c r="O37" s="642">
        <v>0.71</v>
      </c>
      <c r="P37" s="642">
        <v>0.79</v>
      </c>
      <c r="Q37" s="642">
        <v>0.79</v>
      </c>
      <c r="R37" s="642">
        <v>0.79</v>
      </c>
      <c r="S37" s="643"/>
      <c r="T37" s="643"/>
      <c r="U37" s="644"/>
      <c r="V37" s="643"/>
      <c r="W37" s="644"/>
      <c r="X37" s="643"/>
      <c r="Y37" s="644"/>
      <c r="Z37" s="550"/>
    </row>
    <row r="38" spans="2:26" ht="24" customHeight="1" x14ac:dyDescent="0.3">
      <c r="B38" s="552"/>
      <c r="C38" s="462"/>
      <c r="D38" s="462"/>
      <c r="E38" s="553"/>
      <c r="F38" s="462"/>
      <c r="G38" s="645"/>
      <c r="H38" s="646"/>
      <c r="I38" s="646"/>
      <c r="J38" s="556"/>
      <c r="K38" s="556"/>
      <c r="L38" s="556"/>
      <c r="M38" s="556"/>
      <c r="N38" s="556"/>
      <c r="O38" s="556"/>
      <c r="P38" s="556"/>
      <c r="Q38" s="556"/>
      <c r="R38" s="556"/>
      <c r="S38" s="556"/>
      <c r="T38" s="556"/>
      <c r="U38" s="557"/>
      <c r="V38" s="556"/>
      <c r="W38" s="557"/>
      <c r="X38" s="556"/>
      <c r="Y38" s="557"/>
      <c r="Z38" s="556"/>
    </row>
    <row r="39" spans="2:26" ht="15.75" customHeight="1" x14ac:dyDescent="0.3"/>
    <row r="40" spans="2:26" ht="15.75" customHeight="1" x14ac:dyDescent="0.3">
      <c r="B40" s="560" t="s">
        <v>355</v>
      </c>
      <c r="C40" s="561" t="s">
        <v>356</v>
      </c>
    </row>
    <row r="41" spans="2:26" ht="15.75" customHeight="1" x14ac:dyDescent="0.3"/>
    <row r="42" spans="2:26" ht="15.75" customHeight="1" x14ac:dyDescent="0.3">
      <c r="B42" s="4383" t="s">
        <v>357</v>
      </c>
      <c r="C42" s="4384"/>
    </row>
    <row r="43" spans="2:26" ht="15.75" customHeight="1" x14ac:dyDescent="0.3">
      <c r="B43" s="562" t="s">
        <v>301</v>
      </c>
    </row>
    <row r="44" spans="2:26" ht="15.75" customHeight="1" x14ac:dyDescent="0.3">
      <c r="B44" s="562" t="s">
        <v>301</v>
      </c>
    </row>
    <row r="45" spans="2:26" ht="15.75" customHeight="1" x14ac:dyDescent="0.3"/>
    <row r="46" spans="2:26" ht="15.75" customHeight="1" x14ac:dyDescent="0.3"/>
    <row r="47" spans="2:26" ht="15.75" customHeight="1" x14ac:dyDescent="0.3"/>
    <row r="48" spans="2:2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sheetData>
  <mergeCells count="2">
    <mergeCell ref="B21:C21"/>
    <mergeCell ref="B42:C4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A-8A18-4374-B89E-A4E95E054DE4}">
  <dimension ref="A1:G991"/>
  <sheetViews>
    <sheetView topLeftCell="A23" workbookViewId="0">
      <selection activeCell="H33" sqref="H33"/>
    </sheetView>
  </sheetViews>
  <sheetFormatPr defaultColWidth="12.44140625" defaultRowHeight="15" customHeight="1" x14ac:dyDescent="0.3"/>
  <cols>
    <col min="1" max="1" width="2.6640625" style="691" customWidth="1"/>
    <col min="2" max="2" width="35.109375" style="691" customWidth="1"/>
    <col min="3" max="3" width="23" style="691" customWidth="1"/>
    <col min="4" max="4" width="1.5546875" style="691" customWidth="1"/>
    <col min="5" max="5" width="14.6640625" style="691" customWidth="1"/>
    <col min="6" max="6" width="7.33203125" style="691" customWidth="1"/>
    <col min="7" max="7" width="11.6640625" style="691" customWidth="1"/>
    <col min="8" max="16384" width="12.44140625" style="691"/>
  </cols>
  <sheetData>
    <row r="1" spans="1:7" ht="21.75" customHeight="1" x14ac:dyDescent="0.35">
      <c r="A1" s="687"/>
      <c r="B1" s="688" t="s">
        <v>549</v>
      </c>
      <c r="C1" s="689"/>
      <c r="D1" s="690"/>
      <c r="F1" s="690"/>
    </row>
    <row r="2" spans="1:7" ht="15.75" customHeight="1" x14ac:dyDescent="0.3">
      <c r="A2" s="687"/>
      <c r="B2" s="692" t="s">
        <v>299</v>
      </c>
      <c r="C2" s="693"/>
      <c r="D2" s="693"/>
      <c r="E2" s="693"/>
      <c r="F2" s="693"/>
    </row>
    <row r="3" spans="1:7" ht="9.75" customHeight="1" x14ac:dyDescent="0.3">
      <c r="A3" s="690"/>
      <c r="B3" s="694"/>
      <c r="D3" s="690"/>
      <c r="F3" s="690"/>
    </row>
    <row r="4" spans="1:7" ht="6" customHeight="1" x14ac:dyDescent="0.3">
      <c r="B4" s="690"/>
      <c r="D4" s="690"/>
      <c r="F4" s="690"/>
    </row>
    <row r="5" spans="1:7" ht="6" customHeight="1" x14ac:dyDescent="0.3">
      <c r="A5" s="694"/>
      <c r="D5" s="690"/>
      <c r="F5" s="690"/>
    </row>
    <row r="6" spans="1:7" ht="15.75" customHeight="1" x14ac:dyDescent="0.3">
      <c r="C6" s="691">
        <v>1000000</v>
      </c>
      <c r="D6" s="690"/>
      <c r="E6" s="690"/>
      <c r="F6" s="690"/>
    </row>
    <row r="7" spans="1:7" ht="37.200000000000003" customHeight="1" x14ac:dyDescent="0.3">
      <c r="A7" s="695"/>
      <c r="B7" s="696">
        <v>2024</v>
      </c>
      <c r="C7" s="697" t="s">
        <v>22</v>
      </c>
      <c r="D7" s="695"/>
      <c r="E7" s="698" t="s">
        <v>300</v>
      </c>
      <c r="F7" s="695"/>
      <c r="G7" s="695"/>
    </row>
    <row r="8" spans="1:7" ht="18" customHeight="1" x14ac:dyDescent="0.35">
      <c r="B8" s="699" t="s">
        <v>301</v>
      </c>
      <c r="C8" s="700">
        <v>1</v>
      </c>
      <c r="D8" s="690"/>
      <c r="E8" s="701"/>
      <c r="F8" s="690"/>
    </row>
    <row r="9" spans="1:7" ht="46.5" customHeight="1" x14ac:dyDescent="0.3">
      <c r="B9" s="702" t="s">
        <v>302</v>
      </c>
      <c r="C9" s="703" t="s">
        <v>2347</v>
      </c>
      <c r="D9" s="704"/>
      <c r="E9" s="705"/>
      <c r="F9" s="706"/>
    </row>
    <row r="10" spans="1:7" ht="46.5" customHeight="1" x14ac:dyDescent="0.3">
      <c r="B10" s="707" t="s">
        <v>455</v>
      </c>
      <c r="C10" s="708" t="s">
        <v>2348</v>
      </c>
      <c r="D10" s="704"/>
      <c r="E10" s="709"/>
      <c r="F10" s="706"/>
    </row>
    <row r="11" spans="1:7" ht="18.75" customHeight="1" x14ac:dyDescent="0.3">
      <c r="A11" s="710"/>
      <c r="B11" s="711" t="s">
        <v>456</v>
      </c>
      <c r="C11" s="712">
        <f>(C17*C18)</f>
        <v>716.58480967327796</v>
      </c>
      <c r="D11" s="713"/>
      <c r="E11" s="714">
        <f>SUM(C11:C11)</f>
        <v>716.58480967327796</v>
      </c>
      <c r="F11" s="715"/>
      <c r="G11" s="710"/>
    </row>
    <row r="12" spans="1:7" ht="18.75" customHeight="1" x14ac:dyDescent="0.3">
      <c r="A12" s="710"/>
      <c r="B12" s="716" t="s">
        <v>457</v>
      </c>
      <c r="C12" s="717">
        <f t="shared" ref="C12" si="0">(C22*C23)+(C27*C28)</f>
        <v>38.415840528100006</v>
      </c>
      <c r="D12" s="718"/>
      <c r="E12" s="719">
        <f>SUM(C12:C12)</f>
        <v>38.415840528100006</v>
      </c>
      <c r="F12" s="720"/>
      <c r="G12" s="710"/>
    </row>
    <row r="13" spans="1:7" ht="18.75" customHeight="1" x14ac:dyDescent="0.3">
      <c r="A13" s="710"/>
      <c r="B13" s="711" t="s">
        <v>458</v>
      </c>
      <c r="C13" s="721" t="s">
        <v>8</v>
      </c>
      <c r="D13" s="722"/>
      <c r="E13" s="723"/>
      <c r="F13" s="724"/>
      <c r="G13" s="710"/>
    </row>
    <row r="14" spans="1:7" ht="18.75" customHeight="1" x14ac:dyDescent="0.3">
      <c r="A14" s="710"/>
      <c r="B14" s="725" t="s">
        <v>459</v>
      </c>
      <c r="C14" s="726">
        <f t="shared" ref="C14" si="1">C11-C12</f>
        <v>678.16896914517793</v>
      </c>
      <c r="D14" s="718"/>
      <c r="E14" s="727">
        <f>SUM(C14:C14)</f>
        <v>678.16896914517793</v>
      </c>
      <c r="F14" s="720"/>
      <c r="G14" s="710"/>
    </row>
    <row r="15" spans="1:7" ht="19.5" customHeight="1" x14ac:dyDescent="0.4">
      <c r="B15" s="728" t="s">
        <v>460</v>
      </c>
      <c r="C15" s="729"/>
      <c r="D15" s="730"/>
      <c r="E15" s="731"/>
      <c r="F15" s="730"/>
      <c r="G15" s="690"/>
    </row>
    <row r="16" spans="1:7" ht="35.4" customHeight="1" x14ac:dyDescent="0.3">
      <c r="A16" s="710"/>
      <c r="B16" s="732" t="s">
        <v>311</v>
      </c>
      <c r="C16" s="733" t="s">
        <v>360</v>
      </c>
      <c r="D16" s="720"/>
      <c r="E16" s="734"/>
      <c r="F16" s="720"/>
      <c r="G16" s="710"/>
    </row>
    <row r="17" spans="1:7" ht="21" customHeight="1" x14ac:dyDescent="0.3">
      <c r="A17" s="710"/>
      <c r="B17" s="735" t="s">
        <v>313</v>
      </c>
      <c r="C17" s="736">
        <f>'CF-0112|GDS'!T15</f>
        <v>262106.71168831165</v>
      </c>
      <c r="D17" s="737"/>
      <c r="F17" s="738"/>
      <c r="G17" s="710"/>
    </row>
    <row r="18" spans="1:7" ht="18.75" customHeight="1" x14ac:dyDescent="0.3">
      <c r="A18" s="710"/>
      <c r="B18" s="739" t="s">
        <v>461</v>
      </c>
      <c r="C18" s="740">
        <v>2.7339430000000004E-3</v>
      </c>
      <c r="D18" s="741"/>
      <c r="F18" s="742"/>
      <c r="G18" s="710"/>
    </row>
    <row r="19" spans="1:7" ht="19.5" customHeight="1" x14ac:dyDescent="0.3">
      <c r="A19" s="710"/>
      <c r="B19" s="743" t="s">
        <v>462</v>
      </c>
      <c r="C19" s="744">
        <f>C17*C18</f>
        <v>716.58480967327796</v>
      </c>
      <c r="D19" s="741"/>
      <c r="F19" s="742"/>
      <c r="G19" s="710"/>
    </row>
    <row r="20" spans="1:7" ht="21" customHeight="1" x14ac:dyDescent="0.4">
      <c r="B20" s="728" t="s">
        <v>463</v>
      </c>
      <c r="C20" s="745"/>
      <c r="D20" s="746"/>
      <c r="E20" s="747"/>
      <c r="F20" s="746"/>
    </row>
    <row r="21" spans="1:7" ht="32.4" customHeight="1" x14ac:dyDescent="0.3">
      <c r="A21" s="710"/>
      <c r="B21" s="732" t="s">
        <v>183</v>
      </c>
      <c r="C21" s="733" t="s">
        <v>361</v>
      </c>
      <c r="D21" s="742"/>
      <c r="E21" s="748"/>
      <c r="F21" s="742"/>
      <c r="G21" s="710"/>
    </row>
    <row r="22" spans="1:7" ht="21" customHeight="1" x14ac:dyDescent="0.3">
      <c r="A22" s="710"/>
      <c r="B22" s="749" t="s">
        <v>369</v>
      </c>
      <c r="C22" s="750">
        <f>'CF-0112|GDS'!I12</f>
        <v>216478</v>
      </c>
      <c r="D22" s="742"/>
      <c r="E22" s="751"/>
      <c r="F22" s="742"/>
      <c r="G22" s="710"/>
    </row>
    <row r="23" spans="1:7" ht="21" customHeight="1" x14ac:dyDescent="0.3">
      <c r="A23" s="710"/>
      <c r="B23" s="752" t="s">
        <v>461</v>
      </c>
      <c r="C23" s="753">
        <v>3.6533000000000004E-5</v>
      </c>
      <c r="D23" s="742"/>
      <c r="E23" s="754"/>
      <c r="F23" s="742"/>
      <c r="G23" s="710"/>
    </row>
    <row r="24" spans="1:7" ht="21" customHeight="1" x14ac:dyDescent="0.3">
      <c r="A24" s="710"/>
      <c r="B24" s="755" t="s">
        <v>462</v>
      </c>
      <c r="C24" s="756">
        <f t="shared" ref="C24" si="2">C22*C23</f>
        <v>7.9085907740000012</v>
      </c>
      <c r="D24" s="742"/>
      <c r="E24" s="757"/>
      <c r="F24" s="742"/>
      <c r="G24" s="710"/>
    </row>
    <row r="25" spans="1:7" ht="21" customHeight="1" x14ac:dyDescent="0.4">
      <c r="B25" s="728" t="s">
        <v>463</v>
      </c>
      <c r="C25" s="745"/>
      <c r="D25" s="746"/>
      <c r="E25" s="758"/>
      <c r="F25" s="746"/>
    </row>
    <row r="26" spans="1:7" ht="30.6" customHeight="1" x14ac:dyDescent="0.3">
      <c r="A26" s="710"/>
      <c r="B26" s="732" t="s">
        <v>183</v>
      </c>
      <c r="C26" s="733" t="s">
        <v>317</v>
      </c>
      <c r="D26" s="742"/>
      <c r="E26" s="759"/>
      <c r="F26" s="742"/>
      <c r="G26" s="710"/>
    </row>
    <row r="27" spans="1:7" ht="21" customHeight="1" x14ac:dyDescent="0.3">
      <c r="A27" s="710"/>
      <c r="B27" s="749" t="s">
        <v>313</v>
      </c>
      <c r="C27" s="750">
        <f>'CF-0112|GDS'!I10</f>
        <v>11158.699999999999</v>
      </c>
      <c r="D27" s="742"/>
      <c r="E27" s="751"/>
      <c r="F27" s="742"/>
      <c r="G27" s="710"/>
    </row>
    <row r="28" spans="1:7" ht="21" customHeight="1" x14ac:dyDescent="0.3">
      <c r="A28" s="710"/>
      <c r="B28" s="752" t="s">
        <v>461</v>
      </c>
      <c r="C28" s="753">
        <v>2.7339430000000004E-3</v>
      </c>
      <c r="D28" s="742"/>
      <c r="E28" s="754"/>
      <c r="F28" s="742"/>
      <c r="G28" s="710"/>
    </row>
    <row r="29" spans="1:7" ht="21" customHeight="1" x14ac:dyDescent="0.3">
      <c r="A29" s="710"/>
      <c r="B29" s="755" t="s">
        <v>462</v>
      </c>
      <c r="C29" s="756">
        <f t="shared" ref="C29" si="3">C27*C28</f>
        <v>30.507249754100002</v>
      </c>
      <c r="D29" s="742"/>
      <c r="E29" s="757"/>
      <c r="F29" s="742"/>
      <c r="G29" s="710"/>
    </row>
    <row r="30" spans="1:7" ht="28.5" customHeight="1" x14ac:dyDescent="0.3">
      <c r="A30" s="710"/>
      <c r="B30" s="760" t="s">
        <v>320</v>
      </c>
      <c r="C30" s="761" t="s">
        <v>321</v>
      </c>
      <c r="D30" s="762"/>
      <c r="E30" s="763"/>
      <c r="F30" s="762"/>
      <c r="G30" s="710"/>
    </row>
    <row r="31" spans="1:7" ht="24" customHeight="1" x14ac:dyDescent="0.3">
      <c r="B31" s="764" t="s">
        <v>322</v>
      </c>
      <c r="C31" s="765">
        <v>3</v>
      </c>
      <c r="D31" s="766"/>
      <c r="E31" s="767"/>
      <c r="F31" s="766"/>
    </row>
    <row r="32" spans="1:7" ht="33" customHeight="1" x14ac:dyDescent="0.3">
      <c r="A32" s="710"/>
      <c r="B32" s="768" t="s">
        <v>464</v>
      </c>
      <c r="C32" s="769" t="s">
        <v>324</v>
      </c>
      <c r="D32" s="742"/>
      <c r="E32" s="759"/>
      <c r="F32" s="742"/>
      <c r="G32" s="710"/>
    </row>
    <row r="33" spans="1:7" ht="33" customHeight="1" x14ac:dyDescent="0.3">
      <c r="A33" s="710"/>
      <c r="B33" s="770" t="s">
        <v>465</v>
      </c>
      <c r="C33" s="771" t="s">
        <v>326</v>
      </c>
      <c r="D33" s="742"/>
      <c r="E33" s="759"/>
      <c r="F33" s="742"/>
      <c r="G33" s="710"/>
    </row>
    <row r="34" spans="1:7" ht="33" customHeight="1" x14ac:dyDescent="0.3">
      <c r="A34" s="710"/>
      <c r="B34" s="768" t="s">
        <v>466</v>
      </c>
      <c r="C34" s="4307" t="s">
        <v>729</v>
      </c>
      <c r="D34" s="742"/>
      <c r="E34" s="759"/>
      <c r="F34" s="742"/>
      <c r="G34" s="710"/>
    </row>
    <row r="35" spans="1:7" ht="21" customHeight="1" x14ac:dyDescent="0.3">
      <c r="B35" s="772" t="s">
        <v>329</v>
      </c>
      <c r="C35" s="771">
        <v>1</v>
      </c>
      <c r="D35" s="730"/>
      <c r="E35" s="730"/>
      <c r="F35" s="730"/>
    </row>
    <row r="36" spans="1:7" ht="21" customHeight="1" x14ac:dyDescent="0.3">
      <c r="B36" s="716" t="s">
        <v>330</v>
      </c>
      <c r="C36" s="769" t="s">
        <v>324</v>
      </c>
      <c r="D36" s="746"/>
      <c r="E36" s="758"/>
      <c r="F36" s="746"/>
    </row>
    <row r="37" spans="1:7" ht="21" customHeight="1" x14ac:dyDescent="0.3">
      <c r="B37" s="772" t="s">
        <v>331</v>
      </c>
      <c r="C37" s="771" t="s">
        <v>324</v>
      </c>
      <c r="D37" s="746"/>
      <c r="E37" s="758"/>
      <c r="F37" s="746"/>
    </row>
    <row r="38" spans="1:7" ht="21" customHeight="1" x14ac:dyDescent="0.3">
      <c r="B38" s="725" t="s">
        <v>332</v>
      </c>
      <c r="C38" s="773" t="s">
        <v>333</v>
      </c>
      <c r="D38" s="746"/>
      <c r="E38" s="758"/>
      <c r="F38" s="746"/>
    </row>
    <row r="39" spans="1:7" ht="15.75" customHeight="1" x14ac:dyDescent="0.3">
      <c r="B39" s="690"/>
      <c r="C39" s="690"/>
      <c r="D39" s="746"/>
      <c r="E39" s="746"/>
      <c r="F39" s="746"/>
    </row>
    <row r="40" spans="1:7" ht="15.75" customHeight="1" x14ac:dyDescent="0.3">
      <c r="B40" s="774" t="s">
        <v>467</v>
      </c>
      <c r="C40" s="690"/>
      <c r="D40" s="746"/>
      <c r="E40" s="746"/>
      <c r="F40" s="746"/>
    </row>
    <row r="41" spans="1:7" ht="15.75" customHeight="1" x14ac:dyDescent="0.3">
      <c r="B41" s="774" t="s">
        <v>468</v>
      </c>
      <c r="C41" s="690"/>
      <c r="D41" s="746"/>
      <c r="E41" s="746"/>
      <c r="F41" s="746"/>
    </row>
    <row r="42" spans="1:7" ht="15.75" customHeight="1" x14ac:dyDescent="0.3">
      <c r="B42" s="774" t="s">
        <v>469</v>
      </c>
      <c r="C42" s="690"/>
      <c r="D42" s="746"/>
      <c r="E42" s="746"/>
      <c r="F42" s="746"/>
    </row>
    <row r="43" spans="1:7" ht="15.75" customHeight="1" x14ac:dyDescent="0.3">
      <c r="B43" s="774" t="s">
        <v>470</v>
      </c>
      <c r="C43" s="690"/>
      <c r="D43" s="746"/>
      <c r="E43" s="746"/>
      <c r="F43" s="746"/>
    </row>
    <row r="44" spans="1:7" ht="15.75" customHeight="1" x14ac:dyDescent="0.3">
      <c r="B44" s="774" t="s">
        <v>471</v>
      </c>
      <c r="D44" s="690"/>
      <c r="F44" s="690"/>
    </row>
    <row r="45" spans="1:7" ht="15.75" customHeight="1" x14ac:dyDescent="0.3">
      <c r="B45" s="774" t="s">
        <v>472</v>
      </c>
      <c r="D45" s="690"/>
      <c r="F45" s="690"/>
    </row>
    <row r="46" spans="1:7" ht="15.75" customHeight="1" x14ac:dyDescent="0.3">
      <c r="D46" s="690"/>
      <c r="F46" s="690"/>
    </row>
    <row r="47" spans="1:7" ht="15.75" customHeight="1" x14ac:dyDescent="0.3">
      <c r="D47" s="690"/>
      <c r="F47" s="690"/>
    </row>
    <row r="48" spans="1:7" ht="15.75" customHeight="1" x14ac:dyDescent="0.3">
      <c r="D48" s="690"/>
      <c r="F48" s="690"/>
    </row>
    <row r="49" spans="4:6" ht="15.75" customHeight="1" x14ac:dyDescent="0.3">
      <c r="D49" s="690"/>
      <c r="F49" s="690"/>
    </row>
    <row r="50" spans="4:6" ht="15.75" customHeight="1" x14ac:dyDescent="0.3">
      <c r="D50" s="690"/>
      <c r="F50" s="690"/>
    </row>
    <row r="51" spans="4:6" ht="15.75" customHeight="1" x14ac:dyDescent="0.3">
      <c r="D51" s="690"/>
      <c r="F51" s="690"/>
    </row>
    <row r="52" spans="4:6" ht="15.75" customHeight="1" x14ac:dyDescent="0.3">
      <c r="D52" s="690"/>
      <c r="F52" s="690"/>
    </row>
    <row r="53" spans="4:6" ht="15.75" customHeight="1" x14ac:dyDescent="0.3">
      <c r="D53" s="690"/>
      <c r="F53" s="690"/>
    </row>
    <row r="54" spans="4:6" ht="15.75" customHeight="1" x14ac:dyDescent="0.3">
      <c r="D54" s="690"/>
      <c r="F54" s="690"/>
    </row>
    <row r="55" spans="4:6" ht="15.75" customHeight="1" x14ac:dyDescent="0.3">
      <c r="D55" s="690"/>
      <c r="F55" s="690"/>
    </row>
    <row r="56" spans="4:6" ht="15.75" customHeight="1" x14ac:dyDescent="0.3">
      <c r="D56" s="690"/>
      <c r="F56" s="690"/>
    </row>
    <row r="57" spans="4:6" ht="15.75" customHeight="1" x14ac:dyDescent="0.3">
      <c r="D57" s="690"/>
      <c r="F57" s="690"/>
    </row>
    <row r="58" spans="4:6" ht="15.75" customHeight="1" x14ac:dyDescent="0.3">
      <c r="D58" s="690"/>
      <c r="F58" s="690"/>
    </row>
    <row r="59" spans="4:6" ht="15.75" customHeight="1" x14ac:dyDescent="0.3">
      <c r="D59" s="690"/>
      <c r="F59" s="690"/>
    </row>
    <row r="60" spans="4:6" ht="15.75" customHeight="1" x14ac:dyDescent="0.3">
      <c r="D60" s="690"/>
      <c r="F60" s="690"/>
    </row>
    <row r="61" spans="4:6" ht="15.75" customHeight="1" x14ac:dyDescent="0.3">
      <c r="D61" s="690"/>
      <c r="F61" s="690"/>
    </row>
    <row r="62" spans="4:6" ht="15.75" customHeight="1" x14ac:dyDescent="0.3">
      <c r="D62" s="690"/>
      <c r="F62" s="690"/>
    </row>
    <row r="63" spans="4:6" ht="15.75" customHeight="1" x14ac:dyDescent="0.3">
      <c r="D63" s="690"/>
      <c r="F63" s="690"/>
    </row>
    <row r="64" spans="4:6" ht="15.75" customHeight="1" x14ac:dyDescent="0.3">
      <c r="D64" s="690"/>
      <c r="F64" s="690"/>
    </row>
    <row r="65" spans="4:6" ht="15.75" customHeight="1" x14ac:dyDescent="0.3">
      <c r="D65" s="690"/>
      <c r="F65" s="690"/>
    </row>
    <row r="66" spans="4:6" ht="15.75" customHeight="1" x14ac:dyDescent="0.3">
      <c r="D66" s="690"/>
      <c r="F66" s="690"/>
    </row>
    <row r="67" spans="4:6" ht="15.75" customHeight="1" x14ac:dyDescent="0.3">
      <c r="D67" s="690"/>
      <c r="F67" s="690"/>
    </row>
    <row r="68" spans="4:6" ht="15.75" customHeight="1" x14ac:dyDescent="0.3">
      <c r="D68" s="690"/>
      <c r="F68" s="690"/>
    </row>
    <row r="69" spans="4:6" ht="15.75" customHeight="1" x14ac:dyDescent="0.3">
      <c r="D69" s="690"/>
      <c r="F69" s="690"/>
    </row>
    <row r="70" spans="4:6" ht="15.75" customHeight="1" x14ac:dyDescent="0.3">
      <c r="D70" s="690"/>
      <c r="F70" s="690"/>
    </row>
    <row r="71" spans="4:6" ht="15.75" customHeight="1" x14ac:dyDescent="0.3">
      <c r="D71" s="690"/>
      <c r="F71" s="690"/>
    </row>
    <row r="72" spans="4:6" ht="15.75" customHeight="1" x14ac:dyDescent="0.3">
      <c r="D72" s="690"/>
      <c r="F72" s="690"/>
    </row>
    <row r="73" spans="4:6" ht="15.75" customHeight="1" x14ac:dyDescent="0.3">
      <c r="D73" s="690"/>
      <c r="F73" s="690"/>
    </row>
    <row r="74" spans="4:6" ht="15.75" customHeight="1" x14ac:dyDescent="0.3">
      <c r="D74" s="690"/>
      <c r="F74" s="690"/>
    </row>
    <row r="75" spans="4:6" ht="15.75" customHeight="1" x14ac:dyDescent="0.3">
      <c r="D75" s="690"/>
      <c r="F75" s="690"/>
    </row>
    <row r="76" spans="4:6" ht="15.75" customHeight="1" x14ac:dyDescent="0.3">
      <c r="D76" s="690"/>
      <c r="F76" s="690"/>
    </row>
    <row r="77" spans="4:6" ht="15.75" customHeight="1" x14ac:dyDescent="0.3">
      <c r="D77" s="690"/>
      <c r="F77" s="690"/>
    </row>
    <row r="78" spans="4:6" ht="15.75" customHeight="1" x14ac:dyDescent="0.3">
      <c r="D78" s="690"/>
      <c r="F78" s="690"/>
    </row>
    <row r="79" spans="4:6" ht="15.75" customHeight="1" x14ac:dyDescent="0.3">
      <c r="D79" s="690"/>
      <c r="F79" s="690"/>
    </row>
    <row r="80" spans="4:6" ht="15.75" customHeight="1" x14ac:dyDescent="0.3">
      <c r="D80" s="690"/>
      <c r="F80" s="690"/>
    </row>
    <row r="81" spans="4:6" ht="15.75" customHeight="1" x14ac:dyDescent="0.3">
      <c r="D81" s="690"/>
      <c r="F81" s="690"/>
    </row>
    <row r="82" spans="4:6" ht="15.75" customHeight="1" x14ac:dyDescent="0.3">
      <c r="D82" s="690"/>
      <c r="F82" s="690"/>
    </row>
    <row r="83" spans="4:6" ht="15.75" customHeight="1" x14ac:dyDescent="0.3">
      <c r="D83" s="690"/>
      <c r="F83" s="690"/>
    </row>
    <row r="84" spans="4:6" ht="15.75" customHeight="1" x14ac:dyDescent="0.3">
      <c r="D84" s="690"/>
      <c r="F84" s="690"/>
    </row>
    <row r="85" spans="4:6" ht="15.75" customHeight="1" x14ac:dyDescent="0.3">
      <c r="D85" s="690"/>
      <c r="F85" s="690"/>
    </row>
    <row r="86" spans="4:6" ht="15.75" customHeight="1" x14ac:dyDescent="0.3">
      <c r="D86" s="690"/>
      <c r="F86" s="690"/>
    </row>
    <row r="87" spans="4:6" ht="15.75" customHeight="1" x14ac:dyDescent="0.3">
      <c r="D87" s="690"/>
      <c r="F87" s="690"/>
    </row>
    <row r="88" spans="4:6" ht="15.75" customHeight="1" x14ac:dyDescent="0.3">
      <c r="D88" s="690"/>
      <c r="F88" s="690"/>
    </row>
    <row r="89" spans="4:6" ht="15.75" customHeight="1" x14ac:dyDescent="0.3">
      <c r="D89" s="690"/>
      <c r="F89" s="690"/>
    </row>
    <row r="90" spans="4:6" ht="15.75" customHeight="1" x14ac:dyDescent="0.3">
      <c r="D90" s="690"/>
      <c r="F90" s="690"/>
    </row>
    <row r="91" spans="4:6" ht="15.75" customHeight="1" x14ac:dyDescent="0.3">
      <c r="D91" s="690"/>
      <c r="F91" s="690"/>
    </row>
    <row r="92" spans="4:6" ht="15.75" customHeight="1" x14ac:dyDescent="0.3">
      <c r="D92" s="690"/>
      <c r="F92" s="690"/>
    </row>
    <row r="93" spans="4:6" ht="15.75" customHeight="1" x14ac:dyDescent="0.3">
      <c r="D93" s="690"/>
      <c r="F93" s="690"/>
    </row>
    <row r="94" spans="4:6" ht="15.75" customHeight="1" x14ac:dyDescent="0.3">
      <c r="D94" s="690"/>
      <c r="F94" s="690"/>
    </row>
    <row r="95" spans="4:6" ht="15.75" customHeight="1" x14ac:dyDescent="0.3">
      <c r="D95" s="690"/>
      <c r="F95" s="690"/>
    </row>
    <row r="96" spans="4:6" ht="15.75" customHeight="1" x14ac:dyDescent="0.3">
      <c r="D96" s="690"/>
      <c r="F96" s="690"/>
    </row>
    <row r="97" spans="4:6" ht="15.75" customHeight="1" x14ac:dyDescent="0.3">
      <c r="D97" s="690"/>
      <c r="F97" s="690"/>
    </row>
    <row r="98" spans="4:6" ht="15.75" customHeight="1" x14ac:dyDescent="0.3">
      <c r="D98" s="690"/>
      <c r="F98" s="690"/>
    </row>
    <row r="99" spans="4:6" ht="15.75" customHeight="1" x14ac:dyDescent="0.3">
      <c r="D99" s="690"/>
      <c r="F99" s="690"/>
    </row>
    <row r="100" spans="4:6" ht="15.75" customHeight="1" x14ac:dyDescent="0.3">
      <c r="D100" s="690"/>
      <c r="F100" s="690"/>
    </row>
    <row r="101" spans="4:6" ht="15.75" customHeight="1" x14ac:dyDescent="0.3">
      <c r="D101" s="690"/>
      <c r="F101" s="690"/>
    </row>
    <row r="102" spans="4:6" ht="15.75" customHeight="1" x14ac:dyDescent="0.3">
      <c r="D102" s="690"/>
      <c r="F102" s="690"/>
    </row>
    <row r="103" spans="4:6" ht="15.75" customHeight="1" x14ac:dyDescent="0.3">
      <c r="D103" s="690"/>
      <c r="F103" s="690"/>
    </row>
    <row r="104" spans="4:6" ht="15.75" customHeight="1" x14ac:dyDescent="0.3">
      <c r="D104" s="690"/>
      <c r="F104" s="690"/>
    </row>
    <row r="105" spans="4:6" ht="15.75" customHeight="1" x14ac:dyDescent="0.3">
      <c r="D105" s="690"/>
      <c r="F105" s="690"/>
    </row>
    <row r="106" spans="4:6" ht="15.75" customHeight="1" x14ac:dyDescent="0.3">
      <c r="D106" s="690"/>
      <c r="F106" s="690"/>
    </row>
    <row r="107" spans="4:6" ht="15.75" customHeight="1" x14ac:dyDescent="0.3">
      <c r="D107" s="690"/>
      <c r="F107" s="690"/>
    </row>
    <row r="108" spans="4:6" ht="15.75" customHeight="1" x14ac:dyDescent="0.3">
      <c r="D108" s="690"/>
      <c r="F108" s="690"/>
    </row>
    <row r="109" spans="4:6" ht="15.75" customHeight="1" x14ac:dyDescent="0.3">
      <c r="D109" s="690"/>
      <c r="F109" s="690"/>
    </row>
    <row r="110" spans="4:6" ht="15.75" customHeight="1" x14ac:dyDescent="0.3">
      <c r="D110" s="690"/>
      <c r="F110" s="690"/>
    </row>
    <row r="111" spans="4:6" ht="15.75" customHeight="1" x14ac:dyDescent="0.3">
      <c r="D111" s="690"/>
      <c r="F111" s="690"/>
    </row>
    <row r="112" spans="4:6" ht="15.75" customHeight="1" x14ac:dyDescent="0.3">
      <c r="D112" s="690"/>
      <c r="F112" s="690"/>
    </row>
    <row r="113" spans="4:6" ht="15.75" customHeight="1" x14ac:dyDescent="0.3">
      <c r="D113" s="690"/>
      <c r="F113" s="690"/>
    </row>
    <row r="114" spans="4:6" ht="15.75" customHeight="1" x14ac:dyDescent="0.3">
      <c r="D114" s="690"/>
      <c r="F114" s="690"/>
    </row>
    <row r="115" spans="4:6" ht="15.75" customHeight="1" x14ac:dyDescent="0.3">
      <c r="D115" s="690"/>
      <c r="F115" s="690"/>
    </row>
    <row r="116" spans="4:6" ht="15.75" customHeight="1" x14ac:dyDescent="0.3">
      <c r="D116" s="690"/>
      <c r="F116" s="690"/>
    </row>
    <row r="117" spans="4:6" ht="15.75" customHeight="1" x14ac:dyDescent="0.3">
      <c r="D117" s="690"/>
      <c r="F117" s="690"/>
    </row>
    <row r="118" spans="4:6" ht="15.75" customHeight="1" x14ac:dyDescent="0.3">
      <c r="D118" s="690"/>
      <c r="F118" s="690"/>
    </row>
    <row r="119" spans="4:6" ht="15.75" customHeight="1" x14ac:dyDescent="0.3">
      <c r="D119" s="690"/>
      <c r="F119" s="690"/>
    </row>
    <row r="120" spans="4:6" ht="15.75" customHeight="1" x14ac:dyDescent="0.3">
      <c r="D120" s="690"/>
      <c r="F120" s="690"/>
    </row>
    <row r="121" spans="4:6" ht="15.75" customHeight="1" x14ac:dyDescent="0.3">
      <c r="D121" s="690"/>
      <c r="F121" s="690"/>
    </row>
    <row r="122" spans="4:6" ht="15.75" customHeight="1" x14ac:dyDescent="0.3">
      <c r="D122" s="690"/>
      <c r="F122" s="690"/>
    </row>
    <row r="123" spans="4:6" ht="15.75" customHeight="1" x14ac:dyDescent="0.3">
      <c r="D123" s="690"/>
      <c r="F123" s="690"/>
    </row>
    <row r="124" spans="4:6" ht="15.75" customHeight="1" x14ac:dyDescent="0.3">
      <c r="D124" s="690"/>
      <c r="F124" s="690"/>
    </row>
    <row r="125" spans="4:6" ht="15.75" customHeight="1" x14ac:dyDescent="0.3">
      <c r="D125" s="690"/>
      <c r="F125" s="690"/>
    </row>
    <row r="126" spans="4:6" ht="15.75" customHeight="1" x14ac:dyDescent="0.3">
      <c r="D126" s="690"/>
      <c r="F126" s="690"/>
    </row>
    <row r="127" spans="4:6" ht="15.75" customHeight="1" x14ac:dyDescent="0.3">
      <c r="D127" s="690"/>
      <c r="F127" s="690"/>
    </row>
    <row r="128" spans="4:6" ht="15.75" customHeight="1" x14ac:dyDescent="0.3">
      <c r="D128" s="690"/>
      <c r="F128" s="690"/>
    </row>
    <row r="129" spans="4:6" ht="15.75" customHeight="1" x14ac:dyDescent="0.3">
      <c r="D129" s="690"/>
      <c r="F129" s="690"/>
    </row>
    <row r="130" spans="4:6" ht="15.75" customHeight="1" x14ac:dyDescent="0.3">
      <c r="D130" s="690"/>
      <c r="F130" s="690"/>
    </row>
    <row r="131" spans="4:6" ht="15.75" customHeight="1" x14ac:dyDescent="0.3">
      <c r="D131" s="690"/>
      <c r="F131" s="690"/>
    </row>
    <row r="132" spans="4:6" ht="15.75" customHeight="1" x14ac:dyDescent="0.3">
      <c r="D132" s="690"/>
      <c r="F132" s="690"/>
    </row>
    <row r="133" spans="4:6" ht="15.75" customHeight="1" x14ac:dyDescent="0.3">
      <c r="D133" s="690"/>
      <c r="F133" s="690"/>
    </row>
    <row r="134" spans="4:6" ht="15.75" customHeight="1" x14ac:dyDescent="0.3">
      <c r="D134" s="690"/>
      <c r="F134" s="690"/>
    </row>
    <row r="135" spans="4:6" ht="15.75" customHeight="1" x14ac:dyDescent="0.3">
      <c r="D135" s="690"/>
      <c r="F135" s="690"/>
    </row>
    <row r="136" spans="4:6" ht="15.75" customHeight="1" x14ac:dyDescent="0.3">
      <c r="D136" s="690"/>
      <c r="F136" s="690"/>
    </row>
    <row r="137" spans="4:6" ht="15.75" customHeight="1" x14ac:dyDescent="0.3">
      <c r="D137" s="690"/>
      <c r="F137" s="690"/>
    </row>
    <row r="138" spans="4:6" ht="15.75" customHeight="1" x14ac:dyDescent="0.3">
      <c r="D138" s="690"/>
      <c r="F138" s="690"/>
    </row>
    <row r="139" spans="4:6" ht="15.75" customHeight="1" x14ac:dyDescent="0.3">
      <c r="D139" s="690"/>
      <c r="F139" s="690"/>
    </row>
    <row r="140" spans="4:6" ht="15.75" customHeight="1" x14ac:dyDescent="0.3">
      <c r="D140" s="690"/>
      <c r="F140" s="690"/>
    </row>
    <row r="141" spans="4:6" ht="15.75" customHeight="1" x14ac:dyDescent="0.3">
      <c r="D141" s="690"/>
      <c r="F141" s="690"/>
    </row>
    <row r="142" spans="4:6" ht="15.75" customHeight="1" x14ac:dyDescent="0.3">
      <c r="D142" s="690"/>
      <c r="F142" s="690"/>
    </row>
    <row r="143" spans="4:6" ht="15.75" customHeight="1" x14ac:dyDescent="0.3">
      <c r="D143" s="690"/>
      <c r="F143" s="690"/>
    </row>
    <row r="144" spans="4:6" ht="15.75" customHeight="1" x14ac:dyDescent="0.3">
      <c r="D144" s="690"/>
      <c r="F144" s="690"/>
    </row>
    <row r="145" spans="4:6" ht="15.75" customHeight="1" x14ac:dyDescent="0.3">
      <c r="D145" s="690"/>
      <c r="F145" s="690"/>
    </row>
    <row r="146" spans="4:6" ht="15.75" customHeight="1" x14ac:dyDescent="0.3">
      <c r="D146" s="690"/>
      <c r="F146" s="690"/>
    </row>
    <row r="147" spans="4:6" ht="15.75" customHeight="1" x14ac:dyDescent="0.3">
      <c r="D147" s="690"/>
      <c r="F147" s="690"/>
    </row>
    <row r="148" spans="4:6" ht="15.75" customHeight="1" x14ac:dyDescent="0.3">
      <c r="D148" s="690"/>
      <c r="F148" s="690"/>
    </row>
    <row r="149" spans="4:6" ht="15.75" customHeight="1" x14ac:dyDescent="0.3">
      <c r="D149" s="690"/>
      <c r="F149" s="690"/>
    </row>
    <row r="150" spans="4:6" ht="15.75" customHeight="1" x14ac:dyDescent="0.3">
      <c r="D150" s="690"/>
      <c r="F150" s="690"/>
    </row>
    <row r="151" spans="4:6" ht="15.75" customHeight="1" x14ac:dyDescent="0.3">
      <c r="D151" s="690"/>
      <c r="F151" s="690"/>
    </row>
    <row r="152" spans="4:6" ht="15.75" customHeight="1" x14ac:dyDescent="0.3">
      <c r="D152" s="690"/>
      <c r="F152" s="690"/>
    </row>
    <row r="153" spans="4:6" ht="15.75" customHeight="1" x14ac:dyDescent="0.3">
      <c r="D153" s="690"/>
      <c r="F153" s="690"/>
    </row>
    <row r="154" spans="4:6" ht="15.75" customHeight="1" x14ac:dyDescent="0.3">
      <c r="D154" s="690"/>
      <c r="F154" s="690"/>
    </row>
    <row r="155" spans="4:6" ht="15.75" customHeight="1" x14ac:dyDescent="0.3">
      <c r="D155" s="690"/>
      <c r="F155" s="690"/>
    </row>
    <row r="156" spans="4:6" ht="15.75" customHeight="1" x14ac:dyDescent="0.3">
      <c r="D156" s="690"/>
      <c r="F156" s="690"/>
    </row>
    <row r="157" spans="4:6" ht="15.75" customHeight="1" x14ac:dyDescent="0.3">
      <c r="D157" s="690"/>
      <c r="F157" s="690"/>
    </row>
    <row r="158" spans="4:6" ht="15.75" customHeight="1" x14ac:dyDescent="0.3">
      <c r="D158" s="690"/>
      <c r="F158" s="690"/>
    </row>
    <row r="159" spans="4:6" ht="15.75" customHeight="1" x14ac:dyDescent="0.3">
      <c r="D159" s="690"/>
      <c r="F159" s="690"/>
    </row>
    <row r="160" spans="4:6" ht="15.75" customHeight="1" x14ac:dyDescent="0.3">
      <c r="D160" s="690"/>
      <c r="F160" s="690"/>
    </row>
    <row r="161" spans="4:6" ht="15.75" customHeight="1" x14ac:dyDescent="0.3">
      <c r="D161" s="690"/>
      <c r="F161" s="690"/>
    </row>
    <row r="162" spans="4:6" ht="15.75" customHeight="1" x14ac:dyDescent="0.3">
      <c r="D162" s="690"/>
      <c r="F162" s="690"/>
    </row>
    <row r="163" spans="4:6" ht="15.75" customHeight="1" x14ac:dyDescent="0.3">
      <c r="D163" s="690"/>
      <c r="F163" s="690"/>
    </row>
    <row r="164" spans="4:6" ht="15.75" customHeight="1" x14ac:dyDescent="0.3">
      <c r="D164" s="690"/>
      <c r="F164" s="690"/>
    </row>
    <row r="165" spans="4:6" ht="15.75" customHeight="1" x14ac:dyDescent="0.3">
      <c r="D165" s="690"/>
      <c r="F165" s="690"/>
    </row>
    <row r="166" spans="4:6" ht="15.75" customHeight="1" x14ac:dyDescent="0.3">
      <c r="D166" s="690"/>
      <c r="F166" s="690"/>
    </row>
    <row r="167" spans="4:6" ht="15.75" customHeight="1" x14ac:dyDescent="0.3">
      <c r="D167" s="690"/>
      <c r="F167" s="690"/>
    </row>
    <row r="168" spans="4:6" ht="15.75" customHeight="1" x14ac:dyDescent="0.3">
      <c r="D168" s="690"/>
      <c r="F168" s="690"/>
    </row>
    <row r="169" spans="4:6" ht="15.75" customHeight="1" x14ac:dyDescent="0.3">
      <c r="D169" s="690"/>
      <c r="F169" s="690"/>
    </row>
    <row r="170" spans="4:6" ht="15.75" customHeight="1" x14ac:dyDescent="0.3">
      <c r="D170" s="690"/>
      <c r="F170" s="690"/>
    </row>
    <row r="171" spans="4:6" ht="15.75" customHeight="1" x14ac:dyDescent="0.3">
      <c r="D171" s="690"/>
      <c r="F171" s="690"/>
    </row>
    <row r="172" spans="4:6" ht="15.75" customHeight="1" x14ac:dyDescent="0.3">
      <c r="D172" s="690"/>
      <c r="F172" s="690"/>
    </row>
    <row r="173" spans="4:6" ht="15.75" customHeight="1" x14ac:dyDescent="0.3">
      <c r="D173" s="690"/>
      <c r="F173" s="690"/>
    </row>
    <row r="174" spans="4:6" ht="15.75" customHeight="1" x14ac:dyDescent="0.3">
      <c r="D174" s="690"/>
      <c r="F174" s="690"/>
    </row>
    <row r="175" spans="4:6" ht="15.75" customHeight="1" x14ac:dyDescent="0.3">
      <c r="D175" s="690"/>
      <c r="F175" s="690"/>
    </row>
    <row r="176" spans="4:6" ht="15.75" customHeight="1" x14ac:dyDescent="0.3">
      <c r="D176" s="690"/>
      <c r="F176" s="690"/>
    </row>
    <row r="177" spans="4:6" ht="15.75" customHeight="1" x14ac:dyDescent="0.3">
      <c r="D177" s="690"/>
      <c r="F177" s="690"/>
    </row>
    <row r="178" spans="4:6" ht="15.75" customHeight="1" x14ac:dyDescent="0.3">
      <c r="D178" s="690"/>
      <c r="F178" s="690"/>
    </row>
    <row r="179" spans="4:6" ht="15.75" customHeight="1" x14ac:dyDescent="0.3">
      <c r="D179" s="690"/>
      <c r="F179" s="690"/>
    </row>
    <row r="180" spans="4:6" ht="15.75" customHeight="1" x14ac:dyDescent="0.3">
      <c r="D180" s="690"/>
      <c r="F180" s="690"/>
    </row>
    <row r="181" spans="4:6" ht="15.75" customHeight="1" x14ac:dyDescent="0.3">
      <c r="D181" s="690"/>
      <c r="F181" s="690"/>
    </row>
    <row r="182" spans="4:6" ht="15.75" customHeight="1" x14ac:dyDescent="0.3">
      <c r="D182" s="690"/>
      <c r="F182" s="690"/>
    </row>
    <row r="183" spans="4:6" ht="15.75" customHeight="1" x14ac:dyDescent="0.3">
      <c r="D183" s="690"/>
      <c r="F183" s="690"/>
    </row>
    <row r="184" spans="4:6" ht="15.75" customHeight="1" x14ac:dyDescent="0.3">
      <c r="D184" s="690"/>
      <c r="F184" s="690"/>
    </row>
    <row r="185" spans="4:6" ht="15.75" customHeight="1" x14ac:dyDescent="0.3">
      <c r="D185" s="690"/>
      <c r="F185" s="690"/>
    </row>
    <row r="186" spans="4:6" ht="15.75" customHeight="1" x14ac:dyDescent="0.3">
      <c r="D186" s="690"/>
      <c r="F186" s="690"/>
    </row>
    <row r="187" spans="4:6" ht="15.75" customHeight="1" x14ac:dyDescent="0.3">
      <c r="D187" s="690"/>
      <c r="F187" s="690"/>
    </row>
    <row r="188" spans="4:6" ht="15.75" customHeight="1" x14ac:dyDescent="0.3">
      <c r="D188" s="690"/>
      <c r="F188" s="690"/>
    </row>
    <row r="189" spans="4:6" ht="15.75" customHeight="1" x14ac:dyDescent="0.3">
      <c r="D189" s="690"/>
      <c r="F189" s="690"/>
    </row>
    <row r="190" spans="4:6" ht="15.75" customHeight="1" x14ac:dyDescent="0.3">
      <c r="D190" s="690"/>
      <c r="F190" s="690"/>
    </row>
    <row r="191" spans="4:6" ht="15.75" customHeight="1" x14ac:dyDescent="0.3">
      <c r="D191" s="690"/>
      <c r="F191" s="690"/>
    </row>
    <row r="192" spans="4:6" ht="15.75" customHeight="1" x14ac:dyDescent="0.3">
      <c r="D192" s="690"/>
      <c r="F192" s="690"/>
    </row>
    <row r="193" spans="4:6" ht="15.75" customHeight="1" x14ac:dyDescent="0.3">
      <c r="D193" s="690"/>
      <c r="F193" s="690"/>
    </row>
    <row r="194" spans="4:6" ht="15.75" customHeight="1" x14ac:dyDescent="0.3">
      <c r="D194" s="690"/>
      <c r="F194" s="690"/>
    </row>
    <row r="195" spans="4:6" ht="15.75" customHeight="1" x14ac:dyDescent="0.3">
      <c r="D195" s="690"/>
      <c r="F195" s="690"/>
    </row>
    <row r="196" spans="4:6" ht="15.75" customHeight="1" x14ac:dyDescent="0.3">
      <c r="D196" s="690"/>
      <c r="F196" s="690"/>
    </row>
    <row r="197" spans="4:6" ht="15.75" customHeight="1" x14ac:dyDescent="0.3">
      <c r="D197" s="690"/>
      <c r="F197" s="690"/>
    </row>
    <row r="198" spans="4:6" ht="15.75" customHeight="1" x14ac:dyDescent="0.3">
      <c r="D198" s="690"/>
      <c r="F198" s="690"/>
    </row>
    <row r="199" spans="4:6" ht="15.75" customHeight="1" x14ac:dyDescent="0.3">
      <c r="D199" s="690"/>
      <c r="F199" s="690"/>
    </row>
    <row r="200" spans="4:6" ht="15.75" customHeight="1" x14ac:dyDescent="0.3">
      <c r="D200" s="690"/>
      <c r="F200" s="690"/>
    </row>
    <row r="201" spans="4:6" ht="15.75" customHeight="1" x14ac:dyDescent="0.3">
      <c r="D201" s="690"/>
      <c r="F201" s="690"/>
    </row>
    <row r="202" spans="4:6" ht="15.75" customHeight="1" x14ac:dyDescent="0.3">
      <c r="D202" s="690"/>
      <c r="F202" s="690"/>
    </row>
    <row r="203" spans="4:6" ht="15.75" customHeight="1" x14ac:dyDescent="0.3">
      <c r="D203" s="690"/>
      <c r="F203" s="690"/>
    </row>
    <row r="204" spans="4:6" ht="15.75" customHeight="1" x14ac:dyDescent="0.3">
      <c r="D204" s="690"/>
      <c r="F204" s="690"/>
    </row>
    <row r="205" spans="4:6" ht="15.75" customHeight="1" x14ac:dyDescent="0.3">
      <c r="D205" s="690"/>
      <c r="F205" s="690"/>
    </row>
    <row r="206" spans="4:6" ht="15.75" customHeight="1" x14ac:dyDescent="0.3">
      <c r="D206" s="690"/>
      <c r="F206" s="690"/>
    </row>
    <row r="207" spans="4:6" ht="15.75" customHeight="1" x14ac:dyDescent="0.3">
      <c r="D207" s="690"/>
      <c r="F207" s="690"/>
    </row>
    <row r="208" spans="4:6" ht="15.75" customHeight="1" x14ac:dyDescent="0.3">
      <c r="D208" s="690"/>
      <c r="F208" s="690"/>
    </row>
    <row r="209" spans="4:6" ht="15.75" customHeight="1" x14ac:dyDescent="0.3">
      <c r="D209" s="690"/>
      <c r="F209" s="690"/>
    </row>
    <row r="210" spans="4:6" ht="15.75" customHeight="1" x14ac:dyDescent="0.3">
      <c r="D210" s="690"/>
      <c r="F210" s="690"/>
    </row>
    <row r="211" spans="4:6" ht="15.75" customHeight="1" x14ac:dyDescent="0.3">
      <c r="D211" s="690"/>
      <c r="F211" s="690"/>
    </row>
    <row r="212" spans="4:6" ht="15.75" customHeight="1" x14ac:dyDescent="0.3">
      <c r="D212" s="690"/>
      <c r="F212" s="690"/>
    </row>
    <row r="213" spans="4:6" ht="15.75" customHeight="1" x14ac:dyDescent="0.3">
      <c r="D213" s="690"/>
      <c r="F213" s="690"/>
    </row>
    <row r="214" spans="4:6" ht="15.75" customHeight="1" x14ac:dyDescent="0.3">
      <c r="D214" s="690"/>
      <c r="F214" s="690"/>
    </row>
    <row r="215" spans="4:6" ht="15.75" customHeight="1" x14ac:dyDescent="0.3">
      <c r="D215" s="690"/>
      <c r="F215" s="690"/>
    </row>
    <row r="216" spans="4:6" ht="15.75" customHeight="1" x14ac:dyDescent="0.3">
      <c r="D216" s="690"/>
      <c r="F216" s="690"/>
    </row>
    <row r="217" spans="4:6" ht="15.75" customHeight="1" x14ac:dyDescent="0.3">
      <c r="D217" s="690"/>
      <c r="F217" s="690"/>
    </row>
    <row r="218" spans="4:6" ht="15.75" customHeight="1" x14ac:dyDescent="0.3">
      <c r="D218" s="690"/>
      <c r="F218" s="690"/>
    </row>
    <row r="219" spans="4:6" ht="15.75" customHeight="1" x14ac:dyDescent="0.3">
      <c r="D219" s="690"/>
      <c r="F219" s="690"/>
    </row>
    <row r="220" spans="4:6" ht="15.75" customHeight="1" x14ac:dyDescent="0.3">
      <c r="D220" s="690"/>
      <c r="F220" s="690"/>
    </row>
    <row r="221" spans="4:6" ht="15.75" customHeight="1" x14ac:dyDescent="0.3">
      <c r="D221" s="690"/>
      <c r="F221" s="690"/>
    </row>
    <row r="222" spans="4:6" ht="15.75" customHeight="1" x14ac:dyDescent="0.3">
      <c r="D222" s="690"/>
      <c r="F222" s="690"/>
    </row>
    <row r="223" spans="4:6" ht="15.75" customHeight="1" x14ac:dyDescent="0.3">
      <c r="D223" s="690"/>
      <c r="F223" s="690"/>
    </row>
    <row r="224" spans="4:6" ht="15.75" customHeight="1" x14ac:dyDescent="0.3">
      <c r="D224" s="690"/>
      <c r="F224" s="690"/>
    </row>
    <row r="225" spans="4:6" ht="15.75" customHeight="1" x14ac:dyDescent="0.3">
      <c r="D225" s="690"/>
      <c r="F225" s="690"/>
    </row>
    <row r="226" spans="4:6" ht="15.75" customHeight="1" x14ac:dyDescent="0.3">
      <c r="D226" s="690"/>
      <c r="F226" s="690"/>
    </row>
    <row r="227" spans="4:6" ht="15.75" customHeight="1" x14ac:dyDescent="0.3">
      <c r="D227" s="690"/>
      <c r="F227" s="690"/>
    </row>
    <row r="228" spans="4:6" ht="15.75" customHeight="1" x14ac:dyDescent="0.3">
      <c r="D228" s="690"/>
      <c r="F228" s="690"/>
    </row>
    <row r="229" spans="4:6" ht="15.75" customHeight="1" x14ac:dyDescent="0.3">
      <c r="D229" s="690"/>
      <c r="F229" s="690"/>
    </row>
    <row r="230" spans="4:6" ht="15.75" customHeight="1" x14ac:dyDescent="0.3">
      <c r="D230" s="690"/>
      <c r="F230" s="690"/>
    </row>
    <row r="231" spans="4:6" ht="15.75" customHeight="1" x14ac:dyDescent="0.3">
      <c r="D231" s="690"/>
      <c r="F231" s="690"/>
    </row>
    <row r="232" spans="4:6" ht="15.75" customHeight="1" x14ac:dyDescent="0.3">
      <c r="D232" s="690"/>
      <c r="F232" s="690"/>
    </row>
    <row r="233" spans="4:6" ht="15.75" customHeight="1" x14ac:dyDescent="0.3">
      <c r="D233" s="690"/>
      <c r="F233" s="690"/>
    </row>
    <row r="234" spans="4:6" ht="15.75" customHeight="1" x14ac:dyDescent="0.3">
      <c r="D234" s="690"/>
      <c r="F234" s="690"/>
    </row>
    <row r="235" spans="4:6" ht="15.75" customHeight="1" x14ac:dyDescent="0.3">
      <c r="D235" s="690"/>
      <c r="F235" s="690"/>
    </row>
    <row r="236" spans="4:6" ht="15.75" customHeight="1" x14ac:dyDescent="0.3">
      <c r="D236" s="690"/>
      <c r="F236" s="690"/>
    </row>
    <row r="237" spans="4:6" ht="15.75" customHeight="1" x14ac:dyDescent="0.3">
      <c r="D237" s="690"/>
      <c r="F237" s="690"/>
    </row>
    <row r="238" spans="4:6" ht="15.75" customHeight="1" x14ac:dyDescent="0.3">
      <c r="D238" s="690"/>
      <c r="F238" s="690"/>
    </row>
    <row r="239" spans="4:6" ht="15.75" customHeight="1" x14ac:dyDescent="0.3">
      <c r="D239" s="690"/>
      <c r="F239" s="690"/>
    </row>
    <row r="240" spans="4:6" ht="15.75" customHeight="1" x14ac:dyDescent="0.3">
      <c r="D240" s="690"/>
      <c r="F240" s="690"/>
    </row>
    <row r="241" spans="4:6" ht="15.75" customHeight="1" x14ac:dyDescent="0.3">
      <c r="D241" s="690"/>
      <c r="F241" s="690"/>
    </row>
    <row r="242" spans="4:6" ht="15.75" customHeight="1" x14ac:dyDescent="0.3">
      <c r="D242" s="690"/>
      <c r="F242" s="690"/>
    </row>
    <row r="243" spans="4:6" ht="15.75" customHeight="1" x14ac:dyDescent="0.3">
      <c r="D243" s="690"/>
      <c r="F243" s="690"/>
    </row>
    <row r="244" spans="4:6" ht="15.75" customHeight="1" x14ac:dyDescent="0.3">
      <c r="D244" s="690"/>
      <c r="F244" s="690"/>
    </row>
    <row r="245" spans="4:6" ht="15.75" customHeight="1" x14ac:dyDescent="0.3">
      <c r="D245" s="690"/>
      <c r="F245" s="690"/>
    </row>
    <row r="246" spans="4:6" ht="15.75" customHeight="1" x14ac:dyDescent="0.3"/>
    <row r="247" spans="4:6" ht="15.75" customHeight="1" x14ac:dyDescent="0.3"/>
    <row r="248" spans="4:6" ht="15.75" customHeight="1" x14ac:dyDescent="0.3"/>
    <row r="249" spans="4:6" ht="15.75" customHeight="1" x14ac:dyDescent="0.3"/>
    <row r="250" spans="4:6" ht="15.75" customHeight="1" x14ac:dyDescent="0.3"/>
    <row r="251" spans="4:6" ht="15.75" customHeight="1" x14ac:dyDescent="0.3"/>
    <row r="252" spans="4:6" ht="15.75" customHeight="1" x14ac:dyDescent="0.3"/>
    <row r="253" spans="4:6" ht="15.75" customHeight="1" x14ac:dyDescent="0.3"/>
    <row r="254" spans="4:6" ht="15.75" customHeight="1" x14ac:dyDescent="0.3"/>
    <row r="255" spans="4:6" ht="15.75" customHeight="1" x14ac:dyDescent="0.3"/>
    <row r="256" spans="4: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dataValidations count="1">
    <dataValidation type="list" allowBlank="1" showErrorMessage="1" sqref="B17 B27 B22" xr:uid="{AC255DCF-8FAD-4C64-B122-7031557CBFF9}">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D80FE-566A-41A5-86E4-13DC69189AA2}">
  <dimension ref="A1:AD890"/>
  <sheetViews>
    <sheetView topLeftCell="A3" zoomScale="90" zoomScaleNormal="90" workbookViewId="0">
      <selection activeCell="AH21" sqref="AH21"/>
    </sheetView>
  </sheetViews>
  <sheetFormatPr defaultColWidth="12.44140625" defaultRowHeight="15" customHeight="1" x14ac:dyDescent="0.3"/>
  <cols>
    <col min="1" max="1" width="2.6640625" style="691" customWidth="1"/>
    <col min="2" max="2" width="5.109375" style="691" customWidth="1"/>
    <col min="3" max="3" width="31.21875" style="691" customWidth="1"/>
    <col min="4" max="4" width="34" style="691" customWidth="1"/>
    <col min="5" max="5" width="8.88671875" style="691" customWidth="1"/>
    <col min="6" max="6" width="32.44140625" style="691" customWidth="1"/>
    <col min="7" max="7" width="12.77734375" style="691" customWidth="1"/>
    <col min="8" max="8" width="12.77734375" style="691" hidden="1" customWidth="1"/>
    <col min="9" max="9" width="12.77734375" style="691" customWidth="1"/>
    <col min="10" max="12" width="12.77734375" style="691" hidden="1" customWidth="1"/>
    <col min="13" max="19" width="11.5546875" style="691" hidden="1" customWidth="1"/>
    <col min="20" max="20" width="11.5546875" style="691" customWidth="1"/>
    <col min="21" max="25" width="11.5546875" style="691" hidden="1" customWidth="1"/>
    <col min="26" max="26" width="11.5546875" style="691" customWidth="1"/>
    <col min="27" max="30" width="11.6640625" style="691" customWidth="1"/>
    <col min="31" max="16384" width="12.44140625" style="691"/>
  </cols>
  <sheetData>
    <row r="1" spans="1:30" ht="23.25" customHeight="1" x14ac:dyDescent="0.35">
      <c r="A1" s="775"/>
      <c r="B1" s="776" t="s">
        <v>2349</v>
      </c>
    </row>
    <row r="2" spans="1:30" ht="13.5" customHeight="1" x14ac:dyDescent="0.3">
      <c r="A2" s="775"/>
      <c r="B2" s="777" t="s">
        <v>340</v>
      </c>
      <c r="C2" s="693"/>
      <c r="D2" s="693"/>
      <c r="E2" s="693"/>
      <c r="F2" s="693"/>
      <c r="G2" s="693"/>
      <c r="H2" s="693"/>
      <c r="I2" s="693"/>
      <c r="J2" s="693"/>
      <c r="K2" s="693"/>
      <c r="L2" s="693"/>
      <c r="M2" s="693"/>
      <c r="N2" s="693"/>
      <c r="O2" s="693"/>
      <c r="P2" s="693"/>
      <c r="Q2" s="693"/>
      <c r="R2" s="693"/>
      <c r="S2" s="693"/>
      <c r="T2" s="693"/>
      <c r="U2" s="693"/>
      <c r="V2" s="693"/>
      <c r="W2" s="693"/>
      <c r="X2" s="693"/>
      <c r="Y2" s="693"/>
      <c r="Z2" s="693"/>
    </row>
    <row r="3" spans="1:30" ht="15.75" customHeight="1" x14ac:dyDescent="0.3">
      <c r="B3" s="778"/>
    </row>
    <row r="4" spans="1:30" ht="19.2" customHeight="1" x14ac:dyDescent="0.3">
      <c r="B4" s="779" t="s">
        <v>899</v>
      </c>
      <c r="C4" s="780"/>
      <c r="D4" s="780"/>
    </row>
    <row r="5" spans="1:30" ht="19.2" customHeight="1" x14ac:dyDescent="0.3">
      <c r="B5" s="779" t="s">
        <v>341</v>
      </c>
      <c r="C5" s="780"/>
      <c r="D5" s="780"/>
    </row>
    <row r="6" spans="1:30" ht="15.75" customHeight="1" x14ac:dyDescent="0.3">
      <c r="B6" s="778"/>
    </row>
    <row r="7" spans="1:30" ht="15.75" customHeight="1" x14ac:dyDescent="0.3">
      <c r="B7" s="781" t="s">
        <v>473</v>
      </c>
    </row>
    <row r="8" spans="1:30" ht="9" customHeight="1" x14ac:dyDescent="0.3">
      <c r="B8" s="782"/>
      <c r="G8" s="690"/>
      <c r="H8" s="690"/>
      <c r="I8" s="690"/>
      <c r="J8" s="690"/>
      <c r="K8" s="690"/>
      <c r="L8" s="690"/>
      <c r="Z8" s="690"/>
    </row>
    <row r="9" spans="1:30" ht="15.75" customHeight="1" x14ac:dyDescent="0.3">
      <c r="B9" s="783" t="s">
        <v>301</v>
      </c>
      <c r="C9" s="784" t="s">
        <v>343</v>
      </c>
      <c r="D9" s="785" t="s">
        <v>344</v>
      </c>
      <c r="E9" s="785" t="s">
        <v>345</v>
      </c>
      <c r="F9" s="785" t="s">
        <v>346</v>
      </c>
      <c r="G9" s="786" t="s">
        <v>347</v>
      </c>
      <c r="H9" s="787">
        <v>2025</v>
      </c>
      <c r="I9" s="787">
        <v>2024</v>
      </c>
      <c r="J9" s="787">
        <v>2023</v>
      </c>
      <c r="K9" s="787">
        <v>2022</v>
      </c>
      <c r="L9" s="787">
        <v>2021</v>
      </c>
      <c r="M9" s="787">
        <v>2020</v>
      </c>
      <c r="N9" s="787">
        <v>2019</v>
      </c>
      <c r="O9" s="788">
        <v>2018</v>
      </c>
      <c r="P9" s="788">
        <v>2017</v>
      </c>
      <c r="Q9" s="788">
        <v>2016</v>
      </c>
      <c r="R9" s="788">
        <v>2015</v>
      </c>
      <c r="S9" s="788">
        <v>2014</v>
      </c>
      <c r="T9" s="788">
        <v>2013</v>
      </c>
      <c r="U9" s="788">
        <v>2012</v>
      </c>
      <c r="V9" s="788">
        <v>2011</v>
      </c>
      <c r="W9" s="788">
        <v>2010</v>
      </c>
      <c r="X9" s="788">
        <v>2009</v>
      </c>
      <c r="Y9" s="788">
        <v>2008</v>
      </c>
      <c r="Z9" s="789" t="s">
        <v>332</v>
      </c>
    </row>
    <row r="10" spans="1:30" ht="24" customHeight="1" x14ac:dyDescent="0.3">
      <c r="A10" s="790"/>
      <c r="B10" s="791">
        <v>1</v>
      </c>
      <c r="C10" s="792" t="s">
        <v>474</v>
      </c>
      <c r="D10" s="793" t="s">
        <v>475</v>
      </c>
      <c r="E10" s="794" t="s">
        <v>350</v>
      </c>
      <c r="F10" s="795"/>
      <c r="G10" s="796">
        <v>2013</v>
      </c>
      <c r="H10" s="797"/>
      <c r="I10" s="798">
        <v>11158.699999999999</v>
      </c>
      <c r="J10" s="799">
        <v>1013.7</v>
      </c>
      <c r="K10" s="800">
        <v>2291</v>
      </c>
      <c r="L10" s="800">
        <v>4041</v>
      </c>
      <c r="M10" s="800">
        <v>5499.8</v>
      </c>
      <c r="N10" s="800">
        <v>3846.3</v>
      </c>
      <c r="O10" s="800">
        <v>4108</v>
      </c>
      <c r="P10" s="800">
        <v>7128.6</v>
      </c>
      <c r="Q10" s="800">
        <v>4178.3999999999996</v>
      </c>
      <c r="R10" s="800">
        <v>5097.5</v>
      </c>
      <c r="S10" s="800">
        <v>5551.2</v>
      </c>
      <c r="T10" s="800">
        <v>71312</v>
      </c>
      <c r="U10" s="801"/>
      <c r="V10" s="797"/>
      <c r="W10" s="801"/>
      <c r="X10" s="797"/>
      <c r="Y10" s="801"/>
      <c r="Z10" s="797"/>
      <c r="AA10" s="790"/>
      <c r="AB10" s="790"/>
      <c r="AC10" s="790"/>
      <c r="AD10" s="790"/>
    </row>
    <row r="11" spans="1:30" ht="24" customHeight="1" x14ac:dyDescent="0.3">
      <c r="A11" s="790"/>
      <c r="B11" s="791"/>
      <c r="C11" s="802" t="s">
        <v>474</v>
      </c>
      <c r="D11" s="802" t="s">
        <v>476</v>
      </c>
      <c r="E11" s="803" t="s">
        <v>363</v>
      </c>
      <c r="F11" s="768" t="s">
        <v>477</v>
      </c>
      <c r="G11" s="759"/>
      <c r="H11" s="804"/>
      <c r="I11" s="805">
        <v>216.47800000000001</v>
      </c>
      <c r="J11" s="806">
        <v>272.60199999999998</v>
      </c>
      <c r="K11" s="807">
        <v>391.1</v>
      </c>
      <c r="L11" s="807">
        <v>323.32</v>
      </c>
      <c r="M11" s="807">
        <v>341.3</v>
      </c>
      <c r="N11" s="807">
        <v>403.04</v>
      </c>
      <c r="O11" s="807">
        <v>397.8</v>
      </c>
      <c r="P11" s="807">
        <v>381.7</v>
      </c>
      <c r="Q11" s="807">
        <v>387.9</v>
      </c>
      <c r="R11" s="807">
        <v>233.3</v>
      </c>
      <c r="S11" s="807">
        <v>101.4</v>
      </c>
      <c r="T11" s="807"/>
      <c r="U11" s="808"/>
      <c r="V11" s="804"/>
      <c r="W11" s="808"/>
      <c r="X11" s="804"/>
      <c r="Y11" s="808"/>
      <c r="Z11" s="804"/>
      <c r="AA11" s="790"/>
      <c r="AB11" s="790"/>
      <c r="AC11" s="790"/>
      <c r="AD11" s="790"/>
    </row>
    <row r="12" spans="1:30" ht="24" customHeight="1" x14ac:dyDescent="0.3">
      <c r="A12" s="790"/>
      <c r="B12" s="791"/>
      <c r="C12" s="802"/>
      <c r="D12" s="802"/>
      <c r="E12" s="803" t="s">
        <v>385</v>
      </c>
      <c r="F12" s="768" t="s">
        <v>384</v>
      </c>
      <c r="G12" s="759"/>
      <c r="H12" s="804"/>
      <c r="I12" s="805">
        <f>I11*1000</f>
        <v>216478</v>
      </c>
      <c r="J12" s="806">
        <v>272602</v>
      </c>
      <c r="K12" s="807"/>
      <c r="L12" s="807"/>
      <c r="M12" s="807"/>
      <c r="N12" s="807"/>
      <c r="O12" s="807"/>
      <c r="P12" s="807"/>
      <c r="Q12" s="807"/>
      <c r="R12" s="807"/>
      <c r="S12" s="807"/>
      <c r="T12" s="807"/>
      <c r="U12" s="808"/>
      <c r="V12" s="804"/>
      <c r="W12" s="808"/>
      <c r="X12" s="804"/>
      <c r="Y12" s="808"/>
      <c r="Z12" s="804"/>
      <c r="AA12" s="790"/>
      <c r="AB12" s="790"/>
      <c r="AC12" s="790"/>
      <c r="AD12" s="790"/>
    </row>
    <row r="13" spans="1:30" ht="30" customHeight="1" x14ac:dyDescent="0.3">
      <c r="A13" s="790"/>
      <c r="B13" s="791"/>
      <c r="C13" s="793" t="s">
        <v>478</v>
      </c>
      <c r="D13" s="793" t="s">
        <v>479</v>
      </c>
      <c r="E13" s="794" t="s">
        <v>378</v>
      </c>
      <c r="F13" s="795" t="s">
        <v>480</v>
      </c>
      <c r="G13" s="809"/>
      <c r="H13" s="810"/>
      <c r="I13" s="810"/>
      <c r="J13" s="810"/>
      <c r="K13" s="811"/>
      <c r="L13" s="811"/>
      <c r="M13" s="811"/>
      <c r="N13" s="811"/>
      <c r="O13" s="811"/>
      <c r="P13" s="811"/>
      <c r="Q13" s="811">
        <v>7447680</v>
      </c>
      <c r="R13" s="811">
        <v>4479360</v>
      </c>
      <c r="S13" s="811"/>
      <c r="T13" s="811"/>
      <c r="U13" s="801"/>
      <c r="V13" s="810"/>
      <c r="W13" s="801"/>
      <c r="X13" s="810"/>
      <c r="Y13" s="801"/>
      <c r="Z13" s="810"/>
      <c r="AA13" s="790"/>
      <c r="AB13" s="790"/>
      <c r="AC13" s="790"/>
      <c r="AD13" s="790"/>
    </row>
    <row r="14" spans="1:30" ht="30" customHeight="1" x14ac:dyDescent="0.3">
      <c r="A14" s="790"/>
      <c r="B14" s="791"/>
      <c r="C14" s="716" t="s">
        <v>478</v>
      </c>
      <c r="D14" s="716" t="s">
        <v>481</v>
      </c>
      <c r="E14" s="803" t="s">
        <v>350</v>
      </c>
      <c r="F14" s="768" t="s">
        <v>482</v>
      </c>
      <c r="G14" s="759"/>
      <c r="H14" s="804"/>
      <c r="I14" s="804"/>
      <c r="J14" s="812"/>
      <c r="K14" s="807"/>
      <c r="L14" s="807"/>
      <c r="M14" s="807"/>
      <c r="N14" s="807"/>
      <c r="O14" s="807"/>
      <c r="P14" s="807"/>
      <c r="Q14" s="807">
        <v>257928.31168831166</v>
      </c>
      <c r="R14" s="807">
        <v>155129.35064935064</v>
      </c>
      <c r="S14" s="807"/>
      <c r="T14" s="807"/>
      <c r="U14" s="808"/>
      <c r="V14" s="804"/>
      <c r="W14" s="808"/>
      <c r="X14" s="804"/>
      <c r="Y14" s="808"/>
      <c r="Z14" s="804"/>
      <c r="AA14" s="790"/>
      <c r="AB14" s="790"/>
      <c r="AC14" s="790"/>
      <c r="AD14" s="790"/>
    </row>
    <row r="15" spans="1:30" ht="24" customHeight="1" x14ac:dyDescent="0.3">
      <c r="A15" s="790"/>
      <c r="B15" s="791"/>
      <c r="C15" s="813" t="s">
        <v>478</v>
      </c>
      <c r="D15" s="813" t="s">
        <v>483</v>
      </c>
      <c r="E15" s="814" t="s">
        <v>350</v>
      </c>
      <c r="F15" s="815" t="s">
        <v>484</v>
      </c>
      <c r="G15" s="809"/>
      <c r="H15" s="810"/>
      <c r="I15" s="810"/>
      <c r="J15" s="810"/>
      <c r="K15" s="810"/>
      <c r="L15" s="810"/>
      <c r="M15" s="810"/>
      <c r="N15" s="810"/>
      <c r="O15" s="810"/>
      <c r="P15" s="810"/>
      <c r="Q15" s="810"/>
      <c r="R15" s="810"/>
      <c r="S15" s="810"/>
      <c r="T15" s="4168">
        <v>262106.71168831165</v>
      </c>
      <c r="U15" s="801"/>
      <c r="V15" s="810"/>
      <c r="W15" s="801"/>
      <c r="X15" s="810"/>
      <c r="Y15" s="801"/>
      <c r="Z15" s="810"/>
      <c r="AA15" s="790"/>
      <c r="AB15" s="790"/>
      <c r="AC15" s="790"/>
      <c r="AD15" s="790"/>
    </row>
    <row r="16" spans="1:30" ht="24" customHeight="1" x14ac:dyDescent="0.3">
      <c r="A16" s="790"/>
      <c r="B16" s="791"/>
      <c r="C16" s="716"/>
      <c r="D16" s="716"/>
      <c r="E16" s="816"/>
      <c r="F16" s="817"/>
      <c r="G16" s="759"/>
      <c r="H16" s="804"/>
      <c r="I16" s="804"/>
      <c r="J16" s="804"/>
      <c r="K16" s="804"/>
      <c r="L16" s="804"/>
      <c r="M16" s="804"/>
      <c r="N16" s="804"/>
      <c r="O16" s="804"/>
      <c r="P16" s="804"/>
      <c r="Q16" s="804"/>
      <c r="R16" s="804"/>
      <c r="S16" s="804"/>
      <c r="T16" s="804"/>
      <c r="U16" s="808"/>
      <c r="V16" s="804"/>
      <c r="W16" s="808"/>
      <c r="X16" s="804"/>
      <c r="Y16" s="808"/>
      <c r="Z16" s="804"/>
      <c r="AA16" s="790"/>
      <c r="AB16" s="790"/>
      <c r="AC16" s="790"/>
      <c r="AD16" s="790"/>
    </row>
    <row r="17" spans="1:30" ht="24" customHeight="1" x14ac:dyDescent="0.3">
      <c r="A17" s="790"/>
      <c r="B17" s="791"/>
      <c r="C17" s="813"/>
      <c r="D17" s="813"/>
      <c r="E17" s="814"/>
      <c r="F17" s="815"/>
      <c r="G17" s="818"/>
      <c r="H17" s="810"/>
      <c r="I17" s="810"/>
      <c r="J17" s="810"/>
      <c r="K17" s="810"/>
      <c r="L17" s="810"/>
      <c r="M17" s="810"/>
      <c r="N17" s="810"/>
      <c r="O17" s="810"/>
      <c r="P17" s="810"/>
      <c r="Q17" s="810"/>
      <c r="R17" s="810"/>
      <c r="S17" s="810"/>
      <c r="T17" s="810"/>
      <c r="U17" s="801"/>
      <c r="V17" s="810"/>
      <c r="W17" s="801"/>
      <c r="X17" s="810"/>
      <c r="Y17" s="801"/>
      <c r="Z17" s="810"/>
      <c r="AA17" s="790"/>
      <c r="AB17" s="790"/>
      <c r="AC17" s="790"/>
      <c r="AD17" s="790"/>
    </row>
    <row r="18" spans="1:30" ht="24" customHeight="1" x14ac:dyDescent="0.3">
      <c r="A18" s="790"/>
      <c r="B18" s="819"/>
      <c r="C18" s="725"/>
      <c r="D18" s="725"/>
      <c r="E18" s="820"/>
      <c r="F18" s="821"/>
      <c r="G18" s="822"/>
      <c r="H18" s="823"/>
      <c r="I18" s="823"/>
      <c r="J18" s="823"/>
      <c r="K18" s="823"/>
      <c r="L18" s="823"/>
      <c r="M18" s="823"/>
      <c r="N18" s="823"/>
      <c r="O18" s="823"/>
      <c r="P18" s="823"/>
      <c r="Q18" s="823"/>
      <c r="R18" s="823"/>
      <c r="S18" s="823"/>
      <c r="T18" s="823"/>
      <c r="U18" s="824"/>
      <c r="V18" s="823"/>
      <c r="W18" s="824"/>
      <c r="X18" s="823"/>
      <c r="Y18" s="824"/>
      <c r="Z18" s="823"/>
      <c r="AA18" s="790"/>
      <c r="AB18" s="790"/>
      <c r="AC18" s="790"/>
      <c r="AD18" s="790"/>
    </row>
    <row r="19" spans="1:30" ht="15.75" customHeight="1" x14ac:dyDescent="0.3">
      <c r="A19" s="790"/>
      <c r="B19" s="825"/>
      <c r="C19" s="790"/>
      <c r="D19" s="790"/>
      <c r="E19" s="790"/>
      <c r="F19" s="790"/>
      <c r="G19" s="742"/>
      <c r="H19" s="742"/>
      <c r="I19" s="742"/>
      <c r="J19" s="742"/>
      <c r="K19" s="742"/>
      <c r="L19" s="742"/>
      <c r="M19" s="826"/>
      <c r="N19" s="826"/>
      <c r="O19" s="826"/>
      <c r="P19" s="826"/>
      <c r="Q19" s="826"/>
      <c r="R19" s="826"/>
      <c r="S19" s="826"/>
      <c r="T19" s="826"/>
      <c r="U19" s="826"/>
      <c r="V19" s="826"/>
      <c r="W19" s="826"/>
      <c r="X19" s="826"/>
      <c r="Y19" s="826"/>
      <c r="Z19" s="826"/>
      <c r="AA19" s="790"/>
      <c r="AB19" s="790"/>
      <c r="AC19" s="790"/>
      <c r="AD19" s="790"/>
    </row>
    <row r="20" spans="1:30" ht="15.75" customHeight="1" x14ac:dyDescent="0.3">
      <c r="A20" s="790"/>
      <c r="B20" s="827" t="s">
        <v>355</v>
      </c>
      <c r="C20" s="828" t="s">
        <v>356</v>
      </c>
      <c r="D20" s="790"/>
      <c r="E20" s="790"/>
      <c r="F20" s="790"/>
      <c r="G20" s="742"/>
      <c r="H20" s="742"/>
      <c r="I20" s="742"/>
      <c r="J20" s="742"/>
      <c r="K20" s="742"/>
      <c r="L20" s="742"/>
      <c r="M20" s="826"/>
      <c r="N20" s="826"/>
      <c r="O20" s="826"/>
      <c r="P20" s="826"/>
      <c r="Q20" s="826"/>
      <c r="R20" s="826"/>
      <c r="S20" s="826"/>
      <c r="T20" s="826"/>
      <c r="U20" s="826"/>
      <c r="V20" s="826"/>
      <c r="W20" s="826"/>
      <c r="X20" s="826"/>
      <c r="Y20" s="826"/>
      <c r="Z20" s="826"/>
      <c r="AA20" s="790"/>
      <c r="AB20" s="790"/>
      <c r="AC20" s="790"/>
      <c r="AD20" s="790"/>
    </row>
    <row r="21" spans="1:30" ht="15.75" customHeight="1" x14ac:dyDescent="0.3">
      <c r="A21" s="790"/>
      <c r="B21" s="825"/>
      <c r="C21" s="790"/>
      <c r="D21" s="790"/>
      <c r="E21" s="790"/>
      <c r="F21" s="790"/>
      <c r="G21" s="742"/>
      <c r="H21" s="742"/>
      <c r="I21" s="742"/>
      <c r="J21" s="742"/>
      <c r="K21" s="742"/>
      <c r="L21" s="742"/>
      <c r="M21" s="826"/>
      <c r="N21" s="826"/>
      <c r="O21" s="826"/>
      <c r="P21" s="826"/>
      <c r="Q21" s="826"/>
      <c r="R21" s="826"/>
      <c r="S21" s="826"/>
      <c r="T21" s="826"/>
      <c r="U21" s="826"/>
      <c r="V21" s="826"/>
      <c r="W21" s="826"/>
      <c r="X21" s="826"/>
      <c r="Y21" s="826"/>
      <c r="Z21" s="826"/>
      <c r="AA21" s="790"/>
      <c r="AB21" s="790"/>
      <c r="AC21" s="790"/>
      <c r="AD21" s="790"/>
    </row>
    <row r="22" spans="1:30" ht="15.75" customHeight="1" x14ac:dyDescent="0.3">
      <c r="A22" s="790"/>
      <c r="B22" s="4388" t="s">
        <v>357</v>
      </c>
      <c r="C22" s="4389"/>
      <c r="D22" s="790"/>
      <c r="E22" s="790"/>
      <c r="F22" s="790"/>
      <c r="G22" s="742"/>
      <c r="H22" s="742"/>
      <c r="I22" s="742"/>
      <c r="J22" s="742"/>
      <c r="K22" s="742"/>
      <c r="L22" s="742"/>
      <c r="M22" s="826"/>
      <c r="N22" s="826"/>
      <c r="O22" s="826"/>
      <c r="P22" s="826"/>
      <c r="Q22" s="826"/>
      <c r="R22" s="826"/>
      <c r="S22" s="826"/>
      <c r="T22" s="826"/>
      <c r="U22" s="826"/>
      <c r="V22" s="826"/>
      <c r="W22" s="826"/>
      <c r="X22" s="826"/>
      <c r="Y22" s="826"/>
      <c r="Z22" s="826"/>
      <c r="AA22" s="790"/>
      <c r="AB22" s="790"/>
      <c r="AC22" s="790"/>
      <c r="AD22" s="790"/>
    </row>
    <row r="23" spans="1:30" ht="15.75" customHeight="1" x14ac:dyDescent="0.3">
      <c r="A23" s="790"/>
      <c r="B23" s="829" t="s">
        <v>365</v>
      </c>
      <c r="C23" s="830" t="s">
        <v>485</v>
      </c>
      <c r="D23" s="790"/>
      <c r="E23" s="790"/>
      <c r="F23" s="790"/>
      <c r="G23" s="742"/>
      <c r="H23" s="742"/>
      <c r="I23" s="742"/>
      <c r="J23" s="742"/>
      <c r="K23" s="742"/>
      <c r="L23" s="742"/>
      <c r="M23" s="826"/>
      <c r="N23" s="826"/>
      <c r="O23" s="826"/>
      <c r="P23" s="826"/>
      <c r="Q23" s="826"/>
      <c r="R23" s="826"/>
      <c r="S23" s="826"/>
      <c r="T23" s="826"/>
      <c r="U23" s="826"/>
      <c r="V23" s="826"/>
      <c r="W23" s="826"/>
      <c r="X23" s="826"/>
      <c r="Y23" s="826"/>
      <c r="Z23" s="826"/>
      <c r="AA23" s="790"/>
      <c r="AB23" s="790"/>
      <c r="AC23" s="790"/>
      <c r="AD23" s="790"/>
    </row>
    <row r="24" spans="1:30" ht="15.75" customHeight="1" x14ac:dyDescent="0.3">
      <c r="A24" s="790"/>
      <c r="B24" s="831"/>
      <c r="C24" s="830" t="s">
        <v>486</v>
      </c>
      <c r="D24" s="790"/>
      <c r="E24" s="790"/>
      <c r="F24" s="790"/>
      <c r="G24" s="742"/>
      <c r="H24" s="742"/>
      <c r="I24" s="742"/>
      <c r="J24" s="742"/>
      <c r="K24" s="742"/>
      <c r="L24" s="742"/>
      <c r="M24" s="826"/>
      <c r="N24" s="826"/>
      <c r="O24" s="826"/>
      <c r="P24" s="826"/>
      <c r="Q24" s="826"/>
      <c r="R24" s="826"/>
      <c r="S24" s="826"/>
      <c r="T24" s="826"/>
      <c r="U24" s="826"/>
      <c r="V24" s="826"/>
      <c r="W24" s="826"/>
      <c r="X24" s="826"/>
      <c r="Y24" s="826"/>
      <c r="Z24" s="826"/>
      <c r="AA24" s="790"/>
      <c r="AB24" s="790"/>
      <c r="AC24" s="790"/>
      <c r="AD24" s="790"/>
    </row>
    <row r="25" spans="1:30" ht="15.75" customHeight="1" x14ac:dyDescent="0.3">
      <c r="C25" s="832" t="s">
        <v>487</v>
      </c>
    </row>
    <row r="26" spans="1:30" ht="15.75" customHeight="1" x14ac:dyDescent="0.3">
      <c r="C26" s="691" t="s">
        <v>488</v>
      </c>
    </row>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sheetData>
  <mergeCells count="1">
    <mergeCell ref="B22:C2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59043-72CB-4311-B24B-F29998DB5571}">
  <dimension ref="A1:R986"/>
  <sheetViews>
    <sheetView topLeftCell="A11" zoomScale="92" workbookViewId="0">
      <selection activeCell="C29" sqref="C29"/>
    </sheetView>
  </sheetViews>
  <sheetFormatPr defaultColWidth="12.44140625" defaultRowHeight="15" customHeight="1" x14ac:dyDescent="0.3"/>
  <cols>
    <col min="1" max="1" width="2.6640625" style="691" customWidth="1"/>
    <col min="2" max="2" width="35.109375" style="691" customWidth="1"/>
    <col min="3" max="3" width="24" style="691" customWidth="1"/>
    <col min="4" max="4" width="1.5546875" style="691" customWidth="1"/>
    <col min="5" max="5" width="14.6640625" style="691" customWidth="1"/>
    <col min="6" max="6" width="7.33203125" style="691" customWidth="1"/>
    <col min="7" max="7" width="34" style="691" customWidth="1"/>
    <col min="8" max="8" width="21" style="691" customWidth="1"/>
    <col min="9" max="9" width="23.88671875" style="691" customWidth="1"/>
    <col min="10" max="10" width="20.77734375" style="691" customWidth="1"/>
    <col min="11" max="15" width="21.21875" style="691" customWidth="1"/>
    <col min="16" max="16" width="1.5546875" style="691" customWidth="1"/>
    <col min="17" max="17" width="15.21875" style="691" customWidth="1"/>
    <col min="18" max="18" width="11.6640625" style="691" customWidth="1"/>
    <col min="19" max="16384" width="12.44140625" style="691"/>
  </cols>
  <sheetData>
    <row r="1" spans="1:18" ht="21.75" customHeight="1" x14ac:dyDescent="0.35">
      <c r="A1" s="833"/>
      <c r="B1" s="834" t="s">
        <v>549</v>
      </c>
      <c r="D1" s="835"/>
      <c r="F1" s="835"/>
      <c r="P1" s="835"/>
    </row>
    <row r="2" spans="1:18" ht="15.75" customHeight="1" x14ac:dyDescent="0.3">
      <c r="A2" s="833"/>
      <c r="B2" s="692" t="s">
        <v>299</v>
      </c>
      <c r="C2" s="836"/>
      <c r="D2" s="836"/>
      <c r="E2" s="836"/>
      <c r="F2" s="836"/>
      <c r="G2" s="836"/>
      <c r="H2" s="836"/>
      <c r="I2" s="836"/>
      <c r="J2" s="836"/>
      <c r="K2" s="836"/>
      <c r="L2" s="836"/>
      <c r="M2" s="836"/>
      <c r="N2" s="836"/>
      <c r="O2" s="836"/>
      <c r="P2" s="836"/>
      <c r="Q2" s="836"/>
    </row>
    <row r="3" spans="1:18" ht="9.75" customHeight="1" x14ac:dyDescent="0.3">
      <c r="A3" s="835"/>
      <c r="B3" s="837"/>
      <c r="D3" s="835"/>
      <c r="F3" s="835"/>
      <c r="P3" s="835"/>
    </row>
    <row r="4" spans="1:18" ht="6" customHeight="1" x14ac:dyDescent="0.3">
      <c r="B4" s="835"/>
      <c r="D4" s="835"/>
      <c r="F4" s="835"/>
      <c r="P4" s="835"/>
    </row>
    <row r="5" spans="1:18" ht="6" customHeight="1" x14ac:dyDescent="0.3">
      <c r="A5" s="837"/>
      <c r="D5" s="835"/>
      <c r="F5" s="835"/>
      <c r="P5" s="835"/>
    </row>
    <row r="6" spans="1:18" ht="15.75" customHeight="1" x14ac:dyDescent="0.3">
      <c r="C6" s="691">
        <v>1000000</v>
      </c>
      <c r="D6" s="835"/>
      <c r="E6" s="835"/>
      <c r="F6" s="835"/>
      <c r="P6" s="835"/>
    </row>
    <row r="7" spans="1:18" ht="37.200000000000003" customHeight="1" x14ac:dyDescent="0.3">
      <c r="A7" s="838"/>
      <c r="B7" s="839">
        <v>2024</v>
      </c>
      <c r="C7" s="840" t="s">
        <v>22</v>
      </c>
      <c r="D7" s="838"/>
      <c r="E7" s="841" t="s">
        <v>300</v>
      </c>
      <c r="F7" s="838"/>
      <c r="G7" s="839">
        <v>2024</v>
      </c>
      <c r="H7" s="4390" t="s">
        <v>23</v>
      </c>
      <c r="I7" s="4391"/>
      <c r="J7" s="4391"/>
      <c r="K7" s="4391"/>
      <c r="L7" s="4391"/>
      <c r="M7" s="4391"/>
      <c r="N7" s="4391"/>
      <c r="O7" s="4391"/>
      <c r="P7" s="842"/>
      <c r="Q7" s="841" t="s">
        <v>300</v>
      </c>
      <c r="R7" s="838"/>
    </row>
    <row r="8" spans="1:18" ht="18" customHeight="1" x14ac:dyDescent="0.35">
      <c r="B8" s="843" t="s">
        <v>301</v>
      </c>
      <c r="C8" s="844">
        <v>1</v>
      </c>
      <c r="D8" s="835"/>
      <c r="E8" s="845"/>
      <c r="F8" s="835"/>
      <c r="G8" s="843" t="s">
        <v>301</v>
      </c>
      <c r="H8" s="846">
        <v>1</v>
      </c>
      <c r="I8" s="844">
        <v>2</v>
      </c>
      <c r="J8" s="847">
        <v>3</v>
      </c>
      <c r="K8" s="848">
        <v>4</v>
      </c>
      <c r="L8" s="848">
        <v>5</v>
      </c>
      <c r="M8" s="849">
        <v>6</v>
      </c>
      <c r="N8" s="850">
        <v>7</v>
      </c>
      <c r="O8" s="844">
        <v>8</v>
      </c>
      <c r="P8" s="851"/>
      <c r="Q8" s="845"/>
    </row>
    <row r="9" spans="1:18" ht="46.5" customHeight="1" x14ac:dyDescent="0.3">
      <c r="B9" s="852" t="s">
        <v>302</v>
      </c>
      <c r="C9" s="853" t="s">
        <v>489</v>
      </c>
      <c r="D9" s="854"/>
      <c r="E9" s="855"/>
      <c r="F9" s="856"/>
      <c r="G9" s="852" t="s">
        <v>302</v>
      </c>
      <c r="H9" s="853" t="s">
        <v>490</v>
      </c>
      <c r="I9" s="853" t="s">
        <v>491</v>
      </c>
      <c r="J9" s="857" t="s">
        <v>492</v>
      </c>
      <c r="K9" s="858" t="s">
        <v>493</v>
      </c>
      <c r="L9" s="858" t="s">
        <v>493</v>
      </c>
      <c r="M9" s="859" t="s">
        <v>493</v>
      </c>
      <c r="N9" s="860" t="s">
        <v>493</v>
      </c>
      <c r="O9" s="853" t="s">
        <v>493</v>
      </c>
      <c r="P9" s="861"/>
      <c r="Q9" s="855"/>
    </row>
    <row r="10" spans="1:18" ht="87.75" customHeight="1" x14ac:dyDescent="0.3">
      <c r="B10" s="862" t="s">
        <v>304</v>
      </c>
      <c r="C10" s="863" t="s">
        <v>494</v>
      </c>
      <c r="D10" s="854"/>
      <c r="E10" s="864"/>
      <c r="F10" s="856"/>
      <c r="G10" s="862" t="s">
        <v>304</v>
      </c>
      <c r="H10" s="863" t="s">
        <v>495</v>
      </c>
      <c r="I10" s="863" t="s">
        <v>1933</v>
      </c>
      <c r="J10" s="865" t="s">
        <v>1934</v>
      </c>
      <c r="K10" s="866" t="s">
        <v>1935</v>
      </c>
      <c r="L10" s="866" t="s">
        <v>1935</v>
      </c>
      <c r="M10" s="866" t="s">
        <v>1935</v>
      </c>
      <c r="N10" s="866" t="s">
        <v>1935</v>
      </c>
      <c r="O10" s="866" t="s">
        <v>1935</v>
      </c>
      <c r="P10" s="867"/>
      <c r="Q10" s="864"/>
    </row>
    <row r="11" spans="1:18" ht="18.75" customHeight="1" x14ac:dyDescent="0.3">
      <c r="A11" s="868"/>
      <c r="B11" s="869" t="s">
        <v>306</v>
      </c>
      <c r="C11" s="870">
        <f>(C17*C18)</f>
        <v>36.736382654285727</v>
      </c>
      <c r="D11" s="871"/>
      <c r="E11" s="872">
        <f>SUM(C11:C11)</f>
        <v>36.736382654285727</v>
      </c>
      <c r="F11" s="873"/>
      <c r="G11" s="869" t="s">
        <v>306</v>
      </c>
      <c r="H11" s="874">
        <f>(H17*H18)</f>
        <v>236.15693928757409</v>
      </c>
      <c r="I11" s="875">
        <f>(I17*I18)</f>
        <v>251.19929615782004</v>
      </c>
      <c r="J11" s="876">
        <f>(J17*J18)</f>
        <v>2665.6324898022649</v>
      </c>
      <c r="K11" s="876">
        <f t="shared" ref="K11:O11" si="0">(K17*K18)</f>
        <v>37.158423238851753</v>
      </c>
      <c r="L11" s="876">
        <f t="shared" si="0"/>
        <v>12.950347932439513</v>
      </c>
      <c r="M11" s="876">
        <f t="shared" si="0"/>
        <v>8.5495344804258622</v>
      </c>
      <c r="N11" s="876">
        <f t="shared" si="0"/>
        <v>45.138949106005803</v>
      </c>
      <c r="O11" s="876">
        <f t="shared" si="0"/>
        <v>35.465802680384961</v>
      </c>
      <c r="P11" s="877"/>
      <c r="Q11" s="872">
        <f>SUM(H11:O11)</f>
        <v>3292.251782685767</v>
      </c>
      <c r="R11" s="868"/>
    </row>
    <row r="12" spans="1:18" ht="18.75" customHeight="1" x14ac:dyDescent="0.3">
      <c r="A12" s="868"/>
      <c r="B12" s="802" t="s">
        <v>307</v>
      </c>
      <c r="C12" s="878">
        <f>(C22*C23)</f>
        <v>0.37423800000000002</v>
      </c>
      <c r="D12" s="879"/>
      <c r="E12" s="880">
        <f>SUM(C12:C12)</f>
        <v>0.37423800000000002</v>
      </c>
      <c r="F12" s="881"/>
      <c r="G12" s="802" t="s">
        <v>307</v>
      </c>
      <c r="H12" s="878">
        <f>(H22*H23)</f>
        <v>0</v>
      </c>
      <c r="I12" s="878">
        <f>(I22*I23)</f>
        <v>0</v>
      </c>
      <c r="J12" s="882">
        <f>(J22*J23)</f>
        <v>0</v>
      </c>
      <c r="K12" s="882">
        <f t="shared" ref="K12:O12" si="1">(K22*K23)</f>
        <v>0</v>
      </c>
      <c r="L12" s="882">
        <f t="shared" si="1"/>
        <v>0</v>
      </c>
      <c r="M12" s="882">
        <f t="shared" si="1"/>
        <v>0</v>
      </c>
      <c r="N12" s="882">
        <f t="shared" si="1"/>
        <v>0</v>
      </c>
      <c r="O12" s="882">
        <f t="shared" si="1"/>
        <v>0</v>
      </c>
      <c r="P12" s="877"/>
      <c r="Q12" s="880">
        <f>SUM(H12:O12)</f>
        <v>0</v>
      </c>
      <c r="R12" s="868"/>
    </row>
    <row r="13" spans="1:18" ht="18.75" customHeight="1" x14ac:dyDescent="0.3">
      <c r="A13" s="868"/>
      <c r="B13" s="869" t="s">
        <v>308</v>
      </c>
      <c r="C13" s="883" t="s">
        <v>8</v>
      </c>
      <c r="D13" s="884"/>
      <c r="E13" s="885"/>
      <c r="F13" s="886"/>
      <c r="G13" s="869" t="s">
        <v>308</v>
      </c>
      <c r="H13" s="887" t="s">
        <v>8</v>
      </c>
      <c r="I13" s="883" t="s">
        <v>8</v>
      </c>
      <c r="J13" s="888" t="s">
        <v>8</v>
      </c>
      <c r="K13" s="883" t="s">
        <v>8</v>
      </c>
      <c r="L13" s="883" t="s">
        <v>8</v>
      </c>
      <c r="M13" s="883" t="s">
        <v>8</v>
      </c>
      <c r="N13" s="883" t="s">
        <v>8</v>
      </c>
      <c r="O13" s="883" t="s">
        <v>8</v>
      </c>
      <c r="P13" s="889"/>
      <c r="Q13" s="885"/>
      <c r="R13" s="868"/>
    </row>
    <row r="14" spans="1:18" ht="18.75" customHeight="1" x14ac:dyDescent="0.3">
      <c r="A14" s="868"/>
      <c r="B14" s="890" t="s">
        <v>309</v>
      </c>
      <c r="C14" s="891">
        <f t="shared" ref="C14" si="2">C11-C12</f>
        <v>36.362144654285729</v>
      </c>
      <c r="D14" s="879"/>
      <c r="E14" s="892">
        <f>SUM(C14:C14)</f>
        <v>36.362144654285729</v>
      </c>
      <c r="F14" s="881"/>
      <c r="G14" s="890" t="s">
        <v>309</v>
      </c>
      <c r="H14" s="893">
        <f t="shared" ref="H14:O14" si="3">H11-H12</f>
        <v>236.15693928757409</v>
      </c>
      <c r="I14" s="891">
        <f t="shared" si="3"/>
        <v>251.19929615782004</v>
      </c>
      <c r="J14" s="894">
        <f t="shared" si="3"/>
        <v>2665.6324898022649</v>
      </c>
      <c r="K14" s="894">
        <f t="shared" si="3"/>
        <v>37.158423238851753</v>
      </c>
      <c r="L14" s="894">
        <f t="shared" si="3"/>
        <v>12.950347932439513</v>
      </c>
      <c r="M14" s="894">
        <f t="shared" si="3"/>
        <v>8.5495344804258622</v>
      </c>
      <c r="N14" s="894">
        <f t="shared" si="3"/>
        <v>45.138949106005803</v>
      </c>
      <c r="O14" s="891">
        <f t="shared" si="3"/>
        <v>35.465802680384961</v>
      </c>
      <c r="P14" s="877"/>
      <c r="Q14" s="892">
        <f>SUM(H14:O14)</f>
        <v>3292.251782685767</v>
      </c>
      <c r="R14" s="868"/>
    </row>
    <row r="15" spans="1:18" ht="19.5" customHeight="1" x14ac:dyDescent="0.4">
      <c r="B15" s="895" t="s">
        <v>310</v>
      </c>
      <c r="C15" s="896"/>
      <c r="D15" s="897"/>
      <c r="E15" s="898"/>
      <c r="F15" s="897"/>
      <c r="G15" s="899" t="s">
        <v>395</v>
      </c>
      <c r="H15" s="900"/>
      <c r="I15" s="901"/>
      <c r="J15" s="902"/>
      <c r="K15" s="903"/>
      <c r="L15" s="903"/>
      <c r="M15" s="904"/>
      <c r="N15" s="900"/>
      <c r="O15" s="901"/>
      <c r="P15" s="905"/>
      <c r="Q15" s="898"/>
      <c r="R15" s="835"/>
    </row>
    <row r="16" spans="1:18" ht="35.4" customHeight="1" x14ac:dyDescent="0.3">
      <c r="A16" s="868"/>
      <c r="B16" s="906" t="s">
        <v>311</v>
      </c>
      <c r="C16" s="907" t="s">
        <v>388</v>
      </c>
      <c r="D16" s="908"/>
      <c r="E16" s="909"/>
      <c r="F16" s="881"/>
      <c r="G16" s="906" t="s">
        <v>311</v>
      </c>
      <c r="H16" s="907" t="s">
        <v>496</v>
      </c>
      <c r="I16" s="907" t="s">
        <v>496</v>
      </c>
      <c r="J16" s="910" t="s">
        <v>496</v>
      </c>
      <c r="K16" s="911" t="s">
        <v>496</v>
      </c>
      <c r="L16" s="911" t="s">
        <v>496</v>
      </c>
      <c r="M16" s="912" t="s">
        <v>496</v>
      </c>
      <c r="N16" s="913" t="s">
        <v>496</v>
      </c>
      <c r="O16" s="907" t="s">
        <v>496</v>
      </c>
      <c r="P16" s="914"/>
      <c r="Q16" s="915"/>
      <c r="R16" s="868"/>
    </row>
    <row r="17" spans="1:18" ht="21" customHeight="1" x14ac:dyDescent="0.3">
      <c r="A17" s="868"/>
      <c r="B17" s="916" t="s">
        <v>2342</v>
      </c>
      <c r="C17" s="917">
        <f>'CF-0114|GDS'!S12</f>
        <v>13437.142857142859</v>
      </c>
      <c r="D17" s="918"/>
      <c r="F17" s="919"/>
      <c r="G17" s="916" t="s">
        <v>398</v>
      </c>
      <c r="H17" s="920">
        <f>'CF-0114|GDS'!I31</f>
        <v>291.10000000000002</v>
      </c>
      <c r="I17" s="920">
        <f>'CF-0114|GDS'!I32</f>
        <v>348.76</v>
      </c>
      <c r="J17" s="921">
        <f>'CF-0114|GDS'!I33</f>
        <v>3700.9100000000003</v>
      </c>
      <c r="K17" s="922">
        <f>'CF-0114|GDS'!I34</f>
        <v>51.59</v>
      </c>
      <c r="L17" s="922">
        <f>'CF-0114|GDS'!I35</f>
        <v>17.98</v>
      </c>
      <c r="M17" s="923">
        <f>'CF-0114|GDS'!I36</f>
        <v>11.87</v>
      </c>
      <c r="N17" s="924">
        <f>'CF-0114|GDS'!I37</f>
        <v>62.67</v>
      </c>
      <c r="O17" s="1045">
        <f>'CF-0114|GDS'!I38</f>
        <v>49.24</v>
      </c>
      <c r="P17" s="925"/>
      <c r="Q17" s="926"/>
      <c r="R17" s="868"/>
    </row>
    <row r="18" spans="1:18" ht="18.75" customHeight="1" x14ac:dyDescent="0.3">
      <c r="A18" s="868"/>
      <c r="B18" s="927" t="s">
        <v>314</v>
      </c>
      <c r="C18" s="928">
        <v>2.7339430000000004E-3</v>
      </c>
      <c r="D18" s="929"/>
      <c r="F18" s="930"/>
      <c r="G18" s="927" t="s">
        <v>314</v>
      </c>
      <c r="H18" s="928">
        <v>0.81125709133484736</v>
      </c>
      <c r="I18" s="928">
        <v>0.7202640674326759</v>
      </c>
      <c r="J18" s="928">
        <v>0.7202640674326759</v>
      </c>
      <c r="K18" s="928">
        <v>0.7202640674326759</v>
      </c>
      <c r="L18" s="928">
        <v>0.7202640674326759</v>
      </c>
      <c r="M18" s="928">
        <v>0.7202640674326759</v>
      </c>
      <c r="N18" s="928">
        <v>0.7202640674326759</v>
      </c>
      <c r="O18" s="928">
        <v>0.7202640674326759</v>
      </c>
      <c r="P18" s="877"/>
      <c r="Q18" s="931"/>
      <c r="R18" s="868"/>
    </row>
    <row r="19" spans="1:18" ht="19.5" customHeight="1" x14ac:dyDescent="0.3">
      <c r="A19" s="868"/>
      <c r="B19" s="932" t="s">
        <v>315</v>
      </c>
      <c r="C19" s="933">
        <f>C17*C18</f>
        <v>36.736382654285727</v>
      </c>
      <c r="D19" s="934"/>
      <c r="F19" s="930"/>
      <c r="G19" s="932" t="s">
        <v>315</v>
      </c>
      <c r="H19" s="935">
        <f>H17*H18</f>
        <v>236.15693928757409</v>
      </c>
      <c r="I19" s="936">
        <f>I17*I18</f>
        <v>251.19929615782004</v>
      </c>
      <c r="J19" s="937">
        <f>J17*J18</f>
        <v>2665.6324898022649</v>
      </c>
      <c r="K19" s="937">
        <f t="shared" ref="K19:N19" si="4">K17*K18</f>
        <v>37.158423238851753</v>
      </c>
      <c r="L19" s="937">
        <f t="shared" si="4"/>
        <v>12.950347932439513</v>
      </c>
      <c r="M19" s="937">
        <f t="shared" si="4"/>
        <v>8.5495344804258622</v>
      </c>
      <c r="N19" s="937">
        <f t="shared" si="4"/>
        <v>45.138949106005803</v>
      </c>
      <c r="O19" s="933">
        <f>O17*O18</f>
        <v>35.465802680384961</v>
      </c>
      <c r="P19" s="877"/>
      <c r="Q19" s="938"/>
      <c r="R19" s="868"/>
    </row>
    <row r="20" spans="1:18" ht="21" customHeight="1" x14ac:dyDescent="0.4">
      <c r="B20" s="895" t="s">
        <v>316</v>
      </c>
      <c r="C20" s="939"/>
      <c r="D20" s="940"/>
      <c r="E20" s="941"/>
      <c r="F20" s="940"/>
      <c r="G20" s="895" t="s">
        <v>316</v>
      </c>
      <c r="H20" s="942"/>
      <c r="I20" s="939"/>
      <c r="J20" s="943"/>
      <c r="K20" s="944"/>
      <c r="L20" s="944"/>
      <c r="M20" s="945"/>
      <c r="N20" s="942"/>
      <c r="O20" s="939"/>
      <c r="P20" s="905"/>
      <c r="Q20" s="946"/>
    </row>
    <row r="21" spans="1:18" ht="32.4" customHeight="1" x14ac:dyDescent="0.3">
      <c r="A21" s="868"/>
      <c r="B21" s="906" t="s">
        <v>183</v>
      </c>
      <c r="C21" s="907" t="s">
        <v>352</v>
      </c>
      <c r="D21" s="947"/>
      <c r="E21" s="948"/>
      <c r="F21" s="930"/>
      <c r="G21" s="906" t="s">
        <v>183</v>
      </c>
      <c r="H21" s="907" t="s">
        <v>497</v>
      </c>
      <c r="I21" s="907" t="s">
        <v>498</v>
      </c>
      <c r="J21" s="910" t="s">
        <v>498</v>
      </c>
      <c r="K21" s="911" t="s">
        <v>498</v>
      </c>
      <c r="L21" s="911" t="s">
        <v>498</v>
      </c>
      <c r="M21" s="912" t="s">
        <v>498</v>
      </c>
      <c r="N21" s="913" t="s">
        <v>498</v>
      </c>
      <c r="O21" s="907" t="s">
        <v>498</v>
      </c>
      <c r="P21" s="877"/>
      <c r="Q21" s="949"/>
      <c r="R21" s="868"/>
    </row>
    <row r="22" spans="1:18" ht="21" customHeight="1" x14ac:dyDescent="0.3">
      <c r="A22" s="868"/>
      <c r="B22" s="950" t="s">
        <v>2342</v>
      </c>
      <c r="C22" s="951">
        <f>'CF-0114|GDS'!I13</f>
        <v>220140</v>
      </c>
      <c r="D22" s="930"/>
      <c r="E22" s="952"/>
      <c r="F22" s="930"/>
      <c r="G22" s="950" t="s">
        <v>398</v>
      </c>
      <c r="H22" s="953">
        <f>H17</f>
        <v>291.10000000000002</v>
      </c>
      <c r="I22" s="951">
        <f>I17</f>
        <v>348.76</v>
      </c>
      <c r="J22" s="954">
        <f>J17</f>
        <v>3700.9100000000003</v>
      </c>
      <c r="K22" s="955">
        <f>K17</f>
        <v>51.59</v>
      </c>
      <c r="L22" s="955">
        <f t="shared" ref="L22:N22" si="5">L17</f>
        <v>17.98</v>
      </c>
      <c r="M22" s="955">
        <f t="shared" si="5"/>
        <v>11.87</v>
      </c>
      <c r="N22" s="955">
        <f t="shared" si="5"/>
        <v>62.67</v>
      </c>
      <c r="O22" s="951">
        <f>O17</f>
        <v>49.24</v>
      </c>
      <c r="P22" s="925"/>
      <c r="Q22" s="926"/>
      <c r="R22" s="868"/>
    </row>
    <row r="23" spans="1:18" ht="21" customHeight="1" x14ac:dyDescent="0.3">
      <c r="A23" s="868"/>
      <c r="B23" s="956" t="s">
        <v>314</v>
      </c>
      <c r="C23" s="1044">
        <v>1.7E-6</v>
      </c>
      <c r="D23" s="947"/>
      <c r="E23" s="931"/>
      <c r="F23" s="930"/>
      <c r="G23" s="956" t="s">
        <v>314</v>
      </c>
      <c r="H23" s="957">
        <v>0</v>
      </c>
      <c r="I23" s="957">
        <v>0</v>
      </c>
      <c r="J23" s="957">
        <v>0</v>
      </c>
      <c r="K23" s="957">
        <v>0</v>
      </c>
      <c r="L23" s="957">
        <v>0</v>
      </c>
      <c r="M23" s="957">
        <v>0</v>
      </c>
      <c r="N23" s="957">
        <v>0</v>
      </c>
      <c r="O23" s="957">
        <v>0</v>
      </c>
      <c r="P23" s="877"/>
      <c r="Q23" s="931"/>
      <c r="R23" s="868"/>
    </row>
    <row r="24" spans="1:18" ht="21" customHeight="1" x14ac:dyDescent="0.3">
      <c r="A24" s="868"/>
      <c r="B24" s="958" t="s">
        <v>315</v>
      </c>
      <c r="C24" s="959">
        <f t="shared" ref="C24" si="6">C22*C23</f>
        <v>0.37423800000000002</v>
      </c>
      <c r="D24" s="947"/>
      <c r="E24" s="938"/>
      <c r="F24" s="930"/>
      <c r="G24" s="958" t="s">
        <v>315</v>
      </c>
      <c r="H24" s="960">
        <f t="shared" ref="H24:O24" si="7">H22*H23</f>
        <v>0</v>
      </c>
      <c r="I24" s="959">
        <f t="shared" si="7"/>
        <v>0</v>
      </c>
      <c r="J24" s="961">
        <f t="shared" si="7"/>
        <v>0</v>
      </c>
      <c r="K24" s="961">
        <f t="shared" si="7"/>
        <v>0</v>
      </c>
      <c r="L24" s="961">
        <f t="shared" si="7"/>
        <v>0</v>
      </c>
      <c r="M24" s="961">
        <f t="shared" si="7"/>
        <v>0</v>
      </c>
      <c r="N24" s="961">
        <f t="shared" si="7"/>
        <v>0</v>
      </c>
      <c r="O24" s="962">
        <f t="shared" si="7"/>
        <v>0</v>
      </c>
      <c r="P24" s="877"/>
      <c r="Q24" s="938"/>
      <c r="R24" s="868"/>
    </row>
    <row r="25" spans="1:18" ht="28.5" customHeight="1" x14ac:dyDescent="0.3">
      <c r="A25" s="868"/>
      <c r="B25" s="963" t="s">
        <v>320</v>
      </c>
      <c r="C25" s="964" t="s">
        <v>499</v>
      </c>
      <c r="D25" s="965"/>
      <c r="E25" s="966"/>
      <c r="F25" s="967"/>
      <c r="G25" s="963" t="s">
        <v>320</v>
      </c>
      <c r="H25" s="968" t="s">
        <v>401</v>
      </c>
      <c r="I25" s="968" t="s">
        <v>401</v>
      </c>
      <c r="J25" s="969" t="s">
        <v>401</v>
      </c>
      <c r="K25" s="970" t="s">
        <v>401</v>
      </c>
      <c r="L25" s="970" t="s">
        <v>401</v>
      </c>
      <c r="M25" s="971" t="s">
        <v>401</v>
      </c>
      <c r="N25" s="972" t="s">
        <v>401</v>
      </c>
      <c r="O25" s="968" t="s">
        <v>401</v>
      </c>
      <c r="P25" s="877"/>
      <c r="Q25" s="949"/>
      <c r="R25" s="868"/>
    </row>
    <row r="26" spans="1:18" ht="24" customHeight="1" x14ac:dyDescent="0.3">
      <c r="B26" s="973" t="s">
        <v>322</v>
      </c>
      <c r="C26" s="974">
        <v>3</v>
      </c>
      <c r="D26" s="975"/>
      <c r="E26" s="976"/>
      <c r="F26" s="975"/>
      <c r="G26" s="973" t="s">
        <v>322</v>
      </c>
      <c r="H26" s="977">
        <v>13</v>
      </c>
      <c r="I26" s="978">
        <v>13</v>
      </c>
      <c r="J26" s="979">
        <v>13</v>
      </c>
      <c r="K26" s="979">
        <v>13</v>
      </c>
      <c r="L26" s="979">
        <v>13</v>
      </c>
      <c r="M26" s="979">
        <v>13</v>
      </c>
      <c r="N26" s="979">
        <v>13</v>
      </c>
      <c r="O26" s="979">
        <v>13</v>
      </c>
      <c r="P26" s="905"/>
      <c r="Q26" s="946"/>
    </row>
    <row r="27" spans="1:18" ht="33" customHeight="1" x14ac:dyDescent="0.3">
      <c r="A27" s="868"/>
      <c r="B27" s="768" t="s">
        <v>323</v>
      </c>
      <c r="C27" s="980" t="s">
        <v>324</v>
      </c>
      <c r="D27" s="930"/>
      <c r="E27" s="949"/>
      <c r="F27" s="930"/>
      <c r="G27" s="768" t="s">
        <v>323</v>
      </c>
      <c r="H27" s="949" t="s">
        <v>324</v>
      </c>
      <c r="I27" s="980" t="s">
        <v>324</v>
      </c>
      <c r="J27" s="981" t="s">
        <v>324</v>
      </c>
      <c r="K27" s="981" t="s">
        <v>324</v>
      </c>
      <c r="L27" s="981" t="s">
        <v>324</v>
      </c>
      <c r="M27" s="981" t="s">
        <v>324</v>
      </c>
      <c r="N27" s="981" t="s">
        <v>324</v>
      </c>
      <c r="O27" s="981" t="s">
        <v>324</v>
      </c>
      <c r="P27" s="877"/>
      <c r="Q27" s="949"/>
      <c r="R27" s="868"/>
    </row>
    <row r="28" spans="1:18" ht="33" customHeight="1" x14ac:dyDescent="0.3">
      <c r="A28" s="868"/>
      <c r="B28" s="770" t="s">
        <v>325</v>
      </c>
      <c r="C28" s="978" t="s">
        <v>326</v>
      </c>
      <c r="D28" s="930"/>
      <c r="E28" s="949"/>
      <c r="F28" s="930"/>
      <c r="G28" s="770" t="s">
        <v>325</v>
      </c>
      <c r="H28" s="977" t="s">
        <v>326</v>
      </c>
      <c r="I28" s="978" t="s">
        <v>326</v>
      </c>
      <c r="J28" s="979" t="s">
        <v>326</v>
      </c>
      <c r="K28" s="979" t="s">
        <v>326</v>
      </c>
      <c r="L28" s="979" t="s">
        <v>326</v>
      </c>
      <c r="M28" s="979" t="s">
        <v>326</v>
      </c>
      <c r="N28" s="979" t="s">
        <v>326</v>
      </c>
      <c r="O28" s="979" t="s">
        <v>326</v>
      </c>
      <c r="P28" s="877"/>
      <c r="Q28" s="949"/>
      <c r="R28" s="868"/>
    </row>
    <row r="29" spans="1:18" ht="33" customHeight="1" x14ac:dyDescent="0.3">
      <c r="A29" s="868"/>
      <c r="B29" s="768" t="s">
        <v>327</v>
      </c>
      <c r="C29" s="980" t="s">
        <v>70</v>
      </c>
      <c r="D29" s="930"/>
      <c r="E29" s="949"/>
      <c r="F29" s="930"/>
      <c r="G29" s="768" t="s">
        <v>327</v>
      </c>
      <c r="H29" s="980" t="s">
        <v>402</v>
      </c>
      <c r="I29" s="980" t="s">
        <v>402</v>
      </c>
      <c r="J29" s="981" t="s">
        <v>402</v>
      </c>
      <c r="K29" s="982" t="s">
        <v>402</v>
      </c>
      <c r="L29" s="982" t="s">
        <v>402</v>
      </c>
      <c r="M29" s="983" t="s">
        <v>402</v>
      </c>
      <c r="N29" s="984" t="s">
        <v>402</v>
      </c>
      <c r="O29" s="980" t="s">
        <v>402</v>
      </c>
      <c r="P29" s="877"/>
      <c r="Q29" s="949"/>
      <c r="R29" s="868"/>
    </row>
    <row r="30" spans="1:18" ht="21" customHeight="1" x14ac:dyDescent="0.3">
      <c r="B30" s="985" t="s">
        <v>329</v>
      </c>
      <c r="C30" s="978">
        <v>1</v>
      </c>
      <c r="D30" s="897"/>
      <c r="E30" s="897"/>
      <c r="F30" s="897"/>
      <c r="G30" s="985" t="s">
        <v>329</v>
      </c>
      <c r="H30" s="978">
        <v>3</v>
      </c>
      <c r="I30" s="978">
        <v>7</v>
      </c>
      <c r="J30" s="979">
        <v>4</v>
      </c>
      <c r="K30" s="986">
        <v>1</v>
      </c>
      <c r="L30" s="986">
        <v>1</v>
      </c>
      <c r="M30" s="987">
        <v>1</v>
      </c>
      <c r="N30" s="988">
        <v>1</v>
      </c>
      <c r="O30" s="978">
        <v>1</v>
      </c>
      <c r="P30" s="905"/>
      <c r="Q30" s="897"/>
    </row>
    <row r="31" spans="1:18" ht="21" customHeight="1" x14ac:dyDescent="0.3">
      <c r="B31" s="802" t="s">
        <v>330</v>
      </c>
      <c r="C31" s="980" t="s">
        <v>324</v>
      </c>
      <c r="D31" s="940"/>
      <c r="E31" s="946"/>
      <c r="F31" s="940"/>
      <c r="G31" s="802" t="s">
        <v>330</v>
      </c>
      <c r="H31" s="949" t="s">
        <v>324</v>
      </c>
      <c r="I31" s="980" t="s">
        <v>324</v>
      </c>
      <c r="J31" s="981" t="s">
        <v>324</v>
      </c>
      <c r="K31" s="981" t="s">
        <v>324</v>
      </c>
      <c r="L31" s="981" t="s">
        <v>324</v>
      </c>
      <c r="M31" s="981" t="s">
        <v>324</v>
      </c>
      <c r="N31" s="981" t="s">
        <v>324</v>
      </c>
      <c r="O31" s="981" t="s">
        <v>324</v>
      </c>
      <c r="P31" s="905"/>
      <c r="Q31" s="946"/>
    </row>
    <row r="32" spans="1:18" ht="21" customHeight="1" x14ac:dyDescent="0.3">
      <c r="B32" s="985" t="s">
        <v>331</v>
      </c>
      <c r="C32" s="978" t="s">
        <v>324</v>
      </c>
      <c r="D32" s="940"/>
      <c r="E32" s="946"/>
      <c r="F32" s="940"/>
      <c r="G32" s="985" t="s">
        <v>331</v>
      </c>
      <c r="H32" s="977" t="s">
        <v>324</v>
      </c>
      <c r="I32" s="978" t="s">
        <v>324</v>
      </c>
      <c r="J32" s="979" t="s">
        <v>324</v>
      </c>
      <c r="K32" s="979" t="s">
        <v>324</v>
      </c>
      <c r="L32" s="979" t="s">
        <v>324</v>
      </c>
      <c r="M32" s="979" t="s">
        <v>324</v>
      </c>
      <c r="N32" s="979" t="s">
        <v>324</v>
      </c>
      <c r="O32" s="979" t="s">
        <v>324</v>
      </c>
      <c r="P32" s="905"/>
      <c r="Q32" s="946"/>
    </row>
    <row r="33" spans="2:17" ht="21" customHeight="1" x14ac:dyDescent="0.3">
      <c r="B33" s="890" t="s">
        <v>332</v>
      </c>
      <c r="C33" s="989" t="s">
        <v>333</v>
      </c>
      <c r="D33" s="940"/>
      <c r="E33" s="946"/>
      <c r="F33" s="940"/>
      <c r="G33" s="890" t="s">
        <v>332</v>
      </c>
      <c r="H33" s="990" t="s">
        <v>333</v>
      </c>
      <c r="I33" s="989" t="s">
        <v>333</v>
      </c>
      <c r="J33" s="991" t="s">
        <v>333</v>
      </c>
      <c r="K33" s="991" t="s">
        <v>333</v>
      </c>
      <c r="L33" s="991" t="s">
        <v>333</v>
      </c>
      <c r="M33" s="991" t="s">
        <v>333</v>
      </c>
      <c r="N33" s="991" t="s">
        <v>333</v>
      </c>
      <c r="O33" s="991" t="s">
        <v>333</v>
      </c>
      <c r="P33" s="905"/>
      <c r="Q33" s="946"/>
    </row>
    <row r="34" spans="2:17" ht="15.75" customHeight="1" x14ac:dyDescent="0.3">
      <c r="B34" s="835"/>
      <c r="C34" s="835"/>
      <c r="D34" s="940"/>
      <c r="E34" s="940"/>
      <c r="F34" s="940"/>
      <c r="G34" s="835"/>
      <c r="P34" s="835"/>
      <c r="Q34" s="835"/>
    </row>
    <row r="35" spans="2:17" ht="15.75" customHeight="1" x14ac:dyDescent="0.3">
      <c r="B35" s="992" t="s">
        <v>334</v>
      </c>
      <c r="C35" s="835"/>
      <c r="D35" s="940"/>
      <c r="E35" s="940"/>
      <c r="F35" s="940"/>
      <c r="P35" s="835"/>
      <c r="Q35" s="835"/>
    </row>
    <row r="36" spans="2:17" ht="15.75" customHeight="1" x14ac:dyDescent="0.3">
      <c r="B36" s="992" t="s">
        <v>335</v>
      </c>
      <c r="C36" s="835"/>
      <c r="D36" s="940"/>
      <c r="E36" s="940"/>
      <c r="F36" s="940"/>
      <c r="P36" s="835"/>
      <c r="Q36" s="835"/>
    </row>
    <row r="37" spans="2:17" ht="15.75" customHeight="1" x14ac:dyDescent="0.3">
      <c r="B37" s="992" t="s">
        <v>336</v>
      </c>
      <c r="C37" s="835"/>
      <c r="D37" s="940"/>
      <c r="E37" s="940"/>
      <c r="F37" s="940"/>
      <c r="P37" s="835"/>
      <c r="Q37" s="835"/>
    </row>
    <row r="38" spans="2:17" ht="15.75" customHeight="1" x14ac:dyDescent="0.3">
      <c r="B38" s="992" t="s">
        <v>337</v>
      </c>
      <c r="C38" s="835"/>
      <c r="D38" s="940"/>
      <c r="E38" s="940"/>
      <c r="F38" s="940"/>
      <c r="P38" s="835"/>
      <c r="Q38" s="835"/>
    </row>
    <row r="39" spans="2:17" ht="15.75" customHeight="1" x14ac:dyDescent="0.3">
      <c r="B39" s="992" t="s">
        <v>338</v>
      </c>
      <c r="D39" s="835"/>
      <c r="F39" s="835"/>
      <c r="P39" s="835"/>
      <c r="Q39" s="835"/>
    </row>
    <row r="40" spans="2:17" ht="15.75" customHeight="1" x14ac:dyDescent="0.3">
      <c r="B40" s="992" t="s">
        <v>339</v>
      </c>
      <c r="D40" s="835"/>
      <c r="F40" s="835"/>
      <c r="P40" s="835"/>
      <c r="Q40" s="835"/>
    </row>
    <row r="41" spans="2:17" ht="15.75" customHeight="1" x14ac:dyDescent="0.3">
      <c r="D41" s="835"/>
      <c r="F41" s="835"/>
      <c r="P41" s="835"/>
      <c r="Q41" s="835"/>
    </row>
    <row r="42" spans="2:17" ht="15.75" customHeight="1" x14ac:dyDescent="0.3">
      <c r="D42" s="835"/>
      <c r="F42" s="835"/>
      <c r="P42" s="835"/>
      <c r="Q42" s="835"/>
    </row>
    <row r="43" spans="2:17" ht="15.75" customHeight="1" x14ac:dyDescent="0.3">
      <c r="D43" s="835"/>
      <c r="F43" s="835"/>
      <c r="P43" s="835"/>
      <c r="Q43" s="835"/>
    </row>
    <row r="44" spans="2:17" ht="15.75" customHeight="1" x14ac:dyDescent="0.3">
      <c r="D44" s="835"/>
      <c r="F44" s="835"/>
      <c r="P44" s="835"/>
    </row>
    <row r="45" spans="2:17" ht="15.75" customHeight="1" x14ac:dyDescent="0.3">
      <c r="D45" s="835"/>
      <c r="F45" s="835"/>
      <c r="P45" s="835"/>
    </row>
    <row r="46" spans="2:17" ht="15.75" customHeight="1" x14ac:dyDescent="0.3">
      <c r="D46" s="835"/>
      <c r="F46" s="835"/>
      <c r="P46" s="835"/>
    </row>
    <row r="47" spans="2:17" ht="15.75" customHeight="1" x14ac:dyDescent="0.3">
      <c r="D47" s="835"/>
      <c r="F47" s="835"/>
      <c r="P47" s="835"/>
    </row>
    <row r="48" spans="2:17" ht="15.75" customHeight="1" x14ac:dyDescent="0.3">
      <c r="D48" s="835"/>
      <c r="F48" s="835"/>
      <c r="P48" s="835"/>
    </row>
    <row r="49" spans="4:16" ht="15.75" customHeight="1" x14ac:dyDescent="0.3">
      <c r="D49" s="835"/>
      <c r="F49" s="835"/>
      <c r="P49" s="835"/>
    </row>
    <row r="50" spans="4:16" ht="15.75" customHeight="1" x14ac:dyDescent="0.3">
      <c r="D50" s="835"/>
      <c r="F50" s="835"/>
      <c r="P50" s="835"/>
    </row>
    <row r="51" spans="4:16" ht="15.75" customHeight="1" x14ac:dyDescent="0.3">
      <c r="D51" s="835"/>
      <c r="F51" s="835"/>
      <c r="P51" s="835"/>
    </row>
    <row r="52" spans="4:16" ht="15.75" customHeight="1" x14ac:dyDescent="0.3">
      <c r="D52" s="835"/>
      <c r="F52" s="835"/>
      <c r="P52" s="835"/>
    </row>
    <row r="53" spans="4:16" ht="15.75" customHeight="1" x14ac:dyDescent="0.3">
      <c r="D53" s="835"/>
      <c r="F53" s="835"/>
      <c r="P53" s="835"/>
    </row>
    <row r="54" spans="4:16" ht="15.75" customHeight="1" x14ac:dyDescent="0.3">
      <c r="D54" s="835"/>
      <c r="F54" s="835"/>
      <c r="P54" s="835"/>
    </row>
    <row r="55" spans="4:16" ht="15.75" customHeight="1" x14ac:dyDescent="0.3">
      <c r="D55" s="835"/>
      <c r="F55" s="835"/>
      <c r="P55" s="835"/>
    </row>
    <row r="56" spans="4:16" ht="15.75" customHeight="1" x14ac:dyDescent="0.3">
      <c r="D56" s="835"/>
      <c r="F56" s="835"/>
      <c r="P56" s="835"/>
    </row>
    <row r="57" spans="4:16" ht="15.75" customHeight="1" x14ac:dyDescent="0.3">
      <c r="D57" s="835"/>
      <c r="F57" s="835"/>
      <c r="P57" s="835"/>
    </row>
    <row r="58" spans="4:16" ht="15.75" customHeight="1" x14ac:dyDescent="0.3">
      <c r="D58" s="835"/>
      <c r="F58" s="835"/>
      <c r="P58" s="835"/>
    </row>
    <row r="59" spans="4:16" ht="15.75" customHeight="1" x14ac:dyDescent="0.3">
      <c r="D59" s="835"/>
      <c r="F59" s="835"/>
      <c r="P59" s="835"/>
    </row>
    <row r="60" spans="4:16" ht="15.75" customHeight="1" x14ac:dyDescent="0.3">
      <c r="D60" s="835"/>
      <c r="F60" s="835"/>
      <c r="P60" s="835"/>
    </row>
    <row r="61" spans="4:16" ht="15.75" customHeight="1" x14ac:dyDescent="0.3">
      <c r="D61" s="835"/>
      <c r="F61" s="835"/>
      <c r="P61" s="835"/>
    </row>
    <row r="62" spans="4:16" ht="15.75" customHeight="1" x14ac:dyDescent="0.3">
      <c r="D62" s="835"/>
      <c r="F62" s="835"/>
      <c r="P62" s="835"/>
    </row>
    <row r="63" spans="4:16" ht="15.75" customHeight="1" x14ac:dyDescent="0.3">
      <c r="D63" s="835"/>
      <c r="F63" s="835"/>
      <c r="P63" s="835"/>
    </row>
    <row r="64" spans="4:16" ht="15.75" customHeight="1" x14ac:dyDescent="0.3">
      <c r="D64" s="835"/>
      <c r="F64" s="835"/>
      <c r="P64" s="835"/>
    </row>
    <row r="65" spans="4:16" ht="15.75" customHeight="1" x14ac:dyDescent="0.3">
      <c r="D65" s="835"/>
      <c r="F65" s="835"/>
      <c r="P65" s="835"/>
    </row>
    <row r="66" spans="4:16" ht="15.75" customHeight="1" x14ac:dyDescent="0.3">
      <c r="D66" s="835"/>
      <c r="F66" s="835"/>
      <c r="P66" s="835"/>
    </row>
    <row r="67" spans="4:16" ht="15.75" customHeight="1" x14ac:dyDescent="0.3">
      <c r="D67" s="835"/>
      <c r="F67" s="835"/>
      <c r="P67" s="835"/>
    </row>
    <row r="68" spans="4:16" ht="15.75" customHeight="1" x14ac:dyDescent="0.3">
      <c r="D68" s="835"/>
      <c r="F68" s="835"/>
      <c r="P68" s="835"/>
    </row>
    <row r="69" spans="4:16" ht="15.75" customHeight="1" x14ac:dyDescent="0.3">
      <c r="D69" s="835"/>
      <c r="F69" s="835"/>
      <c r="P69" s="835"/>
    </row>
    <row r="70" spans="4:16" ht="15.75" customHeight="1" x14ac:dyDescent="0.3">
      <c r="D70" s="835"/>
      <c r="F70" s="835"/>
      <c r="P70" s="835"/>
    </row>
    <row r="71" spans="4:16" ht="15.75" customHeight="1" x14ac:dyDescent="0.3">
      <c r="D71" s="835"/>
      <c r="F71" s="835"/>
      <c r="P71" s="835"/>
    </row>
    <row r="72" spans="4:16" ht="15.75" customHeight="1" x14ac:dyDescent="0.3">
      <c r="D72" s="835"/>
      <c r="F72" s="835"/>
      <c r="P72" s="835"/>
    </row>
    <row r="73" spans="4:16" ht="15.75" customHeight="1" x14ac:dyDescent="0.3">
      <c r="D73" s="835"/>
      <c r="F73" s="835"/>
      <c r="P73" s="835"/>
    </row>
    <row r="74" spans="4:16" ht="15.75" customHeight="1" x14ac:dyDescent="0.3">
      <c r="D74" s="835"/>
      <c r="F74" s="835"/>
      <c r="P74" s="835"/>
    </row>
    <row r="75" spans="4:16" ht="15.75" customHeight="1" x14ac:dyDescent="0.3">
      <c r="D75" s="835"/>
      <c r="F75" s="835"/>
      <c r="P75" s="835"/>
    </row>
    <row r="76" spans="4:16" ht="15.75" customHeight="1" x14ac:dyDescent="0.3">
      <c r="D76" s="835"/>
      <c r="F76" s="835"/>
      <c r="P76" s="835"/>
    </row>
    <row r="77" spans="4:16" ht="15.75" customHeight="1" x14ac:dyDescent="0.3">
      <c r="D77" s="835"/>
      <c r="F77" s="835"/>
      <c r="P77" s="835"/>
    </row>
    <row r="78" spans="4:16" ht="15.75" customHeight="1" x14ac:dyDescent="0.3">
      <c r="D78" s="835"/>
      <c r="F78" s="835"/>
      <c r="P78" s="835"/>
    </row>
    <row r="79" spans="4:16" ht="15.75" customHeight="1" x14ac:dyDescent="0.3">
      <c r="D79" s="835"/>
      <c r="F79" s="835"/>
      <c r="P79" s="835"/>
    </row>
    <row r="80" spans="4:16" ht="15.75" customHeight="1" x14ac:dyDescent="0.3">
      <c r="D80" s="835"/>
      <c r="F80" s="835"/>
      <c r="P80" s="835"/>
    </row>
    <row r="81" spans="4:16" ht="15.75" customHeight="1" x14ac:dyDescent="0.3">
      <c r="D81" s="835"/>
      <c r="F81" s="835"/>
      <c r="P81" s="835"/>
    </row>
    <row r="82" spans="4:16" ht="15.75" customHeight="1" x14ac:dyDescent="0.3">
      <c r="D82" s="835"/>
      <c r="F82" s="835"/>
      <c r="P82" s="835"/>
    </row>
    <row r="83" spans="4:16" ht="15.75" customHeight="1" x14ac:dyDescent="0.3">
      <c r="D83" s="835"/>
      <c r="F83" s="835"/>
      <c r="P83" s="835"/>
    </row>
    <row r="84" spans="4:16" ht="15.75" customHeight="1" x14ac:dyDescent="0.3">
      <c r="D84" s="835"/>
      <c r="F84" s="835"/>
      <c r="P84" s="835"/>
    </row>
    <row r="85" spans="4:16" ht="15.75" customHeight="1" x14ac:dyDescent="0.3">
      <c r="D85" s="835"/>
      <c r="F85" s="835"/>
      <c r="P85" s="835"/>
    </row>
    <row r="86" spans="4:16" ht="15.75" customHeight="1" x14ac:dyDescent="0.3">
      <c r="D86" s="835"/>
      <c r="F86" s="835"/>
      <c r="P86" s="835"/>
    </row>
    <row r="87" spans="4:16" ht="15.75" customHeight="1" x14ac:dyDescent="0.3">
      <c r="D87" s="835"/>
      <c r="F87" s="835"/>
      <c r="P87" s="835"/>
    </row>
    <row r="88" spans="4:16" ht="15.75" customHeight="1" x14ac:dyDescent="0.3">
      <c r="D88" s="835"/>
      <c r="F88" s="835"/>
      <c r="P88" s="835"/>
    </row>
    <row r="89" spans="4:16" ht="15.75" customHeight="1" x14ac:dyDescent="0.3">
      <c r="D89" s="835"/>
      <c r="F89" s="835"/>
      <c r="P89" s="835"/>
    </row>
    <row r="90" spans="4:16" ht="15.75" customHeight="1" x14ac:dyDescent="0.3">
      <c r="D90" s="835"/>
      <c r="F90" s="835"/>
      <c r="P90" s="835"/>
    </row>
    <row r="91" spans="4:16" ht="15.75" customHeight="1" x14ac:dyDescent="0.3">
      <c r="D91" s="835"/>
      <c r="F91" s="835"/>
      <c r="P91" s="835"/>
    </row>
    <row r="92" spans="4:16" ht="15.75" customHeight="1" x14ac:dyDescent="0.3">
      <c r="D92" s="835"/>
      <c r="F92" s="835"/>
      <c r="P92" s="835"/>
    </row>
    <row r="93" spans="4:16" ht="15.75" customHeight="1" x14ac:dyDescent="0.3">
      <c r="D93" s="835"/>
      <c r="F93" s="835"/>
      <c r="P93" s="835"/>
    </row>
    <row r="94" spans="4:16" ht="15.75" customHeight="1" x14ac:dyDescent="0.3">
      <c r="D94" s="835"/>
      <c r="F94" s="835"/>
      <c r="P94" s="835"/>
    </row>
    <row r="95" spans="4:16" ht="15.75" customHeight="1" x14ac:dyDescent="0.3">
      <c r="D95" s="835"/>
      <c r="F95" s="835"/>
      <c r="P95" s="835"/>
    </row>
    <row r="96" spans="4:16" ht="15.75" customHeight="1" x14ac:dyDescent="0.3">
      <c r="D96" s="835"/>
      <c r="F96" s="835"/>
      <c r="P96" s="835"/>
    </row>
    <row r="97" spans="4:16" ht="15.75" customHeight="1" x14ac:dyDescent="0.3">
      <c r="D97" s="835"/>
      <c r="F97" s="835"/>
      <c r="P97" s="835"/>
    </row>
    <row r="98" spans="4:16" ht="15.75" customHeight="1" x14ac:dyDescent="0.3">
      <c r="D98" s="835"/>
      <c r="F98" s="835"/>
      <c r="P98" s="835"/>
    </row>
    <row r="99" spans="4:16" ht="15.75" customHeight="1" x14ac:dyDescent="0.3">
      <c r="D99" s="835"/>
      <c r="F99" s="835"/>
      <c r="P99" s="835"/>
    </row>
    <row r="100" spans="4:16" ht="15.75" customHeight="1" x14ac:dyDescent="0.3">
      <c r="D100" s="835"/>
      <c r="F100" s="835"/>
      <c r="P100" s="835"/>
    </row>
    <row r="101" spans="4:16" ht="15.75" customHeight="1" x14ac:dyDescent="0.3">
      <c r="D101" s="835"/>
      <c r="F101" s="835"/>
      <c r="P101" s="835"/>
    </row>
    <row r="102" spans="4:16" ht="15.75" customHeight="1" x14ac:dyDescent="0.3">
      <c r="D102" s="835"/>
      <c r="F102" s="835"/>
      <c r="P102" s="835"/>
    </row>
    <row r="103" spans="4:16" ht="15.75" customHeight="1" x14ac:dyDescent="0.3">
      <c r="D103" s="835"/>
      <c r="F103" s="835"/>
      <c r="P103" s="835"/>
    </row>
    <row r="104" spans="4:16" ht="15.75" customHeight="1" x14ac:dyDescent="0.3">
      <c r="D104" s="835"/>
      <c r="F104" s="835"/>
      <c r="P104" s="835"/>
    </row>
    <row r="105" spans="4:16" ht="15.75" customHeight="1" x14ac:dyDescent="0.3">
      <c r="D105" s="835"/>
      <c r="F105" s="835"/>
      <c r="P105" s="835"/>
    </row>
    <row r="106" spans="4:16" ht="15.75" customHeight="1" x14ac:dyDescent="0.3">
      <c r="D106" s="835"/>
      <c r="F106" s="835"/>
      <c r="P106" s="835"/>
    </row>
    <row r="107" spans="4:16" ht="15.75" customHeight="1" x14ac:dyDescent="0.3">
      <c r="D107" s="835"/>
      <c r="F107" s="835"/>
      <c r="P107" s="835"/>
    </row>
    <row r="108" spans="4:16" ht="15.75" customHeight="1" x14ac:dyDescent="0.3">
      <c r="D108" s="835"/>
      <c r="F108" s="835"/>
      <c r="P108" s="835"/>
    </row>
    <row r="109" spans="4:16" ht="15.75" customHeight="1" x14ac:dyDescent="0.3">
      <c r="D109" s="835"/>
      <c r="F109" s="835"/>
      <c r="P109" s="835"/>
    </row>
    <row r="110" spans="4:16" ht="15.75" customHeight="1" x14ac:dyDescent="0.3">
      <c r="D110" s="835"/>
      <c r="F110" s="835"/>
      <c r="P110" s="835"/>
    </row>
    <row r="111" spans="4:16" ht="15.75" customHeight="1" x14ac:dyDescent="0.3">
      <c r="D111" s="835"/>
      <c r="F111" s="835"/>
      <c r="P111" s="835"/>
    </row>
    <row r="112" spans="4:16" ht="15.75" customHeight="1" x14ac:dyDescent="0.3">
      <c r="D112" s="835"/>
      <c r="F112" s="835"/>
      <c r="P112" s="835"/>
    </row>
    <row r="113" spans="4:16" ht="15.75" customHeight="1" x14ac:dyDescent="0.3">
      <c r="D113" s="835"/>
      <c r="F113" s="835"/>
      <c r="P113" s="835"/>
    </row>
    <row r="114" spans="4:16" ht="15.75" customHeight="1" x14ac:dyDescent="0.3">
      <c r="D114" s="835"/>
      <c r="F114" s="835"/>
      <c r="P114" s="835"/>
    </row>
    <row r="115" spans="4:16" ht="15.75" customHeight="1" x14ac:dyDescent="0.3">
      <c r="D115" s="835"/>
      <c r="F115" s="835"/>
      <c r="P115" s="835"/>
    </row>
    <row r="116" spans="4:16" ht="15.75" customHeight="1" x14ac:dyDescent="0.3">
      <c r="D116" s="835"/>
      <c r="F116" s="835"/>
      <c r="P116" s="835"/>
    </row>
    <row r="117" spans="4:16" ht="15.75" customHeight="1" x14ac:dyDescent="0.3">
      <c r="D117" s="835"/>
      <c r="F117" s="835"/>
      <c r="P117" s="835"/>
    </row>
    <row r="118" spans="4:16" ht="15.75" customHeight="1" x14ac:dyDescent="0.3">
      <c r="D118" s="835"/>
      <c r="F118" s="835"/>
      <c r="P118" s="835"/>
    </row>
    <row r="119" spans="4:16" ht="15.75" customHeight="1" x14ac:dyDescent="0.3">
      <c r="D119" s="835"/>
      <c r="F119" s="835"/>
      <c r="P119" s="835"/>
    </row>
    <row r="120" spans="4:16" ht="15.75" customHeight="1" x14ac:dyDescent="0.3">
      <c r="D120" s="835"/>
      <c r="F120" s="835"/>
      <c r="P120" s="835"/>
    </row>
    <row r="121" spans="4:16" ht="15.75" customHeight="1" x14ac:dyDescent="0.3">
      <c r="D121" s="835"/>
      <c r="F121" s="835"/>
      <c r="P121" s="835"/>
    </row>
    <row r="122" spans="4:16" ht="15.75" customHeight="1" x14ac:dyDescent="0.3">
      <c r="D122" s="835"/>
      <c r="F122" s="835"/>
      <c r="P122" s="835"/>
    </row>
    <row r="123" spans="4:16" ht="15.75" customHeight="1" x14ac:dyDescent="0.3">
      <c r="D123" s="835"/>
      <c r="F123" s="835"/>
      <c r="P123" s="835"/>
    </row>
    <row r="124" spans="4:16" ht="15.75" customHeight="1" x14ac:dyDescent="0.3">
      <c r="D124" s="835"/>
      <c r="F124" s="835"/>
      <c r="P124" s="835"/>
    </row>
    <row r="125" spans="4:16" ht="15.75" customHeight="1" x14ac:dyDescent="0.3">
      <c r="D125" s="835"/>
      <c r="F125" s="835"/>
      <c r="P125" s="835"/>
    </row>
    <row r="126" spans="4:16" ht="15.75" customHeight="1" x14ac:dyDescent="0.3">
      <c r="D126" s="835"/>
      <c r="F126" s="835"/>
      <c r="P126" s="835"/>
    </row>
    <row r="127" spans="4:16" ht="15.75" customHeight="1" x14ac:dyDescent="0.3">
      <c r="D127" s="835"/>
      <c r="F127" s="835"/>
      <c r="P127" s="835"/>
    </row>
    <row r="128" spans="4:16" ht="15.75" customHeight="1" x14ac:dyDescent="0.3">
      <c r="D128" s="835"/>
      <c r="F128" s="835"/>
      <c r="P128" s="835"/>
    </row>
    <row r="129" spans="4:16" ht="15.75" customHeight="1" x14ac:dyDescent="0.3">
      <c r="D129" s="835"/>
      <c r="F129" s="835"/>
      <c r="P129" s="835"/>
    </row>
    <row r="130" spans="4:16" ht="15.75" customHeight="1" x14ac:dyDescent="0.3">
      <c r="D130" s="835"/>
      <c r="F130" s="835"/>
      <c r="P130" s="835"/>
    </row>
    <row r="131" spans="4:16" ht="15.75" customHeight="1" x14ac:dyDescent="0.3">
      <c r="D131" s="835"/>
      <c r="F131" s="835"/>
      <c r="P131" s="835"/>
    </row>
    <row r="132" spans="4:16" ht="15.75" customHeight="1" x14ac:dyDescent="0.3">
      <c r="D132" s="835"/>
      <c r="F132" s="835"/>
      <c r="P132" s="835"/>
    </row>
    <row r="133" spans="4:16" ht="15.75" customHeight="1" x14ac:dyDescent="0.3">
      <c r="D133" s="835"/>
      <c r="F133" s="835"/>
      <c r="P133" s="835"/>
    </row>
    <row r="134" spans="4:16" ht="15.75" customHeight="1" x14ac:dyDescent="0.3">
      <c r="D134" s="835"/>
      <c r="F134" s="835"/>
      <c r="P134" s="835"/>
    </row>
    <row r="135" spans="4:16" ht="15.75" customHeight="1" x14ac:dyDescent="0.3">
      <c r="D135" s="835"/>
      <c r="F135" s="835"/>
      <c r="P135" s="835"/>
    </row>
    <row r="136" spans="4:16" ht="15.75" customHeight="1" x14ac:dyDescent="0.3">
      <c r="D136" s="835"/>
      <c r="F136" s="835"/>
      <c r="P136" s="835"/>
    </row>
    <row r="137" spans="4:16" ht="15.75" customHeight="1" x14ac:dyDescent="0.3">
      <c r="D137" s="835"/>
      <c r="F137" s="835"/>
      <c r="P137" s="835"/>
    </row>
    <row r="138" spans="4:16" ht="15.75" customHeight="1" x14ac:dyDescent="0.3">
      <c r="D138" s="835"/>
      <c r="F138" s="835"/>
      <c r="P138" s="835"/>
    </row>
    <row r="139" spans="4:16" ht="15.75" customHeight="1" x14ac:dyDescent="0.3">
      <c r="D139" s="835"/>
      <c r="F139" s="835"/>
      <c r="P139" s="835"/>
    </row>
    <row r="140" spans="4:16" ht="15.75" customHeight="1" x14ac:dyDescent="0.3">
      <c r="D140" s="835"/>
      <c r="F140" s="835"/>
      <c r="P140" s="835"/>
    </row>
    <row r="141" spans="4:16" ht="15.75" customHeight="1" x14ac:dyDescent="0.3">
      <c r="D141" s="835"/>
      <c r="F141" s="835"/>
      <c r="P141" s="835"/>
    </row>
    <row r="142" spans="4:16" ht="15.75" customHeight="1" x14ac:dyDescent="0.3">
      <c r="D142" s="835"/>
      <c r="F142" s="835"/>
      <c r="P142" s="835"/>
    </row>
    <row r="143" spans="4:16" ht="15.75" customHeight="1" x14ac:dyDescent="0.3">
      <c r="D143" s="835"/>
      <c r="F143" s="835"/>
      <c r="P143" s="835"/>
    </row>
    <row r="144" spans="4:16" ht="15.75" customHeight="1" x14ac:dyDescent="0.3">
      <c r="D144" s="835"/>
      <c r="F144" s="835"/>
      <c r="P144" s="835"/>
    </row>
    <row r="145" spans="4:16" ht="15.75" customHeight="1" x14ac:dyDescent="0.3">
      <c r="D145" s="835"/>
      <c r="F145" s="835"/>
      <c r="P145" s="835"/>
    </row>
    <row r="146" spans="4:16" ht="15.75" customHeight="1" x14ac:dyDescent="0.3">
      <c r="D146" s="835"/>
      <c r="F146" s="835"/>
      <c r="P146" s="835"/>
    </row>
    <row r="147" spans="4:16" ht="15.75" customHeight="1" x14ac:dyDescent="0.3">
      <c r="D147" s="835"/>
      <c r="F147" s="835"/>
      <c r="P147" s="835"/>
    </row>
    <row r="148" spans="4:16" ht="15.75" customHeight="1" x14ac:dyDescent="0.3">
      <c r="D148" s="835"/>
      <c r="F148" s="835"/>
      <c r="P148" s="835"/>
    </row>
    <row r="149" spans="4:16" ht="15.75" customHeight="1" x14ac:dyDescent="0.3">
      <c r="D149" s="835"/>
      <c r="F149" s="835"/>
      <c r="P149" s="835"/>
    </row>
    <row r="150" spans="4:16" ht="15.75" customHeight="1" x14ac:dyDescent="0.3">
      <c r="D150" s="835"/>
      <c r="F150" s="835"/>
      <c r="P150" s="835"/>
    </row>
    <row r="151" spans="4:16" ht="15.75" customHeight="1" x14ac:dyDescent="0.3">
      <c r="D151" s="835"/>
      <c r="F151" s="835"/>
      <c r="P151" s="835"/>
    </row>
    <row r="152" spans="4:16" ht="15.75" customHeight="1" x14ac:dyDescent="0.3">
      <c r="D152" s="835"/>
      <c r="F152" s="835"/>
      <c r="P152" s="835"/>
    </row>
    <row r="153" spans="4:16" ht="15.75" customHeight="1" x14ac:dyDescent="0.3">
      <c r="D153" s="835"/>
      <c r="F153" s="835"/>
      <c r="P153" s="835"/>
    </row>
    <row r="154" spans="4:16" ht="15.75" customHeight="1" x14ac:dyDescent="0.3">
      <c r="D154" s="835"/>
      <c r="F154" s="835"/>
      <c r="P154" s="835"/>
    </row>
    <row r="155" spans="4:16" ht="15.75" customHeight="1" x14ac:dyDescent="0.3">
      <c r="D155" s="835"/>
      <c r="F155" s="835"/>
      <c r="P155" s="835"/>
    </row>
    <row r="156" spans="4:16" ht="15.75" customHeight="1" x14ac:dyDescent="0.3">
      <c r="D156" s="835"/>
      <c r="F156" s="835"/>
      <c r="P156" s="835"/>
    </row>
    <row r="157" spans="4:16" ht="15.75" customHeight="1" x14ac:dyDescent="0.3">
      <c r="D157" s="835"/>
      <c r="F157" s="835"/>
      <c r="P157" s="835"/>
    </row>
    <row r="158" spans="4:16" ht="15.75" customHeight="1" x14ac:dyDescent="0.3">
      <c r="D158" s="835"/>
      <c r="F158" s="835"/>
      <c r="P158" s="835"/>
    </row>
    <row r="159" spans="4:16" ht="15.75" customHeight="1" x14ac:dyDescent="0.3">
      <c r="D159" s="835"/>
      <c r="F159" s="835"/>
      <c r="P159" s="835"/>
    </row>
    <row r="160" spans="4:16" ht="15.75" customHeight="1" x14ac:dyDescent="0.3">
      <c r="D160" s="835"/>
      <c r="F160" s="835"/>
      <c r="P160" s="835"/>
    </row>
    <row r="161" spans="4:16" ht="15.75" customHeight="1" x14ac:dyDescent="0.3">
      <c r="D161" s="835"/>
      <c r="F161" s="835"/>
      <c r="P161" s="835"/>
    </row>
    <row r="162" spans="4:16" ht="15.75" customHeight="1" x14ac:dyDescent="0.3">
      <c r="D162" s="835"/>
      <c r="F162" s="835"/>
      <c r="P162" s="835"/>
    </row>
    <row r="163" spans="4:16" ht="15.75" customHeight="1" x14ac:dyDescent="0.3">
      <c r="D163" s="835"/>
      <c r="F163" s="835"/>
      <c r="P163" s="835"/>
    </row>
    <row r="164" spans="4:16" ht="15.75" customHeight="1" x14ac:dyDescent="0.3">
      <c r="D164" s="835"/>
      <c r="F164" s="835"/>
      <c r="P164" s="835"/>
    </row>
    <row r="165" spans="4:16" ht="15.75" customHeight="1" x14ac:dyDescent="0.3">
      <c r="D165" s="835"/>
      <c r="F165" s="835"/>
      <c r="P165" s="835"/>
    </row>
    <row r="166" spans="4:16" ht="15.75" customHeight="1" x14ac:dyDescent="0.3">
      <c r="D166" s="835"/>
      <c r="F166" s="835"/>
      <c r="P166" s="835"/>
    </row>
    <row r="167" spans="4:16" ht="15.75" customHeight="1" x14ac:dyDescent="0.3">
      <c r="D167" s="835"/>
      <c r="F167" s="835"/>
      <c r="P167" s="835"/>
    </row>
    <row r="168" spans="4:16" ht="15.75" customHeight="1" x14ac:dyDescent="0.3">
      <c r="D168" s="835"/>
      <c r="F168" s="835"/>
      <c r="P168" s="835"/>
    </row>
    <row r="169" spans="4:16" ht="15.75" customHeight="1" x14ac:dyDescent="0.3">
      <c r="D169" s="835"/>
      <c r="F169" s="835"/>
      <c r="P169" s="835"/>
    </row>
    <row r="170" spans="4:16" ht="15.75" customHeight="1" x14ac:dyDescent="0.3">
      <c r="D170" s="835"/>
      <c r="F170" s="835"/>
      <c r="P170" s="835"/>
    </row>
    <row r="171" spans="4:16" ht="15.75" customHeight="1" x14ac:dyDescent="0.3">
      <c r="D171" s="835"/>
      <c r="F171" s="835"/>
      <c r="P171" s="835"/>
    </row>
    <row r="172" spans="4:16" ht="15.75" customHeight="1" x14ac:dyDescent="0.3">
      <c r="D172" s="835"/>
      <c r="F172" s="835"/>
      <c r="P172" s="835"/>
    </row>
    <row r="173" spans="4:16" ht="15.75" customHeight="1" x14ac:dyDescent="0.3">
      <c r="D173" s="835"/>
      <c r="F173" s="835"/>
      <c r="P173" s="835"/>
    </row>
    <row r="174" spans="4:16" ht="15.75" customHeight="1" x14ac:dyDescent="0.3">
      <c r="D174" s="835"/>
      <c r="F174" s="835"/>
      <c r="P174" s="835"/>
    </row>
    <row r="175" spans="4:16" ht="15.75" customHeight="1" x14ac:dyDescent="0.3">
      <c r="D175" s="835"/>
      <c r="F175" s="835"/>
      <c r="P175" s="835"/>
    </row>
    <row r="176" spans="4:16" ht="15.75" customHeight="1" x14ac:dyDescent="0.3">
      <c r="D176" s="835"/>
      <c r="F176" s="835"/>
      <c r="P176" s="835"/>
    </row>
    <row r="177" spans="4:16" ht="15.75" customHeight="1" x14ac:dyDescent="0.3">
      <c r="D177" s="835"/>
      <c r="F177" s="835"/>
      <c r="P177" s="835"/>
    </row>
    <row r="178" spans="4:16" ht="15.75" customHeight="1" x14ac:dyDescent="0.3">
      <c r="D178" s="835"/>
      <c r="F178" s="835"/>
      <c r="P178" s="835"/>
    </row>
    <row r="179" spans="4:16" ht="15.75" customHeight="1" x14ac:dyDescent="0.3">
      <c r="D179" s="835"/>
      <c r="F179" s="835"/>
      <c r="P179" s="835"/>
    </row>
    <row r="180" spans="4:16" ht="15.75" customHeight="1" x14ac:dyDescent="0.3">
      <c r="D180" s="835"/>
      <c r="F180" s="835"/>
      <c r="P180" s="835"/>
    </row>
    <row r="181" spans="4:16" ht="15.75" customHeight="1" x14ac:dyDescent="0.3">
      <c r="D181" s="835"/>
      <c r="F181" s="835"/>
      <c r="P181" s="835"/>
    </row>
    <row r="182" spans="4:16" ht="15.75" customHeight="1" x14ac:dyDescent="0.3">
      <c r="D182" s="835"/>
      <c r="F182" s="835"/>
      <c r="P182" s="835"/>
    </row>
    <row r="183" spans="4:16" ht="15.75" customHeight="1" x14ac:dyDescent="0.3">
      <c r="D183" s="835"/>
      <c r="F183" s="835"/>
      <c r="P183" s="835"/>
    </row>
    <row r="184" spans="4:16" ht="15.75" customHeight="1" x14ac:dyDescent="0.3">
      <c r="D184" s="835"/>
      <c r="F184" s="835"/>
      <c r="P184" s="835"/>
    </row>
    <row r="185" spans="4:16" ht="15.75" customHeight="1" x14ac:dyDescent="0.3">
      <c r="D185" s="835"/>
      <c r="F185" s="835"/>
      <c r="P185" s="835"/>
    </row>
    <row r="186" spans="4:16" ht="15.75" customHeight="1" x14ac:dyDescent="0.3">
      <c r="D186" s="835"/>
      <c r="F186" s="835"/>
      <c r="P186" s="835"/>
    </row>
    <row r="187" spans="4:16" ht="15.75" customHeight="1" x14ac:dyDescent="0.3">
      <c r="D187" s="835"/>
      <c r="F187" s="835"/>
      <c r="P187" s="835"/>
    </row>
    <row r="188" spans="4:16" ht="15.75" customHeight="1" x14ac:dyDescent="0.3">
      <c r="D188" s="835"/>
      <c r="F188" s="835"/>
      <c r="P188" s="835"/>
    </row>
    <row r="189" spans="4:16" ht="15.75" customHeight="1" x14ac:dyDescent="0.3">
      <c r="D189" s="835"/>
      <c r="F189" s="835"/>
      <c r="P189" s="835"/>
    </row>
    <row r="190" spans="4:16" ht="15.75" customHeight="1" x14ac:dyDescent="0.3">
      <c r="D190" s="835"/>
      <c r="F190" s="835"/>
      <c r="P190" s="835"/>
    </row>
    <row r="191" spans="4:16" ht="15.75" customHeight="1" x14ac:dyDescent="0.3">
      <c r="D191" s="835"/>
      <c r="F191" s="835"/>
      <c r="P191" s="835"/>
    </row>
    <row r="192" spans="4:16" ht="15.75" customHeight="1" x14ac:dyDescent="0.3">
      <c r="D192" s="835"/>
      <c r="F192" s="835"/>
      <c r="P192" s="835"/>
    </row>
    <row r="193" spans="4:16" ht="15.75" customHeight="1" x14ac:dyDescent="0.3">
      <c r="D193" s="835"/>
      <c r="F193" s="835"/>
      <c r="P193" s="835"/>
    </row>
    <row r="194" spans="4:16" ht="15.75" customHeight="1" x14ac:dyDescent="0.3">
      <c r="D194" s="835"/>
      <c r="F194" s="835"/>
      <c r="P194" s="835"/>
    </row>
    <row r="195" spans="4:16" ht="15.75" customHeight="1" x14ac:dyDescent="0.3">
      <c r="D195" s="835"/>
      <c r="F195" s="835"/>
      <c r="P195" s="835"/>
    </row>
    <row r="196" spans="4:16" ht="15.75" customHeight="1" x14ac:dyDescent="0.3">
      <c r="D196" s="835"/>
      <c r="F196" s="835"/>
      <c r="P196" s="835"/>
    </row>
    <row r="197" spans="4:16" ht="15.75" customHeight="1" x14ac:dyDescent="0.3">
      <c r="D197" s="835"/>
      <c r="F197" s="835"/>
      <c r="P197" s="835"/>
    </row>
    <row r="198" spans="4:16" ht="15.75" customHeight="1" x14ac:dyDescent="0.3">
      <c r="D198" s="835"/>
      <c r="F198" s="835"/>
      <c r="P198" s="835"/>
    </row>
    <row r="199" spans="4:16" ht="15.75" customHeight="1" x14ac:dyDescent="0.3">
      <c r="D199" s="835"/>
      <c r="F199" s="835"/>
      <c r="P199" s="835"/>
    </row>
    <row r="200" spans="4:16" ht="15.75" customHeight="1" x14ac:dyDescent="0.3">
      <c r="D200" s="835"/>
      <c r="F200" s="835"/>
      <c r="P200" s="835"/>
    </row>
    <row r="201" spans="4:16" ht="15.75" customHeight="1" x14ac:dyDescent="0.3">
      <c r="D201" s="835"/>
      <c r="F201" s="835"/>
      <c r="P201" s="835"/>
    </row>
    <row r="202" spans="4:16" ht="15.75" customHeight="1" x14ac:dyDescent="0.3">
      <c r="D202" s="835"/>
      <c r="F202" s="835"/>
      <c r="P202" s="835"/>
    </row>
    <row r="203" spans="4:16" ht="15.75" customHeight="1" x14ac:dyDescent="0.3">
      <c r="D203" s="835"/>
      <c r="F203" s="835"/>
      <c r="P203" s="835"/>
    </row>
    <row r="204" spans="4:16" ht="15.75" customHeight="1" x14ac:dyDescent="0.3">
      <c r="D204" s="835"/>
      <c r="F204" s="835"/>
      <c r="P204" s="835"/>
    </row>
    <row r="205" spans="4:16" ht="15.75" customHeight="1" x14ac:dyDescent="0.3">
      <c r="D205" s="835"/>
      <c r="F205" s="835"/>
      <c r="P205" s="835"/>
    </row>
    <row r="206" spans="4:16" ht="15.75" customHeight="1" x14ac:dyDescent="0.3">
      <c r="D206" s="835"/>
      <c r="F206" s="835"/>
      <c r="P206" s="835"/>
    </row>
    <row r="207" spans="4:16" ht="15.75" customHeight="1" x14ac:dyDescent="0.3">
      <c r="D207" s="835"/>
      <c r="F207" s="835"/>
      <c r="P207" s="835"/>
    </row>
    <row r="208" spans="4:16" ht="15.75" customHeight="1" x14ac:dyDescent="0.3">
      <c r="D208" s="835"/>
      <c r="F208" s="835"/>
      <c r="P208" s="835"/>
    </row>
    <row r="209" spans="4:16" ht="15.75" customHeight="1" x14ac:dyDescent="0.3">
      <c r="D209" s="835"/>
      <c r="F209" s="835"/>
      <c r="P209" s="835"/>
    </row>
    <row r="210" spans="4:16" ht="15.75" customHeight="1" x14ac:dyDescent="0.3">
      <c r="D210" s="835"/>
      <c r="F210" s="835"/>
      <c r="P210" s="835"/>
    </row>
    <row r="211" spans="4:16" ht="15.75" customHeight="1" x14ac:dyDescent="0.3">
      <c r="D211" s="835"/>
      <c r="F211" s="835"/>
      <c r="P211" s="835"/>
    </row>
    <row r="212" spans="4:16" ht="15.75" customHeight="1" x14ac:dyDescent="0.3">
      <c r="D212" s="835"/>
      <c r="F212" s="835"/>
      <c r="P212" s="835"/>
    </row>
    <row r="213" spans="4:16" ht="15.75" customHeight="1" x14ac:dyDescent="0.3">
      <c r="D213" s="835"/>
      <c r="F213" s="835"/>
      <c r="P213" s="835"/>
    </row>
    <row r="214" spans="4:16" ht="15.75" customHeight="1" x14ac:dyDescent="0.3">
      <c r="D214" s="835"/>
      <c r="F214" s="835"/>
      <c r="P214" s="835"/>
    </row>
    <row r="215" spans="4:16" ht="15.75" customHeight="1" x14ac:dyDescent="0.3">
      <c r="D215" s="835"/>
      <c r="F215" s="835"/>
      <c r="P215" s="835"/>
    </row>
    <row r="216" spans="4:16" ht="15.75" customHeight="1" x14ac:dyDescent="0.3">
      <c r="D216" s="835"/>
      <c r="F216" s="835"/>
      <c r="P216" s="835"/>
    </row>
    <row r="217" spans="4:16" ht="15.75" customHeight="1" x14ac:dyDescent="0.3">
      <c r="D217" s="835"/>
      <c r="F217" s="835"/>
      <c r="P217" s="835"/>
    </row>
    <row r="218" spans="4:16" ht="15.75" customHeight="1" x14ac:dyDescent="0.3">
      <c r="D218" s="835"/>
      <c r="F218" s="835"/>
      <c r="P218" s="835"/>
    </row>
    <row r="219" spans="4:16" ht="15.75" customHeight="1" x14ac:dyDescent="0.3">
      <c r="D219" s="835"/>
      <c r="F219" s="835"/>
      <c r="P219" s="835"/>
    </row>
    <row r="220" spans="4:16" ht="15.75" customHeight="1" x14ac:dyDescent="0.3">
      <c r="D220" s="835"/>
      <c r="F220" s="835"/>
      <c r="P220" s="835"/>
    </row>
    <row r="221" spans="4:16" ht="15.75" customHeight="1" x14ac:dyDescent="0.3">
      <c r="D221" s="835"/>
      <c r="F221" s="835"/>
      <c r="P221" s="835"/>
    </row>
    <row r="222" spans="4:16" ht="15.75" customHeight="1" x14ac:dyDescent="0.3">
      <c r="D222" s="835"/>
      <c r="F222" s="835"/>
      <c r="P222" s="835"/>
    </row>
    <row r="223" spans="4:16" ht="15.75" customHeight="1" x14ac:dyDescent="0.3">
      <c r="D223" s="835"/>
      <c r="F223" s="835"/>
      <c r="P223" s="835"/>
    </row>
    <row r="224" spans="4:16" ht="15.75" customHeight="1" x14ac:dyDescent="0.3">
      <c r="D224" s="835"/>
      <c r="F224" s="835"/>
      <c r="P224" s="835"/>
    </row>
    <row r="225" spans="4:16" ht="15.75" customHeight="1" x14ac:dyDescent="0.3">
      <c r="D225" s="835"/>
      <c r="F225" s="835"/>
      <c r="P225" s="835"/>
    </row>
    <row r="226" spans="4:16" ht="15.75" customHeight="1" x14ac:dyDescent="0.3">
      <c r="D226" s="835"/>
      <c r="F226" s="835"/>
      <c r="P226" s="835"/>
    </row>
    <row r="227" spans="4:16" ht="15.75" customHeight="1" x14ac:dyDescent="0.3">
      <c r="D227" s="835"/>
      <c r="F227" s="835"/>
      <c r="P227" s="835"/>
    </row>
    <row r="228" spans="4:16" ht="15.75" customHeight="1" x14ac:dyDescent="0.3">
      <c r="D228" s="835"/>
      <c r="F228" s="835"/>
      <c r="P228" s="835"/>
    </row>
    <row r="229" spans="4:16" ht="15.75" customHeight="1" x14ac:dyDescent="0.3">
      <c r="D229" s="835"/>
      <c r="F229" s="835"/>
      <c r="P229" s="835"/>
    </row>
    <row r="230" spans="4:16" ht="15.75" customHeight="1" x14ac:dyDescent="0.3">
      <c r="D230" s="835"/>
      <c r="F230" s="835"/>
      <c r="P230" s="835"/>
    </row>
    <row r="231" spans="4:16" ht="15.75" customHeight="1" x14ac:dyDescent="0.3">
      <c r="D231" s="835"/>
      <c r="F231" s="835"/>
      <c r="P231" s="835"/>
    </row>
    <row r="232" spans="4:16" ht="15.75" customHeight="1" x14ac:dyDescent="0.3">
      <c r="D232" s="835"/>
      <c r="F232" s="835"/>
      <c r="P232" s="835"/>
    </row>
    <row r="233" spans="4:16" ht="15.75" customHeight="1" x14ac:dyDescent="0.3">
      <c r="D233" s="835"/>
      <c r="F233" s="835"/>
      <c r="P233" s="835"/>
    </row>
    <row r="234" spans="4:16" ht="15.75" customHeight="1" x14ac:dyDescent="0.3">
      <c r="D234" s="835"/>
      <c r="F234" s="835"/>
      <c r="P234" s="835"/>
    </row>
    <row r="235" spans="4:16" ht="15.75" customHeight="1" x14ac:dyDescent="0.3">
      <c r="D235" s="835"/>
      <c r="F235" s="835"/>
      <c r="P235" s="835"/>
    </row>
    <row r="236" spans="4:16" ht="15.75" customHeight="1" x14ac:dyDescent="0.3">
      <c r="D236" s="835"/>
      <c r="F236" s="835"/>
      <c r="P236" s="835"/>
    </row>
    <row r="237" spans="4:16" ht="15.75" customHeight="1" x14ac:dyDescent="0.3">
      <c r="D237" s="835"/>
      <c r="F237" s="835"/>
      <c r="P237" s="835"/>
    </row>
    <row r="238" spans="4:16" ht="15.75" customHeight="1" x14ac:dyDescent="0.3">
      <c r="D238" s="835"/>
      <c r="F238" s="835"/>
      <c r="P238" s="835"/>
    </row>
    <row r="239" spans="4:16" ht="15.75" customHeight="1" x14ac:dyDescent="0.3">
      <c r="D239" s="835"/>
      <c r="F239" s="835"/>
      <c r="P239" s="835"/>
    </row>
    <row r="240" spans="4:16" ht="15.75" customHeight="1" x14ac:dyDescent="0.3">
      <c r="D240" s="835"/>
      <c r="F240" s="835"/>
      <c r="P240" s="835"/>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H7:O7"/>
  </mergeCells>
  <dataValidations disablePrompts="1" count="1">
    <dataValidation type="list" allowBlank="1" showErrorMessage="1" sqref="B17 B22" xr:uid="{22918E75-65A9-42D0-BAB0-C2BBBCF7F139}">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BA7D4-9989-438B-AE56-6824D7F94851}">
  <sheetPr codeName="Sheet2">
    <tabColor theme="9" tint="0.79998168889431442"/>
  </sheetPr>
  <dimension ref="A2:G32"/>
  <sheetViews>
    <sheetView workbookViewId="0">
      <selection activeCell="J20" sqref="J20"/>
    </sheetView>
  </sheetViews>
  <sheetFormatPr defaultColWidth="11.5546875" defaultRowHeight="14.4" x14ac:dyDescent="0.3"/>
  <cols>
    <col min="1" max="1" width="12.5546875" customWidth="1"/>
    <col min="2" max="2" width="10" customWidth="1"/>
    <col min="3" max="3" width="15" customWidth="1"/>
    <col min="4" max="4" width="14.33203125" customWidth="1"/>
    <col min="5" max="5" width="11.33203125" customWidth="1"/>
    <col min="6" max="6" width="14.109375" customWidth="1"/>
    <col min="7" max="7" width="11.21875" customWidth="1"/>
    <col min="9" max="9" width="13.6640625" customWidth="1"/>
  </cols>
  <sheetData>
    <row r="2" spans="1:7" ht="21" customHeight="1" x14ac:dyDescent="0.45">
      <c r="A2" s="1" t="s">
        <v>11</v>
      </c>
      <c r="B2" s="1"/>
      <c r="C2" s="1"/>
      <c r="D2" s="1"/>
    </row>
    <row r="3" spans="1:7" ht="18" x14ac:dyDescent="0.35">
      <c r="A3" s="2" t="s">
        <v>12</v>
      </c>
      <c r="E3" s="3"/>
      <c r="F3" s="4"/>
    </row>
    <row r="4" spans="1:7" ht="15.6" x14ac:dyDescent="0.3">
      <c r="A4" s="5" t="s">
        <v>2</v>
      </c>
    </row>
    <row r="5" spans="1:7" ht="28.2" customHeight="1" x14ac:dyDescent="0.3">
      <c r="A5" s="4310" t="str">
        <f>'Annex B - Summary'!B5</f>
        <v>The 9th Monitoring Report to be submitted to the VCS program covering the period of 01-January-2024 to 31-December-2024</v>
      </c>
      <c r="B5" s="4310"/>
      <c r="C5" s="4310"/>
      <c r="D5" s="4310"/>
      <c r="E5" s="4310"/>
      <c r="F5" s="4310"/>
      <c r="G5" s="4310"/>
    </row>
    <row r="6" spans="1:7" x14ac:dyDescent="0.3">
      <c r="A6" s="6"/>
      <c r="G6" s="4"/>
    </row>
    <row r="7" spans="1:7" x14ac:dyDescent="0.3">
      <c r="A7" t="str">
        <f>'Annex B - Summary'!B7</f>
        <v>Last revised version: October 10, 2025</v>
      </c>
      <c r="G7" s="64"/>
    </row>
    <row r="8" spans="1:7" x14ac:dyDescent="0.3">
      <c r="G8" s="64"/>
    </row>
    <row r="9" spans="1:7" ht="15" customHeight="1" x14ac:dyDescent="0.3">
      <c r="A9" s="4313" t="s">
        <v>279</v>
      </c>
      <c r="B9" s="4313"/>
      <c r="C9" s="4313"/>
      <c r="D9" s="4313"/>
      <c r="E9" s="4313"/>
      <c r="F9" s="4313"/>
      <c r="G9" s="4313"/>
    </row>
    <row r="10" spans="1:7" x14ac:dyDescent="0.3">
      <c r="A10" s="4313"/>
      <c r="B10" s="4313"/>
      <c r="C10" s="4313"/>
      <c r="D10" s="4313"/>
      <c r="E10" s="4313"/>
      <c r="F10" s="4313"/>
      <c r="G10" s="4313"/>
    </row>
    <row r="11" spans="1:7" x14ac:dyDescent="0.3">
      <c r="A11" s="4313"/>
      <c r="B11" s="4313"/>
      <c r="C11" s="4313"/>
      <c r="D11" s="4313"/>
      <c r="E11" s="4313"/>
      <c r="F11" s="4313"/>
      <c r="G11" s="4313"/>
    </row>
    <row r="12" spans="1:7" ht="9" customHeight="1" x14ac:dyDescent="0.3">
      <c r="A12" s="410"/>
      <c r="B12" s="410"/>
      <c r="C12" s="410"/>
      <c r="D12" s="410"/>
      <c r="E12" s="410"/>
      <c r="F12" s="410"/>
      <c r="G12" s="410"/>
    </row>
    <row r="13" spans="1:7" ht="15" customHeight="1" x14ac:dyDescent="0.3">
      <c r="A13" s="4314" t="s">
        <v>280</v>
      </c>
      <c r="B13" s="4314"/>
      <c r="C13" s="4314"/>
      <c r="D13" s="4314"/>
      <c r="E13" s="4314"/>
      <c r="F13" s="4314"/>
      <c r="G13" s="4314"/>
    </row>
    <row r="14" spans="1:7" ht="15" customHeight="1" x14ac:dyDescent="0.3">
      <c r="A14" s="4314"/>
      <c r="B14" s="4314"/>
      <c r="C14" s="4314"/>
      <c r="D14" s="4314"/>
      <c r="E14" s="4314"/>
      <c r="F14" s="4314"/>
      <c r="G14" s="4314"/>
    </row>
    <row r="16" spans="1:7" x14ac:dyDescent="0.3">
      <c r="A16" s="26"/>
      <c r="C16" s="4311" t="s">
        <v>13</v>
      </c>
      <c r="D16" s="4311"/>
    </row>
    <row r="17" spans="1:7" ht="53.4" customHeight="1" x14ac:dyDescent="0.3">
      <c r="A17" s="39" t="s">
        <v>3</v>
      </c>
      <c r="B17" s="40" t="s">
        <v>14</v>
      </c>
      <c r="C17" s="41" t="s">
        <v>15</v>
      </c>
      <c r="D17" s="41" t="s">
        <v>16</v>
      </c>
      <c r="E17" s="40" t="s">
        <v>17</v>
      </c>
      <c r="F17" s="40" t="s">
        <v>18</v>
      </c>
      <c r="G17" s="40" t="s">
        <v>19</v>
      </c>
    </row>
    <row r="18" spans="1:7" s="12" customFormat="1" ht="41.4" customHeight="1" x14ac:dyDescent="0.3">
      <c r="A18" s="420">
        <f>'Annex B - Summary'!B9</f>
        <v>2024</v>
      </c>
      <c r="B18" s="42">
        <f>'ER 2024 consolidated'!D23</f>
        <v>54</v>
      </c>
      <c r="C18" s="43">
        <f>SUM('ER 2024 scope 3 &amp; 13'!D123:E123)</f>
        <v>300</v>
      </c>
      <c r="D18" s="43">
        <f>SUM('ER 2024 scope 3 &amp; 13'!K123:L123)</f>
        <v>2099</v>
      </c>
      <c r="E18" s="43">
        <f>C18+D18</f>
        <v>2399</v>
      </c>
      <c r="F18" s="43">
        <f>'Annex B - Summary'!F16</f>
        <v>578457</v>
      </c>
      <c r="G18" s="44">
        <f>F18/F19</f>
        <v>1</v>
      </c>
    </row>
    <row r="19" spans="1:7" ht="23.4" customHeight="1" x14ac:dyDescent="0.3">
      <c r="A19" s="45" t="s">
        <v>9</v>
      </c>
      <c r="B19" s="46" t="s">
        <v>20</v>
      </c>
      <c r="C19" s="47" t="str">
        <f>B19</f>
        <v>n.a.</v>
      </c>
      <c r="D19" s="47" t="str">
        <f>C19</f>
        <v>n.a.</v>
      </c>
      <c r="E19" s="47" t="str">
        <f>D19</f>
        <v>n.a.</v>
      </c>
      <c r="F19" s="47">
        <f>SUM(F18:F18)</f>
        <v>578457</v>
      </c>
      <c r="G19" s="48">
        <f>G18</f>
        <v>1</v>
      </c>
    </row>
    <row r="20" spans="1:7" ht="6.6" customHeight="1" x14ac:dyDescent="0.3"/>
    <row r="23" spans="1:7" ht="16.2" customHeight="1" x14ac:dyDescent="0.3">
      <c r="A23" s="49" t="s">
        <v>21</v>
      </c>
      <c r="B23" s="50"/>
      <c r="C23" s="50"/>
      <c r="D23" s="51"/>
    </row>
    <row r="25" spans="1:7" ht="15.6" x14ac:dyDescent="0.3">
      <c r="D25" s="52" t="s">
        <v>22</v>
      </c>
      <c r="E25" s="53" t="s">
        <v>23</v>
      </c>
      <c r="F25" s="52" t="s">
        <v>17</v>
      </c>
    </row>
    <row r="26" spans="1:7" ht="23.4" customHeight="1" x14ac:dyDescent="0.3">
      <c r="A26" s="4312" t="s">
        <v>24</v>
      </c>
      <c r="B26" s="4312"/>
      <c r="C26" s="54" t="s">
        <v>25</v>
      </c>
      <c r="D26" s="55">
        <f>SQRT(C18)</f>
        <v>17.320508075688775</v>
      </c>
      <c r="E26" s="55">
        <f>SQRT(D18)</f>
        <v>45.814844755821227</v>
      </c>
      <c r="F26" s="408">
        <f>D26+E26</f>
        <v>63.135352831510005</v>
      </c>
    </row>
    <row r="27" spans="1:7" ht="29.4" customHeight="1" x14ac:dyDescent="0.3">
      <c r="A27" s="4312" t="s">
        <v>26</v>
      </c>
      <c r="B27" s="4312"/>
      <c r="C27" s="56"/>
      <c r="D27" s="57">
        <f>'Annex B - Summary'!F14/'Sample for Verification'!C18</f>
        <v>639.29666666666662</v>
      </c>
      <c r="E27" s="58">
        <f>'Annex B - Summary'!F15/'Sample for Verification'!D18</f>
        <v>184.21534063839923</v>
      </c>
      <c r="F27" s="59">
        <f>F18/E18</f>
        <v>241.12421842434347</v>
      </c>
    </row>
    <row r="32" spans="1:7" x14ac:dyDescent="0.3">
      <c r="A32" s="60"/>
    </row>
  </sheetData>
  <mergeCells count="6">
    <mergeCell ref="A5:G5"/>
    <mergeCell ref="C16:D16"/>
    <mergeCell ref="A26:B26"/>
    <mergeCell ref="A27:B27"/>
    <mergeCell ref="A9:G11"/>
    <mergeCell ref="A13:G14"/>
  </mergeCells>
  <pageMargins left="0.70866141732283472" right="0.70866141732283472" top="0.74803149606299213" bottom="0.35433070866141736" header="0.31496062992125984" footer="0.31496062992125984"/>
  <pageSetup orientation="portrait" r:id="rId1"/>
  <headerFooter>
    <oddHeader>&amp;L&amp;G | Confidential &amp; Property of WILL Solutions Inc.</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76985-A710-42EF-B5A1-778D98F828AE}">
  <dimension ref="A1:AD910"/>
  <sheetViews>
    <sheetView zoomScale="80" zoomScaleNormal="80" workbookViewId="0">
      <selection activeCell="AF35" sqref="AF35"/>
    </sheetView>
  </sheetViews>
  <sheetFormatPr defaultColWidth="12.44140625" defaultRowHeight="15" customHeight="1" x14ac:dyDescent="0.3"/>
  <cols>
    <col min="1" max="1" width="2.6640625" style="691" customWidth="1"/>
    <col min="2" max="2" width="5.109375" style="691" customWidth="1"/>
    <col min="3" max="3" width="34.44140625" style="691" customWidth="1"/>
    <col min="4" max="4" width="34" style="691" customWidth="1"/>
    <col min="5" max="5" width="8.88671875" style="691" customWidth="1"/>
    <col min="6" max="6" width="32.44140625" style="691" customWidth="1"/>
    <col min="7" max="7" width="12.77734375" style="691" customWidth="1"/>
    <col min="8" max="8" width="12.77734375" style="691" hidden="1" customWidth="1"/>
    <col min="9" max="9" width="12.77734375" style="691" customWidth="1"/>
    <col min="10" max="12" width="12.77734375" style="691" hidden="1" customWidth="1"/>
    <col min="13" max="18" width="11.5546875" style="691" hidden="1" customWidth="1"/>
    <col min="19" max="19" width="11.5546875" style="691" customWidth="1"/>
    <col min="20" max="25" width="11.5546875" style="691" hidden="1" customWidth="1"/>
    <col min="26" max="26" width="11.5546875" style="691" customWidth="1"/>
    <col min="27" max="30" width="11.6640625" style="691" customWidth="1"/>
    <col min="31" max="16384" width="12.44140625" style="691"/>
  </cols>
  <sheetData>
    <row r="1" spans="1:30" ht="23.25" customHeight="1" x14ac:dyDescent="0.35">
      <c r="A1" s="993"/>
      <c r="B1" s="994" t="s">
        <v>2350</v>
      </c>
    </row>
    <row r="2" spans="1:30" ht="13.5" customHeight="1" x14ac:dyDescent="0.3">
      <c r="A2" s="993"/>
      <c r="B2" s="995" t="s">
        <v>340</v>
      </c>
      <c r="C2" s="836"/>
      <c r="D2" s="836"/>
      <c r="E2" s="836"/>
      <c r="F2" s="836"/>
      <c r="G2" s="836"/>
      <c r="H2" s="836"/>
      <c r="I2" s="836"/>
      <c r="J2" s="836"/>
      <c r="K2" s="836"/>
      <c r="L2" s="836"/>
      <c r="M2" s="836"/>
      <c r="N2" s="836"/>
      <c r="O2" s="836"/>
      <c r="P2" s="836"/>
      <c r="Q2" s="836"/>
      <c r="R2" s="836"/>
      <c r="S2" s="836"/>
      <c r="T2" s="836"/>
      <c r="U2" s="836"/>
      <c r="V2" s="836"/>
      <c r="W2" s="836"/>
      <c r="X2" s="836"/>
      <c r="Y2" s="836"/>
      <c r="Z2" s="836"/>
    </row>
    <row r="3" spans="1:30" ht="15.75" customHeight="1" x14ac:dyDescent="0.3">
      <c r="B3" s="996"/>
    </row>
    <row r="4" spans="1:30" ht="19.2" customHeight="1" x14ac:dyDescent="0.3">
      <c r="B4" s="779" t="s">
        <v>899</v>
      </c>
      <c r="C4" s="780"/>
      <c r="D4" s="780"/>
    </row>
    <row r="5" spans="1:30" ht="19.2" customHeight="1" x14ac:dyDescent="0.3">
      <c r="B5" s="779" t="s">
        <v>341</v>
      </c>
      <c r="C5" s="780"/>
      <c r="D5" s="780"/>
    </row>
    <row r="6" spans="1:30" ht="15.75" customHeight="1" x14ac:dyDescent="0.3">
      <c r="B6" s="996"/>
    </row>
    <row r="7" spans="1:30" ht="15.75" customHeight="1" x14ac:dyDescent="0.3">
      <c r="B7" s="997" t="s">
        <v>342</v>
      </c>
    </row>
    <row r="8" spans="1:30" ht="9" customHeight="1" x14ac:dyDescent="0.3">
      <c r="B8" s="998"/>
      <c r="G8" s="835"/>
      <c r="H8" s="835"/>
      <c r="I8" s="835"/>
      <c r="J8" s="835"/>
      <c r="K8" s="835"/>
      <c r="L8" s="835"/>
      <c r="Z8" s="835"/>
    </row>
    <row r="9" spans="1:30" ht="15.75" customHeight="1" x14ac:dyDescent="0.3">
      <c r="B9" s="999" t="s">
        <v>301</v>
      </c>
      <c r="C9" s="1000" t="s">
        <v>343</v>
      </c>
      <c r="D9" s="1001" t="s">
        <v>344</v>
      </c>
      <c r="E9" s="1001" t="s">
        <v>345</v>
      </c>
      <c r="F9" s="1001" t="s">
        <v>346</v>
      </c>
      <c r="G9" s="1002" t="s">
        <v>347</v>
      </c>
      <c r="H9" s="1003">
        <v>2025</v>
      </c>
      <c r="I9" s="1003">
        <v>2024</v>
      </c>
      <c r="J9" s="1003">
        <v>2023</v>
      </c>
      <c r="K9" s="1003">
        <v>2022</v>
      </c>
      <c r="L9" s="1003">
        <v>2021</v>
      </c>
      <c r="M9" s="1003">
        <v>2020</v>
      </c>
      <c r="N9" s="1003">
        <v>2019</v>
      </c>
      <c r="O9" s="1004">
        <v>2018</v>
      </c>
      <c r="P9" s="1004">
        <v>2017</v>
      </c>
      <c r="Q9" s="1004">
        <v>2016</v>
      </c>
      <c r="R9" s="1004">
        <v>2015</v>
      </c>
      <c r="S9" s="1004">
        <v>2014</v>
      </c>
      <c r="T9" s="1004">
        <v>2013</v>
      </c>
      <c r="U9" s="1004">
        <v>2012</v>
      </c>
      <c r="V9" s="1004">
        <v>2011</v>
      </c>
      <c r="W9" s="1004">
        <v>2010</v>
      </c>
      <c r="X9" s="1004">
        <v>2009</v>
      </c>
      <c r="Y9" s="1004">
        <v>2008</v>
      </c>
      <c r="Z9" s="1005" t="s">
        <v>332</v>
      </c>
    </row>
    <row r="10" spans="1:30" ht="30.6" customHeight="1" x14ac:dyDescent="0.3">
      <c r="A10" s="1006"/>
      <c r="B10" s="1007">
        <v>1</v>
      </c>
      <c r="C10" s="792" t="s">
        <v>474</v>
      </c>
      <c r="D10" s="793" t="s">
        <v>500</v>
      </c>
      <c r="E10" s="794" t="s">
        <v>350</v>
      </c>
      <c r="F10" s="795"/>
      <c r="G10" s="1008">
        <v>2014</v>
      </c>
      <c r="H10" s="797"/>
      <c r="I10" s="1009">
        <v>0</v>
      </c>
      <c r="J10" s="1010">
        <v>0</v>
      </c>
      <c r="K10" s="1011">
        <v>0</v>
      </c>
      <c r="L10" s="1011">
        <v>0</v>
      </c>
      <c r="M10" s="1010">
        <v>0</v>
      </c>
      <c r="N10" s="1011">
        <v>0</v>
      </c>
      <c r="O10" s="1011">
        <v>0</v>
      </c>
      <c r="P10" s="1011">
        <v>0</v>
      </c>
      <c r="Q10" s="1011">
        <v>0</v>
      </c>
      <c r="R10" s="1011">
        <v>0</v>
      </c>
      <c r="S10" s="1011">
        <v>4703</v>
      </c>
      <c r="T10" s="797"/>
      <c r="U10" s="801"/>
      <c r="V10" s="797"/>
      <c r="W10" s="801"/>
      <c r="X10" s="797"/>
      <c r="Y10" s="801"/>
      <c r="Z10" s="797"/>
      <c r="AA10" s="1006"/>
      <c r="AB10" s="1006"/>
      <c r="AC10" s="1006"/>
      <c r="AD10" s="1006"/>
    </row>
    <row r="11" spans="1:30" ht="24" customHeight="1" x14ac:dyDescent="0.3">
      <c r="A11" s="1006"/>
      <c r="B11" s="1007"/>
      <c r="C11" s="802" t="s">
        <v>474</v>
      </c>
      <c r="D11" s="802" t="s">
        <v>501</v>
      </c>
      <c r="E11" s="803" t="s">
        <v>453</v>
      </c>
      <c r="F11" s="768" t="s">
        <v>502</v>
      </c>
      <c r="G11" s="949">
        <v>2015</v>
      </c>
      <c r="H11" s="804"/>
      <c r="I11" s="804"/>
      <c r="J11" s="1012"/>
      <c r="K11" s="1013"/>
      <c r="L11" s="1013"/>
      <c r="M11" s="1013"/>
      <c r="N11" s="1013"/>
      <c r="O11" s="1013"/>
      <c r="P11" s="1013"/>
      <c r="Q11" s="1013"/>
      <c r="R11" s="1013">
        <v>0.65</v>
      </c>
      <c r="S11" s="1013"/>
      <c r="T11" s="804"/>
      <c r="U11" s="808"/>
      <c r="V11" s="804"/>
      <c r="W11" s="808"/>
      <c r="X11" s="804"/>
      <c r="Y11" s="808"/>
      <c r="Z11" s="804"/>
      <c r="AA11" s="1006"/>
      <c r="AB11" s="1006"/>
      <c r="AC11" s="1006"/>
      <c r="AD11" s="1006"/>
    </row>
    <row r="12" spans="1:30" ht="30" customHeight="1" x14ac:dyDescent="0.3">
      <c r="A12" s="1006"/>
      <c r="B12" s="1007"/>
      <c r="C12" s="793" t="s">
        <v>374</v>
      </c>
      <c r="D12" s="793" t="s">
        <v>427</v>
      </c>
      <c r="E12" s="794" t="s">
        <v>350</v>
      </c>
      <c r="F12" s="795" t="s">
        <v>347</v>
      </c>
      <c r="G12" s="1014"/>
      <c r="H12" s="810"/>
      <c r="I12" s="810"/>
      <c r="J12" s="1015"/>
      <c r="K12" s="1015"/>
      <c r="L12" s="1015"/>
      <c r="M12" s="1015"/>
      <c r="N12" s="1015"/>
      <c r="O12" s="1015"/>
      <c r="P12" s="1015"/>
      <c r="Q12" s="1015"/>
      <c r="R12" s="1015"/>
      <c r="S12" s="4168">
        <v>13437.142857142859</v>
      </c>
      <c r="T12" s="810"/>
      <c r="U12" s="801"/>
      <c r="V12" s="810"/>
      <c r="W12" s="801"/>
      <c r="X12" s="810"/>
      <c r="Y12" s="801"/>
      <c r="Z12" s="810"/>
      <c r="AA12" s="1006"/>
      <c r="AB12" s="1006"/>
      <c r="AC12" s="1006"/>
      <c r="AD12" s="1006"/>
    </row>
    <row r="13" spans="1:30" ht="30" customHeight="1" x14ac:dyDescent="0.3">
      <c r="A13" s="1006"/>
      <c r="B13" s="1007"/>
      <c r="C13" s="802" t="s">
        <v>474</v>
      </c>
      <c r="D13" s="802" t="s">
        <v>352</v>
      </c>
      <c r="E13" s="803" t="s">
        <v>353</v>
      </c>
      <c r="F13" s="768" t="s">
        <v>503</v>
      </c>
      <c r="G13" s="949"/>
      <c r="H13" s="804"/>
      <c r="I13" s="812">
        <v>220140</v>
      </c>
      <c r="J13" s="1012">
        <v>210600</v>
      </c>
      <c r="K13" s="1013"/>
      <c r="L13" s="1013"/>
      <c r="M13" s="1013"/>
      <c r="N13" s="1013"/>
      <c r="O13" s="1013"/>
      <c r="P13" s="1013"/>
      <c r="Q13" s="1013"/>
      <c r="R13" s="1013"/>
      <c r="S13" s="1013"/>
      <c r="T13" s="804"/>
      <c r="U13" s="808"/>
      <c r="V13" s="804"/>
      <c r="W13" s="808"/>
      <c r="X13" s="804"/>
      <c r="Y13" s="808"/>
      <c r="Z13" s="804"/>
      <c r="AA13" s="1006"/>
      <c r="AB13" s="1006"/>
      <c r="AC13" s="1006"/>
      <c r="AD13" s="1006"/>
    </row>
    <row r="14" spans="1:30" ht="24" customHeight="1" x14ac:dyDescent="0.3">
      <c r="A14" s="1006"/>
      <c r="B14" s="1007"/>
      <c r="C14" s="793"/>
      <c r="D14" s="793"/>
      <c r="E14" s="794"/>
      <c r="F14" s="795"/>
      <c r="G14" s="1014"/>
      <c r="H14" s="810"/>
      <c r="I14" s="810"/>
      <c r="J14" s="810"/>
      <c r="K14" s="810"/>
      <c r="L14" s="810"/>
      <c r="M14" s="810"/>
      <c r="N14" s="810"/>
      <c r="O14" s="810"/>
      <c r="P14" s="810"/>
      <c r="Q14" s="810"/>
      <c r="R14" s="810"/>
      <c r="S14" s="810"/>
      <c r="T14" s="810"/>
      <c r="U14" s="801"/>
      <c r="V14" s="810"/>
      <c r="W14" s="801"/>
      <c r="X14" s="810"/>
      <c r="Y14" s="801"/>
      <c r="Z14" s="810"/>
      <c r="AA14" s="1006"/>
      <c r="AB14" s="1006"/>
      <c r="AC14" s="1006"/>
      <c r="AD14" s="1006"/>
    </row>
    <row r="15" spans="1:30" ht="24" customHeight="1" x14ac:dyDescent="0.3">
      <c r="A15" s="1006"/>
      <c r="B15" s="1007"/>
      <c r="C15" s="802"/>
      <c r="D15" s="802"/>
      <c r="E15" s="803"/>
      <c r="F15" s="768"/>
      <c r="G15" s="949"/>
      <c r="H15" s="804"/>
      <c r="I15" s="804"/>
      <c r="J15" s="804"/>
      <c r="K15" s="804"/>
      <c r="L15" s="804"/>
      <c r="M15" s="804"/>
      <c r="N15" s="804"/>
      <c r="O15" s="804"/>
      <c r="P15" s="804"/>
      <c r="Q15" s="804"/>
      <c r="R15" s="804"/>
      <c r="S15" s="804"/>
      <c r="T15" s="804"/>
      <c r="U15" s="808"/>
      <c r="V15" s="804"/>
      <c r="W15" s="808"/>
      <c r="X15" s="804"/>
      <c r="Y15" s="808"/>
      <c r="Z15" s="804"/>
      <c r="AA15" s="1006"/>
      <c r="AB15" s="1006"/>
      <c r="AC15" s="1006"/>
      <c r="AD15" s="1006"/>
    </row>
    <row r="16" spans="1:30" ht="24" customHeight="1" x14ac:dyDescent="0.3">
      <c r="A16" s="1006"/>
      <c r="B16" s="1007"/>
      <c r="C16" s="793"/>
      <c r="D16" s="793"/>
      <c r="E16" s="794"/>
      <c r="F16" s="795"/>
      <c r="G16" s="1016"/>
      <c r="H16" s="810"/>
      <c r="I16" s="810"/>
      <c r="J16" s="810"/>
      <c r="K16" s="810"/>
      <c r="L16" s="810"/>
      <c r="M16" s="810"/>
      <c r="N16" s="810"/>
      <c r="O16" s="810"/>
      <c r="P16" s="810"/>
      <c r="Q16" s="810"/>
      <c r="R16" s="810"/>
      <c r="S16" s="810"/>
      <c r="T16" s="810"/>
      <c r="U16" s="801"/>
      <c r="V16" s="810"/>
      <c r="W16" s="801"/>
      <c r="X16" s="810"/>
      <c r="Y16" s="801"/>
      <c r="Z16" s="810"/>
      <c r="AA16" s="1006"/>
      <c r="AB16" s="1006"/>
      <c r="AC16" s="1006"/>
      <c r="AD16" s="1006"/>
    </row>
    <row r="17" spans="1:30" ht="24" customHeight="1" x14ac:dyDescent="0.3">
      <c r="A17" s="1006"/>
      <c r="B17" s="1017"/>
      <c r="C17" s="890"/>
      <c r="D17" s="890"/>
      <c r="E17" s="1018"/>
      <c r="F17" s="1019"/>
      <c r="G17" s="989"/>
      <c r="H17" s="823"/>
      <c r="I17" s="823"/>
      <c r="J17" s="823"/>
      <c r="K17" s="823"/>
      <c r="L17" s="823"/>
      <c r="M17" s="823"/>
      <c r="N17" s="823"/>
      <c r="O17" s="823"/>
      <c r="P17" s="823"/>
      <c r="Q17" s="823"/>
      <c r="R17" s="823"/>
      <c r="S17" s="823"/>
      <c r="T17" s="823"/>
      <c r="U17" s="824"/>
      <c r="V17" s="823"/>
      <c r="W17" s="824"/>
      <c r="X17" s="823"/>
      <c r="Y17" s="824"/>
      <c r="Z17" s="823"/>
      <c r="AA17" s="1006"/>
      <c r="AB17" s="1006"/>
      <c r="AC17" s="1006"/>
      <c r="AD17" s="1006"/>
    </row>
    <row r="18" spans="1:30" ht="15.75" customHeight="1" x14ac:dyDescent="0.3">
      <c r="A18" s="1006"/>
      <c r="B18" s="1020"/>
      <c r="C18" s="1006"/>
      <c r="D18" s="1006"/>
      <c r="E18" s="1006"/>
      <c r="F18" s="1006"/>
      <c r="G18" s="930"/>
      <c r="H18" s="930"/>
      <c r="I18" s="930"/>
      <c r="J18" s="930"/>
      <c r="K18" s="930"/>
      <c r="L18" s="930"/>
      <c r="M18" s="1021"/>
      <c r="N18" s="1021"/>
      <c r="O18" s="1021"/>
      <c r="P18" s="1021"/>
      <c r="Q18" s="1021"/>
      <c r="R18" s="1021"/>
      <c r="S18" s="1021"/>
      <c r="T18" s="1021"/>
      <c r="U18" s="1021"/>
      <c r="V18" s="1021"/>
      <c r="W18" s="1021"/>
      <c r="X18" s="1021"/>
      <c r="Y18" s="1021"/>
      <c r="Z18" s="1021"/>
      <c r="AA18" s="1006"/>
      <c r="AB18" s="1006"/>
      <c r="AC18" s="1006"/>
      <c r="AD18" s="1006"/>
    </row>
    <row r="19" spans="1:30" ht="15.75" customHeight="1" x14ac:dyDescent="0.3">
      <c r="A19" s="1006"/>
      <c r="B19" s="1022" t="s">
        <v>355</v>
      </c>
      <c r="C19" s="830" t="s">
        <v>356</v>
      </c>
      <c r="D19" s="1006"/>
      <c r="E19" s="1006"/>
      <c r="F19" s="1006"/>
      <c r="G19" s="930"/>
      <c r="H19" s="930"/>
      <c r="I19" s="930"/>
      <c r="J19" s="930"/>
      <c r="K19" s="930"/>
      <c r="L19" s="930"/>
      <c r="M19" s="1021"/>
      <c r="N19" s="1021"/>
      <c r="O19" s="1021"/>
      <c r="P19" s="1021"/>
      <c r="Q19" s="1021"/>
      <c r="R19" s="1021"/>
      <c r="S19" s="1021"/>
      <c r="T19" s="1021"/>
      <c r="U19" s="1021"/>
      <c r="V19" s="1021"/>
      <c r="W19" s="1021"/>
      <c r="X19" s="1021"/>
      <c r="Y19" s="1021"/>
      <c r="Z19" s="1021"/>
      <c r="AA19" s="1006"/>
      <c r="AB19" s="1006"/>
      <c r="AC19" s="1006"/>
      <c r="AD19" s="1006"/>
    </row>
    <row r="20" spans="1:30" ht="15.75" customHeight="1" x14ac:dyDescent="0.3">
      <c r="A20" s="1006"/>
      <c r="B20" s="1020"/>
      <c r="C20" s="1006"/>
      <c r="D20" s="1006"/>
      <c r="E20" s="1006"/>
      <c r="F20" s="1006"/>
      <c r="G20" s="930"/>
      <c r="H20" s="930"/>
      <c r="I20" s="930"/>
      <c r="J20" s="930"/>
      <c r="K20" s="930"/>
      <c r="L20" s="930"/>
      <c r="M20" s="1021"/>
      <c r="N20" s="1021"/>
      <c r="O20" s="1021"/>
      <c r="P20" s="1021"/>
      <c r="Q20" s="1021"/>
      <c r="R20" s="1021"/>
      <c r="S20" s="1021"/>
      <c r="T20" s="1021"/>
      <c r="U20" s="1021"/>
      <c r="V20" s="1021"/>
      <c r="W20" s="1021"/>
      <c r="X20" s="1021"/>
      <c r="Y20" s="1021"/>
      <c r="Z20" s="1021"/>
      <c r="AA20" s="1006"/>
      <c r="AB20" s="1006"/>
      <c r="AC20" s="1006"/>
      <c r="AD20" s="1006"/>
    </row>
    <row r="21" spans="1:30" ht="15.75" customHeight="1" x14ac:dyDescent="0.3">
      <c r="A21" s="1006"/>
      <c r="B21" s="4392" t="s">
        <v>357</v>
      </c>
      <c r="C21" s="4389"/>
      <c r="D21" s="1006"/>
      <c r="E21" s="1006"/>
      <c r="F21" s="1006"/>
      <c r="G21" s="930"/>
      <c r="H21" s="930"/>
      <c r="I21" s="930"/>
      <c r="J21" s="930"/>
      <c r="K21" s="930"/>
      <c r="L21" s="930"/>
      <c r="M21" s="1021"/>
      <c r="N21" s="1021"/>
      <c r="O21" s="1021"/>
      <c r="P21" s="1021"/>
      <c r="Q21" s="1021"/>
      <c r="R21" s="1021"/>
      <c r="S21" s="1021"/>
      <c r="T21" s="1021"/>
      <c r="U21" s="1021"/>
      <c r="V21" s="1021"/>
      <c r="W21" s="1021"/>
      <c r="X21" s="1021"/>
      <c r="Y21" s="1021"/>
      <c r="Z21" s="1021"/>
      <c r="AA21" s="1006"/>
      <c r="AB21" s="1006"/>
      <c r="AC21" s="1006"/>
      <c r="AD21" s="1006"/>
    </row>
    <row r="22" spans="1:30" ht="15.75" customHeight="1" x14ac:dyDescent="0.3">
      <c r="A22" s="1006"/>
      <c r="B22" s="829" t="s">
        <v>365</v>
      </c>
      <c r="C22" s="1006" t="s">
        <v>504</v>
      </c>
      <c r="D22" s="1006"/>
      <c r="E22" s="1006"/>
      <c r="F22" s="1006"/>
      <c r="G22" s="930"/>
      <c r="H22" s="930"/>
      <c r="I22" s="930"/>
      <c r="J22" s="930"/>
      <c r="K22" s="930"/>
      <c r="L22" s="930"/>
      <c r="M22" s="1021"/>
      <c r="N22" s="1021"/>
      <c r="O22" s="1021"/>
      <c r="P22" s="1021"/>
      <c r="Q22" s="1021"/>
      <c r="R22" s="1021"/>
      <c r="S22" s="1021"/>
      <c r="T22" s="1021"/>
      <c r="U22" s="1021"/>
      <c r="V22" s="1021"/>
      <c r="W22" s="1021"/>
      <c r="X22" s="1021"/>
      <c r="Y22" s="1021"/>
      <c r="Z22" s="1021"/>
      <c r="AA22" s="1006"/>
      <c r="AB22" s="1006"/>
      <c r="AC22" s="1006"/>
      <c r="AD22" s="1006"/>
    </row>
    <row r="23" spans="1:30" ht="15.75" customHeight="1" x14ac:dyDescent="0.3">
      <c r="A23" s="1006"/>
      <c r="B23" s="829" t="s">
        <v>365</v>
      </c>
      <c r="C23" s="1006" t="s">
        <v>505</v>
      </c>
      <c r="D23" s="1006"/>
      <c r="E23" s="1006"/>
      <c r="F23" s="1006"/>
      <c r="G23" s="930"/>
      <c r="H23" s="930"/>
      <c r="I23" s="930"/>
      <c r="J23" s="930"/>
      <c r="K23" s="930"/>
      <c r="L23" s="930"/>
      <c r="M23" s="1021"/>
      <c r="N23" s="1021"/>
      <c r="O23" s="1021"/>
      <c r="P23" s="1021"/>
      <c r="Q23" s="1021"/>
      <c r="R23" s="1021"/>
      <c r="S23" s="1021"/>
      <c r="T23" s="1021"/>
      <c r="U23" s="1021"/>
      <c r="V23" s="1021"/>
      <c r="W23" s="1021"/>
      <c r="X23" s="1021"/>
      <c r="Y23" s="1021"/>
      <c r="Z23" s="1021"/>
      <c r="AA23" s="1006"/>
      <c r="AB23" s="1006"/>
      <c r="AC23" s="1006"/>
      <c r="AD23" s="1006"/>
    </row>
    <row r="24" spans="1:30" ht="15.75" customHeight="1" x14ac:dyDescent="0.3"/>
    <row r="25" spans="1:30" ht="15.75" customHeight="1" x14ac:dyDescent="0.3"/>
    <row r="26" spans="1:30" ht="21" customHeight="1" x14ac:dyDescent="0.3">
      <c r="B26" s="997" t="s">
        <v>409</v>
      </c>
    </row>
    <row r="27" spans="1:30" ht="9" customHeight="1" x14ac:dyDescent="0.3">
      <c r="B27" s="997"/>
    </row>
    <row r="28" spans="1:30" ht="21" customHeight="1" x14ac:dyDescent="0.3">
      <c r="B28" s="779" t="s">
        <v>410</v>
      </c>
      <c r="C28" s="780"/>
      <c r="D28" s="780"/>
    </row>
    <row r="29" spans="1:30" ht="12" customHeight="1" x14ac:dyDescent="0.3"/>
    <row r="30" spans="1:30" ht="15.75" customHeight="1" x14ac:dyDescent="0.3">
      <c r="B30" s="999" t="s">
        <v>301</v>
      </c>
      <c r="C30" s="1000" t="s">
        <v>343</v>
      </c>
      <c r="D30" s="1001" t="s">
        <v>344</v>
      </c>
      <c r="E30" s="1001" t="s">
        <v>345</v>
      </c>
      <c r="F30" s="1001" t="s">
        <v>346</v>
      </c>
      <c r="G30" s="1002" t="s">
        <v>347</v>
      </c>
      <c r="H30" s="1003">
        <v>2025</v>
      </c>
      <c r="I30" s="1003">
        <v>2024</v>
      </c>
      <c r="J30" s="1003">
        <v>2023</v>
      </c>
      <c r="K30" s="1003">
        <v>2022</v>
      </c>
      <c r="L30" s="1003">
        <v>2021</v>
      </c>
      <c r="M30" s="1003">
        <v>2020</v>
      </c>
      <c r="N30" s="1003">
        <v>2019</v>
      </c>
      <c r="O30" s="1004">
        <v>2018</v>
      </c>
      <c r="P30" s="1004">
        <v>2017</v>
      </c>
      <c r="Q30" s="1004">
        <v>2016</v>
      </c>
      <c r="R30" s="1004">
        <v>2015</v>
      </c>
      <c r="S30" s="1004">
        <v>2014</v>
      </c>
      <c r="T30" s="1004">
        <v>2013</v>
      </c>
      <c r="U30" s="1004">
        <v>2012</v>
      </c>
      <c r="V30" s="1004">
        <v>2011</v>
      </c>
      <c r="W30" s="1004">
        <v>2010</v>
      </c>
      <c r="X30" s="1004">
        <v>2009</v>
      </c>
      <c r="Y30" s="1004">
        <v>2008</v>
      </c>
      <c r="Z30" s="1005" t="s">
        <v>332</v>
      </c>
    </row>
    <row r="31" spans="1:30" ht="36.6" customHeight="1" x14ac:dyDescent="0.3">
      <c r="B31" s="1007">
        <v>1</v>
      </c>
      <c r="C31" s="792" t="s">
        <v>474</v>
      </c>
      <c r="D31" s="795" t="s">
        <v>506</v>
      </c>
      <c r="E31" s="794" t="s">
        <v>363</v>
      </c>
      <c r="F31" s="793"/>
      <c r="G31" s="1008">
        <v>2006</v>
      </c>
      <c r="H31" s="1023"/>
      <c r="I31" s="1009">
        <v>291.10000000000002</v>
      </c>
      <c r="J31" s="1010">
        <v>182.20999999999998</v>
      </c>
      <c r="K31" s="1011">
        <v>411.05000000000007</v>
      </c>
      <c r="L31" s="1011">
        <v>319.56</v>
      </c>
      <c r="M31" s="1011">
        <v>428.04</v>
      </c>
      <c r="N31" s="1011">
        <v>399.89000000000004</v>
      </c>
      <c r="O31" s="1011">
        <v>261</v>
      </c>
      <c r="P31" s="1011">
        <v>241.54</v>
      </c>
      <c r="Q31" s="1011">
        <v>245.92</v>
      </c>
      <c r="R31" s="1011">
        <v>176.74</v>
      </c>
      <c r="S31" s="1011">
        <v>174.875</v>
      </c>
      <c r="T31" s="1011">
        <v>140.44</v>
      </c>
      <c r="U31" s="1024">
        <v>89.69</v>
      </c>
      <c r="V31" s="797">
        <v>28.55</v>
      </c>
      <c r="W31" s="801">
        <v>61.14</v>
      </c>
      <c r="X31" s="797"/>
      <c r="Y31" s="801"/>
      <c r="Z31" s="797"/>
    </row>
    <row r="32" spans="1:30" ht="45.6" customHeight="1" x14ac:dyDescent="0.3">
      <c r="B32" s="1007">
        <v>2</v>
      </c>
      <c r="C32" s="802" t="s">
        <v>474</v>
      </c>
      <c r="D32" s="768" t="s">
        <v>2332</v>
      </c>
      <c r="E32" s="803" t="s">
        <v>363</v>
      </c>
      <c r="F32" s="802"/>
      <c r="G32" s="930">
        <v>2014</v>
      </c>
      <c r="H32" s="1025"/>
      <c r="I32" s="1026">
        <f>43.81+41.35+21.56+36.9+18.47+155.94+30.73</f>
        <v>348.76</v>
      </c>
      <c r="J32" s="1012">
        <v>356.50000000000006</v>
      </c>
      <c r="K32" s="1013">
        <v>328.24999999999994</v>
      </c>
      <c r="L32" s="1013">
        <v>313.31999999999994</v>
      </c>
      <c r="M32" s="1013">
        <v>305.67999999999995</v>
      </c>
      <c r="N32" s="1013">
        <v>280</v>
      </c>
      <c r="O32" s="1013">
        <v>242.04000000000002</v>
      </c>
      <c r="P32" s="1013">
        <v>228.23</v>
      </c>
      <c r="Q32" s="1013">
        <v>218.33999999999997</v>
      </c>
      <c r="R32" s="1013">
        <v>218.94</v>
      </c>
      <c r="S32" s="1013">
        <v>0</v>
      </c>
      <c r="T32" s="1013">
        <v>0</v>
      </c>
      <c r="U32" s="1027">
        <v>0</v>
      </c>
      <c r="V32" s="804">
        <v>0</v>
      </c>
      <c r="W32" s="808">
        <v>0</v>
      </c>
      <c r="X32" s="804"/>
      <c r="Y32" s="808"/>
      <c r="Z32" s="804"/>
    </row>
    <row r="33" spans="2:26" ht="76.2" customHeight="1" x14ac:dyDescent="0.3">
      <c r="B33" s="1007">
        <v>3</v>
      </c>
      <c r="C33" s="793" t="s">
        <v>474</v>
      </c>
      <c r="D33" s="795" t="s">
        <v>1936</v>
      </c>
      <c r="E33" s="794" t="s">
        <v>363</v>
      </c>
      <c r="F33" s="793"/>
      <c r="G33" s="1028">
        <v>2014</v>
      </c>
      <c r="H33" s="1029"/>
      <c r="I33" s="1030">
        <f>3602.37+31.86+17.3+49.38</f>
        <v>3700.9100000000003</v>
      </c>
      <c r="J33" s="1015">
        <v>201.85999999999999</v>
      </c>
      <c r="K33" s="1015">
        <v>166.46</v>
      </c>
      <c r="L33" s="1015">
        <v>162.6</v>
      </c>
      <c r="M33" s="1015">
        <v>273.58</v>
      </c>
      <c r="N33" s="1015">
        <v>101.15</v>
      </c>
      <c r="O33" s="1015">
        <v>103.53</v>
      </c>
      <c r="P33" s="1015">
        <v>102.69</v>
      </c>
      <c r="Q33" s="1015">
        <v>97.21</v>
      </c>
      <c r="R33" s="1015">
        <v>218.94</v>
      </c>
      <c r="S33" s="1015">
        <v>0</v>
      </c>
      <c r="T33" s="1015">
        <v>0</v>
      </c>
      <c r="U33" s="1024">
        <v>0</v>
      </c>
      <c r="V33" s="810">
        <v>0</v>
      </c>
      <c r="W33" s="801">
        <v>0</v>
      </c>
      <c r="X33" s="810"/>
      <c r="Y33" s="801"/>
      <c r="Z33" s="810"/>
    </row>
    <row r="34" spans="2:26" ht="24" customHeight="1" x14ac:dyDescent="0.3">
      <c r="B34" s="1007">
        <v>4</v>
      </c>
      <c r="C34" s="802" t="s">
        <v>474</v>
      </c>
      <c r="D34" s="768" t="s">
        <v>493</v>
      </c>
      <c r="E34" s="803" t="s">
        <v>363</v>
      </c>
      <c r="F34" s="802"/>
      <c r="G34" s="930">
        <v>2014</v>
      </c>
      <c r="H34" s="1025"/>
      <c r="I34" s="1026">
        <v>51.59</v>
      </c>
      <c r="J34" s="1013">
        <v>55.12</v>
      </c>
      <c r="K34" s="1013">
        <v>51.33</v>
      </c>
      <c r="L34" s="1013">
        <v>52.33</v>
      </c>
      <c r="M34" s="1013">
        <v>48.8</v>
      </c>
      <c r="N34" s="1013">
        <v>47.39</v>
      </c>
      <c r="O34" s="1013">
        <v>41.6</v>
      </c>
      <c r="P34" s="1013">
        <v>40.700000000000003</v>
      </c>
      <c r="Q34" s="1013">
        <v>42.7</v>
      </c>
      <c r="R34" s="1013">
        <v>29.05</v>
      </c>
      <c r="S34" s="1013">
        <v>0</v>
      </c>
      <c r="T34" s="1013">
        <v>0</v>
      </c>
      <c r="U34" s="1027">
        <v>0</v>
      </c>
      <c r="V34" s="804">
        <v>0</v>
      </c>
      <c r="W34" s="808">
        <v>0</v>
      </c>
      <c r="X34" s="804"/>
      <c r="Y34" s="808"/>
      <c r="Z34" s="804"/>
    </row>
    <row r="35" spans="2:26" ht="31.2" customHeight="1" x14ac:dyDescent="0.3">
      <c r="B35" s="1007">
        <v>5</v>
      </c>
      <c r="C35" s="793" t="s">
        <v>474</v>
      </c>
      <c r="D35" s="795" t="s">
        <v>493</v>
      </c>
      <c r="E35" s="794" t="s">
        <v>363</v>
      </c>
      <c r="F35" s="793"/>
      <c r="G35" s="1028">
        <v>2014</v>
      </c>
      <c r="H35" s="1029"/>
      <c r="I35" s="1030">
        <v>17.98</v>
      </c>
      <c r="J35" s="1015">
        <v>14.35</v>
      </c>
      <c r="K35" s="1015">
        <v>13.55</v>
      </c>
      <c r="L35" s="1015">
        <v>14.4</v>
      </c>
      <c r="M35" s="1015">
        <v>17.97</v>
      </c>
      <c r="N35" s="1015">
        <v>16.739999999999998</v>
      </c>
      <c r="O35" s="1015">
        <v>16.93</v>
      </c>
      <c r="P35" s="1015">
        <v>13.69</v>
      </c>
      <c r="Q35" s="1015">
        <v>15.09</v>
      </c>
      <c r="R35" s="1015">
        <v>10.35</v>
      </c>
      <c r="S35" s="1015">
        <v>0</v>
      </c>
      <c r="T35" s="1015">
        <v>0</v>
      </c>
      <c r="U35" s="1024">
        <v>0</v>
      </c>
      <c r="V35" s="810">
        <v>0</v>
      </c>
      <c r="W35" s="801">
        <v>0</v>
      </c>
      <c r="X35" s="810"/>
      <c r="Y35" s="801"/>
      <c r="Z35" s="810"/>
    </row>
    <row r="36" spans="2:26" ht="34.950000000000003" customHeight="1" x14ac:dyDescent="0.3">
      <c r="B36" s="1007">
        <v>6</v>
      </c>
      <c r="C36" s="802" t="s">
        <v>474</v>
      </c>
      <c r="D36" s="768" t="s">
        <v>493</v>
      </c>
      <c r="E36" s="803" t="s">
        <v>363</v>
      </c>
      <c r="F36" s="802"/>
      <c r="G36" s="930">
        <v>2014</v>
      </c>
      <c r="H36" s="1025"/>
      <c r="I36" s="1026">
        <v>11.87</v>
      </c>
      <c r="J36" s="1013">
        <v>10.29</v>
      </c>
      <c r="K36" s="1013">
        <v>7.63</v>
      </c>
      <c r="L36" s="1013">
        <v>10.53</v>
      </c>
      <c r="M36" s="1013">
        <v>10.25</v>
      </c>
      <c r="N36" s="1013">
        <v>5.62</v>
      </c>
      <c r="O36" s="1013">
        <v>5.56</v>
      </c>
      <c r="P36" s="1013">
        <v>7.61</v>
      </c>
      <c r="Q36" s="1013">
        <v>7.29</v>
      </c>
      <c r="R36" s="1013">
        <v>4</v>
      </c>
      <c r="S36" s="1013">
        <v>0</v>
      </c>
      <c r="T36" s="1013">
        <v>0</v>
      </c>
      <c r="U36" s="1027">
        <v>0</v>
      </c>
      <c r="V36" s="804">
        <v>0</v>
      </c>
      <c r="W36" s="808">
        <v>0</v>
      </c>
      <c r="X36" s="804"/>
      <c r="Y36" s="808"/>
      <c r="Z36" s="804"/>
    </row>
    <row r="37" spans="2:26" ht="24" customHeight="1" x14ac:dyDescent="0.3">
      <c r="B37" s="1007">
        <v>7</v>
      </c>
      <c r="C37" s="793" t="s">
        <v>474</v>
      </c>
      <c r="D37" s="795" t="s">
        <v>493</v>
      </c>
      <c r="E37" s="794" t="s">
        <v>363</v>
      </c>
      <c r="F37" s="793"/>
      <c r="G37" s="1031">
        <v>2014</v>
      </c>
      <c r="H37" s="1029"/>
      <c r="I37" s="1030">
        <v>62.67</v>
      </c>
      <c r="J37" s="1032">
        <v>53.69</v>
      </c>
      <c r="K37" s="1032">
        <v>65.14</v>
      </c>
      <c r="L37" s="1032">
        <v>62.49</v>
      </c>
      <c r="M37" s="1032">
        <v>57.17</v>
      </c>
      <c r="N37" s="1032">
        <v>53.42</v>
      </c>
      <c r="O37" s="1032">
        <v>45.13</v>
      </c>
      <c r="P37" s="1032">
        <v>48.01</v>
      </c>
      <c r="Q37" s="1032">
        <v>50.55</v>
      </c>
      <c r="R37" s="1032">
        <v>36.46</v>
      </c>
      <c r="S37" s="1032">
        <v>0</v>
      </c>
      <c r="T37" s="1032">
        <v>0</v>
      </c>
      <c r="U37" s="1033">
        <v>0</v>
      </c>
      <c r="V37" s="1034">
        <v>0</v>
      </c>
      <c r="W37" s="1035">
        <v>0</v>
      </c>
      <c r="X37" s="1034"/>
      <c r="Y37" s="1035"/>
      <c r="Z37" s="810"/>
    </row>
    <row r="38" spans="2:26" ht="36.6" customHeight="1" x14ac:dyDescent="0.3">
      <c r="B38" s="1007">
        <v>8</v>
      </c>
      <c r="C38" s="802" t="s">
        <v>474</v>
      </c>
      <c r="D38" s="768" t="s">
        <v>493</v>
      </c>
      <c r="E38" s="803" t="s">
        <v>363</v>
      </c>
      <c r="F38" s="802"/>
      <c r="G38" s="1036">
        <v>2014</v>
      </c>
      <c r="H38" s="1025"/>
      <c r="I38" s="1026">
        <v>49.24</v>
      </c>
      <c r="J38" s="1037">
        <v>57.99</v>
      </c>
      <c r="K38" s="1037">
        <v>62.38</v>
      </c>
      <c r="L38" s="1037">
        <v>51.48</v>
      </c>
      <c r="M38" s="1037">
        <v>50.59</v>
      </c>
      <c r="N38" s="1037">
        <v>44.56</v>
      </c>
      <c r="O38" s="1037">
        <v>43.92</v>
      </c>
      <c r="P38" s="1037">
        <v>47.55</v>
      </c>
      <c r="Q38" s="1037">
        <v>55.63</v>
      </c>
      <c r="R38" s="1037">
        <v>32.86</v>
      </c>
      <c r="S38" s="1037">
        <v>0</v>
      </c>
      <c r="T38" s="1037">
        <v>0</v>
      </c>
      <c r="U38" s="1038">
        <v>0</v>
      </c>
      <c r="V38" s="1039">
        <v>0</v>
      </c>
      <c r="W38" s="1040">
        <v>0</v>
      </c>
      <c r="X38" s="1039"/>
      <c r="Y38" s="1040"/>
      <c r="Z38" s="804"/>
    </row>
    <row r="39" spans="2:26" ht="46.95" customHeight="1" x14ac:dyDescent="0.3">
      <c r="B39" s="1007"/>
      <c r="C39" s="793" t="s">
        <v>474</v>
      </c>
      <c r="D39" s="795" t="s">
        <v>493</v>
      </c>
      <c r="E39" s="794"/>
      <c r="F39" s="793"/>
      <c r="G39" s="1031"/>
      <c r="H39" s="1029"/>
      <c r="I39" s="1029">
        <v>196.79</v>
      </c>
      <c r="J39" s="1032">
        <v>239.18</v>
      </c>
      <c r="K39" s="1032">
        <v>224.11</v>
      </c>
      <c r="L39" s="1032">
        <v>228.93</v>
      </c>
      <c r="M39" s="1032">
        <v>219.27</v>
      </c>
      <c r="N39" s="1032">
        <v>218.72</v>
      </c>
      <c r="O39" s="1032">
        <v>208.63</v>
      </c>
      <c r="P39" s="1032">
        <v>201.08</v>
      </c>
      <c r="Q39" s="1032">
        <v>192.52</v>
      </c>
      <c r="R39" s="1032">
        <v>176.72</v>
      </c>
      <c r="S39" s="1032">
        <v>1157</v>
      </c>
      <c r="T39" s="1032"/>
      <c r="U39" s="1033"/>
      <c r="V39" s="1034"/>
      <c r="W39" s="1035"/>
      <c r="X39" s="1034"/>
      <c r="Y39" s="1035"/>
      <c r="Z39" s="810"/>
    </row>
    <row r="40" spans="2:26" ht="24" customHeight="1" x14ac:dyDescent="0.3">
      <c r="B40" s="1017"/>
      <c r="C40" s="890"/>
      <c r="D40" s="890"/>
      <c r="E40" s="1018"/>
      <c r="F40" s="890"/>
      <c r="G40" s="1041"/>
      <c r="H40" s="1042"/>
      <c r="I40" s="1042"/>
      <c r="J40" s="823"/>
      <c r="K40" s="823"/>
      <c r="L40" s="823"/>
      <c r="M40" s="823"/>
      <c r="N40" s="823"/>
      <c r="O40" s="823"/>
      <c r="P40" s="823"/>
      <c r="Q40" s="823"/>
      <c r="R40" s="823"/>
      <c r="S40" s="823"/>
      <c r="T40" s="823"/>
      <c r="U40" s="824"/>
      <c r="V40" s="823"/>
      <c r="W40" s="824"/>
      <c r="X40" s="823"/>
      <c r="Y40" s="824"/>
      <c r="Z40" s="823"/>
    </row>
    <row r="41" spans="2:26" ht="15.75" customHeight="1" x14ac:dyDescent="0.3"/>
    <row r="42" spans="2:26" ht="15.75" customHeight="1" x14ac:dyDescent="0.3">
      <c r="B42" s="1022" t="s">
        <v>355</v>
      </c>
      <c r="C42" s="830" t="s">
        <v>356</v>
      </c>
    </row>
    <row r="43" spans="2:26" ht="15.75" customHeight="1" x14ac:dyDescent="0.3"/>
    <row r="44" spans="2:26" ht="15.75" customHeight="1" x14ac:dyDescent="0.3">
      <c r="B44" s="4392" t="s">
        <v>357</v>
      </c>
      <c r="C44" s="4389"/>
    </row>
    <row r="45" spans="2:26" ht="15.75" customHeight="1" x14ac:dyDescent="0.3">
      <c r="B45" s="829" t="s">
        <v>365</v>
      </c>
      <c r="C45" s="1043" t="s">
        <v>507</v>
      </c>
    </row>
    <row r="46" spans="2:26" ht="15.75" customHeight="1" x14ac:dyDescent="0.3">
      <c r="B46" s="829" t="s">
        <v>508</v>
      </c>
      <c r="C46" s="1043" t="s">
        <v>1937</v>
      </c>
    </row>
    <row r="47" spans="2:26" ht="15.75" customHeight="1" x14ac:dyDescent="0.3"/>
    <row r="48" spans="2:2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sheetData>
  <mergeCells count="2">
    <mergeCell ref="B21:C21"/>
    <mergeCell ref="B44:C44"/>
  </mergeCells>
  <pageMargins left="0.70866141732283472" right="0.70866141732283472" top="0.74803149606299213" bottom="0.74803149606299213" header="0" footer="0"/>
  <pageSetup scale="75" orientation="landscape" r:id="rId1"/>
  <headerFooter>
    <oddHeader>&amp;R00-049CONFIDENTIAL</oddHeader>
    <oddFooter>&amp;L00-049v6 - May 2019 Property of Will Solutions Inc.</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5DE53-138A-42A7-B546-549CF6AB97CF}">
  <dimension ref="A1:G991"/>
  <sheetViews>
    <sheetView topLeftCell="A21" workbookViewId="0">
      <selection activeCell="C35" sqref="C35"/>
    </sheetView>
  </sheetViews>
  <sheetFormatPr defaultColWidth="12.44140625" defaultRowHeight="15" customHeight="1" x14ac:dyDescent="0.3"/>
  <cols>
    <col min="1" max="1" width="2.6640625" style="428" customWidth="1"/>
    <col min="2" max="2" width="35.109375" style="428" customWidth="1"/>
    <col min="3" max="3" width="21.33203125" style="428" customWidth="1"/>
    <col min="4" max="4" width="1.5546875" style="428" customWidth="1"/>
    <col min="5" max="5" width="14.6640625" style="428" customWidth="1"/>
    <col min="6" max="6" width="7.33203125" style="428" customWidth="1"/>
    <col min="7" max="7" width="11.6640625" style="428" customWidth="1"/>
    <col min="8" max="16384" width="12.44140625" style="428"/>
  </cols>
  <sheetData>
    <row r="1" spans="1:7" ht="21.75" customHeight="1" x14ac:dyDescent="0.35">
      <c r="A1" s="424"/>
      <c r="B1" s="425" t="s">
        <v>549</v>
      </c>
      <c r="D1" s="427"/>
      <c r="F1" s="427"/>
    </row>
    <row r="2" spans="1:7" ht="15.75" customHeight="1" x14ac:dyDescent="0.3">
      <c r="A2" s="424"/>
      <c r="B2" s="429" t="s">
        <v>299</v>
      </c>
      <c r="C2" s="430"/>
      <c r="D2" s="430"/>
      <c r="E2" s="430"/>
      <c r="F2" s="430"/>
    </row>
    <row r="3" spans="1:7" ht="9.75" customHeight="1" x14ac:dyDescent="0.3">
      <c r="A3" s="427"/>
      <c r="B3" s="431"/>
      <c r="D3" s="427"/>
      <c r="F3" s="427"/>
    </row>
    <row r="4" spans="1:7" ht="6" customHeight="1" x14ac:dyDescent="0.3">
      <c r="B4" s="427"/>
      <c r="D4" s="427"/>
      <c r="F4" s="427"/>
    </row>
    <row r="5" spans="1:7" ht="6" customHeight="1" x14ac:dyDescent="0.3">
      <c r="A5" s="431"/>
      <c r="D5" s="427"/>
      <c r="F5" s="427"/>
    </row>
    <row r="6" spans="1:7" ht="15.75" customHeight="1" x14ac:dyDescent="0.3">
      <c r="C6" s="428">
        <v>1000000</v>
      </c>
      <c r="D6" s="427"/>
      <c r="E6" s="427"/>
      <c r="F6" s="427"/>
    </row>
    <row r="7" spans="1:7" ht="37.200000000000003" customHeight="1" x14ac:dyDescent="0.3">
      <c r="A7" s="432"/>
      <c r="B7" s="433">
        <v>2024</v>
      </c>
      <c r="C7" s="434" t="s">
        <v>22</v>
      </c>
      <c r="D7" s="432"/>
      <c r="E7" s="435" t="s">
        <v>300</v>
      </c>
      <c r="F7" s="432"/>
      <c r="G7" s="432"/>
    </row>
    <row r="8" spans="1:7" ht="18" customHeight="1" x14ac:dyDescent="0.35">
      <c r="B8" s="436" t="s">
        <v>301</v>
      </c>
      <c r="C8" s="572">
        <v>1</v>
      </c>
      <c r="D8" s="427"/>
      <c r="E8" s="438"/>
      <c r="F8" s="427"/>
    </row>
    <row r="9" spans="1:7" ht="46.5" customHeight="1" x14ac:dyDescent="0.3">
      <c r="B9" s="439" t="s">
        <v>302</v>
      </c>
      <c r="C9" s="573" t="s">
        <v>509</v>
      </c>
      <c r="D9" s="574"/>
      <c r="E9" s="442"/>
      <c r="F9" s="443"/>
    </row>
    <row r="10" spans="1:7" ht="46.5" customHeight="1" x14ac:dyDescent="0.3">
      <c r="B10" s="444" t="s">
        <v>304</v>
      </c>
      <c r="C10" s="445" t="s">
        <v>510</v>
      </c>
      <c r="D10" s="574"/>
      <c r="E10" s="446"/>
      <c r="F10" s="443"/>
    </row>
    <row r="11" spans="1:7" ht="18.75" customHeight="1" x14ac:dyDescent="0.3">
      <c r="A11" s="447"/>
      <c r="B11" s="448" t="s">
        <v>306</v>
      </c>
      <c r="C11" s="575">
        <f>(C17*C18)</f>
        <v>18.532463781812748</v>
      </c>
      <c r="D11" s="576"/>
      <c r="E11" s="451">
        <f>SUM(C11:C11)</f>
        <v>18.532463781812748</v>
      </c>
      <c r="F11" s="452"/>
      <c r="G11" s="447"/>
    </row>
    <row r="12" spans="1:7" ht="18.75" customHeight="1" x14ac:dyDescent="0.3">
      <c r="A12" s="447"/>
      <c r="B12" s="453" t="s">
        <v>307</v>
      </c>
      <c r="C12" s="577">
        <f>(C22*C23)+(C27*C28)</f>
        <v>15.145342651103674</v>
      </c>
      <c r="D12" s="455"/>
      <c r="E12" s="456">
        <f>SUM(C12:C12)</f>
        <v>15.145342651103674</v>
      </c>
      <c r="F12" s="457"/>
      <c r="G12" s="447"/>
    </row>
    <row r="13" spans="1:7" ht="18.75" customHeight="1" x14ac:dyDescent="0.3">
      <c r="A13" s="447"/>
      <c r="B13" s="448" t="s">
        <v>308</v>
      </c>
      <c r="C13" s="578" t="s">
        <v>8</v>
      </c>
      <c r="D13" s="459"/>
      <c r="E13" s="460"/>
      <c r="F13" s="461"/>
      <c r="G13" s="447"/>
    </row>
    <row r="14" spans="1:7" ht="18.75" customHeight="1" x14ac:dyDescent="0.3">
      <c r="A14" s="447"/>
      <c r="B14" s="462" t="s">
        <v>309</v>
      </c>
      <c r="C14" s="579">
        <f t="shared" ref="C14" si="0">C11-C12</f>
        <v>3.3871211307090743</v>
      </c>
      <c r="D14" s="455"/>
      <c r="E14" s="464">
        <f>SUM(C14:C14)</f>
        <v>3.3871211307090743</v>
      </c>
      <c r="F14" s="457"/>
      <c r="G14" s="447"/>
    </row>
    <row r="15" spans="1:7" ht="19.5" customHeight="1" x14ac:dyDescent="0.4">
      <c r="B15" s="465" t="s">
        <v>310</v>
      </c>
      <c r="C15" s="580"/>
      <c r="D15" s="467"/>
      <c r="E15" s="468"/>
      <c r="F15" s="467"/>
      <c r="G15" s="427"/>
    </row>
    <row r="16" spans="1:7" ht="35.4" customHeight="1" x14ac:dyDescent="0.3">
      <c r="A16" s="447"/>
      <c r="B16" s="469" t="s">
        <v>311</v>
      </c>
      <c r="C16" s="601" t="s">
        <v>511</v>
      </c>
      <c r="D16" s="581"/>
      <c r="E16" s="471"/>
      <c r="F16" s="457"/>
      <c r="G16" s="447"/>
    </row>
    <row r="17" spans="1:7" ht="21" customHeight="1" x14ac:dyDescent="0.3">
      <c r="A17" s="447"/>
      <c r="B17" s="472" t="s">
        <v>313</v>
      </c>
      <c r="C17" s="582">
        <f>'CF-0115|GDS'!I11</f>
        <v>12039.602480759173</v>
      </c>
      <c r="D17" s="583"/>
      <c r="F17" s="475"/>
      <c r="G17" s="447"/>
    </row>
    <row r="18" spans="1:7" ht="18.75" customHeight="1" x14ac:dyDescent="0.3">
      <c r="A18" s="447"/>
      <c r="B18" s="476" t="s">
        <v>314</v>
      </c>
      <c r="C18" s="584">
        <v>1.5392919999999998E-3</v>
      </c>
      <c r="D18" s="478"/>
      <c r="F18" s="479"/>
      <c r="G18" s="447"/>
    </row>
    <row r="19" spans="1:7" ht="19.5" customHeight="1" x14ac:dyDescent="0.3">
      <c r="A19" s="447"/>
      <c r="B19" s="480" t="s">
        <v>315</v>
      </c>
      <c r="C19" s="585">
        <f>C17*C18</f>
        <v>18.532463781812748</v>
      </c>
      <c r="D19" s="586"/>
      <c r="F19" s="479"/>
      <c r="G19" s="447"/>
    </row>
    <row r="20" spans="1:7" ht="21" customHeight="1" x14ac:dyDescent="0.4">
      <c r="B20" s="465" t="s">
        <v>316</v>
      </c>
      <c r="C20" s="587"/>
      <c r="D20" s="483"/>
      <c r="E20" s="484"/>
      <c r="F20" s="483"/>
    </row>
    <row r="21" spans="1:7" ht="32.4" customHeight="1" x14ac:dyDescent="0.3">
      <c r="A21" s="447"/>
      <c r="B21" s="469" t="s">
        <v>183</v>
      </c>
      <c r="C21" s="601" t="s">
        <v>352</v>
      </c>
      <c r="D21" s="588"/>
      <c r="E21" s="485"/>
      <c r="F21" s="479"/>
      <c r="G21" s="447"/>
    </row>
    <row r="22" spans="1:7" ht="21" customHeight="1" x14ac:dyDescent="0.3">
      <c r="A22" s="447"/>
      <c r="B22" s="486" t="s">
        <v>319</v>
      </c>
      <c r="C22" s="589">
        <f>'CF-0115|GDS'!I12</f>
        <v>286816.77076686756</v>
      </c>
      <c r="D22" s="479"/>
      <c r="E22" s="488"/>
      <c r="F22" s="479"/>
      <c r="G22" s="447"/>
    </row>
    <row r="23" spans="1:7" ht="21" customHeight="1" x14ac:dyDescent="0.3">
      <c r="A23" s="447"/>
      <c r="B23" s="489" t="s">
        <v>314</v>
      </c>
      <c r="C23" s="590">
        <v>1.7E-6</v>
      </c>
      <c r="D23" s="588"/>
      <c r="E23" s="491"/>
      <c r="F23" s="479"/>
      <c r="G23" s="447"/>
    </row>
    <row r="24" spans="1:7" ht="21" customHeight="1" x14ac:dyDescent="0.3">
      <c r="A24" s="447"/>
      <c r="B24" s="492" t="s">
        <v>315</v>
      </c>
      <c r="C24" s="591">
        <f t="shared" ref="C24" si="1">C22*C23</f>
        <v>0.48758851030367484</v>
      </c>
      <c r="D24" s="588"/>
      <c r="E24" s="494"/>
      <c r="F24" s="479"/>
      <c r="G24" s="447"/>
    </row>
    <row r="25" spans="1:7" ht="21" customHeight="1" x14ac:dyDescent="0.4">
      <c r="B25" s="465" t="s">
        <v>316</v>
      </c>
      <c r="C25" s="587"/>
      <c r="D25" s="483"/>
      <c r="E25" s="495"/>
      <c r="F25" s="483"/>
    </row>
    <row r="26" spans="1:7" ht="30.6" customHeight="1" x14ac:dyDescent="0.3">
      <c r="A26" s="447"/>
      <c r="B26" s="469" t="s">
        <v>183</v>
      </c>
      <c r="C26" s="601" t="s">
        <v>400</v>
      </c>
      <c r="D26" s="588"/>
      <c r="E26" s="496"/>
      <c r="F26" s="479"/>
      <c r="G26" s="447"/>
    </row>
    <row r="27" spans="1:7" ht="21" customHeight="1" x14ac:dyDescent="0.3">
      <c r="A27" s="447"/>
      <c r="B27" s="486" t="s">
        <v>313</v>
      </c>
      <c r="C27" s="589">
        <f>'CF-0115|GDS'!I10</f>
        <v>9522.4</v>
      </c>
      <c r="D27" s="479"/>
      <c r="E27" s="488"/>
      <c r="F27" s="479"/>
      <c r="G27" s="447"/>
    </row>
    <row r="28" spans="1:7" ht="21" customHeight="1" x14ac:dyDescent="0.3">
      <c r="A28" s="447"/>
      <c r="B28" s="489" t="s">
        <v>314</v>
      </c>
      <c r="C28" s="590">
        <v>1.5392919999999998E-3</v>
      </c>
      <c r="D28" s="588"/>
      <c r="E28" s="491"/>
      <c r="F28" s="479"/>
      <c r="G28" s="447"/>
    </row>
    <row r="29" spans="1:7" ht="21" customHeight="1" x14ac:dyDescent="0.3">
      <c r="A29" s="447"/>
      <c r="B29" s="492" t="s">
        <v>315</v>
      </c>
      <c r="C29" s="591">
        <f t="shared" ref="C29" si="2">C27*C28</f>
        <v>14.657754140799998</v>
      </c>
      <c r="D29" s="588"/>
      <c r="E29" s="494"/>
      <c r="F29" s="479"/>
      <c r="G29" s="447"/>
    </row>
    <row r="30" spans="1:7" ht="28.5" customHeight="1" x14ac:dyDescent="0.3">
      <c r="A30" s="447"/>
      <c r="B30" s="498" t="s">
        <v>320</v>
      </c>
      <c r="C30" s="592" t="s">
        <v>499</v>
      </c>
      <c r="D30" s="593"/>
      <c r="E30" s="501"/>
      <c r="F30" s="500"/>
      <c r="G30" s="447"/>
    </row>
    <row r="31" spans="1:7" ht="24" customHeight="1" x14ac:dyDescent="0.3">
      <c r="B31" s="502" t="s">
        <v>322</v>
      </c>
      <c r="C31" s="594">
        <v>3</v>
      </c>
      <c r="D31" s="504"/>
      <c r="E31" s="505"/>
      <c r="F31" s="504"/>
    </row>
    <row r="32" spans="1:7" ht="33" customHeight="1" x14ac:dyDescent="0.3">
      <c r="A32" s="447"/>
      <c r="B32" s="506" t="s">
        <v>323</v>
      </c>
      <c r="C32" s="595" t="s">
        <v>324</v>
      </c>
      <c r="D32" s="479"/>
      <c r="E32" s="496"/>
      <c r="F32" s="479"/>
      <c r="G32" s="447"/>
    </row>
    <row r="33" spans="1:7" ht="33" customHeight="1" x14ac:dyDescent="0.3">
      <c r="A33" s="447"/>
      <c r="B33" s="508" t="s">
        <v>325</v>
      </c>
      <c r="C33" s="596" t="s">
        <v>326</v>
      </c>
      <c r="D33" s="479"/>
      <c r="E33" s="496"/>
      <c r="F33" s="479"/>
      <c r="G33" s="447"/>
    </row>
    <row r="34" spans="1:7" ht="33" customHeight="1" x14ac:dyDescent="0.3">
      <c r="A34" s="447"/>
      <c r="B34" s="506" t="s">
        <v>327</v>
      </c>
      <c r="C34" s="595" t="s">
        <v>729</v>
      </c>
      <c r="D34" s="479"/>
      <c r="E34" s="496"/>
      <c r="F34" s="479"/>
      <c r="G34" s="447"/>
    </row>
    <row r="35" spans="1:7" ht="21" customHeight="1" x14ac:dyDescent="0.3">
      <c r="B35" s="510" t="s">
        <v>329</v>
      </c>
      <c r="C35" s="596">
        <v>1</v>
      </c>
      <c r="D35" s="467"/>
      <c r="E35" s="467"/>
      <c r="F35" s="467"/>
    </row>
    <row r="36" spans="1:7" ht="21" customHeight="1" x14ac:dyDescent="0.3">
      <c r="B36" s="453" t="s">
        <v>330</v>
      </c>
      <c r="C36" s="595" t="s">
        <v>324</v>
      </c>
      <c r="D36" s="483"/>
      <c r="E36" s="495"/>
      <c r="F36" s="483"/>
    </row>
    <row r="37" spans="1:7" ht="21" customHeight="1" x14ac:dyDescent="0.3">
      <c r="B37" s="510" t="s">
        <v>331</v>
      </c>
      <c r="C37" s="596" t="s">
        <v>324</v>
      </c>
      <c r="D37" s="483"/>
      <c r="E37" s="495"/>
      <c r="F37" s="483"/>
    </row>
    <row r="38" spans="1:7" ht="21" customHeight="1" x14ac:dyDescent="0.3">
      <c r="B38" s="462" t="s">
        <v>332</v>
      </c>
      <c r="C38" s="555" t="s">
        <v>333</v>
      </c>
      <c r="D38" s="483"/>
      <c r="E38" s="495"/>
      <c r="F38" s="483"/>
    </row>
    <row r="39" spans="1:7" ht="15.75" customHeight="1" x14ac:dyDescent="0.3">
      <c r="B39" s="427"/>
      <c r="C39" s="427"/>
      <c r="D39" s="483"/>
      <c r="E39" s="483"/>
      <c r="F39" s="483"/>
    </row>
    <row r="40" spans="1:7" ht="15.75" customHeight="1" x14ac:dyDescent="0.3">
      <c r="B40" s="512" t="s">
        <v>334</v>
      </c>
      <c r="C40" s="427"/>
      <c r="D40" s="483"/>
      <c r="E40" s="483"/>
      <c r="F40" s="483"/>
    </row>
    <row r="41" spans="1:7" ht="15.75" customHeight="1" x14ac:dyDescent="0.3">
      <c r="B41" s="512" t="s">
        <v>335</v>
      </c>
      <c r="C41" s="427"/>
      <c r="D41" s="483"/>
      <c r="E41" s="483"/>
      <c r="F41" s="483"/>
    </row>
    <row r="42" spans="1:7" ht="15.75" customHeight="1" x14ac:dyDescent="0.3">
      <c r="B42" s="512" t="s">
        <v>336</v>
      </c>
      <c r="C42" s="427"/>
      <c r="D42" s="483"/>
      <c r="E42" s="483"/>
      <c r="F42" s="483"/>
    </row>
    <row r="43" spans="1:7" ht="15.75" customHeight="1" x14ac:dyDescent="0.3">
      <c r="B43" s="512" t="s">
        <v>337</v>
      </c>
      <c r="C43" s="427"/>
      <c r="D43" s="483"/>
      <c r="E43" s="483"/>
      <c r="F43" s="483"/>
    </row>
    <row r="44" spans="1:7" ht="15.75" customHeight="1" x14ac:dyDescent="0.3">
      <c r="B44" s="512" t="s">
        <v>338</v>
      </c>
      <c r="D44" s="427"/>
      <c r="F44" s="427"/>
    </row>
    <row r="45" spans="1:7" ht="15.75" customHeight="1" x14ac:dyDescent="0.3">
      <c r="B45" s="512" t="s">
        <v>339</v>
      </c>
      <c r="D45" s="427"/>
      <c r="F45" s="427"/>
    </row>
    <row r="46" spans="1:7" ht="15.75" customHeight="1" x14ac:dyDescent="0.3">
      <c r="D46" s="427"/>
      <c r="F46" s="427"/>
    </row>
    <row r="47" spans="1:7" ht="15.75" customHeight="1" x14ac:dyDescent="0.3">
      <c r="D47" s="427"/>
      <c r="F47" s="427"/>
    </row>
    <row r="48" spans="1:7" ht="15.75" customHeight="1" x14ac:dyDescent="0.3">
      <c r="D48" s="427"/>
      <c r="F48" s="427"/>
    </row>
    <row r="49" spans="4:6" ht="15.75" customHeight="1" x14ac:dyDescent="0.3">
      <c r="D49" s="427"/>
      <c r="F49" s="427"/>
    </row>
    <row r="50" spans="4:6" ht="15.75" customHeight="1" x14ac:dyDescent="0.3">
      <c r="D50" s="427"/>
      <c r="F50" s="427"/>
    </row>
    <row r="51" spans="4:6" ht="15.75" customHeight="1" x14ac:dyDescent="0.3">
      <c r="D51" s="427"/>
      <c r="F51" s="427"/>
    </row>
    <row r="52" spans="4:6" ht="15.75" customHeight="1" x14ac:dyDescent="0.3">
      <c r="D52" s="427"/>
      <c r="F52" s="427"/>
    </row>
    <row r="53" spans="4:6" ht="15.75" customHeight="1" x14ac:dyDescent="0.3">
      <c r="D53" s="427"/>
      <c r="F53" s="427"/>
    </row>
    <row r="54" spans="4:6" ht="15.75" customHeight="1" x14ac:dyDescent="0.3">
      <c r="D54" s="427"/>
      <c r="F54" s="427"/>
    </row>
    <row r="55" spans="4:6" ht="15.75" customHeight="1" x14ac:dyDescent="0.3">
      <c r="D55" s="427"/>
      <c r="F55" s="427"/>
    </row>
    <row r="56" spans="4:6" ht="15.75" customHeight="1" x14ac:dyDescent="0.3">
      <c r="D56" s="427"/>
      <c r="F56" s="427"/>
    </row>
    <row r="57" spans="4:6" ht="15.75" customHeight="1" x14ac:dyDescent="0.3">
      <c r="D57" s="427"/>
      <c r="F57" s="427"/>
    </row>
    <row r="58" spans="4:6" ht="15.75" customHeight="1" x14ac:dyDescent="0.3">
      <c r="D58" s="427"/>
      <c r="F58" s="427"/>
    </row>
    <row r="59" spans="4:6" ht="15.75" customHeight="1" x14ac:dyDescent="0.3">
      <c r="D59" s="427"/>
      <c r="F59" s="427"/>
    </row>
    <row r="60" spans="4:6" ht="15.75" customHeight="1" x14ac:dyDescent="0.3">
      <c r="D60" s="427"/>
      <c r="F60" s="427"/>
    </row>
    <row r="61" spans="4:6" ht="15.75" customHeight="1" x14ac:dyDescent="0.3">
      <c r="D61" s="427"/>
      <c r="F61" s="427"/>
    </row>
    <row r="62" spans="4:6" ht="15.75" customHeight="1" x14ac:dyDescent="0.3">
      <c r="D62" s="427"/>
      <c r="F62" s="427"/>
    </row>
    <row r="63" spans="4:6" ht="15.75" customHeight="1" x14ac:dyDescent="0.3">
      <c r="D63" s="427"/>
      <c r="F63" s="427"/>
    </row>
    <row r="64" spans="4:6" ht="15.75" customHeight="1" x14ac:dyDescent="0.3">
      <c r="D64" s="427"/>
      <c r="F64" s="427"/>
    </row>
    <row r="65" spans="4:6" ht="15.75" customHeight="1" x14ac:dyDescent="0.3">
      <c r="D65" s="427"/>
      <c r="F65" s="427"/>
    </row>
    <row r="66" spans="4:6" ht="15.75" customHeight="1" x14ac:dyDescent="0.3">
      <c r="D66" s="427"/>
      <c r="F66" s="427"/>
    </row>
    <row r="67" spans="4:6" ht="15.75" customHeight="1" x14ac:dyDescent="0.3">
      <c r="D67" s="427"/>
      <c r="F67" s="427"/>
    </row>
    <row r="68" spans="4:6" ht="15.75" customHeight="1" x14ac:dyDescent="0.3">
      <c r="D68" s="427"/>
      <c r="F68" s="427"/>
    </row>
    <row r="69" spans="4:6" ht="15.75" customHeight="1" x14ac:dyDescent="0.3">
      <c r="D69" s="427"/>
      <c r="F69" s="427"/>
    </row>
    <row r="70" spans="4:6" ht="15.75" customHeight="1" x14ac:dyDescent="0.3">
      <c r="D70" s="427"/>
      <c r="F70" s="427"/>
    </row>
    <row r="71" spans="4:6" ht="15.75" customHeight="1" x14ac:dyDescent="0.3">
      <c r="D71" s="427"/>
      <c r="F71" s="427"/>
    </row>
    <row r="72" spans="4:6" ht="15.75" customHeight="1" x14ac:dyDescent="0.3">
      <c r="D72" s="427"/>
      <c r="F72" s="427"/>
    </row>
    <row r="73" spans="4:6" ht="15.75" customHeight="1" x14ac:dyDescent="0.3">
      <c r="D73" s="427"/>
      <c r="F73" s="427"/>
    </row>
    <row r="74" spans="4:6" ht="15.75" customHeight="1" x14ac:dyDescent="0.3">
      <c r="D74" s="427"/>
      <c r="F74" s="427"/>
    </row>
    <row r="75" spans="4:6" ht="15.75" customHeight="1" x14ac:dyDescent="0.3">
      <c r="D75" s="427"/>
      <c r="F75" s="427"/>
    </row>
    <row r="76" spans="4:6" ht="15.75" customHeight="1" x14ac:dyDescent="0.3">
      <c r="D76" s="427"/>
      <c r="F76" s="427"/>
    </row>
    <row r="77" spans="4:6" ht="15.75" customHeight="1" x14ac:dyDescent="0.3">
      <c r="D77" s="427"/>
      <c r="F77" s="427"/>
    </row>
    <row r="78" spans="4:6" ht="15.75" customHeight="1" x14ac:dyDescent="0.3">
      <c r="D78" s="427"/>
      <c r="F78" s="427"/>
    </row>
    <row r="79" spans="4:6" ht="15.75" customHeight="1" x14ac:dyDescent="0.3">
      <c r="D79" s="427"/>
      <c r="F79" s="427"/>
    </row>
    <row r="80" spans="4:6" ht="15.75" customHeight="1" x14ac:dyDescent="0.3">
      <c r="D80" s="427"/>
      <c r="F80" s="427"/>
    </row>
    <row r="81" spans="4:6" ht="15.75" customHeight="1" x14ac:dyDescent="0.3">
      <c r="D81" s="427"/>
      <c r="F81" s="427"/>
    </row>
    <row r="82" spans="4:6" ht="15.75" customHeight="1" x14ac:dyDescent="0.3">
      <c r="D82" s="427"/>
      <c r="F82" s="427"/>
    </row>
    <row r="83" spans="4:6" ht="15.75" customHeight="1" x14ac:dyDescent="0.3">
      <c r="D83" s="427"/>
      <c r="F83" s="427"/>
    </row>
    <row r="84" spans="4:6" ht="15.75" customHeight="1" x14ac:dyDescent="0.3">
      <c r="D84" s="427"/>
      <c r="F84" s="427"/>
    </row>
    <row r="85" spans="4:6" ht="15.75" customHeight="1" x14ac:dyDescent="0.3">
      <c r="D85" s="427"/>
      <c r="F85" s="427"/>
    </row>
    <row r="86" spans="4:6" ht="15.75" customHeight="1" x14ac:dyDescent="0.3">
      <c r="D86" s="427"/>
      <c r="F86" s="427"/>
    </row>
    <row r="87" spans="4:6" ht="15.75" customHeight="1" x14ac:dyDescent="0.3">
      <c r="D87" s="427"/>
      <c r="F87" s="427"/>
    </row>
    <row r="88" spans="4:6" ht="15.75" customHeight="1" x14ac:dyDescent="0.3">
      <c r="D88" s="427"/>
      <c r="F88" s="427"/>
    </row>
    <row r="89" spans="4:6" ht="15.75" customHeight="1" x14ac:dyDescent="0.3">
      <c r="D89" s="427"/>
      <c r="F89" s="427"/>
    </row>
    <row r="90" spans="4:6" ht="15.75" customHeight="1" x14ac:dyDescent="0.3">
      <c r="D90" s="427"/>
      <c r="F90" s="427"/>
    </row>
    <row r="91" spans="4:6" ht="15.75" customHeight="1" x14ac:dyDescent="0.3">
      <c r="D91" s="427"/>
      <c r="F91" s="427"/>
    </row>
    <row r="92" spans="4:6" ht="15.75" customHeight="1" x14ac:dyDescent="0.3">
      <c r="D92" s="427"/>
      <c r="F92" s="427"/>
    </row>
    <row r="93" spans="4:6" ht="15.75" customHeight="1" x14ac:dyDescent="0.3">
      <c r="D93" s="427"/>
      <c r="F93" s="427"/>
    </row>
    <row r="94" spans="4:6" ht="15.75" customHeight="1" x14ac:dyDescent="0.3">
      <c r="D94" s="427"/>
      <c r="F94" s="427"/>
    </row>
    <row r="95" spans="4:6" ht="15.75" customHeight="1" x14ac:dyDescent="0.3">
      <c r="D95" s="427"/>
      <c r="F95" s="427"/>
    </row>
    <row r="96" spans="4:6" ht="15.75" customHeight="1" x14ac:dyDescent="0.3">
      <c r="D96" s="427"/>
      <c r="F96" s="427"/>
    </row>
    <row r="97" spans="4:6" ht="15.75" customHeight="1" x14ac:dyDescent="0.3">
      <c r="D97" s="427"/>
      <c r="F97" s="427"/>
    </row>
    <row r="98" spans="4:6" ht="15.75" customHeight="1" x14ac:dyDescent="0.3">
      <c r="D98" s="427"/>
      <c r="F98" s="427"/>
    </row>
    <row r="99" spans="4:6" ht="15.75" customHeight="1" x14ac:dyDescent="0.3">
      <c r="D99" s="427"/>
      <c r="F99" s="427"/>
    </row>
    <row r="100" spans="4:6" ht="15.75" customHeight="1" x14ac:dyDescent="0.3">
      <c r="D100" s="427"/>
      <c r="F100" s="427"/>
    </row>
    <row r="101" spans="4:6" ht="15.75" customHeight="1" x14ac:dyDescent="0.3">
      <c r="D101" s="427"/>
      <c r="F101" s="427"/>
    </row>
    <row r="102" spans="4:6" ht="15.75" customHeight="1" x14ac:dyDescent="0.3">
      <c r="D102" s="427"/>
      <c r="F102" s="427"/>
    </row>
    <row r="103" spans="4:6" ht="15.75" customHeight="1" x14ac:dyDescent="0.3">
      <c r="D103" s="427"/>
      <c r="F103" s="427"/>
    </row>
    <row r="104" spans="4:6" ht="15.75" customHeight="1" x14ac:dyDescent="0.3">
      <c r="D104" s="427"/>
      <c r="F104" s="427"/>
    </row>
    <row r="105" spans="4:6" ht="15.75" customHeight="1" x14ac:dyDescent="0.3">
      <c r="D105" s="427"/>
      <c r="F105" s="427"/>
    </row>
    <row r="106" spans="4:6" ht="15.75" customHeight="1" x14ac:dyDescent="0.3">
      <c r="D106" s="427"/>
      <c r="F106" s="427"/>
    </row>
    <row r="107" spans="4:6" ht="15.75" customHeight="1" x14ac:dyDescent="0.3">
      <c r="D107" s="427"/>
      <c r="F107" s="427"/>
    </row>
    <row r="108" spans="4:6" ht="15.75" customHeight="1" x14ac:dyDescent="0.3">
      <c r="D108" s="427"/>
      <c r="F108" s="427"/>
    </row>
    <row r="109" spans="4:6" ht="15.75" customHeight="1" x14ac:dyDescent="0.3">
      <c r="D109" s="427"/>
      <c r="F109" s="427"/>
    </row>
    <row r="110" spans="4:6" ht="15.75" customHeight="1" x14ac:dyDescent="0.3">
      <c r="D110" s="427"/>
      <c r="F110" s="427"/>
    </row>
    <row r="111" spans="4:6" ht="15.75" customHeight="1" x14ac:dyDescent="0.3">
      <c r="D111" s="427"/>
      <c r="F111" s="427"/>
    </row>
    <row r="112" spans="4:6" ht="15.75" customHeight="1" x14ac:dyDescent="0.3">
      <c r="D112" s="427"/>
      <c r="F112" s="427"/>
    </row>
    <row r="113" spans="4:6" ht="15.75" customHeight="1" x14ac:dyDescent="0.3">
      <c r="D113" s="427"/>
      <c r="F113" s="427"/>
    </row>
    <row r="114" spans="4:6" ht="15.75" customHeight="1" x14ac:dyDescent="0.3">
      <c r="D114" s="427"/>
      <c r="F114" s="427"/>
    </row>
    <row r="115" spans="4:6" ht="15.75" customHeight="1" x14ac:dyDescent="0.3">
      <c r="D115" s="427"/>
      <c r="F115" s="427"/>
    </row>
    <row r="116" spans="4:6" ht="15.75" customHeight="1" x14ac:dyDescent="0.3">
      <c r="D116" s="427"/>
      <c r="F116" s="427"/>
    </row>
    <row r="117" spans="4:6" ht="15.75" customHeight="1" x14ac:dyDescent="0.3">
      <c r="D117" s="427"/>
      <c r="F117" s="427"/>
    </row>
    <row r="118" spans="4:6" ht="15.75" customHeight="1" x14ac:dyDescent="0.3">
      <c r="D118" s="427"/>
      <c r="F118" s="427"/>
    </row>
    <row r="119" spans="4:6" ht="15.75" customHeight="1" x14ac:dyDescent="0.3">
      <c r="D119" s="427"/>
      <c r="F119" s="427"/>
    </row>
    <row r="120" spans="4:6" ht="15.75" customHeight="1" x14ac:dyDescent="0.3">
      <c r="D120" s="427"/>
      <c r="F120" s="427"/>
    </row>
    <row r="121" spans="4:6" ht="15.75" customHeight="1" x14ac:dyDescent="0.3">
      <c r="D121" s="427"/>
      <c r="F121" s="427"/>
    </row>
    <row r="122" spans="4:6" ht="15.75" customHeight="1" x14ac:dyDescent="0.3">
      <c r="D122" s="427"/>
      <c r="F122" s="427"/>
    </row>
    <row r="123" spans="4:6" ht="15.75" customHeight="1" x14ac:dyDescent="0.3">
      <c r="D123" s="427"/>
      <c r="F123" s="427"/>
    </row>
    <row r="124" spans="4:6" ht="15.75" customHeight="1" x14ac:dyDescent="0.3">
      <c r="D124" s="427"/>
      <c r="F124" s="427"/>
    </row>
    <row r="125" spans="4:6" ht="15.75" customHeight="1" x14ac:dyDescent="0.3">
      <c r="D125" s="427"/>
      <c r="F125" s="427"/>
    </row>
    <row r="126" spans="4:6" ht="15.75" customHeight="1" x14ac:dyDescent="0.3">
      <c r="D126" s="427"/>
      <c r="F126" s="427"/>
    </row>
    <row r="127" spans="4:6" ht="15.75" customHeight="1" x14ac:dyDescent="0.3">
      <c r="D127" s="427"/>
      <c r="F127" s="427"/>
    </row>
    <row r="128" spans="4:6" ht="15.75" customHeight="1" x14ac:dyDescent="0.3">
      <c r="D128" s="427"/>
      <c r="F128" s="427"/>
    </row>
    <row r="129" spans="4:6" ht="15.75" customHeight="1" x14ac:dyDescent="0.3">
      <c r="D129" s="427"/>
      <c r="F129" s="427"/>
    </row>
    <row r="130" spans="4:6" ht="15.75" customHeight="1" x14ac:dyDescent="0.3">
      <c r="D130" s="427"/>
      <c r="F130" s="427"/>
    </row>
    <row r="131" spans="4:6" ht="15.75" customHeight="1" x14ac:dyDescent="0.3">
      <c r="D131" s="427"/>
      <c r="F131" s="427"/>
    </row>
    <row r="132" spans="4:6" ht="15.75" customHeight="1" x14ac:dyDescent="0.3">
      <c r="D132" s="427"/>
      <c r="F132" s="427"/>
    </row>
    <row r="133" spans="4:6" ht="15.75" customHeight="1" x14ac:dyDescent="0.3">
      <c r="D133" s="427"/>
      <c r="F133" s="427"/>
    </row>
    <row r="134" spans="4:6" ht="15.75" customHeight="1" x14ac:dyDescent="0.3">
      <c r="D134" s="427"/>
      <c r="F134" s="427"/>
    </row>
    <row r="135" spans="4:6" ht="15.75" customHeight="1" x14ac:dyDescent="0.3">
      <c r="D135" s="427"/>
      <c r="F135" s="427"/>
    </row>
    <row r="136" spans="4:6" ht="15.75" customHeight="1" x14ac:dyDescent="0.3">
      <c r="D136" s="427"/>
      <c r="F136" s="427"/>
    </row>
    <row r="137" spans="4:6" ht="15.75" customHeight="1" x14ac:dyDescent="0.3">
      <c r="D137" s="427"/>
      <c r="F137" s="427"/>
    </row>
    <row r="138" spans="4:6" ht="15.75" customHeight="1" x14ac:dyDescent="0.3">
      <c r="D138" s="427"/>
      <c r="F138" s="427"/>
    </row>
    <row r="139" spans="4:6" ht="15.75" customHeight="1" x14ac:dyDescent="0.3">
      <c r="D139" s="427"/>
      <c r="F139" s="427"/>
    </row>
    <row r="140" spans="4:6" ht="15.75" customHeight="1" x14ac:dyDescent="0.3">
      <c r="D140" s="427"/>
      <c r="F140" s="427"/>
    </row>
    <row r="141" spans="4:6" ht="15.75" customHeight="1" x14ac:dyDescent="0.3">
      <c r="D141" s="427"/>
      <c r="F141" s="427"/>
    </row>
    <row r="142" spans="4:6" ht="15.75" customHeight="1" x14ac:dyDescent="0.3">
      <c r="D142" s="427"/>
      <c r="F142" s="427"/>
    </row>
    <row r="143" spans="4:6" ht="15.75" customHeight="1" x14ac:dyDescent="0.3">
      <c r="D143" s="427"/>
      <c r="F143" s="427"/>
    </row>
    <row r="144" spans="4:6" ht="15.75" customHeight="1" x14ac:dyDescent="0.3">
      <c r="D144" s="427"/>
      <c r="F144" s="427"/>
    </row>
    <row r="145" spans="4:6" ht="15.75" customHeight="1" x14ac:dyDescent="0.3">
      <c r="D145" s="427"/>
      <c r="F145" s="427"/>
    </row>
    <row r="146" spans="4:6" ht="15.75" customHeight="1" x14ac:dyDescent="0.3">
      <c r="D146" s="427"/>
      <c r="F146" s="427"/>
    </row>
    <row r="147" spans="4:6" ht="15.75" customHeight="1" x14ac:dyDescent="0.3">
      <c r="D147" s="427"/>
      <c r="F147" s="427"/>
    </row>
    <row r="148" spans="4:6" ht="15.75" customHeight="1" x14ac:dyDescent="0.3">
      <c r="D148" s="427"/>
      <c r="F148" s="427"/>
    </row>
    <row r="149" spans="4:6" ht="15.75" customHeight="1" x14ac:dyDescent="0.3">
      <c r="D149" s="427"/>
      <c r="F149" s="427"/>
    </row>
    <row r="150" spans="4:6" ht="15.75" customHeight="1" x14ac:dyDescent="0.3">
      <c r="D150" s="427"/>
      <c r="F150" s="427"/>
    </row>
    <row r="151" spans="4:6" ht="15.75" customHeight="1" x14ac:dyDescent="0.3">
      <c r="D151" s="427"/>
      <c r="F151" s="427"/>
    </row>
    <row r="152" spans="4:6" ht="15.75" customHeight="1" x14ac:dyDescent="0.3">
      <c r="D152" s="427"/>
      <c r="F152" s="427"/>
    </row>
    <row r="153" spans="4:6" ht="15.75" customHeight="1" x14ac:dyDescent="0.3">
      <c r="D153" s="427"/>
      <c r="F153" s="427"/>
    </row>
    <row r="154" spans="4:6" ht="15.75" customHeight="1" x14ac:dyDescent="0.3">
      <c r="D154" s="427"/>
      <c r="F154" s="427"/>
    </row>
    <row r="155" spans="4:6" ht="15.75" customHeight="1" x14ac:dyDescent="0.3">
      <c r="D155" s="427"/>
      <c r="F155" s="427"/>
    </row>
    <row r="156" spans="4:6" ht="15.75" customHeight="1" x14ac:dyDescent="0.3">
      <c r="D156" s="427"/>
      <c r="F156" s="427"/>
    </row>
    <row r="157" spans="4:6" ht="15.75" customHeight="1" x14ac:dyDescent="0.3">
      <c r="D157" s="427"/>
      <c r="F157" s="427"/>
    </row>
    <row r="158" spans="4:6" ht="15.75" customHeight="1" x14ac:dyDescent="0.3">
      <c r="D158" s="427"/>
      <c r="F158" s="427"/>
    </row>
    <row r="159" spans="4:6" ht="15.75" customHeight="1" x14ac:dyDescent="0.3">
      <c r="D159" s="427"/>
      <c r="F159" s="427"/>
    </row>
    <row r="160" spans="4:6" ht="15.75" customHeight="1" x14ac:dyDescent="0.3">
      <c r="D160" s="427"/>
      <c r="F160" s="427"/>
    </row>
    <row r="161" spans="4:6" ht="15.75" customHeight="1" x14ac:dyDescent="0.3">
      <c r="D161" s="427"/>
      <c r="F161" s="427"/>
    </row>
    <row r="162" spans="4:6" ht="15.75" customHeight="1" x14ac:dyDescent="0.3">
      <c r="D162" s="427"/>
      <c r="F162" s="427"/>
    </row>
    <row r="163" spans="4:6" ht="15.75" customHeight="1" x14ac:dyDescent="0.3">
      <c r="D163" s="427"/>
      <c r="F163" s="427"/>
    </row>
    <row r="164" spans="4:6" ht="15.75" customHeight="1" x14ac:dyDescent="0.3">
      <c r="D164" s="427"/>
      <c r="F164" s="427"/>
    </row>
    <row r="165" spans="4:6" ht="15.75" customHeight="1" x14ac:dyDescent="0.3">
      <c r="D165" s="427"/>
      <c r="F165" s="427"/>
    </row>
    <row r="166" spans="4:6" ht="15.75" customHeight="1" x14ac:dyDescent="0.3">
      <c r="D166" s="427"/>
      <c r="F166" s="427"/>
    </row>
    <row r="167" spans="4:6" ht="15.75" customHeight="1" x14ac:dyDescent="0.3">
      <c r="D167" s="427"/>
      <c r="F167" s="427"/>
    </row>
    <row r="168" spans="4:6" ht="15.75" customHeight="1" x14ac:dyDescent="0.3">
      <c r="D168" s="427"/>
      <c r="F168" s="427"/>
    </row>
    <row r="169" spans="4:6" ht="15.75" customHeight="1" x14ac:dyDescent="0.3">
      <c r="D169" s="427"/>
      <c r="F169" s="427"/>
    </row>
    <row r="170" spans="4:6" ht="15.75" customHeight="1" x14ac:dyDescent="0.3">
      <c r="D170" s="427"/>
      <c r="F170" s="427"/>
    </row>
    <row r="171" spans="4:6" ht="15.75" customHeight="1" x14ac:dyDescent="0.3">
      <c r="D171" s="427"/>
      <c r="F171" s="427"/>
    </row>
    <row r="172" spans="4:6" ht="15.75" customHeight="1" x14ac:dyDescent="0.3">
      <c r="D172" s="427"/>
      <c r="F172" s="427"/>
    </row>
    <row r="173" spans="4:6" ht="15.75" customHeight="1" x14ac:dyDescent="0.3">
      <c r="D173" s="427"/>
      <c r="F173" s="427"/>
    </row>
    <row r="174" spans="4:6" ht="15.75" customHeight="1" x14ac:dyDescent="0.3">
      <c r="D174" s="427"/>
      <c r="F174" s="427"/>
    </row>
    <row r="175" spans="4:6" ht="15.75" customHeight="1" x14ac:dyDescent="0.3">
      <c r="D175" s="427"/>
      <c r="F175" s="427"/>
    </row>
    <row r="176" spans="4:6" ht="15.75" customHeight="1" x14ac:dyDescent="0.3">
      <c r="D176" s="427"/>
      <c r="F176" s="427"/>
    </row>
    <row r="177" spans="4:6" ht="15.75" customHeight="1" x14ac:dyDescent="0.3">
      <c r="D177" s="427"/>
      <c r="F177" s="427"/>
    </row>
    <row r="178" spans="4:6" ht="15.75" customHeight="1" x14ac:dyDescent="0.3">
      <c r="D178" s="427"/>
      <c r="F178" s="427"/>
    </row>
    <row r="179" spans="4:6" ht="15.75" customHeight="1" x14ac:dyDescent="0.3">
      <c r="D179" s="427"/>
      <c r="F179" s="427"/>
    </row>
    <row r="180" spans="4:6" ht="15.75" customHeight="1" x14ac:dyDescent="0.3">
      <c r="D180" s="427"/>
      <c r="F180" s="427"/>
    </row>
    <row r="181" spans="4:6" ht="15.75" customHeight="1" x14ac:dyDescent="0.3">
      <c r="D181" s="427"/>
      <c r="F181" s="427"/>
    </row>
    <row r="182" spans="4:6" ht="15.75" customHeight="1" x14ac:dyDescent="0.3">
      <c r="D182" s="427"/>
      <c r="F182" s="427"/>
    </row>
    <row r="183" spans="4:6" ht="15.75" customHeight="1" x14ac:dyDescent="0.3">
      <c r="D183" s="427"/>
      <c r="F183" s="427"/>
    </row>
    <row r="184" spans="4:6" ht="15.75" customHeight="1" x14ac:dyDescent="0.3">
      <c r="D184" s="427"/>
      <c r="F184" s="427"/>
    </row>
    <row r="185" spans="4:6" ht="15.75" customHeight="1" x14ac:dyDescent="0.3">
      <c r="D185" s="427"/>
      <c r="F185" s="427"/>
    </row>
    <row r="186" spans="4:6" ht="15.75" customHeight="1" x14ac:dyDescent="0.3">
      <c r="D186" s="427"/>
      <c r="F186" s="427"/>
    </row>
    <row r="187" spans="4:6" ht="15.75" customHeight="1" x14ac:dyDescent="0.3">
      <c r="D187" s="427"/>
      <c r="F187" s="427"/>
    </row>
    <row r="188" spans="4:6" ht="15.75" customHeight="1" x14ac:dyDescent="0.3">
      <c r="D188" s="427"/>
      <c r="F188" s="427"/>
    </row>
    <row r="189" spans="4:6" ht="15.75" customHeight="1" x14ac:dyDescent="0.3">
      <c r="D189" s="427"/>
      <c r="F189" s="427"/>
    </row>
    <row r="190" spans="4:6" ht="15.75" customHeight="1" x14ac:dyDescent="0.3">
      <c r="D190" s="427"/>
      <c r="F190" s="427"/>
    </row>
    <row r="191" spans="4:6" ht="15.75" customHeight="1" x14ac:dyDescent="0.3">
      <c r="D191" s="427"/>
      <c r="F191" s="427"/>
    </row>
    <row r="192" spans="4:6" ht="15.75" customHeight="1" x14ac:dyDescent="0.3">
      <c r="D192" s="427"/>
      <c r="F192" s="427"/>
    </row>
    <row r="193" spans="4:6" ht="15.75" customHeight="1" x14ac:dyDescent="0.3">
      <c r="D193" s="427"/>
      <c r="F193" s="427"/>
    </row>
    <row r="194" spans="4:6" ht="15.75" customHeight="1" x14ac:dyDescent="0.3">
      <c r="D194" s="427"/>
      <c r="F194" s="427"/>
    </row>
    <row r="195" spans="4:6" ht="15.75" customHeight="1" x14ac:dyDescent="0.3">
      <c r="D195" s="427"/>
      <c r="F195" s="427"/>
    </row>
    <row r="196" spans="4:6" ht="15.75" customHeight="1" x14ac:dyDescent="0.3">
      <c r="D196" s="427"/>
      <c r="F196" s="427"/>
    </row>
    <row r="197" spans="4:6" ht="15.75" customHeight="1" x14ac:dyDescent="0.3">
      <c r="D197" s="427"/>
      <c r="F197" s="427"/>
    </row>
    <row r="198" spans="4:6" ht="15.75" customHeight="1" x14ac:dyDescent="0.3">
      <c r="D198" s="427"/>
      <c r="F198" s="427"/>
    </row>
    <row r="199" spans="4:6" ht="15.75" customHeight="1" x14ac:dyDescent="0.3">
      <c r="D199" s="427"/>
      <c r="F199" s="427"/>
    </row>
    <row r="200" spans="4:6" ht="15.75" customHeight="1" x14ac:dyDescent="0.3">
      <c r="D200" s="427"/>
      <c r="F200" s="427"/>
    </row>
    <row r="201" spans="4:6" ht="15.75" customHeight="1" x14ac:dyDescent="0.3">
      <c r="D201" s="427"/>
      <c r="F201" s="427"/>
    </row>
    <row r="202" spans="4:6" ht="15.75" customHeight="1" x14ac:dyDescent="0.3">
      <c r="D202" s="427"/>
      <c r="F202" s="427"/>
    </row>
    <row r="203" spans="4:6" ht="15.75" customHeight="1" x14ac:dyDescent="0.3">
      <c r="D203" s="427"/>
      <c r="F203" s="427"/>
    </row>
    <row r="204" spans="4:6" ht="15.75" customHeight="1" x14ac:dyDescent="0.3">
      <c r="D204" s="427"/>
      <c r="F204" s="427"/>
    </row>
    <row r="205" spans="4:6" ht="15.75" customHeight="1" x14ac:dyDescent="0.3">
      <c r="D205" s="427"/>
      <c r="F205" s="427"/>
    </row>
    <row r="206" spans="4:6" ht="15.75" customHeight="1" x14ac:dyDescent="0.3">
      <c r="D206" s="427"/>
      <c r="F206" s="427"/>
    </row>
    <row r="207" spans="4:6" ht="15.75" customHeight="1" x14ac:dyDescent="0.3">
      <c r="D207" s="427"/>
      <c r="F207" s="427"/>
    </row>
    <row r="208" spans="4:6" ht="15.75" customHeight="1" x14ac:dyDescent="0.3">
      <c r="D208" s="427"/>
      <c r="F208" s="427"/>
    </row>
    <row r="209" spans="4:6" ht="15.75" customHeight="1" x14ac:dyDescent="0.3">
      <c r="D209" s="427"/>
      <c r="F209" s="427"/>
    </row>
    <row r="210" spans="4:6" ht="15.75" customHeight="1" x14ac:dyDescent="0.3">
      <c r="D210" s="427"/>
      <c r="F210" s="427"/>
    </row>
    <row r="211" spans="4:6" ht="15.75" customHeight="1" x14ac:dyDescent="0.3">
      <c r="D211" s="427"/>
      <c r="F211" s="427"/>
    </row>
    <row r="212" spans="4:6" ht="15.75" customHeight="1" x14ac:dyDescent="0.3">
      <c r="D212" s="427"/>
      <c r="F212" s="427"/>
    </row>
    <row r="213" spans="4:6" ht="15.75" customHeight="1" x14ac:dyDescent="0.3">
      <c r="D213" s="427"/>
      <c r="F213" s="427"/>
    </row>
    <row r="214" spans="4:6" ht="15.75" customHeight="1" x14ac:dyDescent="0.3">
      <c r="D214" s="427"/>
      <c r="F214" s="427"/>
    </row>
    <row r="215" spans="4:6" ht="15.75" customHeight="1" x14ac:dyDescent="0.3">
      <c r="D215" s="427"/>
      <c r="F215" s="427"/>
    </row>
    <row r="216" spans="4:6" ht="15.75" customHeight="1" x14ac:dyDescent="0.3">
      <c r="D216" s="427"/>
      <c r="F216" s="427"/>
    </row>
    <row r="217" spans="4:6" ht="15.75" customHeight="1" x14ac:dyDescent="0.3">
      <c r="D217" s="427"/>
      <c r="F217" s="427"/>
    </row>
    <row r="218" spans="4:6" ht="15.75" customHeight="1" x14ac:dyDescent="0.3">
      <c r="D218" s="427"/>
      <c r="F218" s="427"/>
    </row>
    <row r="219" spans="4:6" ht="15.75" customHeight="1" x14ac:dyDescent="0.3">
      <c r="D219" s="427"/>
      <c r="F219" s="427"/>
    </row>
    <row r="220" spans="4:6" ht="15.75" customHeight="1" x14ac:dyDescent="0.3">
      <c r="D220" s="427"/>
      <c r="F220" s="427"/>
    </row>
    <row r="221" spans="4:6" ht="15.75" customHeight="1" x14ac:dyDescent="0.3">
      <c r="D221" s="427"/>
      <c r="F221" s="427"/>
    </row>
    <row r="222" spans="4:6" ht="15.75" customHeight="1" x14ac:dyDescent="0.3">
      <c r="D222" s="427"/>
      <c r="F222" s="427"/>
    </row>
    <row r="223" spans="4:6" ht="15.75" customHeight="1" x14ac:dyDescent="0.3">
      <c r="D223" s="427"/>
      <c r="F223" s="427"/>
    </row>
    <row r="224" spans="4:6" ht="15.75" customHeight="1" x14ac:dyDescent="0.3">
      <c r="D224" s="427"/>
      <c r="F224" s="427"/>
    </row>
    <row r="225" spans="4:6" ht="15.75" customHeight="1" x14ac:dyDescent="0.3">
      <c r="D225" s="427"/>
      <c r="F225" s="427"/>
    </row>
    <row r="226" spans="4:6" ht="15.75" customHeight="1" x14ac:dyDescent="0.3">
      <c r="D226" s="427"/>
      <c r="F226" s="427"/>
    </row>
    <row r="227" spans="4:6" ht="15.75" customHeight="1" x14ac:dyDescent="0.3">
      <c r="D227" s="427"/>
      <c r="F227" s="427"/>
    </row>
    <row r="228" spans="4:6" ht="15.75" customHeight="1" x14ac:dyDescent="0.3">
      <c r="D228" s="427"/>
      <c r="F228" s="427"/>
    </row>
    <row r="229" spans="4:6" ht="15.75" customHeight="1" x14ac:dyDescent="0.3">
      <c r="D229" s="427"/>
      <c r="F229" s="427"/>
    </row>
    <row r="230" spans="4:6" ht="15.75" customHeight="1" x14ac:dyDescent="0.3">
      <c r="D230" s="427"/>
      <c r="F230" s="427"/>
    </row>
    <row r="231" spans="4:6" ht="15.75" customHeight="1" x14ac:dyDescent="0.3">
      <c r="D231" s="427"/>
      <c r="F231" s="427"/>
    </row>
    <row r="232" spans="4:6" ht="15.75" customHeight="1" x14ac:dyDescent="0.3">
      <c r="D232" s="427"/>
      <c r="F232" s="427"/>
    </row>
    <row r="233" spans="4:6" ht="15.75" customHeight="1" x14ac:dyDescent="0.3">
      <c r="D233" s="427"/>
      <c r="F233" s="427"/>
    </row>
    <row r="234" spans="4:6" ht="15.75" customHeight="1" x14ac:dyDescent="0.3">
      <c r="D234" s="427"/>
      <c r="F234" s="427"/>
    </row>
    <row r="235" spans="4:6" ht="15.75" customHeight="1" x14ac:dyDescent="0.3">
      <c r="D235" s="427"/>
      <c r="F235" s="427"/>
    </row>
    <row r="236" spans="4:6" ht="15.75" customHeight="1" x14ac:dyDescent="0.3">
      <c r="D236" s="427"/>
      <c r="F236" s="427"/>
    </row>
    <row r="237" spans="4:6" ht="15.75" customHeight="1" x14ac:dyDescent="0.3">
      <c r="D237" s="427"/>
      <c r="F237" s="427"/>
    </row>
    <row r="238" spans="4:6" ht="15.75" customHeight="1" x14ac:dyDescent="0.3">
      <c r="D238" s="427"/>
      <c r="F238" s="427"/>
    </row>
    <row r="239" spans="4:6" ht="15.75" customHeight="1" x14ac:dyDescent="0.3">
      <c r="D239" s="427"/>
      <c r="F239" s="427"/>
    </row>
    <row r="240" spans="4:6" ht="15.75" customHeight="1" x14ac:dyDescent="0.3">
      <c r="D240" s="427"/>
      <c r="F240" s="427"/>
    </row>
    <row r="241" spans="4:6" ht="15.75" customHeight="1" x14ac:dyDescent="0.3">
      <c r="D241" s="427"/>
      <c r="F241" s="427"/>
    </row>
    <row r="242" spans="4:6" ht="15.75" customHeight="1" x14ac:dyDescent="0.3">
      <c r="D242" s="427"/>
      <c r="F242" s="427"/>
    </row>
    <row r="243" spans="4:6" ht="15.75" customHeight="1" x14ac:dyDescent="0.3">
      <c r="D243" s="427"/>
      <c r="F243" s="427"/>
    </row>
    <row r="244" spans="4:6" ht="15.75" customHeight="1" x14ac:dyDescent="0.3">
      <c r="D244" s="427"/>
      <c r="F244" s="427"/>
    </row>
    <row r="245" spans="4:6" ht="15.75" customHeight="1" x14ac:dyDescent="0.3">
      <c r="D245" s="427"/>
      <c r="F245" s="427"/>
    </row>
    <row r="246" spans="4:6" ht="15.75" customHeight="1" x14ac:dyDescent="0.3"/>
    <row r="247" spans="4:6" ht="15.75" customHeight="1" x14ac:dyDescent="0.3"/>
    <row r="248" spans="4:6" ht="15.75" customHeight="1" x14ac:dyDescent="0.3"/>
    <row r="249" spans="4:6" ht="15.75" customHeight="1" x14ac:dyDescent="0.3"/>
    <row r="250" spans="4:6" ht="15.75" customHeight="1" x14ac:dyDescent="0.3"/>
    <row r="251" spans="4:6" ht="15.75" customHeight="1" x14ac:dyDescent="0.3"/>
    <row r="252" spans="4:6" ht="15.75" customHeight="1" x14ac:dyDescent="0.3"/>
    <row r="253" spans="4:6" ht="15.75" customHeight="1" x14ac:dyDescent="0.3"/>
    <row r="254" spans="4:6" ht="15.75" customHeight="1" x14ac:dyDescent="0.3"/>
    <row r="255" spans="4:6" ht="15.75" customHeight="1" x14ac:dyDescent="0.3"/>
    <row r="256" spans="4: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dataValidations count="1">
    <dataValidation type="list" allowBlank="1" showErrorMessage="1" sqref="B17 B27 B22" xr:uid="{1D17A7C4-0167-42B5-9539-2E26509018DC}">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B594C-DD72-4D41-AF34-3641C395F93C}">
  <dimension ref="A1:AD889"/>
  <sheetViews>
    <sheetView zoomScale="96" workbookViewId="0">
      <selection activeCell="AC12" sqref="AC12"/>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6.33203125" style="428" customWidth="1"/>
    <col min="7" max="7" width="12.77734375" style="428" customWidth="1"/>
    <col min="8" max="8" width="12.77734375" style="428" hidden="1" customWidth="1"/>
    <col min="9" max="9" width="12.77734375" style="428" customWidth="1"/>
    <col min="10" max="12" width="12.77734375" style="428" hidden="1" customWidth="1"/>
    <col min="13" max="20" width="11.5546875" style="428" hidden="1" customWidth="1"/>
    <col min="21" max="21" width="11.5546875" style="428" customWidth="1"/>
    <col min="22"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2351</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c r="P5" s="1046"/>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512</v>
      </c>
      <c r="D10" s="531" t="s">
        <v>513</v>
      </c>
      <c r="E10" s="532" t="s">
        <v>350</v>
      </c>
      <c r="F10" s="533"/>
      <c r="G10" s="534">
        <v>2012</v>
      </c>
      <c r="H10" s="535"/>
      <c r="I10" s="536">
        <v>9522.4</v>
      </c>
      <c r="J10" s="540">
        <v>10828</v>
      </c>
      <c r="K10" s="597">
        <v>10755</v>
      </c>
      <c r="L10" s="597">
        <v>11535</v>
      </c>
      <c r="M10" s="540">
        <v>10912</v>
      </c>
      <c r="N10" s="597">
        <v>12358</v>
      </c>
      <c r="O10" s="597">
        <v>17398</v>
      </c>
      <c r="P10" s="597">
        <v>13223</v>
      </c>
      <c r="Q10" s="597">
        <v>9890</v>
      </c>
      <c r="R10" s="597">
        <v>8388</v>
      </c>
      <c r="S10" s="597">
        <v>6945</v>
      </c>
      <c r="T10" s="597">
        <v>7189</v>
      </c>
      <c r="U10" s="1689">
        <v>11509</v>
      </c>
      <c r="V10" s="535"/>
      <c r="W10" s="542"/>
      <c r="X10" s="535"/>
      <c r="Y10" s="542"/>
      <c r="Z10" s="535"/>
      <c r="AA10" s="528"/>
      <c r="AB10" s="528"/>
      <c r="AC10" s="528"/>
      <c r="AD10" s="528"/>
    </row>
    <row r="11" spans="1:30" ht="24" customHeight="1" x14ac:dyDescent="0.3">
      <c r="A11" s="528"/>
      <c r="B11" s="529"/>
      <c r="C11" s="453" t="s">
        <v>374</v>
      </c>
      <c r="D11" s="453" t="s">
        <v>514</v>
      </c>
      <c r="E11" s="543" t="s">
        <v>350</v>
      </c>
      <c r="F11" s="506" t="s">
        <v>515</v>
      </c>
      <c r="G11" s="496"/>
      <c r="H11" s="544"/>
      <c r="I11" s="1611">
        <f>U10*I15</f>
        <v>12039.602480759173</v>
      </c>
      <c r="J11" s="547">
        <v>13091.863737577523</v>
      </c>
      <c r="K11" s="599">
        <v>14511.33287005903</v>
      </c>
      <c r="L11" s="599">
        <v>14403.492430695658</v>
      </c>
      <c r="M11" s="599">
        <v>14330.566838526489</v>
      </c>
      <c r="N11" s="599">
        <v>15713.745169244565</v>
      </c>
      <c r="O11" s="599">
        <v>14625.193110662782</v>
      </c>
      <c r="P11" s="599">
        <v>13353.467100052305</v>
      </c>
      <c r="Q11" s="599"/>
      <c r="R11" s="599"/>
      <c r="S11" s="599"/>
      <c r="T11" s="599"/>
      <c r="U11" s="600"/>
      <c r="V11" s="544"/>
      <c r="W11" s="548"/>
      <c r="X11" s="544"/>
      <c r="Y11" s="548"/>
      <c r="Z11" s="544"/>
      <c r="AA11" s="528"/>
      <c r="AB11" s="528"/>
      <c r="AC11" s="528"/>
      <c r="AD11" s="528"/>
    </row>
    <row r="12" spans="1:30" ht="30" customHeight="1" x14ac:dyDescent="0.3">
      <c r="A12" s="528"/>
      <c r="B12" s="529"/>
      <c r="C12" s="531" t="s">
        <v>512</v>
      </c>
      <c r="D12" s="531" t="s">
        <v>516</v>
      </c>
      <c r="E12" s="532" t="s">
        <v>517</v>
      </c>
      <c r="F12" s="533"/>
      <c r="G12" s="549">
        <v>2012</v>
      </c>
      <c r="H12" s="550"/>
      <c r="I12" s="602">
        <v>286816.77076686756</v>
      </c>
      <c r="J12" s="603">
        <v>270660</v>
      </c>
      <c r="K12" s="603">
        <v>261090</v>
      </c>
      <c r="L12" s="603">
        <v>266849</v>
      </c>
      <c r="M12" s="603">
        <v>261179</v>
      </c>
      <c r="N12" s="603">
        <v>274684</v>
      </c>
      <c r="O12" s="603">
        <v>283540</v>
      </c>
      <c r="P12" s="603">
        <v>240596</v>
      </c>
      <c r="Q12" s="603">
        <v>208125</v>
      </c>
      <c r="R12" s="603">
        <v>174840</v>
      </c>
      <c r="S12" s="603">
        <v>142630</v>
      </c>
      <c r="T12" s="603">
        <v>194265</v>
      </c>
      <c r="U12" s="598">
        <v>165330</v>
      </c>
      <c r="V12" s="550"/>
      <c r="W12" s="542"/>
      <c r="X12" s="550"/>
      <c r="Y12" s="542"/>
      <c r="Z12" s="550"/>
      <c r="AA12" s="528"/>
      <c r="AB12" s="528"/>
      <c r="AC12" s="528"/>
      <c r="AD12" s="528"/>
    </row>
    <row r="13" spans="1:30" ht="30" customHeight="1" x14ac:dyDescent="0.3">
      <c r="A13" s="528"/>
      <c r="B13" s="529"/>
      <c r="C13" s="453" t="s">
        <v>512</v>
      </c>
      <c r="D13" s="453" t="s">
        <v>518</v>
      </c>
      <c r="E13" s="543" t="s">
        <v>385</v>
      </c>
      <c r="F13" s="506"/>
      <c r="G13" s="496"/>
      <c r="H13" s="544"/>
      <c r="I13" s="544">
        <v>70000</v>
      </c>
      <c r="J13" s="547">
        <v>76118</v>
      </c>
      <c r="K13" s="599">
        <v>84371</v>
      </c>
      <c r="L13" s="599">
        <v>83744</v>
      </c>
      <c r="M13" s="599">
        <v>83320</v>
      </c>
      <c r="N13" s="599">
        <v>91362</v>
      </c>
      <c r="O13" s="599">
        <v>85033</v>
      </c>
      <c r="P13" s="599">
        <v>77639</v>
      </c>
      <c r="Q13" s="599">
        <v>76104</v>
      </c>
      <c r="R13" s="599">
        <v>71084</v>
      </c>
      <c r="S13" s="599">
        <v>68211</v>
      </c>
      <c r="T13" s="599">
        <v>67568</v>
      </c>
      <c r="U13" s="1048">
        <v>66915</v>
      </c>
      <c r="V13" s="544"/>
      <c r="W13" s="548"/>
      <c r="X13" s="544"/>
      <c r="Y13" s="548"/>
      <c r="Z13" s="544"/>
      <c r="AA13" s="528"/>
      <c r="AB13" s="528"/>
      <c r="AC13" s="528"/>
      <c r="AD13" s="528"/>
    </row>
    <row r="14" spans="1:30" ht="24" hidden="1" customHeight="1" x14ac:dyDescent="0.3">
      <c r="A14" s="528"/>
      <c r="B14" s="529"/>
      <c r="C14" s="531" t="s">
        <v>374</v>
      </c>
      <c r="D14" s="531" t="s">
        <v>514</v>
      </c>
      <c r="E14" s="532"/>
      <c r="F14" s="533"/>
      <c r="G14" s="549"/>
      <c r="H14" s="550"/>
      <c r="I14" s="550"/>
      <c r="J14" s="603">
        <v>9203</v>
      </c>
      <c r="K14" s="603">
        <v>17456</v>
      </c>
      <c r="L14" s="603">
        <v>16829</v>
      </c>
      <c r="M14" s="603">
        <v>16405</v>
      </c>
      <c r="N14" s="603">
        <v>24447</v>
      </c>
      <c r="O14" s="603">
        <v>18118</v>
      </c>
      <c r="P14" s="603">
        <v>10724</v>
      </c>
      <c r="Q14" s="603"/>
      <c r="R14" s="603"/>
      <c r="S14" s="603"/>
      <c r="T14" s="603"/>
      <c r="U14" s="598"/>
      <c r="V14" s="550"/>
      <c r="W14" s="542"/>
      <c r="X14" s="550"/>
      <c r="Y14" s="542"/>
      <c r="Z14" s="550"/>
      <c r="AA14" s="528"/>
      <c r="AB14" s="528"/>
      <c r="AC14" s="528"/>
      <c r="AD14" s="528"/>
    </row>
    <row r="15" spans="1:30" ht="62.25" customHeight="1" x14ac:dyDescent="0.3">
      <c r="A15" s="528"/>
      <c r="B15" s="529"/>
      <c r="C15" s="453" t="s">
        <v>374</v>
      </c>
      <c r="D15" s="506" t="s">
        <v>519</v>
      </c>
      <c r="E15" s="543" t="s">
        <v>453</v>
      </c>
      <c r="F15" s="506" t="s">
        <v>520</v>
      </c>
      <c r="G15" s="496"/>
      <c r="H15" s="544"/>
      <c r="I15" s="1049">
        <f>I13/$U$13</f>
        <v>1.0461032653366211</v>
      </c>
      <c r="J15" s="1050">
        <f t="shared" ref="J15:U15" si="0">J13/$U$13</f>
        <v>1.1375326907270418</v>
      </c>
      <c r="K15" s="1050">
        <f t="shared" si="0"/>
        <v>1.2608682657102295</v>
      </c>
      <c r="L15" s="1050">
        <f t="shared" si="0"/>
        <v>1.2514981693192857</v>
      </c>
      <c r="M15" s="1050">
        <f t="shared" si="0"/>
        <v>1.2451617723978181</v>
      </c>
      <c r="N15" s="1050">
        <f t="shared" si="0"/>
        <v>1.365344093252634</v>
      </c>
      <c r="O15" s="1050">
        <f t="shared" si="0"/>
        <v>1.2707614137338414</v>
      </c>
      <c r="P15" s="1050">
        <f t="shared" si="0"/>
        <v>1.1602630202495703</v>
      </c>
      <c r="Q15" s="1050">
        <f t="shared" si="0"/>
        <v>1.1373234700739745</v>
      </c>
      <c r="R15" s="1050">
        <f t="shared" si="0"/>
        <v>1.0623029216169768</v>
      </c>
      <c r="S15" s="1050">
        <f t="shared" si="0"/>
        <v>1.0193678547410894</v>
      </c>
      <c r="T15" s="1050">
        <f t="shared" si="0"/>
        <v>1.0097586490323545</v>
      </c>
      <c r="U15" s="1050">
        <f t="shared" si="0"/>
        <v>1</v>
      </c>
      <c r="V15" s="544"/>
      <c r="W15" s="548"/>
      <c r="X15" s="544"/>
      <c r="Y15" s="548"/>
      <c r="Z15" s="544"/>
      <c r="AA15" s="528"/>
      <c r="AB15" s="528"/>
      <c r="AC15" s="528"/>
      <c r="AD15" s="528"/>
    </row>
    <row r="16" spans="1:30" ht="24" customHeight="1" x14ac:dyDescent="0.3">
      <c r="A16" s="528"/>
      <c r="B16" s="529"/>
      <c r="C16" s="531"/>
      <c r="D16" s="531"/>
      <c r="E16" s="532"/>
      <c r="F16" s="533"/>
      <c r="G16" s="551"/>
      <c r="H16" s="550"/>
      <c r="I16" s="550"/>
      <c r="J16" s="550"/>
      <c r="K16" s="550"/>
      <c r="L16" s="550"/>
      <c r="M16" s="550"/>
      <c r="N16" s="550"/>
      <c r="O16" s="550"/>
      <c r="P16" s="550"/>
      <c r="Q16" s="550"/>
      <c r="R16" s="550"/>
      <c r="S16" s="550"/>
      <c r="T16" s="550"/>
      <c r="U16" s="542"/>
      <c r="V16" s="550"/>
      <c r="W16" s="542"/>
      <c r="X16" s="550"/>
      <c r="Y16" s="542"/>
      <c r="Z16" s="550"/>
      <c r="AA16" s="528"/>
      <c r="AB16" s="528"/>
      <c r="AC16" s="528"/>
      <c r="AD16" s="528"/>
    </row>
    <row r="17" spans="1:30" ht="24" customHeight="1" x14ac:dyDescent="0.3">
      <c r="A17" s="528"/>
      <c r="B17" s="552"/>
      <c r="C17" s="462"/>
      <c r="D17" s="462"/>
      <c r="E17" s="553"/>
      <c r="F17" s="554"/>
      <c r="G17" s="555"/>
      <c r="H17" s="556"/>
      <c r="I17" s="556"/>
      <c r="J17" s="556"/>
      <c r="K17" s="556"/>
      <c r="L17" s="556"/>
      <c r="M17" s="556"/>
      <c r="N17" s="556"/>
      <c r="O17" s="556"/>
      <c r="P17" s="556"/>
      <c r="Q17" s="556"/>
      <c r="R17" s="556"/>
      <c r="S17" s="556"/>
      <c r="T17" s="556"/>
      <c r="U17" s="557"/>
      <c r="V17" s="556"/>
      <c r="W17" s="557"/>
      <c r="X17" s="556"/>
      <c r="Y17" s="557"/>
      <c r="Z17" s="556"/>
      <c r="AA17" s="528"/>
      <c r="AB17" s="528"/>
      <c r="AC17" s="528"/>
      <c r="AD17" s="528"/>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560" t="s">
        <v>355</v>
      </c>
      <c r="C19" s="561" t="s">
        <v>356</v>
      </c>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58"/>
      <c r="C20" s="528"/>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4383" t="s">
        <v>357</v>
      </c>
      <c r="C21" s="4384"/>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562" t="s">
        <v>301</v>
      </c>
      <c r="C22" s="528"/>
      <c r="D22" s="528"/>
      <c r="E22" s="528"/>
      <c r="F22" s="528"/>
      <c r="G22" s="479"/>
      <c r="H22" s="479"/>
      <c r="I22" s="479"/>
      <c r="J22" s="479"/>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562" t="s">
        <v>301</v>
      </c>
      <c r="C23" s="528"/>
      <c r="D23" s="528"/>
      <c r="E23" s="528"/>
      <c r="F23" s="528"/>
      <c r="G23" s="479"/>
      <c r="H23" s="479"/>
      <c r="I23" s="479"/>
      <c r="J23" s="479"/>
      <c r="K23" s="479"/>
      <c r="L23" s="479"/>
      <c r="M23" s="559"/>
      <c r="N23" s="559"/>
      <c r="O23" s="559"/>
      <c r="P23" s="559"/>
      <c r="Q23" s="559"/>
      <c r="R23" s="559"/>
      <c r="S23" s="559"/>
      <c r="T23" s="559"/>
      <c r="U23" s="559"/>
      <c r="V23" s="559"/>
      <c r="W23" s="559"/>
      <c r="X23" s="559"/>
      <c r="Y23" s="559"/>
      <c r="Z23" s="559"/>
      <c r="AA23" s="528"/>
      <c r="AB23" s="528"/>
      <c r="AC23" s="528"/>
      <c r="AD23" s="528"/>
    </row>
    <row r="24" spans="1:30" ht="15.75" customHeight="1" x14ac:dyDescent="0.3"/>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E6F72-CE75-44D9-A905-6F789FA888BA}">
  <dimension ref="A1:G991"/>
  <sheetViews>
    <sheetView topLeftCell="A23" workbookViewId="0">
      <selection activeCell="C30" sqref="C30"/>
    </sheetView>
  </sheetViews>
  <sheetFormatPr defaultColWidth="12.44140625" defaultRowHeight="15" customHeight="1" x14ac:dyDescent="0.3"/>
  <cols>
    <col min="1" max="1" width="2.6640625" style="691" customWidth="1"/>
    <col min="2" max="2" width="35.109375" style="691" customWidth="1"/>
    <col min="3" max="3" width="19.88671875" style="691" customWidth="1"/>
    <col min="4" max="4" width="1.5546875" style="691" customWidth="1"/>
    <col min="5" max="5" width="14.6640625" style="691" customWidth="1"/>
    <col min="6" max="6" width="7.33203125" style="691" customWidth="1"/>
    <col min="7" max="7" width="11.6640625" style="691" customWidth="1"/>
    <col min="8" max="16384" width="12.44140625" style="691"/>
  </cols>
  <sheetData>
    <row r="1" spans="1:7" ht="21.75" customHeight="1" x14ac:dyDescent="0.35">
      <c r="A1" s="687"/>
      <c r="B1" s="688" t="s">
        <v>549</v>
      </c>
      <c r="D1" s="690"/>
      <c r="F1" s="690"/>
    </row>
    <row r="2" spans="1:7" ht="15.75" customHeight="1" x14ac:dyDescent="0.3">
      <c r="A2" s="687"/>
      <c r="B2" s="692" t="s">
        <v>299</v>
      </c>
      <c r="C2" s="693"/>
      <c r="D2" s="693"/>
      <c r="E2" s="693"/>
      <c r="F2" s="693"/>
    </row>
    <row r="3" spans="1:7" ht="9.75" customHeight="1" x14ac:dyDescent="0.3">
      <c r="A3" s="690"/>
      <c r="B3" s="694"/>
      <c r="D3" s="690"/>
      <c r="F3" s="690"/>
    </row>
    <row r="4" spans="1:7" ht="6" customHeight="1" x14ac:dyDescent="0.3">
      <c r="B4" s="690"/>
      <c r="D4" s="690"/>
      <c r="F4" s="690"/>
    </row>
    <row r="5" spans="1:7" ht="6" customHeight="1" x14ac:dyDescent="0.3">
      <c r="A5" s="694"/>
      <c r="D5" s="690"/>
      <c r="F5" s="690"/>
    </row>
    <row r="6" spans="1:7" ht="15.75" customHeight="1" x14ac:dyDescent="0.3">
      <c r="C6" s="691">
        <v>1000000</v>
      </c>
      <c r="D6" s="690"/>
      <c r="E6" s="690"/>
      <c r="F6" s="690"/>
    </row>
    <row r="7" spans="1:7" ht="37.200000000000003" customHeight="1" x14ac:dyDescent="0.3">
      <c r="A7" s="695"/>
      <c r="B7" s="696">
        <v>2024</v>
      </c>
      <c r="C7" s="1051" t="s">
        <v>22</v>
      </c>
      <c r="D7" s="695"/>
      <c r="E7" s="698" t="s">
        <v>300</v>
      </c>
      <c r="F7" s="695"/>
      <c r="G7" s="695"/>
    </row>
    <row r="8" spans="1:7" ht="18" customHeight="1" x14ac:dyDescent="0.35">
      <c r="B8" s="699" t="s">
        <v>301</v>
      </c>
      <c r="C8" s="1052">
        <v>1</v>
      </c>
      <c r="D8" s="690"/>
      <c r="E8" s="701"/>
      <c r="F8" s="690"/>
    </row>
    <row r="9" spans="1:7" ht="46.5" customHeight="1" x14ac:dyDescent="0.3">
      <c r="B9" s="702" t="s">
        <v>302</v>
      </c>
      <c r="C9" s="1053" t="s">
        <v>521</v>
      </c>
      <c r="D9" s="1054"/>
      <c r="E9" s="705"/>
      <c r="F9" s="706"/>
    </row>
    <row r="10" spans="1:7" ht="46.5" customHeight="1" x14ac:dyDescent="0.3">
      <c r="B10" s="707" t="s">
        <v>455</v>
      </c>
      <c r="C10" s="1055" t="s">
        <v>522</v>
      </c>
      <c r="D10" s="1054"/>
      <c r="E10" s="709"/>
      <c r="F10" s="706"/>
    </row>
    <row r="11" spans="1:7" ht="18.75" customHeight="1" x14ac:dyDescent="0.3">
      <c r="A11" s="710"/>
      <c r="B11" s="711" t="s">
        <v>456</v>
      </c>
      <c r="C11" s="1056">
        <f>(C17*C18)</f>
        <v>439.02153774545462</v>
      </c>
      <c r="D11" s="1057"/>
      <c r="E11" s="714">
        <f>SUM(C11:C11)</f>
        <v>439.02153774545462</v>
      </c>
      <c r="F11" s="715"/>
      <c r="G11" s="710"/>
    </row>
    <row r="12" spans="1:7" ht="18.75" customHeight="1" x14ac:dyDescent="0.3">
      <c r="A12" s="710"/>
      <c r="B12" s="716" t="s">
        <v>457</v>
      </c>
      <c r="C12" s="1058">
        <f t="shared" ref="C12" si="0">(C22*C23)+(C27*C28)</f>
        <v>11.763626000000002</v>
      </c>
      <c r="D12" s="718"/>
      <c r="E12" s="719">
        <f>SUM(C12:C12)</f>
        <v>11.763626000000002</v>
      </c>
      <c r="F12" s="720"/>
      <c r="G12" s="710"/>
    </row>
    <row r="13" spans="1:7" ht="18.75" customHeight="1" x14ac:dyDescent="0.3">
      <c r="A13" s="710"/>
      <c r="B13" s="711" t="s">
        <v>458</v>
      </c>
      <c r="C13" s="1059" t="s">
        <v>8</v>
      </c>
      <c r="D13" s="722"/>
      <c r="E13" s="723"/>
      <c r="F13" s="724"/>
      <c r="G13" s="710"/>
    </row>
    <row r="14" spans="1:7" ht="18.75" customHeight="1" x14ac:dyDescent="0.3">
      <c r="A14" s="710"/>
      <c r="B14" s="725" t="s">
        <v>459</v>
      </c>
      <c r="C14" s="1060">
        <f t="shared" ref="C14" si="1">C11-C12</f>
        <v>427.25791174545463</v>
      </c>
      <c r="D14" s="718"/>
      <c r="E14" s="727">
        <f>SUM(C14:C14)</f>
        <v>427.25791174545463</v>
      </c>
      <c r="F14" s="720"/>
      <c r="G14" s="710"/>
    </row>
    <row r="15" spans="1:7" ht="19.5" customHeight="1" x14ac:dyDescent="0.4">
      <c r="B15" s="728" t="s">
        <v>460</v>
      </c>
      <c r="C15" s="1061"/>
      <c r="D15" s="730"/>
      <c r="E15" s="731"/>
      <c r="F15" s="730"/>
      <c r="G15" s="690"/>
    </row>
    <row r="16" spans="1:7" ht="35.4" customHeight="1" x14ac:dyDescent="0.3">
      <c r="A16" s="710"/>
      <c r="B16" s="732" t="s">
        <v>311</v>
      </c>
      <c r="C16" s="907" t="s">
        <v>523</v>
      </c>
      <c r="D16" s="1062"/>
      <c r="E16" s="734"/>
      <c r="F16" s="720"/>
      <c r="G16" s="710"/>
    </row>
    <row r="17" spans="1:7" ht="21" customHeight="1" x14ac:dyDescent="0.3">
      <c r="A17" s="710"/>
      <c r="B17" s="735" t="s">
        <v>313</v>
      </c>
      <c r="C17" s="1063">
        <f>'CF-0118|GDS'!I16</f>
        <v>160581.81818181818</v>
      </c>
      <c r="D17" s="1064"/>
      <c r="F17" s="738"/>
      <c r="G17" s="710"/>
    </row>
    <row r="18" spans="1:7" ht="18.75" customHeight="1" x14ac:dyDescent="0.3">
      <c r="A18" s="710"/>
      <c r="B18" s="739" t="s">
        <v>461</v>
      </c>
      <c r="C18" s="1065">
        <v>2.7339430000000004E-3</v>
      </c>
      <c r="D18" s="741"/>
      <c r="F18" s="742"/>
      <c r="G18" s="710"/>
    </row>
    <row r="19" spans="1:7" ht="19.5" customHeight="1" x14ac:dyDescent="0.3">
      <c r="A19" s="710"/>
      <c r="B19" s="743" t="s">
        <v>462</v>
      </c>
      <c r="C19" s="1066">
        <f>C17*C18</f>
        <v>439.02153774545462</v>
      </c>
      <c r="D19" s="1067"/>
      <c r="F19" s="742"/>
      <c r="G19" s="710"/>
    </row>
    <row r="20" spans="1:7" ht="21" customHeight="1" x14ac:dyDescent="0.4">
      <c r="B20" s="728" t="s">
        <v>463</v>
      </c>
      <c r="C20" s="1068"/>
      <c r="D20" s="746"/>
      <c r="E20" s="747"/>
      <c r="F20" s="746"/>
    </row>
    <row r="21" spans="1:7" ht="32.4" customHeight="1" x14ac:dyDescent="0.3">
      <c r="A21" s="710"/>
      <c r="B21" s="732" t="s">
        <v>183</v>
      </c>
      <c r="C21" s="907" t="s">
        <v>361</v>
      </c>
      <c r="D21" s="1069"/>
      <c r="E21" s="748"/>
      <c r="F21" s="742"/>
      <c r="G21" s="710"/>
    </row>
    <row r="22" spans="1:7" ht="21" customHeight="1" x14ac:dyDescent="0.3">
      <c r="A22" s="710"/>
      <c r="B22" s="749" t="s">
        <v>369</v>
      </c>
      <c r="C22" s="1070">
        <f>'CF-0118|GDS'!I13</f>
        <v>322000</v>
      </c>
      <c r="D22" s="742"/>
      <c r="E22" s="751"/>
      <c r="F22" s="742"/>
      <c r="G22" s="710"/>
    </row>
    <row r="23" spans="1:7" ht="21" customHeight="1" x14ac:dyDescent="0.3">
      <c r="A23" s="710"/>
      <c r="B23" s="752" t="s">
        <v>461</v>
      </c>
      <c r="C23" s="1071">
        <v>3.6533000000000004E-5</v>
      </c>
      <c r="D23" s="1069"/>
      <c r="E23" s="754"/>
      <c r="F23" s="742"/>
      <c r="G23" s="710"/>
    </row>
    <row r="24" spans="1:7" ht="21" customHeight="1" x14ac:dyDescent="0.3">
      <c r="A24" s="710"/>
      <c r="B24" s="755" t="s">
        <v>462</v>
      </c>
      <c r="C24" s="1072">
        <f t="shared" ref="C24" si="2">C22*C23</f>
        <v>11.763626000000002</v>
      </c>
      <c r="D24" s="1069"/>
      <c r="E24" s="757"/>
      <c r="F24" s="742"/>
      <c r="G24" s="710"/>
    </row>
    <row r="25" spans="1:7" ht="21" customHeight="1" x14ac:dyDescent="0.4">
      <c r="B25" s="728" t="s">
        <v>463</v>
      </c>
      <c r="C25" s="1068"/>
      <c r="D25" s="746"/>
      <c r="E25" s="758"/>
      <c r="F25" s="746"/>
    </row>
    <row r="26" spans="1:7" ht="30.6" customHeight="1" x14ac:dyDescent="0.3">
      <c r="A26" s="710"/>
      <c r="B26" s="732" t="s">
        <v>183</v>
      </c>
      <c r="C26" s="907" t="s">
        <v>524</v>
      </c>
      <c r="D26" s="1069"/>
      <c r="E26" s="759"/>
      <c r="F26" s="742"/>
      <c r="G26" s="710"/>
    </row>
    <row r="27" spans="1:7" ht="21" customHeight="1" x14ac:dyDescent="0.3">
      <c r="A27" s="710"/>
      <c r="B27" s="749" t="s">
        <v>2342</v>
      </c>
      <c r="C27" s="1070">
        <f>'CF-0118|GDS'!I10</f>
        <v>0</v>
      </c>
      <c r="D27" s="742"/>
      <c r="E27" s="751"/>
      <c r="F27" s="742"/>
      <c r="G27" s="710"/>
    </row>
    <row r="28" spans="1:7" ht="21" customHeight="1" x14ac:dyDescent="0.3">
      <c r="A28" s="710"/>
      <c r="B28" s="752" t="s">
        <v>461</v>
      </c>
      <c r="C28" s="1071">
        <v>2.7339430000000004E-3</v>
      </c>
      <c r="D28" s="1069"/>
      <c r="E28" s="754"/>
      <c r="F28" s="742"/>
      <c r="G28" s="710"/>
    </row>
    <row r="29" spans="1:7" ht="21" customHeight="1" x14ac:dyDescent="0.3">
      <c r="A29" s="710"/>
      <c r="B29" s="755" t="s">
        <v>462</v>
      </c>
      <c r="C29" s="1072">
        <f>C27*C28</f>
        <v>0</v>
      </c>
      <c r="D29" s="1069"/>
      <c r="E29" s="757"/>
      <c r="F29" s="742"/>
      <c r="G29" s="710"/>
    </row>
    <row r="30" spans="1:7" ht="28.5" customHeight="1" x14ac:dyDescent="0.3">
      <c r="A30" s="710"/>
      <c r="B30" s="760" t="s">
        <v>320</v>
      </c>
      <c r="C30" s="1073" t="s">
        <v>321</v>
      </c>
      <c r="D30" s="1074"/>
      <c r="E30" s="763"/>
      <c r="F30" s="762"/>
      <c r="G30" s="710"/>
    </row>
    <row r="31" spans="1:7" ht="24" customHeight="1" x14ac:dyDescent="0.3">
      <c r="B31" s="764" t="s">
        <v>322</v>
      </c>
      <c r="C31" s="1075">
        <v>3</v>
      </c>
      <c r="D31" s="766"/>
      <c r="E31" s="767"/>
      <c r="F31" s="766"/>
    </row>
    <row r="32" spans="1:7" ht="33" customHeight="1" x14ac:dyDescent="0.3">
      <c r="A32" s="710"/>
      <c r="B32" s="768" t="s">
        <v>464</v>
      </c>
      <c r="C32" s="1076" t="s">
        <v>324</v>
      </c>
      <c r="D32" s="742"/>
      <c r="E32" s="759"/>
      <c r="F32" s="742"/>
      <c r="G32" s="710"/>
    </row>
    <row r="33" spans="1:7" ht="33" customHeight="1" x14ac:dyDescent="0.3">
      <c r="A33" s="710"/>
      <c r="B33" s="770" t="s">
        <v>465</v>
      </c>
      <c r="C33" s="1077" t="s">
        <v>326</v>
      </c>
      <c r="D33" s="742"/>
      <c r="E33" s="759"/>
      <c r="F33" s="742"/>
      <c r="G33" s="710"/>
    </row>
    <row r="34" spans="1:7" ht="33" customHeight="1" x14ac:dyDescent="0.3">
      <c r="A34" s="710"/>
      <c r="B34" s="768" t="s">
        <v>466</v>
      </c>
      <c r="C34" s="980" t="s">
        <v>729</v>
      </c>
      <c r="D34" s="742"/>
      <c r="E34" s="759"/>
      <c r="F34" s="742"/>
      <c r="G34" s="710"/>
    </row>
    <row r="35" spans="1:7" ht="21" customHeight="1" x14ac:dyDescent="0.3">
      <c r="B35" s="772" t="s">
        <v>329</v>
      </c>
      <c r="C35" s="1077">
        <v>8</v>
      </c>
      <c r="D35" s="730"/>
      <c r="E35" s="730"/>
      <c r="F35" s="730"/>
    </row>
    <row r="36" spans="1:7" ht="21" customHeight="1" x14ac:dyDescent="0.3">
      <c r="B36" s="716" t="s">
        <v>330</v>
      </c>
      <c r="C36" s="1076" t="s">
        <v>324</v>
      </c>
      <c r="D36" s="746"/>
      <c r="E36" s="758"/>
      <c r="F36" s="746"/>
    </row>
    <row r="37" spans="1:7" ht="21" customHeight="1" x14ac:dyDescent="0.3">
      <c r="B37" s="772" t="s">
        <v>331</v>
      </c>
      <c r="C37" s="1077" t="s">
        <v>324</v>
      </c>
      <c r="D37" s="746"/>
      <c r="E37" s="758"/>
      <c r="F37" s="746"/>
    </row>
    <row r="38" spans="1:7" ht="21" customHeight="1" x14ac:dyDescent="0.3">
      <c r="B38" s="725" t="s">
        <v>332</v>
      </c>
      <c r="C38" s="822" t="s">
        <v>333</v>
      </c>
      <c r="D38" s="746"/>
      <c r="E38" s="758"/>
      <c r="F38" s="746"/>
    </row>
    <row r="39" spans="1:7" ht="15.75" customHeight="1" x14ac:dyDescent="0.3">
      <c r="B39" s="690"/>
      <c r="C39" s="690"/>
      <c r="D39" s="746"/>
      <c r="E39" s="746"/>
      <c r="F39" s="746"/>
    </row>
    <row r="40" spans="1:7" ht="15.75" customHeight="1" x14ac:dyDescent="0.3">
      <c r="B40" s="774" t="s">
        <v>467</v>
      </c>
      <c r="C40" s="690"/>
      <c r="D40" s="746"/>
      <c r="E40" s="746"/>
      <c r="F40" s="746"/>
    </row>
    <row r="41" spans="1:7" ht="15.75" customHeight="1" x14ac:dyDescent="0.3">
      <c r="B41" s="774" t="s">
        <v>468</v>
      </c>
      <c r="C41" s="690"/>
      <c r="D41" s="746"/>
      <c r="E41" s="746"/>
      <c r="F41" s="746"/>
    </row>
    <row r="42" spans="1:7" ht="15.75" customHeight="1" x14ac:dyDescent="0.3">
      <c r="B42" s="774" t="s">
        <v>469</v>
      </c>
      <c r="C42" s="690"/>
      <c r="D42" s="746"/>
      <c r="E42" s="746"/>
      <c r="F42" s="746"/>
    </row>
    <row r="43" spans="1:7" ht="15.75" customHeight="1" x14ac:dyDescent="0.3">
      <c r="B43" s="774" t="s">
        <v>470</v>
      </c>
      <c r="C43" s="690"/>
      <c r="D43" s="746"/>
      <c r="E43" s="746"/>
      <c r="F43" s="746"/>
    </row>
    <row r="44" spans="1:7" ht="15.75" customHeight="1" x14ac:dyDescent="0.3">
      <c r="B44" s="774" t="s">
        <v>471</v>
      </c>
      <c r="D44" s="690"/>
      <c r="F44" s="690"/>
    </row>
    <row r="45" spans="1:7" ht="15.75" customHeight="1" x14ac:dyDescent="0.3">
      <c r="B45" s="774" t="s">
        <v>472</v>
      </c>
      <c r="D45" s="690"/>
      <c r="F45" s="690"/>
    </row>
    <row r="46" spans="1:7" ht="15.75" customHeight="1" x14ac:dyDescent="0.3">
      <c r="D46" s="690"/>
      <c r="F46" s="690"/>
    </row>
    <row r="47" spans="1:7" ht="15.75" customHeight="1" x14ac:dyDescent="0.3">
      <c r="D47" s="690"/>
      <c r="F47" s="690"/>
    </row>
    <row r="48" spans="1:7" ht="15.75" customHeight="1" x14ac:dyDescent="0.3">
      <c r="D48" s="690"/>
      <c r="F48" s="690"/>
    </row>
    <row r="49" spans="4:6" ht="15.75" customHeight="1" x14ac:dyDescent="0.3">
      <c r="D49" s="690"/>
      <c r="F49" s="690"/>
    </row>
    <row r="50" spans="4:6" ht="15.75" customHeight="1" x14ac:dyDescent="0.3">
      <c r="D50" s="690"/>
      <c r="F50" s="690"/>
    </row>
    <row r="51" spans="4:6" ht="15.75" customHeight="1" x14ac:dyDescent="0.3">
      <c r="D51" s="690"/>
      <c r="F51" s="690"/>
    </row>
    <row r="52" spans="4:6" ht="15.75" customHeight="1" x14ac:dyDescent="0.3">
      <c r="D52" s="690"/>
      <c r="F52" s="690"/>
    </row>
    <row r="53" spans="4:6" ht="15.75" customHeight="1" x14ac:dyDescent="0.3">
      <c r="D53" s="690"/>
      <c r="F53" s="690"/>
    </row>
    <row r="54" spans="4:6" ht="15.75" customHeight="1" x14ac:dyDescent="0.3">
      <c r="D54" s="690"/>
      <c r="F54" s="690"/>
    </row>
    <row r="55" spans="4:6" ht="15.75" customHeight="1" x14ac:dyDescent="0.3">
      <c r="D55" s="690"/>
      <c r="F55" s="690"/>
    </row>
    <row r="56" spans="4:6" ht="15.75" customHeight="1" x14ac:dyDescent="0.3">
      <c r="D56" s="690"/>
      <c r="F56" s="690"/>
    </row>
    <row r="57" spans="4:6" ht="15.75" customHeight="1" x14ac:dyDescent="0.3">
      <c r="D57" s="690"/>
      <c r="F57" s="690"/>
    </row>
    <row r="58" spans="4:6" ht="15.75" customHeight="1" x14ac:dyDescent="0.3">
      <c r="D58" s="690"/>
      <c r="F58" s="690"/>
    </row>
    <row r="59" spans="4:6" ht="15.75" customHeight="1" x14ac:dyDescent="0.3">
      <c r="D59" s="690"/>
      <c r="F59" s="690"/>
    </row>
    <row r="60" spans="4:6" ht="15.75" customHeight="1" x14ac:dyDescent="0.3">
      <c r="D60" s="690"/>
      <c r="F60" s="690"/>
    </row>
    <row r="61" spans="4:6" ht="15.75" customHeight="1" x14ac:dyDescent="0.3">
      <c r="D61" s="690"/>
      <c r="F61" s="690"/>
    </row>
    <row r="62" spans="4:6" ht="15.75" customHeight="1" x14ac:dyDescent="0.3">
      <c r="D62" s="690"/>
      <c r="F62" s="690"/>
    </row>
    <row r="63" spans="4:6" ht="15.75" customHeight="1" x14ac:dyDescent="0.3">
      <c r="D63" s="690"/>
      <c r="F63" s="690"/>
    </row>
    <row r="64" spans="4:6" ht="15.75" customHeight="1" x14ac:dyDescent="0.3">
      <c r="D64" s="690"/>
      <c r="F64" s="690"/>
    </row>
    <row r="65" spans="4:6" ht="15.75" customHeight="1" x14ac:dyDescent="0.3">
      <c r="D65" s="690"/>
      <c r="F65" s="690"/>
    </row>
    <row r="66" spans="4:6" ht="15.75" customHeight="1" x14ac:dyDescent="0.3">
      <c r="D66" s="690"/>
      <c r="F66" s="690"/>
    </row>
    <row r="67" spans="4:6" ht="15.75" customHeight="1" x14ac:dyDescent="0.3">
      <c r="D67" s="690"/>
      <c r="F67" s="690"/>
    </row>
    <row r="68" spans="4:6" ht="15.75" customHeight="1" x14ac:dyDescent="0.3">
      <c r="D68" s="690"/>
      <c r="F68" s="690"/>
    </row>
    <row r="69" spans="4:6" ht="15.75" customHeight="1" x14ac:dyDescent="0.3">
      <c r="D69" s="690"/>
      <c r="F69" s="690"/>
    </row>
    <row r="70" spans="4:6" ht="15.75" customHeight="1" x14ac:dyDescent="0.3">
      <c r="D70" s="690"/>
      <c r="F70" s="690"/>
    </row>
    <row r="71" spans="4:6" ht="15.75" customHeight="1" x14ac:dyDescent="0.3">
      <c r="D71" s="690"/>
      <c r="F71" s="690"/>
    </row>
    <row r="72" spans="4:6" ht="15.75" customHeight="1" x14ac:dyDescent="0.3">
      <c r="D72" s="690"/>
      <c r="F72" s="690"/>
    </row>
    <row r="73" spans="4:6" ht="15.75" customHeight="1" x14ac:dyDescent="0.3">
      <c r="D73" s="690"/>
      <c r="F73" s="690"/>
    </row>
    <row r="74" spans="4:6" ht="15.75" customHeight="1" x14ac:dyDescent="0.3">
      <c r="D74" s="690"/>
      <c r="F74" s="690"/>
    </row>
    <row r="75" spans="4:6" ht="15.75" customHeight="1" x14ac:dyDescent="0.3">
      <c r="D75" s="690"/>
      <c r="F75" s="690"/>
    </row>
    <row r="76" spans="4:6" ht="15.75" customHeight="1" x14ac:dyDescent="0.3">
      <c r="D76" s="690"/>
      <c r="F76" s="690"/>
    </row>
    <row r="77" spans="4:6" ht="15.75" customHeight="1" x14ac:dyDescent="0.3">
      <c r="D77" s="690"/>
      <c r="F77" s="690"/>
    </row>
    <row r="78" spans="4:6" ht="15.75" customHeight="1" x14ac:dyDescent="0.3">
      <c r="D78" s="690"/>
      <c r="F78" s="690"/>
    </row>
    <row r="79" spans="4:6" ht="15.75" customHeight="1" x14ac:dyDescent="0.3">
      <c r="D79" s="690"/>
      <c r="F79" s="690"/>
    </row>
    <row r="80" spans="4:6" ht="15.75" customHeight="1" x14ac:dyDescent="0.3">
      <c r="D80" s="690"/>
      <c r="F80" s="690"/>
    </row>
    <row r="81" spans="4:6" ht="15.75" customHeight="1" x14ac:dyDescent="0.3">
      <c r="D81" s="690"/>
      <c r="F81" s="690"/>
    </row>
    <row r="82" spans="4:6" ht="15.75" customHeight="1" x14ac:dyDescent="0.3">
      <c r="D82" s="690"/>
      <c r="F82" s="690"/>
    </row>
    <row r="83" spans="4:6" ht="15.75" customHeight="1" x14ac:dyDescent="0.3">
      <c r="D83" s="690"/>
      <c r="F83" s="690"/>
    </row>
    <row r="84" spans="4:6" ht="15.75" customHeight="1" x14ac:dyDescent="0.3">
      <c r="D84" s="690"/>
      <c r="F84" s="690"/>
    </row>
    <row r="85" spans="4:6" ht="15.75" customHeight="1" x14ac:dyDescent="0.3">
      <c r="D85" s="690"/>
      <c r="F85" s="690"/>
    </row>
    <row r="86" spans="4:6" ht="15.75" customHeight="1" x14ac:dyDescent="0.3">
      <c r="D86" s="690"/>
      <c r="F86" s="690"/>
    </row>
    <row r="87" spans="4:6" ht="15.75" customHeight="1" x14ac:dyDescent="0.3">
      <c r="D87" s="690"/>
      <c r="F87" s="690"/>
    </row>
    <row r="88" spans="4:6" ht="15.75" customHeight="1" x14ac:dyDescent="0.3">
      <c r="D88" s="690"/>
      <c r="F88" s="690"/>
    </row>
    <row r="89" spans="4:6" ht="15.75" customHeight="1" x14ac:dyDescent="0.3">
      <c r="D89" s="690"/>
      <c r="F89" s="690"/>
    </row>
    <row r="90" spans="4:6" ht="15.75" customHeight="1" x14ac:dyDescent="0.3">
      <c r="D90" s="690"/>
      <c r="F90" s="690"/>
    </row>
    <row r="91" spans="4:6" ht="15.75" customHeight="1" x14ac:dyDescent="0.3">
      <c r="D91" s="690"/>
      <c r="F91" s="690"/>
    </row>
    <row r="92" spans="4:6" ht="15.75" customHeight="1" x14ac:dyDescent="0.3">
      <c r="D92" s="690"/>
      <c r="F92" s="690"/>
    </row>
    <row r="93" spans="4:6" ht="15.75" customHeight="1" x14ac:dyDescent="0.3">
      <c r="D93" s="690"/>
      <c r="F93" s="690"/>
    </row>
    <row r="94" spans="4:6" ht="15.75" customHeight="1" x14ac:dyDescent="0.3">
      <c r="D94" s="690"/>
      <c r="F94" s="690"/>
    </row>
    <row r="95" spans="4:6" ht="15.75" customHeight="1" x14ac:dyDescent="0.3">
      <c r="D95" s="690"/>
      <c r="F95" s="690"/>
    </row>
    <row r="96" spans="4:6" ht="15.75" customHeight="1" x14ac:dyDescent="0.3">
      <c r="D96" s="690"/>
      <c r="F96" s="690"/>
    </row>
    <row r="97" spans="4:6" ht="15.75" customHeight="1" x14ac:dyDescent="0.3">
      <c r="D97" s="690"/>
      <c r="F97" s="690"/>
    </row>
    <row r="98" spans="4:6" ht="15.75" customHeight="1" x14ac:dyDescent="0.3">
      <c r="D98" s="690"/>
      <c r="F98" s="690"/>
    </row>
    <row r="99" spans="4:6" ht="15.75" customHeight="1" x14ac:dyDescent="0.3">
      <c r="D99" s="690"/>
      <c r="F99" s="690"/>
    </row>
    <row r="100" spans="4:6" ht="15.75" customHeight="1" x14ac:dyDescent="0.3">
      <c r="D100" s="690"/>
      <c r="F100" s="690"/>
    </row>
    <row r="101" spans="4:6" ht="15.75" customHeight="1" x14ac:dyDescent="0.3">
      <c r="D101" s="690"/>
      <c r="F101" s="690"/>
    </row>
    <row r="102" spans="4:6" ht="15.75" customHeight="1" x14ac:dyDescent="0.3">
      <c r="D102" s="690"/>
      <c r="F102" s="690"/>
    </row>
    <row r="103" spans="4:6" ht="15.75" customHeight="1" x14ac:dyDescent="0.3">
      <c r="D103" s="690"/>
      <c r="F103" s="690"/>
    </row>
    <row r="104" spans="4:6" ht="15.75" customHeight="1" x14ac:dyDescent="0.3">
      <c r="D104" s="690"/>
      <c r="F104" s="690"/>
    </row>
    <row r="105" spans="4:6" ht="15.75" customHeight="1" x14ac:dyDescent="0.3">
      <c r="D105" s="690"/>
      <c r="F105" s="690"/>
    </row>
    <row r="106" spans="4:6" ht="15.75" customHeight="1" x14ac:dyDescent="0.3">
      <c r="D106" s="690"/>
      <c r="F106" s="690"/>
    </row>
    <row r="107" spans="4:6" ht="15.75" customHeight="1" x14ac:dyDescent="0.3">
      <c r="D107" s="690"/>
      <c r="F107" s="690"/>
    </row>
    <row r="108" spans="4:6" ht="15.75" customHeight="1" x14ac:dyDescent="0.3">
      <c r="D108" s="690"/>
      <c r="F108" s="690"/>
    </row>
    <row r="109" spans="4:6" ht="15.75" customHeight="1" x14ac:dyDescent="0.3">
      <c r="D109" s="690"/>
      <c r="F109" s="690"/>
    </row>
    <row r="110" spans="4:6" ht="15.75" customHeight="1" x14ac:dyDescent="0.3">
      <c r="D110" s="690"/>
      <c r="F110" s="690"/>
    </row>
    <row r="111" spans="4:6" ht="15.75" customHeight="1" x14ac:dyDescent="0.3">
      <c r="D111" s="690"/>
      <c r="F111" s="690"/>
    </row>
    <row r="112" spans="4:6" ht="15.75" customHeight="1" x14ac:dyDescent="0.3">
      <c r="D112" s="690"/>
      <c r="F112" s="690"/>
    </row>
    <row r="113" spans="4:6" ht="15.75" customHeight="1" x14ac:dyDescent="0.3">
      <c r="D113" s="690"/>
      <c r="F113" s="690"/>
    </row>
    <row r="114" spans="4:6" ht="15.75" customHeight="1" x14ac:dyDescent="0.3">
      <c r="D114" s="690"/>
      <c r="F114" s="690"/>
    </row>
    <row r="115" spans="4:6" ht="15.75" customHeight="1" x14ac:dyDescent="0.3">
      <c r="D115" s="690"/>
      <c r="F115" s="690"/>
    </row>
    <row r="116" spans="4:6" ht="15.75" customHeight="1" x14ac:dyDescent="0.3">
      <c r="D116" s="690"/>
      <c r="F116" s="690"/>
    </row>
    <row r="117" spans="4:6" ht="15.75" customHeight="1" x14ac:dyDescent="0.3">
      <c r="D117" s="690"/>
      <c r="F117" s="690"/>
    </row>
    <row r="118" spans="4:6" ht="15.75" customHeight="1" x14ac:dyDescent="0.3">
      <c r="D118" s="690"/>
      <c r="F118" s="690"/>
    </row>
    <row r="119" spans="4:6" ht="15.75" customHeight="1" x14ac:dyDescent="0.3">
      <c r="D119" s="690"/>
      <c r="F119" s="690"/>
    </row>
    <row r="120" spans="4:6" ht="15.75" customHeight="1" x14ac:dyDescent="0.3">
      <c r="D120" s="690"/>
      <c r="F120" s="690"/>
    </row>
    <row r="121" spans="4:6" ht="15.75" customHeight="1" x14ac:dyDescent="0.3">
      <c r="D121" s="690"/>
      <c r="F121" s="690"/>
    </row>
    <row r="122" spans="4:6" ht="15.75" customHeight="1" x14ac:dyDescent="0.3">
      <c r="D122" s="690"/>
      <c r="F122" s="690"/>
    </row>
    <row r="123" spans="4:6" ht="15.75" customHeight="1" x14ac:dyDescent="0.3">
      <c r="D123" s="690"/>
      <c r="F123" s="690"/>
    </row>
    <row r="124" spans="4:6" ht="15.75" customHeight="1" x14ac:dyDescent="0.3">
      <c r="D124" s="690"/>
      <c r="F124" s="690"/>
    </row>
    <row r="125" spans="4:6" ht="15.75" customHeight="1" x14ac:dyDescent="0.3">
      <c r="D125" s="690"/>
      <c r="F125" s="690"/>
    </row>
    <row r="126" spans="4:6" ht="15.75" customHeight="1" x14ac:dyDescent="0.3">
      <c r="D126" s="690"/>
      <c r="F126" s="690"/>
    </row>
    <row r="127" spans="4:6" ht="15.75" customHeight="1" x14ac:dyDescent="0.3">
      <c r="D127" s="690"/>
      <c r="F127" s="690"/>
    </row>
    <row r="128" spans="4:6" ht="15.75" customHeight="1" x14ac:dyDescent="0.3">
      <c r="D128" s="690"/>
      <c r="F128" s="690"/>
    </row>
    <row r="129" spans="4:6" ht="15.75" customHeight="1" x14ac:dyDescent="0.3">
      <c r="D129" s="690"/>
      <c r="F129" s="690"/>
    </row>
    <row r="130" spans="4:6" ht="15.75" customHeight="1" x14ac:dyDescent="0.3">
      <c r="D130" s="690"/>
      <c r="F130" s="690"/>
    </row>
    <row r="131" spans="4:6" ht="15.75" customHeight="1" x14ac:dyDescent="0.3">
      <c r="D131" s="690"/>
      <c r="F131" s="690"/>
    </row>
    <row r="132" spans="4:6" ht="15.75" customHeight="1" x14ac:dyDescent="0.3">
      <c r="D132" s="690"/>
      <c r="F132" s="690"/>
    </row>
    <row r="133" spans="4:6" ht="15.75" customHeight="1" x14ac:dyDescent="0.3">
      <c r="D133" s="690"/>
      <c r="F133" s="690"/>
    </row>
    <row r="134" spans="4:6" ht="15.75" customHeight="1" x14ac:dyDescent="0.3">
      <c r="D134" s="690"/>
      <c r="F134" s="690"/>
    </row>
    <row r="135" spans="4:6" ht="15.75" customHeight="1" x14ac:dyDescent="0.3">
      <c r="D135" s="690"/>
      <c r="F135" s="690"/>
    </row>
    <row r="136" spans="4:6" ht="15.75" customHeight="1" x14ac:dyDescent="0.3">
      <c r="D136" s="690"/>
      <c r="F136" s="690"/>
    </row>
    <row r="137" spans="4:6" ht="15.75" customHeight="1" x14ac:dyDescent="0.3">
      <c r="D137" s="690"/>
      <c r="F137" s="690"/>
    </row>
    <row r="138" spans="4:6" ht="15.75" customHeight="1" x14ac:dyDescent="0.3">
      <c r="D138" s="690"/>
      <c r="F138" s="690"/>
    </row>
    <row r="139" spans="4:6" ht="15.75" customHeight="1" x14ac:dyDescent="0.3">
      <c r="D139" s="690"/>
      <c r="F139" s="690"/>
    </row>
    <row r="140" spans="4:6" ht="15.75" customHeight="1" x14ac:dyDescent="0.3">
      <c r="D140" s="690"/>
      <c r="F140" s="690"/>
    </row>
    <row r="141" spans="4:6" ht="15.75" customHeight="1" x14ac:dyDescent="0.3">
      <c r="D141" s="690"/>
      <c r="F141" s="690"/>
    </row>
    <row r="142" spans="4:6" ht="15.75" customHeight="1" x14ac:dyDescent="0.3">
      <c r="D142" s="690"/>
      <c r="F142" s="690"/>
    </row>
    <row r="143" spans="4:6" ht="15.75" customHeight="1" x14ac:dyDescent="0.3">
      <c r="D143" s="690"/>
      <c r="F143" s="690"/>
    </row>
    <row r="144" spans="4:6" ht="15.75" customHeight="1" x14ac:dyDescent="0.3">
      <c r="D144" s="690"/>
      <c r="F144" s="690"/>
    </row>
    <row r="145" spans="4:6" ht="15.75" customHeight="1" x14ac:dyDescent="0.3">
      <c r="D145" s="690"/>
      <c r="F145" s="690"/>
    </row>
    <row r="146" spans="4:6" ht="15.75" customHeight="1" x14ac:dyDescent="0.3">
      <c r="D146" s="690"/>
      <c r="F146" s="690"/>
    </row>
    <row r="147" spans="4:6" ht="15.75" customHeight="1" x14ac:dyDescent="0.3">
      <c r="D147" s="690"/>
      <c r="F147" s="690"/>
    </row>
    <row r="148" spans="4:6" ht="15.75" customHeight="1" x14ac:dyDescent="0.3">
      <c r="D148" s="690"/>
      <c r="F148" s="690"/>
    </row>
    <row r="149" spans="4:6" ht="15.75" customHeight="1" x14ac:dyDescent="0.3">
      <c r="D149" s="690"/>
      <c r="F149" s="690"/>
    </row>
    <row r="150" spans="4:6" ht="15.75" customHeight="1" x14ac:dyDescent="0.3">
      <c r="D150" s="690"/>
      <c r="F150" s="690"/>
    </row>
    <row r="151" spans="4:6" ht="15.75" customHeight="1" x14ac:dyDescent="0.3">
      <c r="D151" s="690"/>
      <c r="F151" s="690"/>
    </row>
    <row r="152" spans="4:6" ht="15.75" customHeight="1" x14ac:dyDescent="0.3">
      <c r="D152" s="690"/>
      <c r="F152" s="690"/>
    </row>
    <row r="153" spans="4:6" ht="15.75" customHeight="1" x14ac:dyDescent="0.3">
      <c r="D153" s="690"/>
      <c r="F153" s="690"/>
    </row>
    <row r="154" spans="4:6" ht="15.75" customHeight="1" x14ac:dyDescent="0.3">
      <c r="D154" s="690"/>
      <c r="F154" s="690"/>
    </row>
    <row r="155" spans="4:6" ht="15.75" customHeight="1" x14ac:dyDescent="0.3">
      <c r="D155" s="690"/>
      <c r="F155" s="690"/>
    </row>
    <row r="156" spans="4:6" ht="15.75" customHeight="1" x14ac:dyDescent="0.3">
      <c r="D156" s="690"/>
      <c r="F156" s="690"/>
    </row>
    <row r="157" spans="4:6" ht="15.75" customHeight="1" x14ac:dyDescent="0.3">
      <c r="D157" s="690"/>
      <c r="F157" s="690"/>
    </row>
    <row r="158" spans="4:6" ht="15.75" customHeight="1" x14ac:dyDescent="0.3">
      <c r="D158" s="690"/>
      <c r="F158" s="690"/>
    </row>
    <row r="159" spans="4:6" ht="15.75" customHeight="1" x14ac:dyDescent="0.3">
      <c r="D159" s="690"/>
      <c r="F159" s="690"/>
    </row>
    <row r="160" spans="4:6" ht="15.75" customHeight="1" x14ac:dyDescent="0.3">
      <c r="D160" s="690"/>
      <c r="F160" s="690"/>
    </row>
    <row r="161" spans="4:6" ht="15.75" customHeight="1" x14ac:dyDescent="0.3">
      <c r="D161" s="690"/>
      <c r="F161" s="690"/>
    </row>
    <row r="162" spans="4:6" ht="15.75" customHeight="1" x14ac:dyDescent="0.3">
      <c r="D162" s="690"/>
      <c r="F162" s="690"/>
    </row>
    <row r="163" spans="4:6" ht="15.75" customHeight="1" x14ac:dyDescent="0.3">
      <c r="D163" s="690"/>
      <c r="F163" s="690"/>
    </row>
    <row r="164" spans="4:6" ht="15.75" customHeight="1" x14ac:dyDescent="0.3">
      <c r="D164" s="690"/>
      <c r="F164" s="690"/>
    </row>
    <row r="165" spans="4:6" ht="15.75" customHeight="1" x14ac:dyDescent="0.3">
      <c r="D165" s="690"/>
      <c r="F165" s="690"/>
    </row>
    <row r="166" spans="4:6" ht="15.75" customHeight="1" x14ac:dyDescent="0.3">
      <c r="D166" s="690"/>
      <c r="F166" s="690"/>
    </row>
    <row r="167" spans="4:6" ht="15.75" customHeight="1" x14ac:dyDescent="0.3">
      <c r="D167" s="690"/>
      <c r="F167" s="690"/>
    </row>
    <row r="168" spans="4:6" ht="15.75" customHeight="1" x14ac:dyDescent="0.3">
      <c r="D168" s="690"/>
      <c r="F168" s="690"/>
    </row>
    <row r="169" spans="4:6" ht="15.75" customHeight="1" x14ac:dyDescent="0.3">
      <c r="D169" s="690"/>
      <c r="F169" s="690"/>
    </row>
    <row r="170" spans="4:6" ht="15.75" customHeight="1" x14ac:dyDescent="0.3">
      <c r="D170" s="690"/>
      <c r="F170" s="690"/>
    </row>
    <row r="171" spans="4:6" ht="15.75" customHeight="1" x14ac:dyDescent="0.3">
      <c r="D171" s="690"/>
      <c r="F171" s="690"/>
    </row>
    <row r="172" spans="4:6" ht="15.75" customHeight="1" x14ac:dyDescent="0.3">
      <c r="D172" s="690"/>
      <c r="F172" s="690"/>
    </row>
    <row r="173" spans="4:6" ht="15.75" customHeight="1" x14ac:dyDescent="0.3">
      <c r="D173" s="690"/>
      <c r="F173" s="690"/>
    </row>
    <row r="174" spans="4:6" ht="15.75" customHeight="1" x14ac:dyDescent="0.3">
      <c r="D174" s="690"/>
      <c r="F174" s="690"/>
    </row>
    <row r="175" spans="4:6" ht="15.75" customHeight="1" x14ac:dyDescent="0.3">
      <c r="D175" s="690"/>
      <c r="F175" s="690"/>
    </row>
    <row r="176" spans="4:6" ht="15.75" customHeight="1" x14ac:dyDescent="0.3">
      <c r="D176" s="690"/>
      <c r="F176" s="690"/>
    </row>
    <row r="177" spans="4:6" ht="15.75" customHeight="1" x14ac:dyDescent="0.3">
      <c r="D177" s="690"/>
      <c r="F177" s="690"/>
    </row>
    <row r="178" spans="4:6" ht="15.75" customHeight="1" x14ac:dyDescent="0.3">
      <c r="D178" s="690"/>
      <c r="F178" s="690"/>
    </row>
    <row r="179" spans="4:6" ht="15.75" customHeight="1" x14ac:dyDescent="0.3">
      <c r="D179" s="690"/>
      <c r="F179" s="690"/>
    </row>
    <row r="180" spans="4:6" ht="15.75" customHeight="1" x14ac:dyDescent="0.3">
      <c r="D180" s="690"/>
      <c r="F180" s="690"/>
    </row>
    <row r="181" spans="4:6" ht="15.75" customHeight="1" x14ac:dyDescent="0.3">
      <c r="D181" s="690"/>
      <c r="F181" s="690"/>
    </row>
    <row r="182" spans="4:6" ht="15.75" customHeight="1" x14ac:dyDescent="0.3">
      <c r="D182" s="690"/>
      <c r="F182" s="690"/>
    </row>
    <row r="183" spans="4:6" ht="15.75" customHeight="1" x14ac:dyDescent="0.3">
      <c r="D183" s="690"/>
      <c r="F183" s="690"/>
    </row>
    <row r="184" spans="4:6" ht="15.75" customHeight="1" x14ac:dyDescent="0.3">
      <c r="D184" s="690"/>
      <c r="F184" s="690"/>
    </row>
    <row r="185" spans="4:6" ht="15.75" customHeight="1" x14ac:dyDescent="0.3">
      <c r="D185" s="690"/>
      <c r="F185" s="690"/>
    </row>
    <row r="186" spans="4:6" ht="15.75" customHeight="1" x14ac:dyDescent="0.3">
      <c r="D186" s="690"/>
      <c r="F186" s="690"/>
    </row>
    <row r="187" spans="4:6" ht="15.75" customHeight="1" x14ac:dyDescent="0.3">
      <c r="D187" s="690"/>
      <c r="F187" s="690"/>
    </row>
    <row r="188" spans="4:6" ht="15.75" customHeight="1" x14ac:dyDescent="0.3">
      <c r="D188" s="690"/>
      <c r="F188" s="690"/>
    </row>
    <row r="189" spans="4:6" ht="15.75" customHeight="1" x14ac:dyDescent="0.3">
      <c r="D189" s="690"/>
      <c r="F189" s="690"/>
    </row>
    <row r="190" spans="4:6" ht="15.75" customHeight="1" x14ac:dyDescent="0.3">
      <c r="D190" s="690"/>
      <c r="F190" s="690"/>
    </row>
    <row r="191" spans="4:6" ht="15.75" customHeight="1" x14ac:dyDescent="0.3">
      <c r="D191" s="690"/>
      <c r="F191" s="690"/>
    </row>
    <row r="192" spans="4:6" ht="15.75" customHeight="1" x14ac:dyDescent="0.3">
      <c r="D192" s="690"/>
      <c r="F192" s="690"/>
    </row>
    <row r="193" spans="4:6" ht="15.75" customHeight="1" x14ac:dyDescent="0.3">
      <c r="D193" s="690"/>
      <c r="F193" s="690"/>
    </row>
    <row r="194" spans="4:6" ht="15.75" customHeight="1" x14ac:dyDescent="0.3">
      <c r="D194" s="690"/>
      <c r="F194" s="690"/>
    </row>
    <row r="195" spans="4:6" ht="15.75" customHeight="1" x14ac:dyDescent="0.3">
      <c r="D195" s="690"/>
      <c r="F195" s="690"/>
    </row>
    <row r="196" spans="4:6" ht="15.75" customHeight="1" x14ac:dyDescent="0.3">
      <c r="D196" s="690"/>
      <c r="F196" s="690"/>
    </row>
    <row r="197" spans="4:6" ht="15.75" customHeight="1" x14ac:dyDescent="0.3">
      <c r="D197" s="690"/>
      <c r="F197" s="690"/>
    </row>
    <row r="198" spans="4:6" ht="15.75" customHeight="1" x14ac:dyDescent="0.3">
      <c r="D198" s="690"/>
      <c r="F198" s="690"/>
    </row>
    <row r="199" spans="4:6" ht="15.75" customHeight="1" x14ac:dyDescent="0.3">
      <c r="D199" s="690"/>
      <c r="F199" s="690"/>
    </row>
    <row r="200" spans="4:6" ht="15.75" customHeight="1" x14ac:dyDescent="0.3">
      <c r="D200" s="690"/>
      <c r="F200" s="690"/>
    </row>
    <row r="201" spans="4:6" ht="15.75" customHeight="1" x14ac:dyDescent="0.3">
      <c r="D201" s="690"/>
      <c r="F201" s="690"/>
    </row>
    <row r="202" spans="4:6" ht="15.75" customHeight="1" x14ac:dyDescent="0.3">
      <c r="D202" s="690"/>
      <c r="F202" s="690"/>
    </row>
    <row r="203" spans="4:6" ht="15.75" customHeight="1" x14ac:dyDescent="0.3">
      <c r="D203" s="690"/>
      <c r="F203" s="690"/>
    </row>
    <row r="204" spans="4:6" ht="15.75" customHeight="1" x14ac:dyDescent="0.3">
      <c r="D204" s="690"/>
      <c r="F204" s="690"/>
    </row>
    <row r="205" spans="4:6" ht="15.75" customHeight="1" x14ac:dyDescent="0.3">
      <c r="D205" s="690"/>
      <c r="F205" s="690"/>
    </row>
    <row r="206" spans="4:6" ht="15.75" customHeight="1" x14ac:dyDescent="0.3">
      <c r="D206" s="690"/>
      <c r="F206" s="690"/>
    </row>
    <row r="207" spans="4:6" ht="15.75" customHeight="1" x14ac:dyDescent="0.3">
      <c r="D207" s="690"/>
      <c r="F207" s="690"/>
    </row>
    <row r="208" spans="4:6" ht="15.75" customHeight="1" x14ac:dyDescent="0.3">
      <c r="D208" s="690"/>
      <c r="F208" s="690"/>
    </row>
    <row r="209" spans="4:6" ht="15.75" customHeight="1" x14ac:dyDescent="0.3">
      <c r="D209" s="690"/>
      <c r="F209" s="690"/>
    </row>
    <row r="210" spans="4:6" ht="15.75" customHeight="1" x14ac:dyDescent="0.3">
      <c r="D210" s="690"/>
      <c r="F210" s="690"/>
    </row>
    <row r="211" spans="4:6" ht="15.75" customHeight="1" x14ac:dyDescent="0.3">
      <c r="D211" s="690"/>
      <c r="F211" s="690"/>
    </row>
    <row r="212" spans="4:6" ht="15.75" customHeight="1" x14ac:dyDescent="0.3">
      <c r="D212" s="690"/>
      <c r="F212" s="690"/>
    </row>
    <row r="213" spans="4:6" ht="15.75" customHeight="1" x14ac:dyDescent="0.3">
      <c r="D213" s="690"/>
      <c r="F213" s="690"/>
    </row>
    <row r="214" spans="4:6" ht="15.75" customHeight="1" x14ac:dyDescent="0.3">
      <c r="D214" s="690"/>
      <c r="F214" s="690"/>
    </row>
    <row r="215" spans="4:6" ht="15.75" customHeight="1" x14ac:dyDescent="0.3">
      <c r="D215" s="690"/>
      <c r="F215" s="690"/>
    </row>
    <row r="216" spans="4:6" ht="15.75" customHeight="1" x14ac:dyDescent="0.3">
      <c r="D216" s="690"/>
      <c r="F216" s="690"/>
    </row>
    <row r="217" spans="4:6" ht="15.75" customHeight="1" x14ac:dyDescent="0.3">
      <c r="D217" s="690"/>
      <c r="F217" s="690"/>
    </row>
    <row r="218" spans="4:6" ht="15.75" customHeight="1" x14ac:dyDescent="0.3">
      <c r="D218" s="690"/>
      <c r="F218" s="690"/>
    </row>
    <row r="219" spans="4:6" ht="15.75" customHeight="1" x14ac:dyDescent="0.3">
      <c r="D219" s="690"/>
      <c r="F219" s="690"/>
    </row>
    <row r="220" spans="4:6" ht="15.75" customHeight="1" x14ac:dyDescent="0.3">
      <c r="D220" s="690"/>
      <c r="F220" s="690"/>
    </row>
    <row r="221" spans="4:6" ht="15.75" customHeight="1" x14ac:dyDescent="0.3">
      <c r="D221" s="690"/>
      <c r="F221" s="690"/>
    </row>
    <row r="222" spans="4:6" ht="15.75" customHeight="1" x14ac:dyDescent="0.3">
      <c r="D222" s="690"/>
      <c r="F222" s="690"/>
    </row>
    <row r="223" spans="4:6" ht="15.75" customHeight="1" x14ac:dyDescent="0.3">
      <c r="D223" s="690"/>
      <c r="F223" s="690"/>
    </row>
    <row r="224" spans="4:6" ht="15.75" customHeight="1" x14ac:dyDescent="0.3">
      <c r="D224" s="690"/>
      <c r="F224" s="690"/>
    </row>
    <row r="225" spans="4:6" ht="15.75" customHeight="1" x14ac:dyDescent="0.3">
      <c r="D225" s="690"/>
      <c r="F225" s="690"/>
    </row>
    <row r="226" spans="4:6" ht="15.75" customHeight="1" x14ac:dyDescent="0.3">
      <c r="D226" s="690"/>
      <c r="F226" s="690"/>
    </row>
    <row r="227" spans="4:6" ht="15.75" customHeight="1" x14ac:dyDescent="0.3">
      <c r="D227" s="690"/>
      <c r="F227" s="690"/>
    </row>
    <row r="228" spans="4:6" ht="15.75" customHeight="1" x14ac:dyDescent="0.3">
      <c r="D228" s="690"/>
      <c r="F228" s="690"/>
    </row>
    <row r="229" spans="4:6" ht="15.75" customHeight="1" x14ac:dyDescent="0.3">
      <c r="D229" s="690"/>
      <c r="F229" s="690"/>
    </row>
    <row r="230" spans="4:6" ht="15.75" customHeight="1" x14ac:dyDescent="0.3">
      <c r="D230" s="690"/>
      <c r="F230" s="690"/>
    </row>
    <row r="231" spans="4:6" ht="15.75" customHeight="1" x14ac:dyDescent="0.3">
      <c r="D231" s="690"/>
      <c r="F231" s="690"/>
    </row>
    <row r="232" spans="4:6" ht="15.75" customHeight="1" x14ac:dyDescent="0.3">
      <c r="D232" s="690"/>
      <c r="F232" s="690"/>
    </row>
    <row r="233" spans="4:6" ht="15.75" customHeight="1" x14ac:dyDescent="0.3">
      <c r="D233" s="690"/>
      <c r="F233" s="690"/>
    </row>
    <row r="234" spans="4:6" ht="15.75" customHeight="1" x14ac:dyDescent="0.3">
      <c r="D234" s="690"/>
      <c r="F234" s="690"/>
    </row>
    <row r="235" spans="4:6" ht="15.75" customHeight="1" x14ac:dyDescent="0.3">
      <c r="D235" s="690"/>
      <c r="F235" s="690"/>
    </row>
    <row r="236" spans="4:6" ht="15.75" customHeight="1" x14ac:dyDescent="0.3">
      <c r="D236" s="690"/>
      <c r="F236" s="690"/>
    </row>
    <row r="237" spans="4:6" ht="15.75" customHeight="1" x14ac:dyDescent="0.3">
      <c r="D237" s="690"/>
      <c r="F237" s="690"/>
    </row>
    <row r="238" spans="4:6" ht="15.75" customHeight="1" x14ac:dyDescent="0.3">
      <c r="D238" s="690"/>
      <c r="F238" s="690"/>
    </row>
    <row r="239" spans="4:6" ht="15.75" customHeight="1" x14ac:dyDescent="0.3">
      <c r="D239" s="690"/>
      <c r="F239" s="690"/>
    </row>
    <row r="240" spans="4:6" ht="15.75" customHeight="1" x14ac:dyDescent="0.3">
      <c r="D240" s="690"/>
      <c r="F240" s="690"/>
    </row>
    <row r="241" spans="4:6" ht="15.75" customHeight="1" x14ac:dyDescent="0.3">
      <c r="D241" s="690"/>
      <c r="F241" s="690"/>
    </row>
    <row r="242" spans="4:6" ht="15.75" customHeight="1" x14ac:dyDescent="0.3">
      <c r="D242" s="690"/>
      <c r="F242" s="690"/>
    </row>
    <row r="243" spans="4:6" ht="15.75" customHeight="1" x14ac:dyDescent="0.3">
      <c r="D243" s="690"/>
      <c r="F243" s="690"/>
    </row>
    <row r="244" spans="4:6" ht="15.75" customHeight="1" x14ac:dyDescent="0.3">
      <c r="D244" s="690"/>
      <c r="F244" s="690"/>
    </row>
    <row r="245" spans="4:6" ht="15.75" customHeight="1" x14ac:dyDescent="0.3">
      <c r="D245" s="690"/>
      <c r="F245" s="690"/>
    </row>
    <row r="246" spans="4:6" ht="15.75" customHeight="1" x14ac:dyDescent="0.3"/>
    <row r="247" spans="4:6" ht="15.75" customHeight="1" x14ac:dyDescent="0.3"/>
    <row r="248" spans="4:6" ht="15.75" customHeight="1" x14ac:dyDescent="0.3"/>
    <row r="249" spans="4:6" ht="15.75" customHeight="1" x14ac:dyDescent="0.3"/>
    <row r="250" spans="4:6" ht="15.75" customHeight="1" x14ac:dyDescent="0.3"/>
    <row r="251" spans="4:6" ht="15.75" customHeight="1" x14ac:dyDescent="0.3"/>
    <row r="252" spans="4:6" ht="15.75" customHeight="1" x14ac:dyDescent="0.3"/>
    <row r="253" spans="4:6" ht="15.75" customHeight="1" x14ac:dyDescent="0.3"/>
    <row r="254" spans="4:6" ht="15.75" customHeight="1" x14ac:dyDescent="0.3"/>
    <row r="255" spans="4:6" ht="15.75" customHeight="1" x14ac:dyDescent="0.3"/>
    <row r="256" spans="4: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dataValidations count="1">
    <dataValidation type="list" allowBlank="1" showErrorMessage="1" sqref="B17 B27 B22" xr:uid="{C3219DFA-FDBB-4E74-B3ED-F5FF825A3918}">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D31E5-E8AB-45D4-A658-F27694335DB5}">
  <dimension ref="A1:AD889"/>
  <sheetViews>
    <sheetView zoomScale="83" workbookViewId="0">
      <selection activeCell="I22" sqref="I22"/>
    </sheetView>
  </sheetViews>
  <sheetFormatPr defaultColWidth="12.44140625" defaultRowHeight="15" customHeight="1" x14ac:dyDescent="0.3"/>
  <cols>
    <col min="1" max="1" width="2.6640625" style="691" customWidth="1"/>
    <col min="2" max="2" width="5.109375" style="691" customWidth="1"/>
    <col min="3" max="3" width="32.77734375" style="691" customWidth="1"/>
    <col min="4" max="4" width="34" style="691" customWidth="1"/>
    <col min="5" max="5" width="8.88671875" style="691" customWidth="1"/>
    <col min="6" max="6" width="32.44140625" style="691" customWidth="1"/>
    <col min="7" max="7" width="12.77734375" style="691" customWidth="1"/>
    <col min="8" max="8" width="12.77734375" style="691" hidden="1" customWidth="1"/>
    <col min="9" max="12" width="12.77734375" style="691" customWidth="1"/>
    <col min="13" max="26" width="11.5546875" style="691" customWidth="1"/>
    <col min="27" max="30" width="11.6640625" style="691" customWidth="1"/>
    <col min="31" max="16384" width="12.44140625" style="691"/>
  </cols>
  <sheetData>
    <row r="1" spans="1:30" ht="23.25" customHeight="1" x14ac:dyDescent="0.35">
      <c r="A1" s="775"/>
      <c r="B1" s="776" t="s">
        <v>2352</v>
      </c>
    </row>
    <row r="2" spans="1:30" ht="13.5" customHeight="1" x14ac:dyDescent="0.3">
      <c r="A2" s="775"/>
      <c r="B2" s="777" t="s">
        <v>340</v>
      </c>
      <c r="C2" s="693"/>
      <c r="D2" s="693"/>
      <c r="E2" s="693"/>
      <c r="F2" s="693"/>
      <c r="G2" s="693"/>
      <c r="H2" s="693"/>
      <c r="I2" s="693"/>
      <c r="J2" s="693"/>
      <c r="K2" s="693"/>
      <c r="L2" s="693"/>
      <c r="M2" s="693"/>
      <c r="N2" s="693"/>
      <c r="O2" s="693"/>
      <c r="P2" s="693"/>
      <c r="Q2" s="693"/>
      <c r="R2" s="693"/>
      <c r="S2" s="693"/>
      <c r="T2" s="693"/>
      <c r="U2" s="693"/>
      <c r="V2" s="693"/>
      <c r="W2" s="693"/>
      <c r="X2" s="693"/>
      <c r="Y2" s="693"/>
      <c r="Z2" s="693"/>
    </row>
    <row r="3" spans="1:30" ht="15.75" customHeight="1" x14ac:dyDescent="0.3">
      <c r="B3" s="778"/>
    </row>
    <row r="4" spans="1:30" ht="19.2" customHeight="1" x14ac:dyDescent="0.3">
      <c r="B4" s="779" t="s">
        <v>1026</v>
      </c>
      <c r="C4" s="780"/>
      <c r="D4" s="780"/>
    </row>
    <row r="5" spans="1:30" ht="19.2" customHeight="1" x14ac:dyDescent="0.3">
      <c r="B5" s="779" t="s">
        <v>341</v>
      </c>
      <c r="C5" s="780"/>
      <c r="D5" s="780"/>
    </row>
    <row r="6" spans="1:30" ht="15.75" customHeight="1" x14ac:dyDescent="0.3">
      <c r="B6" s="778"/>
    </row>
    <row r="7" spans="1:30" ht="15.75" customHeight="1" x14ac:dyDescent="0.3">
      <c r="B7" s="781" t="s">
        <v>473</v>
      </c>
    </row>
    <row r="8" spans="1:30" ht="9" customHeight="1" x14ac:dyDescent="0.3">
      <c r="B8" s="782"/>
      <c r="G8" s="690"/>
      <c r="H8" s="690"/>
      <c r="I8" s="690"/>
      <c r="J8" s="690"/>
      <c r="K8" s="690"/>
      <c r="L8" s="690"/>
      <c r="Z8" s="690"/>
    </row>
    <row r="9" spans="1:30" ht="15.75" customHeight="1" x14ac:dyDescent="0.3">
      <c r="B9" s="783" t="s">
        <v>301</v>
      </c>
      <c r="C9" s="784" t="s">
        <v>343</v>
      </c>
      <c r="D9" s="785" t="s">
        <v>344</v>
      </c>
      <c r="E9" s="785" t="s">
        <v>345</v>
      </c>
      <c r="F9" s="785" t="s">
        <v>346</v>
      </c>
      <c r="G9" s="786" t="s">
        <v>347</v>
      </c>
      <c r="H9" s="787">
        <v>2025</v>
      </c>
      <c r="I9" s="787">
        <v>2024</v>
      </c>
      <c r="J9" s="787">
        <v>2023</v>
      </c>
      <c r="K9" s="787">
        <v>2022</v>
      </c>
      <c r="L9" s="787">
        <v>2021</v>
      </c>
      <c r="M9" s="787">
        <v>2020</v>
      </c>
      <c r="N9" s="787">
        <v>2019</v>
      </c>
      <c r="O9" s="788">
        <v>2018</v>
      </c>
      <c r="P9" s="788">
        <v>2017</v>
      </c>
      <c r="Q9" s="788">
        <v>2016</v>
      </c>
      <c r="R9" s="788">
        <v>2015</v>
      </c>
      <c r="S9" s="788">
        <v>2014</v>
      </c>
      <c r="T9" s="788">
        <v>2013</v>
      </c>
      <c r="U9" s="788">
        <v>2012</v>
      </c>
      <c r="V9" s="788">
        <v>2011</v>
      </c>
      <c r="W9" s="788">
        <v>2010</v>
      </c>
      <c r="X9" s="788">
        <v>2009</v>
      </c>
      <c r="Y9" s="788">
        <v>2008</v>
      </c>
      <c r="Z9" s="789" t="s">
        <v>332</v>
      </c>
    </row>
    <row r="10" spans="1:30" ht="24" customHeight="1" x14ac:dyDescent="0.3">
      <c r="A10" s="790"/>
      <c r="B10" s="791">
        <v>1</v>
      </c>
      <c r="C10" s="792" t="s">
        <v>474</v>
      </c>
      <c r="D10" s="793" t="s">
        <v>475</v>
      </c>
      <c r="E10" s="794" t="s">
        <v>350</v>
      </c>
      <c r="F10" s="795" t="s">
        <v>525</v>
      </c>
      <c r="G10" s="796">
        <v>2015</v>
      </c>
      <c r="H10" s="797"/>
      <c r="I10" s="1009">
        <v>0</v>
      </c>
      <c r="J10" s="1010">
        <v>1521</v>
      </c>
      <c r="K10" s="1011">
        <v>4161</v>
      </c>
      <c r="L10" s="1011">
        <v>2622</v>
      </c>
      <c r="M10" s="1010">
        <v>4567</v>
      </c>
      <c r="N10" s="1011">
        <v>1608</v>
      </c>
      <c r="O10" s="1011">
        <v>1631</v>
      </c>
      <c r="P10" s="1011">
        <v>4022</v>
      </c>
      <c r="Q10" s="1011">
        <v>1553</v>
      </c>
      <c r="R10" s="797"/>
      <c r="S10" s="797"/>
      <c r="T10" s="797"/>
      <c r="U10" s="801"/>
      <c r="V10" s="797"/>
      <c r="W10" s="801"/>
      <c r="X10" s="797"/>
      <c r="Y10" s="801"/>
      <c r="Z10" s="797"/>
      <c r="AA10" s="790"/>
      <c r="AB10" s="790"/>
      <c r="AC10" s="790"/>
      <c r="AD10" s="790"/>
    </row>
    <row r="11" spans="1:30" ht="24" customHeight="1" x14ac:dyDescent="0.3">
      <c r="A11" s="790"/>
      <c r="B11" s="791"/>
      <c r="C11" s="802" t="s">
        <v>478</v>
      </c>
      <c r="D11" s="802" t="s">
        <v>377</v>
      </c>
      <c r="E11" s="803" t="s">
        <v>378</v>
      </c>
      <c r="F11" s="768"/>
      <c r="G11" s="759"/>
      <c r="H11" s="804"/>
      <c r="I11" s="804">
        <v>0</v>
      </c>
      <c r="J11" s="1012">
        <v>58558.5</v>
      </c>
      <c r="K11" s="1013">
        <v>160198.5</v>
      </c>
      <c r="L11" s="1013">
        <v>100947</v>
      </c>
      <c r="M11" s="1013">
        <v>175829.5</v>
      </c>
      <c r="N11" s="1013">
        <v>61908</v>
      </c>
      <c r="O11" s="1013">
        <v>62793.5</v>
      </c>
      <c r="P11" s="1013">
        <v>154847</v>
      </c>
      <c r="Q11" s="1013">
        <v>59790.5</v>
      </c>
      <c r="R11" s="804"/>
      <c r="S11" s="804"/>
      <c r="T11" s="804"/>
      <c r="U11" s="808"/>
      <c r="V11" s="804"/>
      <c r="W11" s="808"/>
      <c r="X11" s="804"/>
      <c r="Y11" s="808"/>
      <c r="Z11" s="804"/>
      <c r="AA11" s="790"/>
      <c r="AB11" s="790"/>
      <c r="AC11" s="790"/>
      <c r="AD11" s="790"/>
    </row>
    <row r="12" spans="1:30" ht="30" customHeight="1" x14ac:dyDescent="0.3">
      <c r="A12" s="790"/>
      <c r="B12" s="791"/>
      <c r="C12" s="793" t="s">
        <v>474</v>
      </c>
      <c r="D12" s="793" t="s">
        <v>526</v>
      </c>
      <c r="E12" s="794" t="s">
        <v>363</v>
      </c>
      <c r="F12" s="795" t="s">
        <v>354</v>
      </c>
      <c r="G12" s="809">
        <v>2015</v>
      </c>
      <c r="H12" s="810"/>
      <c r="I12" s="1078">
        <v>322</v>
      </c>
      <c r="J12" s="1015">
        <v>320</v>
      </c>
      <c r="K12" s="1015">
        <v>361</v>
      </c>
      <c r="L12" s="1015">
        <v>260</v>
      </c>
      <c r="M12" s="1015">
        <v>283</v>
      </c>
      <c r="N12" s="1015">
        <v>301</v>
      </c>
      <c r="O12" s="1015">
        <v>332</v>
      </c>
      <c r="P12" s="1015">
        <v>282</v>
      </c>
      <c r="Q12" s="1015">
        <v>281</v>
      </c>
      <c r="R12" s="810"/>
      <c r="S12" s="810"/>
      <c r="T12" s="810"/>
      <c r="U12" s="801"/>
      <c r="V12" s="810"/>
      <c r="W12" s="801"/>
      <c r="X12" s="810"/>
      <c r="Y12" s="801"/>
      <c r="Z12" s="810"/>
      <c r="AA12" s="790"/>
      <c r="AB12" s="790"/>
      <c r="AC12" s="790"/>
      <c r="AD12" s="790"/>
    </row>
    <row r="13" spans="1:30" ht="30" customHeight="1" x14ac:dyDescent="0.3">
      <c r="A13" s="790"/>
      <c r="B13" s="791"/>
      <c r="C13" s="716"/>
      <c r="D13" s="716" t="s">
        <v>384</v>
      </c>
      <c r="E13" s="803" t="s">
        <v>385</v>
      </c>
      <c r="F13" s="768"/>
      <c r="G13" s="759"/>
      <c r="H13" s="804"/>
      <c r="I13" s="804">
        <f>I12*1000</f>
        <v>322000</v>
      </c>
      <c r="J13" s="1012">
        <v>320000</v>
      </c>
      <c r="K13" s="1013">
        <v>361000</v>
      </c>
      <c r="L13" s="1013">
        <v>260000</v>
      </c>
      <c r="M13" s="1013">
        <v>283000</v>
      </c>
      <c r="N13" s="1013">
        <v>301000</v>
      </c>
      <c r="O13" s="1013">
        <v>332000</v>
      </c>
      <c r="P13" s="1013">
        <v>282000</v>
      </c>
      <c r="Q13" s="1013">
        <v>281000</v>
      </c>
      <c r="R13" s="804"/>
      <c r="S13" s="804"/>
      <c r="T13" s="804"/>
      <c r="U13" s="808"/>
      <c r="V13" s="804"/>
      <c r="W13" s="808"/>
      <c r="X13" s="804"/>
      <c r="Y13" s="808"/>
      <c r="Z13" s="804"/>
      <c r="AA13" s="790"/>
      <c r="AB13" s="790"/>
      <c r="AC13" s="790"/>
      <c r="AD13" s="790"/>
    </row>
    <row r="14" spans="1:30" ht="24" customHeight="1" x14ac:dyDescent="0.3">
      <c r="A14" s="790"/>
      <c r="B14" s="791"/>
      <c r="C14" s="813" t="s">
        <v>478</v>
      </c>
      <c r="D14" s="813" t="s">
        <v>386</v>
      </c>
      <c r="E14" s="814" t="s">
        <v>378</v>
      </c>
      <c r="F14" s="815"/>
      <c r="G14" s="809"/>
      <c r="H14" s="810"/>
      <c r="I14" s="810">
        <v>6182400</v>
      </c>
      <c r="J14" s="1015">
        <v>6144000</v>
      </c>
      <c r="K14" s="1015">
        <v>6931200</v>
      </c>
      <c r="L14" s="1015">
        <v>4992000</v>
      </c>
      <c r="M14" s="1015">
        <v>5433600</v>
      </c>
      <c r="N14" s="1015">
        <v>5779200</v>
      </c>
      <c r="O14" s="1015">
        <v>6374400</v>
      </c>
      <c r="P14" s="1015">
        <v>5414400</v>
      </c>
      <c r="Q14" s="1015">
        <v>5395200</v>
      </c>
      <c r="R14" s="810"/>
      <c r="S14" s="810"/>
      <c r="T14" s="810"/>
      <c r="U14" s="801"/>
      <c r="V14" s="810"/>
      <c r="W14" s="801"/>
      <c r="X14" s="810"/>
      <c r="Y14" s="801"/>
      <c r="Z14" s="810"/>
      <c r="AA14" s="790"/>
      <c r="AB14" s="790"/>
      <c r="AC14" s="790"/>
      <c r="AD14" s="790"/>
    </row>
    <row r="15" spans="1:30" ht="24" customHeight="1" x14ac:dyDescent="0.3">
      <c r="A15" s="790"/>
      <c r="B15" s="791"/>
      <c r="C15" s="716" t="s">
        <v>478</v>
      </c>
      <c r="D15" s="716" t="s">
        <v>387</v>
      </c>
      <c r="E15" s="816" t="s">
        <v>378</v>
      </c>
      <c r="F15" s="817"/>
      <c r="G15" s="759">
        <v>2015</v>
      </c>
      <c r="H15" s="804"/>
      <c r="I15" s="804">
        <f>I11+I14</f>
        <v>6182400</v>
      </c>
      <c r="J15" s="1013">
        <v>6202558.5</v>
      </c>
      <c r="K15" s="1013">
        <v>7091398.5</v>
      </c>
      <c r="L15" s="1013">
        <v>5092947</v>
      </c>
      <c r="M15" s="1013">
        <v>5609429.5</v>
      </c>
      <c r="N15" s="1013">
        <v>5841108</v>
      </c>
      <c r="O15" s="1013">
        <v>6437193.5</v>
      </c>
      <c r="P15" s="1013">
        <v>5569247</v>
      </c>
      <c r="Q15" s="1013">
        <v>5454990.5</v>
      </c>
      <c r="R15" s="804"/>
      <c r="S15" s="804"/>
      <c r="T15" s="804"/>
      <c r="U15" s="808"/>
      <c r="V15" s="804"/>
      <c r="W15" s="808"/>
      <c r="X15" s="804"/>
      <c r="Y15" s="808"/>
      <c r="Z15" s="804"/>
      <c r="AA15" s="790"/>
      <c r="AB15" s="790"/>
      <c r="AC15" s="790"/>
      <c r="AD15" s="790"/>
    </row>
    <row r="16" spans="1:30" ht="24" customHeight="1" x14ac:dyDescent="0.3">
      <c r="A16" s="790"/>
      <c r="B16" s="791"/>
      <c r="C16" s="813" t="s">
        <v>478</v>
      </c>
      <c r="D16" s="813" t="s">
        <v>527</v>
      </c>
      <c r="E16" s="814" t="s">
        <v>350</v>
      </c>
      <c r="F16" s="815" t="s">
        <v>528</v>
      </c>
      <c r="G16" s="818"/>
      <c r="H16" s="810"/>
      <c r="I16" s="1079">
        <v>160581.81818181818</v>
      </c>
      <c r="J16" s="1015">
        <v>161105.41558441558</v>
      </c>
      <c r="K16" s="1015">
        <v>184192.16883116882</v>
      </c>
      <c r="L16" s="1015">
        <v>132284.33766233767</v>
      </c>
      <c r="M16" s="1015">
        <v>145699.4675324675</v>
      </c>
      <c r="N16" s="1015">
        <v>151717.09090909091</v>
      </c>
      <c r="O16" s="1015">
        <v>167199.83116883118</v>
      </c>
      <c r="P16" s="1015">
        <v>144655.76623376625</v>
      </c>
      <c r="Q16" s="1015">
        <v>141688.06493506493</v>
      </c>
      <c r="R16" s="810"/>
      <c r="S16" s="810"/>
      <c r="T16" s="810"/>
      <c r="U16" s="801"/>
      <c r="V16" s="810"/>
      <c r="W16" s="801"/>
      <c r="X16" s="810"/>
      <c r="Y16" s="801"/>
      <c r="Z16" s="810"/>
      <c r="AA16" s="790"/>
      <c r="AB16" s="790"/>
      <c r="AC16" s="790"/>
      <c r="AD16" s="790"/>
    </row>
    <row r="17" spans="1:30" ht="24" customHeight="1" x14ac:dyDescent="0.3">
      <c r="A17" s="790"/>
      <c r="B17" s="819"/>
      <c r="C17" s="725"/>
      <c r="D17" s="725"/>
      <c r="E17" s="820"/>
      <c r="F17" s="821"/>
      <c r="G17" s="822"/>
      <c r="H17" s="823"/>
      <c r="I17" s="823"/>
      <c r="J17" s="823"/>
      <c r="K17" s="823"/>
      <c r="L17" s="823"/>
      <c r="M17" s="823"/>
      <c r="N17" s="823"/>
      <c r="O17" s="823"/>
      <c r="P17" s="823"/>
      <c r="Q17" s="823"/>
      <c r="R17" s="823"/>
      <c r="S17" s="823"/>
      <c r="T17" s="823"/>
      <c r="U17" s="824"/>
      <c r="V17" s="823"/>
      <c r="W17" s="824"/>
      <c r="X17" s="823"/>
      <c r="Y17" s="824"/>
      <c r="Z17" s="823"/>
      <c r="AA17" s="790"/>
      <c r="AB17" s="790"/>
      <c r="AC17" s="790"/>
      <c r="AD17" s="790"/>
    </row>
    <row r="18" spans="1:30" ht="15.75" customHeight="1" x14ac:dyDescent="0.3">
      <c r="A18" s="790"/>
      <c r="B18" s="825"/>
      <c r="C18" s="790"/>
      <c r="D18" s="790"/>
      <c r="E18" s="790"/>
      <c r="F18" s="790"/>
      <c r="G18" s="742"/>
      <c r="H18" s="742"/>
      <c r="I18" s="742"/>
      <c r="J18" s="742"/>
      <c r="K18" s="742"/>
      <c r="L18" s="742"/>
      <c r="M18" s="826"/>
      <c r="N18" s="826"/>
      <c r="O18" s="826"/>
      <c r="P18" s="826"/>
      <c r="Q18" s="826"/>
      <c r="R18" s="826"/>
      <c r="S18" s="826"/>
      <c r="T18" s="826"/>
      <c r="U18" s="826"/>
      <c r="V18" s="826"/>
      <c r="W18" s="826"/>
      <c r="X18" s="826"/>
      <c r="Y18" s="826"/>
      <c r="Z18" s="826"/>
      <c r="AA18" s="790"/>
      <c r="AB18" s="790"/>
      <c r="AC18" s="790"/>
      <c r="AD18" s="790"/>
    </row>
    <row r="19" spans="1:30" ht="15.75" customHeight="1" x14ac:dyDescent="0.3">
      <c r="A19" s="790"/>
      <c r="B19" s="827" t="s">
        <v>355</v>
      </c>
      <c r="C19" s="828" t="s">
        <v>356</v>
      </c>
      <c r="D19" s="790"/>
      <c r="E19" s="790"/>
      <c r="F19" s="790"/>
      <c r="G19" s="742"/>
      <c r="H19" s="742"/>
      <c r="I19" s="742"/>
      <c r="J19" s="742"/>
      <c r="K19" s="742"/>
      <c r="L19" s="742"/>
      <c r="M19" s="826"/>
      <c r="N19" s="826"/>
      <c r="O19" s="826"/>
      <c r="P19" s="826"/>
      <c r="Q19" s="826"/>
      <c r="R19" s="826"/>
      <c r="S19" s="826"/>
      <c r="T19" s="826"/>
      <c r="U19" s="826"/>
      <c r="V19" s="826"/>
      <c r="W19" s="826"/>
      <c r="X19" s="826"/>
      <c r="Y19" s="826"/>
      <c r="Z19" s="826"/>
      <c r="AA19" s="790"/>
      <c r="AB19" s="790"/>
      <c r="AC19" s="790"/>
      <c r="AD19" s="790"/>
    </row>
    <row r="20" spans="1:30" ht="15.75" customHeight="1" x14ac:dyDescent="0.3">
      <c r="A20" s="790"/>
      <c r="B20" s="825"/>
      <c r="C20" s="790"/>
      <c r="D20" s="790"/>
      <c r="E20" s="790"/>
      <c r="F20" s="790"/>
      <c r="G20" s="742"/>
      <c r="H20" s="742"/>
      <c r="I20" s="742"/>
      <c r="J20" s="742"/>
      <c r="K20" s="742"/>
      <c r="L20" s="742"/>
      <c r="M20" s="826"/>
      <c r="N20" s="826"/>
      <c r="O20" s="826"/>
      <c r="P20" s="826"/>
      <c r="Q20" s="826"/>
      <c r="R20" s="826"/>
      <c r="S20" s="826"/>
      <c r="T20" s="826"/>
      <c r="U20" s="826"/>
      <c r="V20" s="826"/>
      <c r="W20" s="826"/>
      <c r="X20" s="826"/>
      <c r="Y20" s="826"/>
      <c r="Z20" s="826"/>
      <c r="AA20" s="790"/>
      <c r="AB20" s="790"/>
      <c r="AC20" s="790"/>
      <c r="AD20" s="790"/>
    </row>
    <row r="21" spans="1:30" ht="15.75" customHeight="1" x14ac:dyDescent="0.3">
      <c r="A21" s="790"/>
      <c r="B21" s="4388" t="s">
        <v>357</v>
      </c>
      <c r="C21" s="4389"/>
      <c r="D21" s="790"/>
      <c r="E21" s="790"/>
      <c r="F21" s="790"/>
      <c r="G21" s="742"/>
      <c r="H21" s="742"/>
      <c r="I21" s="742"/>
      <c r="J21" s="742"/>
      <c r="K21" s="742"/>
      <c r="L21" s="742"/>
      <c r="M21" s="826"/>
      <c r="N21" s="826"/>
      <c r="O21" s="826"/>
      <c r="P21" s="826"/>
      <c r="Q21" s="826"/>
      <c r="R21" s="826"/>
      <c r="S21" s="826"/>
      <c r="T21" s="826"/>
      <c r="U21" s="826"/>
      <c r="V21" s="826"/>
      <c r="W21" s="826"/>
      <c r="X21" s="826"/>
      <c r="Y21" s="826"/>
      <c r="Z21" s="826"/>
      <c r="AA21" s="790"/>
      <c r="AB21" s="790"/>
      <c r="AC21" s="790"/>
      <c r="AD21" s="790"/>
    </row>
    <row r="22" spans="1:30" ht="15.75" customHeight="1" x14ac:dyDescent="0.3">
      <c r="A22" s="790"/>
      <c r="B22" s="831" t="s">
        <v>301</v>
      </c>
      <c r="C22" s="790"/>
      <c r="D22" s="790"/>
      <c r="E22" s="790"/>
      <c r="F22" s="790"/>
      <c r="G22" s="742"/>
      <c r="H22" s="742"/>
      <c r="I22" s="742"/>
      <c r="J22" s="742"/>
      <c r="K22" s="742"/>
      <c r="L22" s="742"/>
      <c r="M22" s="826"/>
      <c r="N22" s="826"/>
      <c r="O22" s="826"/>
      <c r="P22" s="826"/>
      <c r="Q22" s="826"/>
      <c r="R22" s="826"/>
      <c r="S22" s="826"/>
      <c r="T22" s="826"/>
      <c r="U22" s="826"/>
      <c r="V22" s="826"/>
      <c r="W22" s="826"/>
      <c r="X22" s="826"/>
      <c r="Y22" s="826"/>
      <c r="Z22" s="826"/>
      <c r="AA22" s="790"/>
      <c r="AB22" s="790"/>
      <c r="AC22" s="790"/>
      <c r="AD22" s="790"/>
    </row>
    <row r="23" spans="1:30" ht="15.75" customHeight="1" x14ac:dyDescent="0.3">
      <c r="A23" s="790"/>
      <c r="B23" s="831" t="s">
        <v>301</v>
      </c>
      <c r="C23" s="790"/>
      <c r="D23" s="790"/>
      <c r="E23" s="790"/>
      <c r="F23" s="790"/>
      <c r="G23" s="742"/>
      <c r="H23" s="742"/>
      <c r="I23" s="742"/>
      <c r="J23" s="742"/>
      <c r="K23" s="742"/>
      <c r="L23" s="742"/>
      <c r="M23" s="826"/>
      <c r="N23" s="826"/>
      <c r="O23" s="826"/>
      <c r="P23" s="826"/>
      <c r="Q23" s="826"/>
      <c r="R23" s="826"/>
      <c r="S23" s="826"/>
      <c r="T23" s="826"/>
      <c r="U23" s="826"/>
      <c r="V23" s="826"/>
      <c r="W23" s="826"/>
      <c r="X23" s="826"/>
      <c r="Y23" s="826"/>
      <c r="Z23" s="826"/>
      <c r="AA23" s="790"/>
      <c r="AB23" s="790"/>
      <c r="AC23" s="790"/>
      <c r="AD23" s="790"/>
    </row>
    <row r="24" spans="1:30" ht="15.75" customHeight="1" x14ac:dyDescent="0.3"/>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3D504-73A1-4A57-A982-89A1B7DD5C1E}">
  <dimension ref="A1:G986"/>
  <sheetViews>
    <sheetView topLeftCell="A17" workbookViewId="0">
      <selection activeCell="C30" sqref="C30"/>
    </sheetView>
  </sheetViews>
  <sheetFormatPr defaultColWidth="12.44140625" defaultRowHeight="15" customHeight="1" x14ac:dyDescent="0.3"/>
  <cols>
    <col min="1" max="1" width="2.6640625" style="428" customWidth="1"/>
    <col min="2" max="2" width="35.109375" style="428" customWidth="1"/>
    <col min="3" max="3" width="25.21875" style="428" customWidth="1"/>
    <col min="4" max="4" width="1.5546875" style="428" customWidth="1"/>
    <col min="5" max="5" width="14.6640625" style="428" customWidth="1"/>
    <col min="6" max="6" width="7.33203125" style="428" customWidth="1"/>
    <col min="7" max="7" width="11.6640625" style="428" customWidth="1"/>
    <col min="8" max="16384" width="12.44140625" style="428"/>
  </cols>
  <sheetData>
    <row r="1" spans="1:7" ht="21.75" customHeight="1" x14ac:dyDescent="0.35">
      <c r="A1" s="424"/>
      <c r="B1" s="425" t="s">
        <v>549</v>
      </c>
      <c r="D1" s="427"/>
      <c r="F1" s="427"/>
    </row>
    <row r="2" spans="1:7" ht="15.75" customHeight="1" x14ac:dyDescent="0.3">
      <c r="A2" s="424"/>
      <c r="B2" s="429" t="s">
        <v>299</v>
      </c>
      <c r="C2" s="430"/>
      <c r="D2" s="430"/>
      <c r="E2" s="430"/>
      <c r="F2" s="430"/>
    </row>
    <row r="3" spans="1:7" ht="9.75" customHeight="1" x14ac:dyDescent="0.3">
      <c r="A3" s="427"/>
      <c r="B3" s="431"/>
      <c r="D3" s="427"/>
      <c r="F3" s="427"/>
    </row>
    <row r="4" spans="1:7" ht="6" customHeight="1" x14ac:dyDescent="0.3">
      <c r="B4" s="427"/>
      <c r="D4" s="427"/>
      <c r="F4" s="427"/>
    </row>
    <row r="5" spans="1:7" ht="6" customHeight="1" x14ac:dyDescent="0.3">
      <c r="A5" s="431"/>
      <c r="D5" s="427"/>
      <c r="F5" s="427"/>
    </row>
    <row r="6" spans="1:7" ht="15.75" customHeight="1" x14ac:dyDescent="0.3">
      <c r="D6" s="427"/>
      <c r="E6" s="427"/>
      <c r="F6" s="427"/>
    </row>
    <row r="7" spans="1:7" ht="37.200000000000003" customHeight="1" x14ac:dyDescent="0.3">
      <c r="A7" s="432"/>
      <c r="B7" s="433">
        <v>2024</v>
      </c>
      <c r="C7" s="434" t="s">
        <v>22</v>
      </c>
      <c r="D7" s="432"/>
      <c r="E7" s="435" t="s">
        <v>300</v>
      </c>
      <c r="F7" s="432"/>
      <c r="G7" s="432"/>
    </row>
    <row r="8" spans="1:7" ht="18" customHeight="1" x14ac:dyDescent="0.35">
      <c r="B8" s="436" t="s">
        <v>301</v>
      </c>
      <c r="C8" s="572">
        <v>1</v>
      </c>
      <c r="D8" s="427"/>
      <c r="E8" s="438"/>
      <c r="F8" s="427"/>
    </row>
    <row r="9" spans="1:7" ht="46.5" customHeight="1" x14ac:dyDescent="0.3">
      <c r="B9" s="439" t="s">
        <v>302</v>
      </c>
      <c r="C9" s="573" t="s">
        <v>529</v>
      </c>
      <c r="D9" s="574"/>
      <c r="E9" s="442"/>
      <c r="F9" s="443"/>
    </row>
    <row r="10" spans="1:7" ht="46.5" customHeight="1" x14ac:dyDescent="0.3">
      <c r="B10" s="444" t="s">
        <v>304</v>
      </c>
      <c r="C10" s="445" t="s">
        <v>530</v>
      </c>
      <c r="D10" s="574"/>
      <c r="E10" s="446"/>
      <c r="F10" s="443"/>
    </row>
    <row r="11" spans="1:7" ht="18.75" customHeight="1" x14ac:dyDescent="0.3">
      <c r="A11" s="447"/>
      <c r="B11" s="448" t="s">
        <v>306</v>
      </c>
      <c r="C11" s="575">
        <f>(C17*C18)</f>
        <v>38.450174352000005</v>
      </c>
      <c r="D11" s="576"/>
      <c r="E11" s="451">
        <f>SUM(C11:C11)</f>
        <v>38.450174352000005</v>
      </c>
      <c r="F11" s="452"/>
      <c r="G11" s="447"/>
    </row>
    <row r="12" spans="1:7" ht="18.75" customHeight="1" x14ac:dyDescent="0.3">
      <c r="A12" s="447"/>
      <c r="B12" s="453" t="s">
        <v>307</v>
      </c>
      <c r="C12" s="577">
        <f>(C22*C23)</f>
        <v>0.21791641935483871</v>
      </c>
      <c r="D12" s="455"/>
      <c r="E12" s="456">
        <f>SUM(C12:C12)</f>
        <v>0.21791641935483871</v>
      </c>
      <c r="F12" s="457"/>
      <c r="G12" s="447"/>
    </row>
    <row r="13" spans="1:7" ht="18.75" customHeight="1" x14ac:dyDescent="0.3">
      <c r="A13" s="447"/>
      <c r="B13" s="448" t="s">
        <v>308</v>
      </c>
      <c r="C13" s="578" t="s">
        <v>8</v>
      </c>
      <c r="D13" s="459"/>
      <c r="E13" s="460"/>
      <c r="F13" s="461"/>
      <c r="G13" s="447"/>
    </row>
    <row r="14" spans="1:7" ht="18.75" customHeight="1" x14ac:dyDescent="0.3">
      <c r="A14" s="447"/>
      <c r="B14" s="462" t="s">
        <v>309</v>
      </c>
      <c r="C14" s="579">
        <f t="shared" ref="C14" si="0">C11-C12</f>
        <v>38.232257932645169</v>
      </c>
      <c r="D14" s="455"/>
      <c r="E14" s="464">
        <f>SUM(C14:C14)</f>
        <v>38.232257932645169</v>
      </c>
      <c r="F14" s="457"/>
      <c r="G14" s="447"/>
    </row>
    <row r="15" spans="1:7" ht="19.5" customHeight="1" x14ac:dyDescent="0.4">
      <c r="B15" s="465" t="s">
        <v>310</v>
      </c>
      <c r="C15" s="580"/>
      <c r="D15" s="467"/>
      <c r="E15" s="468"/>
      <c r="F15" s="467"/>
      <c r="G15" s="427"/>
    </row>
    <row r="16" spans="1:7" ht="35.4" customHeight="1" x14ac:dyDescent="0.3">
      <c r="A16" s="447"/>
      <c r="B16" s="469" t="s">
        <v>311</v>
      </c>
      <c r="C16" s="601" t="s">
        <v>531</v>
      </c>
      <c r="D16" s="581"/>
      <c r="E16" s="471"/>
      <c r="F16" s="457"/>
      <c r="G16" s="447"/>
    </row>
    <row r="17" spans="1:7" ht="21" customHeight="1" x14ac:dyDescent="0.3">
      <c r="A17" s="447"/>
      <c r="B17" s="472" t="s">
        <v>313</v>
      </c>
      <c r="C17" s="582">
        <f>'CF-0119|GDS'!X10</f>
        <v>14064</v>
      </c>
      <c r="D17" s="583"/>
      <c r="F17" s="475"/>
      <c r="G17" s="447"/>
    </row>
    <row r="18" spans="1:7" ht="18.75" customHeight="1" x14ac:dyDescent="0.3">
      <c r="A18" s="447"/>
      <c r="B18" s="476" t="s">
        <v>314</v>
      </c>
      <c r="C18" s="584">
        <v>2.7339430000000004E-3</v>
      </c>
      <c r="D18" s="478"/>
      <c r="F18" s="479"/>
      <c r="G18" s="447"/>
    </row>
    <row r="19" spans="1:7" ht="19.5" customHeight="1" x14ac:dyDescent="0.3">
      <c r="A19" s="447"/>
      <c r="B19" s="480" t="s">
        <v>315</v>
      </c>
      <c r="C19" s="585">
        <f>C17*C18</f>
        <v>38.450174352000005</v>
      </c>
      <c r="D19" s="586"/>
      <c r="F19" s="479"/>
      <c r="G19" s="447"/>
    </row>
    <row r="20" spans="1:7" ht="21" customHeight="1" x14ac:dyDescent="0.4">
      <c r="B20" s="465" t="s">
        <v>316</v>
      </c>
      <c r="C20" s="587"/>
      <c r="D20" s="483"/>
      <c r="E20" s="484"/>
      <c r="F20" s="483"/>
    </row>
    <row r="21" spans="1:7" ht="32.4" customHeight="1" x14ac:dyDescent="0.3">
      <c r="A21" s="447"/>
      <c r="B21" s="469" t="s">
        <v>183</v>
      </c>
      <c r="C21" s="601" t="s">
        <v>352</v>
      </c>
      <c r="D21" s="588"/>
      <c r="E21" s="485"/>
      <c r="F21" s="479"/>
      <c r="G21" s="447"/>
    </row>
    <row r="22" spans="1:7" ht="21" customHeight="1" x14ac:dyDescent="0.3">
      <c r="A22" s="447"/>
      <c r="B22" s="486" t="s">
        <v>319</v>
      </c>
      <c r="C22" s="589">
        <f>'CF-0119|GDS'!I12</f>
        <v>128186.12903225806</v>
      </c>
      <c r="D22" s="479"/>
      <c r="E22" s="488"/>
      <c r="F22" s="479"/>
      <c r="G22" s="447"/>
    </row>
    <row r="23" spans="1:7" ht="21" customHeight="1" x14ac:dyDescent="0.3">
      <c r="A23" s="447"/>
      <c r="B23" s="489" t="s">
        <v>314</v>
      </c>
      <c r="C23" s="590">
        <v>1.7E-6</v>
      </c>
      <c r="D23" s="588"/>
      <c r="E23" s="491"/>
      <c r="F23" s="479"/>
      <c r="G23" s="447"/>
    </row>
    <row r="24" spans="1:7" ht="21" customHeight="1" x14ac:dyDescent="0.3">
      <c r="A24" s="447"/>
      <c r="B24" s="492" t="s">
        <v>315</v>
      </c>
      <c r="C24" s="591">
        <f t="shared" ref="C24" si="1">C22*C23</f>
        <v>0.21791641935483871</v>
      </c>
      <c r="D24" s="588"/>
      <c r="E24" s="494"/>
      <c r="F24" s="479"/>
      <c r="G24" s="447"/>
    </row>
    <row r="25" spans="1:7" ht="28.5" customHeight="1" x14ac:dyDescent="0.3">
      <c r="A25" s="447"/>
      <c r="B25" s="498" t="s">
        <v>320</v>
      </c>
      <c r="C25" s="592" t="s">
        <v>532</v>
      </c>
      <c r="D25" s="593"/>
      <c r="E25" s="501"/>
      <c r="F25" s="500"/>
      <c r="G25" s="447"/>
    </row>
    <row r="26" spans="1:7" ht="24" customHeight="1" x14ac:dyDescent="0.3">
      <c r="B26" s="502" t="s">
        <v>322</v>
      </c>
      <c r="C26" s="594">
        <v>3</v>
      </c>
      <c r="D26" s="504"/>
      <c r="E26" s="505"/>
      <c r="F26" s="504"/>
    </row>
    <row r="27" spans="1:7" ht="33" customHeight="1" x14ac:dyDescent="0.3">
      <c r="A27" s="447"/>
      <c r="B27" s="506" t="s">
        <v>323</v>
      </c>
      <c r="C27" s="595" t="s">
        <v>324</v>
      </c>
      <c r="D27" s="479"/>
      <c r="E27" s="496"/>
      <c r="F27" s="479"/>
      <c r="G27" s="447"/>
    </row>
    <row r="28" spans="1:7" ht="33" customHeight="1" x14ac:dyDescent="0.3">
      <c r="A28" s="447"/>
      <c r="B28" s="508" t="s">
        <v>325</v>
      </c>
      <c r="C28" s="596" t="s">
        <v>326</v>
      </c>
      <c r="D28" s="479"/>
      <c r="E28" s="496"/>
      <c r="F28" s="479"/>
      <c r="G28" s="447"/>
    </row>
    <row r="29" spans="1:7" ht="33" customHeight="1" x14ac:dyDescent="0.3">
      <c r="A29" s="447"/>
      <c r="B29" s="506" t="s">
        <v>327</v>
      </c>
      <c r="C29" s="595" t="s">
        <v>729</v>
      </c>
      <c r="D29" s="479"/>
      <c r="E29" s="496"/>
      <c r="F29" s="479"/>
      <c r="G29" s="447"/>
    </row>
    <row r="30" spans="1:7" ht="21" customHeight="1" x14ac:dyDescent="0.3">
      <c r="B30" s="510" t="s">
        <v>329</v>
      </c>
      <c r="C30" s="596">
        <v>1</v>
      </c>
      <c r="D30" s="467"/>
      <c r="E30" s="467"/>
      <c r="F30" s="467"/>
    </row>
    <row r="31" spans="1:7" ht="21" customHeight="1" x14ac:dyDescent="0.3">
      <c r="B31" s="453" t="s">
        <v>330</v>
      </c>
      <c r="C31" s="595" t="s">
        <v>324</v>
      </c>
      <c r="D31" s="483"/>
      <c r="E31" s="495"/>
      <c r="F31" s="483"/>
    </row>
    <row r="32" spans="1:7" ht="21" customHeight="1" x14ac:dyDescent="0.3">
      <c r="B32" s="510" t="s">
        <v>331</v>
      </c>
      <c r="C32" s="596" t="s">
        <v>324</v>
      </c>
      <c r="D32" s="483"/>
      <c r="E32" s="495"/>
      <c r="F32" s="483"/>
    </row>
    <row r="33" spans="2:6" ht="21" customHeight="1" x14ac:dyDescent="0.3">
      <c r="B33" s="462" t="s">
        <v>332</v>
      </c>
      <c r="C33" s="555" t="s">
        <v>333</v>
      </c>
      <c r="D33" s="483"/>
      <c r="E33" s="495"/>
      <c r="F33" s="483"/>
    </row>
    <row r="34" spans="2:6" ht="15.75" customHeight="1" x14ac:dyDescent="0.3">
      <c r="B34" s="427"/>
      <c r="C34" s="427"/>
      <c r="D34" s="483"/>
      <c r="E34" s="483"/>
      <c r="F34" s="483"/>
    </row>
    <row r="35" spans="2:6" ht="15.75" customHeight="1" x14ac:dyDescent="0.3">
      <c r="B35" s="512" t="s">
        <v>334</v>
      </c>
      <c r="C35" s="427"/>
      <c r="D35" s="483"/>
      <c r="E35" s="483"/>
      <c r="F35" s="483"/>
    </row>
    <row r="36" spans="2:6" ht="15.75" customHeight="1" x14ac:dyDescent="0.3">
      <c r="B36" s="512" t="s">
        <v>335</v>
      </c>
      <c r="C36" s="427"/>
      <c r="D36" s="483"/>
      <c r="E36" s="483"/>
      <c r="F36" s="483"/>
    </row>
    <row r="37" spans="2:6" ht="15.75" customHeight="1" x14ac:dyDescent="0.3">
      <c r="B37" s="512" t="s">
        <v>336</v>
      </c>
      <c r="C37" s="427"/>
      <c r="D37" s="483"/>
      <c r="E37" s="483"/>
      <c r="F37" s="483"/>
    </row>
    <row r="38" spans="2:6" ht="15.75" customHeight="1" x14ac:dyDescent="0.3">
      <c r="B38" s="512" t="s">
        <v>337</v>
      </c>
      <c r="C38" s="427"/>
      <c r="D38" s="483"/>
      <c r="E38" s="483"/>
      <c r="F38" s="483"/>
    </row>
    <row r="39" spans="2:6" ht="15.75" customHeight="1" x14ac:dyDescent="0.3">
      <c r="B39" s="512" t="s">
        <v>338</v>
      </c>
      <c r="D39" s="427"/>
      <c r="F39" s="427"/>
    </row>
    <row r="40" spans="2:6" ht="15.75" customHeight="1" x14ac:dyDescent="0.3">
      <c r="B40" s="512" t="s">
        <v>339</v>
      </c>
      <c r="D40" s="427"/>
      <c r="F40" s="427"/>
    </row>
    <row r="41" spans="2:6" ht="15.75" customHeight="1" x14ac:dyDescent="0.3">
      <c r="D41" s="427"/>
      <c r="F41" s="427"/>
    </row>
    <row r="42" spans="2:6" ht="15.75" customHeight="1" x14ac:dyDescent="0.3">
      <c r="D42" s="427"/>
      <c r="F42" s="427"/>
    </row>
    <row r="43" spans="2:6" ht="15.75" customHeight="1" x14ac:dyDescent="0.3">
      <c r="D43" s="427"/>
      <c r="F43" s="427"/>
    </row>
    <row r="44" spans="2:6" ht="15.75" customHeight="1" x14ac:dyDescent="0.3">
      <c r="D44" s="427"/>
      <c r="F44" s="427"/>
    </row>
    <row r="45" spans="2:6" ht="15.75" customHeight="1" x14ac:dyDescent="0.3">
      <c r="D45" s="427"/>
      <c r="F45" s="427"/>
    </row>
    <row r="46" spans="2:6" ht="15.75" customHeight="1" x14ac:dyDescent="0.3">
      <c r="D46" s="427"/>
      <c r="F46" s="427"/>
    </row>
    <row r="47" spans="2:6" ht="15.75" customHeight="1" x14ac:dyDescent="0.3">
      <c r="D47" s="427"/>
      <c r="F47" s="427"/>
    </row>
    <row r="48" spans="2:6" ht="15.75" customHeight="1" x14ac:dyDescent="0.3">
      <c r="D48" s="427"/>
      <c r="F48" s="427"/>
    </row>
    <row r="49" spans="4:6" ht="15.75" customHeight="1" x14ac:dyDescent="0.3">
      <c r="D49" s="427"/>
      <c r="F49" s="427"/>
    </row>
    <row r="50" spans="4:6" ht="15.75" customHeight="1" x14ac:dyDescent="0.3">
      <c r="D50" s="427"/>
      <c r="F50" s="427"/>
    </row>
    <row r="51" spans="4:6" ht="15.75" customHeight="1" x14ac:dyDescent="0.3">
      <c r="D51" s="427"/>
      <c r="F51" s="427"/>
    </row>
    <row r="52" spans="4:6" ht="15.75" customHeight="1" x14ac:dyDescent="0.3">
      <c r="D52" s="427"/>
      <c r="F52" s="427"/>
    </row>
    <row r="53" spans="4:6" ht="15.75" customHeight="1" x14ac:dyDescent="0.3">
      <c r="D53" s="427"/>
      <c r="F53" s="427"/>
    </row>
    <row r="54" spans="4:6" ht="15.75" customHeight="1" x14ac:dyDescent="0.3">
      <c r="D54" s="427"/>
      <c r="F54" s="427"/>
    </row>
    <row r="55" spans="4:6" ht="15.75" customHeight="1" x14ac:dyDescent="0.3">
      <c r="D55" s="427"/>
      <c r="F55" s="427"/>
    </row>
    <row r="56" spans="4:6" ht="15.75" customHeight="1" x14ac:dyDescent="0.3">
      <c r="D56" s="427"/>
      <c r="F56" s="427"/>
    </row>
    <row r="57" spans="4:6" ht="15.75" customHeight="1" x14ac:dyDescent="0.3">
      <c r="D57" s="427"/>
      <c r="F57" s="427"/>
    </row>
    <row r="58" spans="4:6" ht="15.75" customHeight="1" x14ac:dyDescent="0.3">
      <c r="D58" s="427"/>
      <c r="F58" s="427"/>
    </row>
    <row r="59" spans="4:6" ht="15.75" customHeight="1" x14ac:dyDescent="0.3">
      <c r="D59" s="427"/>
      <c r="F59" s="427"/>
    </row>
    <row r="60" spans="4:6" ht="15.75" customHeight="1" x14ac:dyDescent="0.3">
      <c r="D60" s="427"/>
      <c r="F60" s="427"/>
    </row>
    <row r="61" spans="4:6" ht="15.75" customHeight="1" x14ac:dyDescent="0.3">
      <c r="D61" s="427"/>
      <c r="F61" s="427"/>
    </row>
    <row r="62" spans="4:6" ht="15.75" customHeight="1" x14ac:dyDescent="0.3">
      <c r="D62" s="427"/>
      <c r="F62" s="427"/>
    </row>
    <row r="63" spans="4:6" ht="15.75" customHeight="1" x14ac:dyDescent="0.3">
      <c r="D63" s="427"/>
      <c r="F63" s="427"/>
    </row>
    <row r="64" spans="4:6" ht="15.75" customHeight="1" x14ac:dyDescent="0.3">
      <c r="D64" s="427"/>
      <c r="F64" s="427"/>
    </row>
    <row r="65" spans="4:6" ht="15.75" customHeight="1" x14ac:dyDescent="0.3">
      <c r="D65" s="427"/>
      <c r="F65" s="427"/>
    </row>
    <row r="66" spans="4:6" ht="15.75" customHeight="1" x14ac:dyDescent="0.3">
      <c r="D66" s="427"/>
      <c r="F66" s="427"/>
    </row>
    <row r="67" spans="4:6" ht="15.75" customHeight="1" x14ac:dyDescent="0.3">
      <c r="D67" s="427"/>
      <c r="F67" s="427"/>
    </row>
    <row r="68" spans="4:6" ht="15.75" customHeight="1" x14ac:dyDescent="0.3">
      <c r="D68" s="427"/>
      <c r="F68" s="427"/>
    </row>
    <row r="69" spans="4:6" ht="15.75" customHeight="1" x14ac:dyDescent="0.3">
      <c r="D69" s="427"/>
      <c r="F69" s="427"/>
    </row>
    <row r="70" spans="4:6" ht="15.75" customHeight="1" x14ac:dyDescent="0.3">
      <c r="D70" s="427"/>
      <c r="F70" s="427"/>
    </row>
    <row r="71" spans="4:6" ht="15.75" customHeight="1" x14ac:dyDescent="0.3">
      <c r="D71" s="427"/>
      <c r="F71" s="427"/>
    </row>
    <row r="72" spans="4:6" ht="15.75" customHeight="1" x14ac:dyDescent="0.3">
      <c r="D72" s="427"/>
      <c r="F72" s="427"/>
    </row>
    <row r="73" spans="4:6" ht="15.75" customHeight="1" x14ac:dyDescent="0.3">
      <c r="D73" s="427"/>
      <c r="F73" s="427"/>
    </row>
    <row r="74" spans="4:6" ht="15.75" customHeight="1" x14ac:dyDescent="0.3">
      <c r="D74" s="427"/>
      <c r="F74" s="427"/>
    </row>
    <row r="75" spans="4:6" ht="15.75" customHeight="1" x14ac:dyDescent="0.3">
      <c r="D75" s="427"/>
      <c r="F75" s="427"/>
    </row>
    <row r="76" spans="4:6" ht="15.75" customHeight="1" x14ac:dyDescent="0.3">
      <c r="D76" s="427"/>
      <c r="F76" s="427"/>
    </row>
    <row r="77" spans="4:6" ht="15.75" customHeight="1" x14ac:dyDescent="0.3">
      <c r="D77" s="427"/>
      <c r="F77" s="427"/>
    </row>
    <row r="78" spans="4:6" ht="15.75" customHeight="1" x14ac:dyDescent="0.3">
      <c r="D78" s="427"/>
      <c r="F78" s="427"/>
    </row>
    <row r="79" spans="4:6" ht="15.75" customHeight="1" x14ac:dyDescent="0.3">
      <c r="D79" s="427"/>
      <c r="F79" s="427"/>
    </row>
    <row r="80" spans="4:6" ht="15.75" customHeight="1" x14ac:dyDescent="0.3">
      <c r="D80" s="427"/>
      <c r="F80" s="427"/>
    </row>
    <row r="81" spans="4:6" ht="15.75" customHeight="1" x14ac:dyDescent="0.3">
      <c r="D81" s="427"/>
      <c r="F81" s="427"/>
    </row>
    <row r="82" spans="4:6" ht="15.75" customHeight="1" x14ac:dyDescent="0.3">
      <c r="D82" s="427"/>
      <c r="F82" s="427"/>
    </row>
    <row r="83" spans="4:6" ht="15.75" customHeight="1" x14ac:dyDescent="0.3">
      <c r="D83" s="427"/>
      <c r="F83" s="427"/>
    </row>
    <row r="84" spans="4:6" ht="15.75" customHeight="1" x14ac:dyDescent="0.3">
      <c r="D84" s="427"/>
      <c r="F84" s="427"/>
    </row>
    <row r="85" spans="4:6" ht="15.75" customHeight="1" x14ac:dyDescent="0.3">
      <c r="D85" s="427"/>
      <c r="F85" s="427"/>
    </row>
    <row r="86" spans="4:6" ht="15.75" customHeight="1" x14ac:dyDescent="0.3">
      <c r="D86" s="427"/>
      <c r="F86" s="427"/>
    </row>
    <row r="87" spans="4:6" ht="15.75" customHeight="1" x14ac:dyDescent="0.3">
      <c r="D87" s="427"/>
      <c r="F87" s="427"/>
    </row>
    <row r="88" spans="4:6" ht="15.75" customHeight="1" x14ac:dyDescent="0.3">
      <c r="D88" s="427"/>
      <c r="F88" s="427"/>
    </row>
    <row r="89" spans="4:6" ht="15.75" customHeight="1" x14ac:dyDescent="0.3">
      <c r="D89" s="427"/>
      <c r="F89" s="427"/>
    </row>
    <row r="90" spans="4:6" ht="15.75" customHeight="1" x14ac:dyDescent="0.3">
      <c r="D90" s="427"/>
      <c r="F90" s="427"/>
    </row>
    <row r="91" spans="4:6" ht="15.75" customHeight="1" x14ac:dyDescent="0.3">
      <c r="D91" s="427"/>
      <c r="F91" s="427"/>
    </row>
    <row r="92" spans="4:6" ht="15.75" customHeight="1" x14ac:dyDescent="0.3">
      <c r="D92" s="427"/>
      <c r="F92" s="427"/>
    </row>
    <row r="93" spans="4:6" ht="15.75" customHeight="1" x14ac:dyDescent="0.3">
      <c r="D93" s="427"/>
      <c r="F93" s="427"/>
    </row>
    <row r="94" spans="4:6" ht="15.75" customHeight="1" x14ac:dyDescent="0.3">
      <c r="D94" s="427"/>
      <c r="F94" s="427"/>
    </row>
    <row r="95" spans="4:6" ht="15.75" customHeight="1" x14ac:dyDescent="0.3">
      <c r="D95" s="427"/>
      <c r="F95" s="427"/>
    </row>
    <row r="96" spans="4:6" ht="15.75" customHeight="1" x14ac:dyDescent="0.3">
      <c r="D96" s="427"/>
      <c r="F96" s="427"/>
    </row>
    <row r="97" spans="4:6" ht="15.75" customHeight="1" x14ac:dyDescent="0.3">
      <c r="D97" s="427"/>
      <c r="F97" s="427"/>
    </row>
    <row r="98" spans="4:6" ht="15.75" customHeight="1" x14ac:dyDescent="0.3">
      <c r="D98" s="427"/>
      <c r="F98" s="427"/>
    </row>
    <row r="99" spans="4:6" ht="15.75" customHeight="1" x14ac:dyDescent="0.3">
      <c r="D99" s="427"/>
      <c r="F99" s="427"/>
    </row>
    <row r="100" spans="4:6" ht="15.75" customHeight="1" x14ac:dyDescent="0.3">
      <c r="D100" s="427"/>
      <c r="F100" s="427"/>
    </row>
    <row r="101" spans="4:6" ht="15.75" customHeight="1" x14ac:dyDescent="0.3">
      <c r="D101" s="427"/>
      <c r="F101" s="427"/>
    </row>
    <row r="102" spans="4:6" ht="15.75" customHeight="1" x14ac:dyDescent="0.3">
      <c r="D102" s="427"/>
      <c r="F102" s="427"/>
    </row>
    <row r="103" spans="4:6" ht="15.75" customHeight="1" x14ac:dyDescent="0.3">
      <c r="D103" s="427"/>
      <c r="F103" s="427"/>
    </row>
    <row r="104" spans="4:6" ht="15.75" customHeight="1" x14ac:dyDescent="0.3">
      <c r="D104" s="427"/>
      <c r="F104" s="427"/>
    </row>
    <row r="105" spans="4:6" ht="15.75" customHeight="1" x14ac:dyDescent="0.3">
      <c r="D105" s="427"/>
      <c r="F105" s="427"/>
    </row>
    <row r="106" spans="4:6" ht="15.75" customHeight="1" x14ac:dyDescent="0.3">
      <c r="D106" s="427"/>
      <c r="F106" s="427"/>
    </row>
    <row r="107" spans="4:6" ht="15.75" customHeight="1" x14ac:dyDescent="0.3">
      <c r="D107" s="427"/>
      <c r="F107" s="427"/>
    </row>
    <row r="108" spans="4:6" ht="15.75" customHeight="1" x14ac:dyDescent="0.3">
      <c r="D108" s="427"/>
      <c r="F108" s="427"/>
    </row>
    <row r="109" spans="4:6" ht="15.75" customHeight="1" x14ac:dyDescent="0.3">
      <c r="D109" s="427"/>
      <c r="F109" s="427"/>
    </row>
    <row r="110" spans="4:6" ht="15.75" customHeight="1" x14ac:dyDescent="0.3">
      <c r="D110" s="427"/>
      <c r="F110" s="427"/>
    </row>
    <row r="111" spans="4:6" ht="15.75" customHeight="1" x14ac:dyDescent="0.3">
      <c r="D111" s="427"/>
      <c r="F111" s="427"/>
    </row>
    <row r="112" spans="4:6" ht="15.75" customHeight="1" x14ac:dyDescent="0.3">
      <c r="D112" s="427"/>
      <c r="F112" s="427"/>
    </row>
    <row r="113" spans="4:6" ht="15.75" customHeight="1" x14ac:dyDescent="0.3">
      <c r="D113" s="427"/>
      <c r="F113" s="427"/>
    </row>
    <row r="114" spans="4:6" ht="15.75" customHeight="1" x14ac:dyDescent="0.3">
      <c r="D114" s="427"/>
      <c r="F114" s="427"/>
    </row>
    <row r="115" spans="4:6" ht="15.75" customHeight="1" x14ac:dyDescent="0.3">
      <c r="D115" s="427"/>
      <c r="F115" s="427"/>
    </row>
    <row r="116" spans="4:6" ht="15.75" customHeight="1" x14ac:dyDescent="0.3">
      <c r="D116" s="427"/>
      <c r="F116" s="427"/>
    </row>
    <row r="117" spans="4:6" ht="15.75" customHeight="1" x14ac:dyDescent="0.3">
      <c r="D117" s="427"/>
      <c r="F117" s="427"/>
    </row>
    <row r="118" spans="4:6" ht="15.75" customHeight="1" x14ac:dyDescent="0.3">
      <c r="D118" s="427"/>
      <c r="F118" s="427"/>
    </row>
    <row r="119" spans="4:6" ht="15.75" customHeight="1" x14ac:dyDescent="0.3">
      <c r="D119" s="427"/>
      <c r="F119" s="427"/>
    </row>
    <row r="120" spans="4:6" ht="15.75" customHeight="1" x14ac:dyDescent="0.3">
      <c r="D120" s="427"/>
      <c r="F120" s="427"/>
    </row>
    <row r="121" spans="4:6" ht="15.75" customHeight="1" x14ac:dyDescent="0.3">
      <c r="D121" s="427"/>
      <c r="F121" s="427"/>
    </row>
    <row r="122" spans="4:6" ht="15.75" customHeight="1" x14ac:dyDescent="0.3">
      <c r="D122" s="427"/>
      <c r="F122" s="427"/>
    </row>
    <row r="123" spans="4:6" ht="15.75" customHeight="1" x14ac:dyDescent="0.3">
      <c r="D123" s="427"/>
      <c r="F123" s="427"/>
    </row>
    <row r="124" spans="4:6" ht="15.75" customHeight="1" x14ac:dyDescent="0.3">
      <c r="D124" s="427"/>
      <c r="F124" s="427"/>
    </row>
    <row r="125" spans="4:6" ht="15.75" customHeight="1" x14ac:dyDescent="0.3">
      <c r="D125" s="427"/>
      <c r="F125" s="427"/>
    </row>
    <row r="126" spans="4:6" ht="15.75" customHeight="1" x14ac:dyDescent="0.3">
      <c r="D126" s="427"/>
      <c r="F126" s="427"/>
    </row>
    <row r="127" spans="4:6" ht="15.75" customHeight="1" x14ac:dyDescent="0.3">
      <c r="D127" s="427"/>
      <c r="F127" s="427"/>
    </row>
    <row r="128" spans="4:6" ht="15.75" customHeight="1" x14ac:dyDescent="0.3">
      <c r="D128" s="427"/>
      <c r="F128" s="427"/>
    </row>
    <row r="129" spans="4:6" ht="15.75" customHeight="1" x14ac:dyDescent="0.3">
      <c r="D129" s="427"/>
      <c r="F129" s="427"/>
    </row>
    <row r="130" spans="4:6" ht="15.75" customHeight="1" x14ac:dyDescent="0.3">
      <c r="D130" s="427"/>
      <c r="F130" s="427"/>
    </row>
    <row r="131" spans="4:6" ht="15.75" customHeight="1" x14ac:dyDescent="0.3">
      <c r="D131" s="427"/>
      <c r="F131" s="427"/>
    </row>
    <row r="132" spans="4:6" ht="15.75" customHeight="1" x14ac:dyDescent="0.3">
      <c r="D132" s="427"/>
      <c r="F132" s="427"/>
    </row>
    <row r="133" spans="4:6" ht="15.75" customHeight="1" x14ac:dyDescent="0.3">
      <c r="D133" s="427"/>
      <c r="F133" s="427"/>
    </row>
    <row r="134" spans="4:6" ht="15.75" customHeight="1" x14ac:dyDescent="0.3">
      <c r="D134" s="427"/>
      <c r="F134" s="427"/>
    </row>
    <row r="135" spans="4:6" ht="15.75" customHeight="1" x14ac:dyDescent="0.3">
      <c r="D135" s="427"/>
      <c r="F135" s="427"/>
    </row>
    <row r="136" spans="4:6" ht="15.75" customHeight="1" x14ac:dyDescent="0.3">
      <c r="D136" s="427"/>
      <c r="F136" s="427"/>
    </row>
    <row r="137" spans="4:6" ht="15.75" customHeight="1" x14ac:dyDescent="0.3">
      <c r="D137" s="427"/>
      <c r="F137" s="427"/>
    </row>
    <row r="138" spans="4:6" ht="15.75" customHeight="1" x14ac:dyDescent="0.3">
      <c r="D138" s="427"/>
      <c r="F138" s="427"/>
    </row>
    <row r="139" spans="4:6" ht="15.75" customHeight="1" x14ac:dyDescent="0.3">
      <c r="D139" s="427"/>
      <c r="F139" s="427"/>
    </row>
    <row r="140" spans="4:6" ht="15.75" customHeight="1" x14ac:dyDescent="0.3">
      <c r="D140" s="427"/>
      <c r="F140" s="427"/>
    </row>
    <row r="141" spans="4:6" ht="15.75" customHeight="1" x14ac:dyDescent="0.3">
      <c r="D141" s="427"/>
      <c r="F141" s="427"/>
    </row>
    <row r="142" spans="4:6" ht="15.75" customHeight="1" x14ac:dyDescent="0.3">
      <c r="D142" s="427"/>
      <c r="F142" s="427"/>
    </row>
    <row r="143" spans="4:6" ht="15.75" customHeight="1" x14ac:dyDescent="0.3">
      <c r="D143" s="427"/>
      <c r="F143" s="427"/>
    </row>
    <row r="144" spans="4:6" ht="15.75" customHeight="1" x14ac:dyDescent="0.3">
      <c r="D144" s="427"/>
      <c r="F144" s="427"/>
    </row>
    <row r="145" spans="4:6" ht="15.75" customHeight="1" x14ac:dyDescent="0.3">
      <c r="D145" s="427"/>
      <c r="F145" s="427"/>
    </row>
    <row r="146" spans="4:6" ht="15.75" customHeight="1" x14ac:dyDescent="0.3">
      <c r="D146" s="427"/>
      <c r="F146" s="427"/>
    </row>
    <row r="147" spans="4:6" ht="15.75" customHeight="1" x14ac:dyDescent="0.3">
      <c r="D147" s="427"/>
      <c r="F147" s="427"/>
    </row>
    <row r="148" spans="4:6" ht="15.75" customHeight="1" x14ac:dyDescent="0.3">
      <c r="D148" s="427"/>
      <c r="F148" s="427"/>
    </row>
    <row r="149" spans="4:6" ht="15.75" customHeight="1" x14ac:dyDescent="0.3">
      <c r="D149" s="427"/>
      <c r="F149" s="427"/>
    </row>
    <row r="150" spans="4:6" ht="15.75" customHeight="1" x14ac:dyDescent="0.3">
      <c r="D150" s="427"/>
      <c r="F150" s="427"/>
    </row>
    <row r="151" spans="4:6" ht="15.75" customHeight="1" x14ac:dyDescent="0.3">
      <c r="D151" s="427"/>
      <c r="F151" s="427"/>
    </row>
    <row r="152" spans="4:6" ht="15.75" customHeight="1" x14ac:dyDescent="0.3">
      <c r="D152" s="427"/>
      <c r="F152" s="427"/>
    </row>
    <row r="153" spans="4:6" ht="15.75" customHeight="1" x14ac:dyDescent="0.3">
      <c r="D153" s="427"/>
      <c r="F153" s="427"/>
    </row>
    <row r="154" spans="4:6" ht="15.75" customHeight="1" x14ac:dyDescent="0.3">
      <c r="D154" s="427"/>
      <c r="F154" s="427"/>
    </row>
    <row r="155" spans="4:6" ht="15.75" customHeight="1" x14ac:dyDescent="0.3">
      <c r="D155" s="427"/>
      <c r="F155" s="427"/>
    </row>
    <row r="156" spans="4:6" ht="15.75" customHeight="1" x14ac:dyDescent="0.3">
      <c r="D156" s="427"/>
      <c r="F156" s="427"/>
    </row>
    <row r="157" spans="4:6" ht="15.75" customHeight="1" x14ac:dyDescent="0.3">
      <c r="D157" s="427"/>
      <c r="F157" s="427"/>
    </row>
    <row r="158" spans="4:6" ht="15.75" customHeight="1" x14ac:dyDescent="0.3">
      <c r="D158" s="427"/>
      <c r="F158" s="427"/>
    </row>
    <row r="159" spans="4:6" ht="15.75" customHeight="1" x14ac:dyDescent="0.3">
      <c r="D159" s="427"/>
      <c r="F159" s="427"/>
    </row>
    <row r="160" spans="4:6" ht="15.75" customHeight="1" x14ac:dyDescent="0.3">
      <c r="D160" s="427"/>
      <c r="F160" s="427"/>
    </row>
    <row r="161" spans="4:6" ht="15.75" customHeight="1" x14ac:dyDescent="0.3">
      <c r="D161" s="427"/>
      <c r="F161" s="427"/>
    </row>
    <row r="162" spans="4:6" ht="15.75" customHeight="1" x14ac:dyDescent="0.3">
      <c r="D162" s="427"/>
      <c r="F162" s="427"/>
    </row>
    <row r="163" spans="4:6" ht="15.75" customHeight="1" x14ac:dyDescent="0.3">
      <c r="D163" s="427"/>
      <c r="F163" s="427"/>
    </row>
    <row r="164" spans="4:6" ht="15.75" customHeight="1" x14ac:dyDescent="0.3">
      <c r="D164" s="427"/>
      <c r="F164" s="427"/>
    </row>
    <row r="165" spans="4:6" ht="15.75" customHeight="1" x14ac:dyDescent="0.3">
      <c r="D165" s="427"/>
      <c r="F165" s="427"/>
    </row>
    <row r="166" spans="4:6" ht="15.75" customHeight="1" x14ac:dyDescent="0.3">
      <c r="D166" s="427"/>
      <c r="F166" s="427"/>
    </row>
    <row r="167" spans="4:6" ht="15.75" customHeight="1" x14ac:dyDescent="0.3">
      <c r="D167" s="427"/>
      <c r="F167" s="427"/>
    </row>
    <row r="168" spans="4:6" ht="15.75" customHeight="1" x14ac:dyDescent="0.3">
      <c r="D168" s="427"/>
      <c r="F168" s="427"/>
    </row>
    <row r="169" spans="4:6" ht="15.75" customHeight="1" x14ac:dyDescent="0.3">
      <c r="D169" s="427"/>
      <c r="F169" s="427"/>
    </row>
    <row r="170" spans="4:6" ht="15.75" customHeight="1" x14ac:dyDescent="0.3">
      <c r="D170" s="427"/>
      <c r="F170" s="427"/>
    </row>
    <row r="171" spans="4:6" ht="15.75" customHeight="1" x14ac:dyDescent="0.3">
      <c r="D171" s="427"/>
      <c r="F171" s="427"/>
    </row>
    <row r="172" spans="4:6" ht="15.75" customHeight="1" x14ac:dyDescent="0.3">
      <c r="D172" s="427"/>
      <c r="F172" s="427"/>
    </row>
    <row r="173" spans="4:6" ht="15.75" customHeight="1" x14ac:dyDescent="0.3">
      <c r="D173" s="427"/>
      <c r="F173" s="427"/>
    </row>
    <row r="174" spans="4:6" ht="15.75" customHeight="1" x14ac:dyDescent="0.3">
      <c r="D174" s="427"/>
      <c r="F174" s="427"/>
    </row>
    <row r="175" spans="4:6" ht="15.75" customHeight="1" x14ac:dyDescent="0.3">
      <c r="D175" s="427"/>
      <c r="F175" s="427"/>
    </row>
    <row r="176" spans="4:6" ht="15.75" customHeight="1" x14ac:dyDescent="0.3">
      <c r="D176" s="427"/>
      <c r="F176" s="427"/>
    </row>
    <row r="177" spans="4:6" ht="15.75" customHeight="1" x14ac:dyDescent="0.3">
      <c r="D177" s="427"/>
      <c r="F177" s="427"/>
    </row>
    <row r="178" spans="4:6" ht="15.75" customHeight="1" x14ac:dyDescent="0.3">
      <c r="D178" s="427"/>
      <c r="F178" s="427"/>
    </row>
    <row r="179" spans="4:6" ht="15.75" customHeight="1" x14ac:dyDescent="0.3">
      <c r="D179" s="427"/>
      <c r="F179" s="427"/>
    </row>
    <row r="180" spans="4:6" ht="15.75" customHeight="1" x14ac:dyDescent="0.3">
      <c r="D180" s="427"/>
      <c r="F180" s="427"/>
    </row>
    <row r="181" spans="4:6" ht="15.75" customHeight="1" x14ac:dyDescent="0.3">
      <c r="D181" s="427"/>
      <c r="F181" s="427"/>
    </row>
    <row r="182" spans="4:6" ht="15.75" customHeight="1" x14ac:dyDescent="0.3">
      <c r="D182" s="427"/>
      <c r="F182" s="427"/>
    </row>
    <row r="183" spans="4:6" ht="15.75" customHeight="1" x14ac:dyDescent="0.3">
      <c r="D183" s="427"/>
      <c r="F183" s="427"/>
    </row>
    <row r="184" spans="4:6" ht="15.75" customHeight="1" x14ac:dyDescent="0.3">
      <c r="D184" s="427"/>
      <c r="F184" s="427"/>
    </row>
    <row r="185" spans="4:6" ht="15.75" customHeight="1" x14ac:dyDescent="0.3">
      <c r="D185" s="427"/>
      <c r="F185" s="427"/>
    </row>
    <row r="186" spans="4:6" ht="15.75" customHeight="1" x14ac:dyDescent="0.3">
      <c r="D186" s="427"/>
      <c r="F186" s="427"/>
    </row>
    <row r="187" spans="4:6" ht="15.75" customHeight="1" x14ac:dyDescent="0.3">
      <c r="D187" s="427"/>
      <c r="F187" s="427"/>
    </row>
    <row r="188" spans="4:6" ht="15.75" customHeight="1" x14ac:dyDescent="0.3">
      <c r="D188" s="427"/>
      <c r="F188" s="427"/>
    </row>
    <row r="189" spans="4:6" ht="15.75" customHeight="1" x14ac:dyDescent="0.3">
      <c r="D189" s="427"/>
      <c r="F189" s="427"/>
    </row>
    <row r="190" spans="4:6" ht="15.75" customHeight="1" x14ac:dyDescent="0.3">
      <c r="D190" s="427"/>
      <c r="F190" s="427"/>
    </row>
    <row r="191" spans="4:6" ht="15.75" customHeight="1" x14ac:dyDescent="0.3">
      <c r="D191" s="427"/>
      <c r="F191" s="427"/>
    </row>
    <row r="192" spans="4:6" ht="15.75" customHeight="1" x14ac:dyDescent="0.3">
      <c r="D192" s="427"/>
      <c r="F192" s="427"/>
    </row>
    <row r="193" spans="4:6" ht="15.75" customHeight="1" x14ac:dyDescent="0.3">
      <c r="D193" s="427"/>
      <c r="F193" s="427"/>
    </row>
    <row r="194" spans="4:6" ht="15.75" customHeight="1" x14ac:dyDescent="0.3">
      <c r="D194" s="427"/>
      <c r="F194" s="427"/>
    </row>
    <row r="195" spans="4:6" ht="15.75" customHeight="1" x14ac:dyDescent="0.3">
      <c r="D195" s="427"/>
      <c r="F195" s="427"/>
    </row>
    <row r="196" spans="4:6" ht="15.75" customHeight="1" x14ac:dyDescent="0.3">
      <c r="D196" s="427"/>
      <c r="F196" s="427"/>
    </row>
    <row r="197" spans="4:6" ht="15.75" customHeight="1" x14ac:dyDescent="0.3">
      <c r="D197" s="427"/>
      <c r="F197" s="427"/>
    </row>
    <row r="198" spans="4:6" ht="15.75" customHeight="1" x14ac:dyDescent="0.3">
      <c r="D198" s="427"/>
      <c r="F198" s="427"/>
    </row>
    <row r="199" spans="4:6" ht="15.75" customHeight="1" x14ac:dyDescent="0.3">
      <c r="D199" s="427"/>
      <c r="F199" s="427"/>
    </row>
    <row r="200" spans="4:6" ht="15.75" customHeight="1" x14ac:dyDescent="0.3">
      <c r="D200" s="427"/>
      <c r="F200" s="427"/>
    </row>
    <row r="201" spans="4:6" ht="15.75" customHeight="1" x14ac:dyDescent="0.3">
      <c r="D201" s="427"/>
      <c r="F201" s="427"/>
    </row>
    <row r="202" spans="4:6" ht="15.75" customHeight="1" x14ac:dyDescent="0.3">
      <c r="D202" s="427"/>
      <c r="F202" s="427"/>
    </row>
    <row r="203" spans="4:6" ht="15.75" customHeight="1" x14ac:dyDescent="0.3">
      <c r="D203" s="427"/>
      <c r="F203" s="427"/>
    </row>
    <row r="204" spans="4:6" ht="15.75" customHeight="1" x14ac:dyDescent="0.3">
      <c r="D204" s="427"/>
      <c r="F204" s="427"/>
    </row>
    <row r="205" spans="4:6" ht="15.75" customHeight="1" x14ac:dyDescent="0.3">
      <c r="D205" s="427"/>
      <c r="F205" s="427"/>
    </row>
    <row r="206" spans="4:6" ht="15.75" customHeight="1" x14ac:dyDescent="0.3">
      <c r="D206" s="427"/>
      <c r="F206" s="427"/>
    </row>
    <row r="207" spans="4:6" ht="15.75" customHeight="1" x14ac:dyDescent="0.3">
      <c r="D207" s="427"/>
      <c r="F207" s="427"/>
    </row>
    <row r="208" spans="4:6" ht="15.75" customHeight="1" x14ac:dyDescent="0.3">
      <c r="D208" s="427"/>
      <c r="F208" s="427"/>
    </row>
    <row r="209" spans="4:6" ht="15.75" customHeight="1" x14ac:dyDescent="0.3">
      <c r="D209" s="427"/>
      <c r="F209" s="427"/>
    </row>
    <row r="210" spans="4:6" ht="15.75" customHeight="1" x14ac:dyDescent="0.3">
      <c r="D210" s="427"/>
      <c r="F210" s="427"/>
    </row>
    <row r="211" spans="4:6" ht="15.75" customHeight="1" x14ac:dyDescent="0.3">
      <c r="D211" s="427"/>
      <c r="F211" s="427"/>
    </row>
    <row r="212" spans="4:6" ht="15.75" customHeight="1" x14ac:dyDescent="0.3">
      <c r="D212" s="427"/>
      <c r="F212" s="427"/>
    </row>
    <row r="213" spans="4:6" ht="15.75" customHeight="1" x14ac:dyDescent="0.3">
      <c r="D213" s="427"/>
      <c r="F213" s="427"/>
    </row>
    <row r="214" spans="4:6" ht="15.75" customHeight="1" x14ac:dyDescent="0.3">
      <c r="D214" s="427"/>
      <c r="F214" s="427"/>
    </row>
    <row r="215" spans="4:6" ht="15.75" customHeight="1" x14ac:dyDescent="0.3">
      <c r="D215" s="427"/>
      <c r="F215" s="427"/>
    </row>
    <row r="216" spans="4:6" ht="15.75" customHeight="1" x14ac:dyDescent="0.3">
      <c r="D216" s="427"/>
      <c r="F216" s="427"/>
    </row>
    <row r="217" spans="4:6" ht="15.75" customHeight="1" x14ac:dyDescent="0.3">
      <c r="D217" s="427"/>
      <c r="F217" s="427"/>
    </row>
    <row r="218" spans="4:6" ht="15.75" customHeight="1" x14ac:dyDescent="0.3">
      <c r="D218" s="427"/>
      <c r="F218" s="427"/>
    </row>
    <row r="219" spans="4:6" ht="15.75" customHeight="1" x14ac:dyDescent="0.3">
      <c r="D219" s="427"/>
      <c r="F219" s="427"/>
    </row>
    <row r="220" spans="4:6" ht="15.75" customHeight="1" x14ac:dyDescent="0.3">
      <c r="D220" s="427"/>
      <c r="F220" s="427"/>
    </row>
    <row r="221" spans="4:6" ht="15.75" customHeight="1" x14ac:dyDescent="0.3">
      <c r="D221" s="427"/>
      <c r="F221" s="427"/>
    </row>
    <row r="222" spans="4:6" ht="15.75" customHeight="1" x14ac:dyDescent="0.3">
      <c r="D222" s="427"/>
      <c r="F222" s="427"/>
    </row>
    <row r="223" spans="4:6" ht="15.75" customHeight="1" x14ac:dyDescent="0.3">
      <c r="D223" s="427"/>
      <c r="F223" s="427"/>
    </row>
    <row r="224" spans="4:6" ht="15.75" customHeight="1" x14ac:dyDescent="0.3">
      <c r="D224" s="427"/>
      <c r="F224" s="427"/>
    </row>
    <row r="225" spans="4:6" ht="15.75" customHeight="1" x14ac:dyDescent="0.3">
      <c r="D225" s="427"/>
      <c r="F225" s="427"/>
    </row>
    <row r="226" spans="4:6" ht="15.75" customHeight="1" x14ac:dyDescent="0.3">
      <c r="D226" s="427"/>
      <c r="F226" s="427"/>
    </row>
    <row r="227" spans="4:6" ht="15.75" customHeight="1" x14ac:dyDescent="0.3">
      <c r="D227" s="427"/>
      <c r="F227" s="427"/>
    </row>
    <row r="228" spans="4:6" ht="15.75" customHeight="1" x14ac:dyDescent="0.3">
      <c r="D228" s="427"/>
      <c r="F228" s="427"/>
    </row>
    <row r="229" spans="4:6" ht="15.75" customHeight="1" x14ac:dyDescent="0.3">
      <c r="D229" s="427"/>
      <c r="F229" s="427"/>
    </row>
    <row r="230" spans="4:6" ht="15.75" customHeight="1" x14ac:dyDescent="0.3">
      <c r="D230" s="427"/>
      <c r="F230" s="427"/>
    </row>
    <row r="231" spans="4:6" ht="15.75" customHeight="1" x14ac:dyDescent="0.3">
      <c r="D231" s="427"/>
      <c r="F231" s="427"/>
    </row>
    <row r="232" spans="4:6" ht="15.75" customHeight="1" x14ac:dyDescent="0.3">
      <c r="D232" s="427"/>
      <c r="F232" s="427"/>
    </row>
    <row r="233" spans="4:6" ht="15.75" customHeight="1" x14ac:dyDescent="0.3">
      <c r="D233" s="427"/>
      <c r="F233" s="427"/>
    </row>
    <row r="234" spans="4:6" ht="15.75" customHeight="1" x14ac:dyDescent="0.3">
      <c r="D234" s="427"/>
      <c r="F234" s="427"/>
    </row>
    <row r="235" spans="4:6" ht="15.75" customHeight="1" x14ac:dyDescent="0.3">
      <c r="D235" s="427"/>
      <c r="F235" s="427"/>
    </row>
    <row r="236" spans="4:6" ht="15.75" customHeight="1" x14ac:dyDescent="0.3">
      <c r="D236" s="427"/>
      <c r="F236" s="427"/>
    </row>
    <row r="237" spans="4:6" ht="15.75" customHeight="1" x14ac:dyDescent="0.3">
      <c r="D237" s="427"/>
      <c r="F237" s="427"/>
    </row>
    <row r="238" spans="4:6" ht="15.75" customHeight="1" x14ac:dyDescent="0.3">
      <c r="D238" s="427"/>
      <c r="F238" s="427"/>
    </row>
    <row r="239" spans="4:6" ht="15.75" customHeight="1" x14ac:dyDescent="0.3">
      <c r="D239" s="427"/>
      <c r="F239" s="427"/>
    </row>
    <row r="240" spans="4:6" ht="15.75" customHeight="1" x14ac:dyDescent="0.3">
      <c r="D240" s="427"/>
      <c r="F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dataValidations count="1">
    <dataValidation type="list" allowBlank="1" showErrorMessage="1" sqref="B17 B22" xr:uid="{877A2A39-9546-495E-9B66-E7F0073E5713}">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4F721-29B2-43ED-814E-D04B62E694EB}">
  <dimension ref="A1:AI889"/>
  <sheetViews>
    <sheetView zoomScale="70" zoomScaleNormal="70" workbookViewId="0">
      <selection activeCell="X10" sqref="X10"/>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3" width="11.5546875" style="428" hidden="1" customWidth="1"/>
    <col min="24" max="24" width="11.5546875" style="428" customWidth="1"/>
    <col min="25" max="25" width="11.5546875" style="428" hidden="1" customWidth="1"/>
    <col min="26" max="26" width="11.5546875" style="428" customWidth="1"/>
    <col min="27" max="28" width="11.6640625" style="428" customWidth="1"/>
    <col min="29" max="30" width="11.6640625" style="428" hidden="1" customWidth="1"/>
    <col min="31" max="35" width="0" style="428" hidden="1" customWidth="1"/>
    <col min="36" max="16384" width="12.44140625" style="428"/>
  </cols>
  <sheetData>
    <row r="1" spans="1:35" ht="23.25" customHeight="1" x14ac:dyDescent="0.35">
      <c r="A1" s="513"/>
      <c r="B1" s="514" t="s">
        <v>2353</v>
      </c>
    </row>
    <row r="2" spans="1:35"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5" ht="15.75" customHeight="1" x14ac:dyDescent="0.3">
      <c r="B3" s="516"/>
    </row>
    <row r="4" spans="1:35" ht="19.2" customHeight="1" x14ac:dyDescent="0.3">
      <c r="B4" s="517" t="s">
        <v>1026</v>
      </c>
      <c r="C4" s="518"/>
      <c r="D4" s="518"/>
    </row>
    <row r="5" spans="1:35" ht="19.2" customHeight="1" x14ac:dyDescent="0.3">
      <c r="B5" s="517" t="s">
        <v>341</v>
      </c>
      <c r="C5" s="518"/>
      <c r="D5" s="518"/>
    </row>
    <row r="6" spans="1:35" ht="15.75" customHeight="1" x14ac:dyDescent="0.3">
      <c r="B6" s="516"/>
    </row>
    <row r="7" spans="1:35" ht="15.75" customHeight="1" x14ac:dyDescent="0.3">
      <c r="B7" s="519" t="s">
        <v>342</v>
      </c>
    </row>
    <row r="8" spans="1:35" ht="9" customHeight="1" x14ac:dyDescent="0.3">
      <c r="B8" s="520"/>
      <c r="G8" s="427"/>
      <c r="H8" s="427"/>
      <c r="I8" s="427"/>
      <c r="J8" s="427"/>
      <c r="K8" s="427"/>
      <c r="L8" s="427"/>
      <c r="Z8" s="427"/>
    </row>
    <row r="9" spans="1:35"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c r="AC9" s="1080" t="s">
        <v>533</v>
      </c>
      <c r="AD9" s="1080" t="s">
        <v>534</v>
      </c>
      <c r="AE9" s="1080" t="s">
        <v>535</v>
      </c>
      <c r="AF9" s="1080" t="s">
        <v>536</v>
      </c>
      <c r="AG9" s="1080" t="s">
        <v>537</v>
      </c>
      <c r="AH9" s="1081" t="s">
        <v>538</v>
      </c>
      <c r="AI9" s="1081" t="s">
        <v>539</v>
      </c>
    </row>
    <row r="10" spans="1:35" ht="24" customHeight="1" x14ac:dyDescent="0.3">
      <c r="A10" s="528"/>
      <c r="B10" s="529">
        <v>1</v>
      </c>
      <c r="C10" s="530" t="s">
        <v>540</v>
      </c>
      <c r="D10" s="531" t="s">
        <v>541</v>
      </c>
      <c r="E10" s="532" t="s">
        <v>350</v>
      </c>
      <c r="F10" s="533" t="s">
        <v>542</v>
      </c>
      <c r="G10" s="534">
        <v>2009</v>
      </c>
      <c r="H10" s="535"/>
      <c r="I10" s="535"/>
      <c r="J10" s="540"/>
      <c r="K10" s="597"/>
      <c r="L10" s="597"/>
      <c r="M10" s="540"/>
      <c r="N10" s="597"/>
      <c r="O10" s="597"/>
      <c r="P10" s="597"/>
      <c r="Q10" s="597"/>
      <c r="R10" s="597"/>
      <c r="S10" s="597"/>
      <c r="T10" s="597"/>
      <c r="U10" s="598"/>
      <c r="V10" s="597"/>
      <c r="W10" s="598"/>
      <c r="X10" s="677">
        <v>14064</v>
      </c>
      <c r="Y10" s="598"/>
      <c r="Z10" s="535"/>
      <c r="AA10" s="528"/>
      <c r="AB10" s="528"/>
      <c r="AC10" s="1082">
        <v>45639</v>
      </c>
      <c r="AD10" s="1082">
        <v>45669</v>
      </c>
      <c r="AE10" s="428">
        <v>31</v>
      </c>
      <c r="AF10" s="428">
        <v>14670</v>
      </c>
      <c r="AG10" s="428">
        <f>AF10/AE10</f>
        <v>473.22580645161293</v>
      </c>
      <c r="AH10" s="1083">
        <v>-12</v>
      </c>
      <c r="AI10" s="428">
        <f>AG10*(AE10+AH10)</f>
        <v>8991.2903225806458</v>
      </c>
    </row>
    <row r="11" spans="1:35" ht="24" customHeight="1" x14ac:dyDescent="0.3">
      <c r="A11" s="528"/>
      <c r="B11" s="529">
        <v>2</v>
      </c>
      <c r="C11" s="453" t="s">
        <v>540</v>
      </c>
      <c r="D11" s="453" t="s">
        <v>541</v>
      </c>
      <c r="E11" s="543" t="s">
        <v>350</v>
      </c>
      <c r="F11" s="506" t="s">
        <v>543</v>
      </c>
      <c r="G11" s="496"/>
      <c r="H11" s="544"/>
      <c r="I11" s="544">
        <v>0</v>
      </c>
      <c r="J11" s="547">
        <v>0</v>
      </c>
      <c r="K11" s="599">
        <v>0</v>
      </c>
      <c r="L11" s="599">
        <v>0</v>
      </c>
      <c r="M11" s="599">
        <v>2241.1</v>
      </c>
      <c r="N11" s="599">
        <v>1708</v>
      </c>
      <c r="O11" s="599">
        <v>1158.2</v>
      </c>
      <c r="P11" s="599">
        <v>2975</v>
      </c>
      <c r="Q11" s="599">
        <v>572</v>
      </c>
      <c r="R11" s="599">
        <v>1927</v>
      </c>
      <c r="S11" s="599">
        <v>1881</v>
      </c>
      <c r="T11" s="599">
        <v>2000</v>
      </c>
      <c r="U11" s="600">
        <v>2000</v>
      </c>
      <c r="V11" s="599">
        <v>6203</v>
      </c>
      <c r="W11" s="600">
        <v>3447.8</v>
      </c>
      <c r="X11" s="599">
        <v>7145.8</v>
      </c>
      <c r="Y11" s="600"/>
      <c r="Z11" s="544"/>
      <c r="AA11" s="528"/>
      <c r="AB11" s="528"/>
      <c r="AC11" s="1082">
        <v>45609</v>
      </c>
      <c r="AD11" s="1082">
        <v>45638</v>
      </c>
      <c r="AE11" s="428">
        <v>30</v>
      </c>
      <c r="AF11" s="428">
        <v>9810</v>
      </c>
      <c r="AG11" s="428">
        <f t="shared" ref="AG11:AG21" si="0">AF11/AE11</f>
        <v>327</v>
      </c>
      <c r="AI11" s="428">
        <f>AF11</f>
        <v>9810</v>
      </c>
    </row>
    <row r="12" spans="1:35" ht="30" customHeight="1" x14ac:dyDescent="0.3">
      <c r="A12" s="528"/>
      <c r="B12" s="529">
        <v>1</v>
      </c>
      <c r="C12" s="531" t="s">
        <v>540</v>
      </c>
      <c r="D12" s="531" t="s">
        <v>516</v>
      </c>
      <c r="E12" s="532" t="s">
        <v>517</v>
      </c>
      <c r="F12" s="533" t="s">
        <v>544</v>
      </c>
      <c r="G12" s="549"/>
      <c r="H12" s="550"/>
      <c r="I12" s="602">
        <f>AI22</f>
        <v>128186.12903225806</v>
      </c>
      <c r="J12" s="603">
        <v>147240</v>
      </c>
      <c r="K12" s="603">
        <v>124290</v>
      </c>
      <c r="L12" s="603">
        <v>126900</v>
      </c>
      <c r="M12" s="603">
        <v>159660</v>
      </c>
      <c r="N12" s="603">
        <v>330480</v>
      </c>
      <c r="O12" s="603">
        <v>165870</v>
      </c>
      <c r="P12" s="603">
        <v>141660</v>
      </c>
      <c r="Q12" s="603">
        <v>150930</v>
      </c>
      <c r="R12" s="603">
        <v>164430</v>
      </c>
      <c r="S12" s="603">
        <v>171900</v>
      </c>
      <c r="T12" s="603">
        <v>129420</v>
      </c>
      <c r="U12" s="598">
        <v>141930</v>
      </c>
      <c r="V12" s="603">
        <v>105660</v>
      </c>
      <c r="W12" s="598">
        <v>203580</v>
      </c>
      <c r="X12" s="603">
        <v>71460</v>
      </c>
      <c r="Y12" s="598">
        <v>40950</v>
      </c>
      <c r="Z12" s="550"/>
      <c r="AA12" s="528"/>
      <c r="AB12" s="528"/>
      <c r="AC12" s="1082">
        <v>45578</v>
      </c>
      <c r="AD12" s="1082">
        <v>45608</v>
      </c>
      <c r="AE12" s="428">
        <v>31</v>
      </c>
      <c r="AF12" s="428">
        <v>6930</v>
      </c>
      <c r="AG12" s="428">
        <f t="shared" si="0"/>
        <v>223.54838709677421</v>
      </c>
      <c r="AI12" s="428">
        <f t="shared" ref="AI12:AI20" si="1">AF12</f>
        <v>6930</v>
      </c>
    </row>
    <row r="13" spans="1:35" ht="30" customHeight="1" x14ac:dyDescent="0.3">
      <c r="A13" s="528"/>
      <c r="B13" s="529"/>
      <c r="C13" s="453"/>
      <c r="D13" s="453"/>
      <c r="E13" s="543"/>
      <c r="F13" s="506"/>
      <c r="G13" s="496"/>
      <c r="H13" s="544"/>
      <c r="I13" s="544"/>
      <c r="J13" s="545"/>
      <c r="K13" s="544"/>
      <c r="L13" s="544"/>
      <c r="M13" s="544"/>
      <c r="N13" s="544"/>
      <c r="O13" s="544"/>
      <c r="P13" s="544"/>
      <c r="Q13" s="544"/>
      <c r="R13" s="544"/>
      <c r="S13" s="544"/>
      <c r="T13" s="544"/>
      <c r="U13" s="548"/>
      <c r="V13" s="544"/>
      <c r="W13" s="548"/>
      <c r="X13" s="544"/>
      <c r="Y13" s="548"/>
      <c r="Z13" s="544"/>
      <c r="AA13" s="528"/>
      <c r="AB13" s="528"/>
      <c r="AC13" s="1082">
        <v>45548</v>
      </c>
      <c r="AD13" s="1082">
        <v>45577</v>
      </c>
      <c r="AE13" s="428">
        <v>30</v>
      </c>
      <c r="AF13" s="428">
        <v>5400</v>
      </c>
      <c r="AG13" s="428">
        <f t="shared" si="0"/>
        <v>180</v>
      </c>
      <c r="AI13" s="428">
        <f t="shared" si="1"/>
        <v>5400</v>
      </c>
    </row>
    <row r="14" spans="1:35" ht="24" customHeight="1" x14ac:dyDescent="0.3">
      <c r="A14" s="528"/>
      <c r="B14" s="529"/>
      <c r="C14" s="531"/>
      <c r="D14" s="531"/>
      <c r="E14" s="532"/>
      <c r="F14" s="533"/>
      <c r="G14" s="549"/>
      <c r="H14" s="550"/>
      <c r="I14" s="550"/>
      <c r="J14" s="550"/>
      <c r="K14" s="550"/>
      <c r="L14" s="550"/>
      <c r="M14" s="550"/>
      <c r="N14" s="550"/>
      <c r="O14" s="550"/>
      <c r="P14" s="550"/>
      <c r="Q14" s="550"/>
      <c r="R14" s="550"/>
      <c r="S14" s="550"/>
      <c r="T14" s="550"/>
      <c r="U14" s="542"/>
      <c r="V14" s="550"/>
      <c r="W14" s="542"/>
      <c r="X14" s="550"/>
      <c r="Y14" s="542"/>
      <c r="Z14" s="550"/>
      <c r="AA14" s="528"/>
      <c r="AB14" s="528"/>
      <c r="AC14" s="1082">
        <v>45517</v>
      </c>
      <c r="AD14" s="1082">
        <v>45547</v>
      </c>
      <c r="AE14" s="428">
        <v>31</v>
      </c>
      <c r="AF14" s="428">
        <v>4680</v>
      </c>
      <c r="AG14" s="428">
        <f t="shared" si="0"/>
        <v>150.96774193548387</v>
      </c>
      <c r="AI14" s="428">
        <f t="shared" si="1"/>
        <v>4680</v>
      </c>
    </row>
    <row r="15" spans="1:35" ht="24" customHeight="1" x14ac:dyDescent="0.3">
      <c r="A15" s="528"/>
      <c r="B15" s="529"/>
      <c r="C15" s="453"/>
      <c r="D15" s="453"/>
      <c r="E15" s="543"/>
      <c r="F15" s="506"/>
      <c r="G15" s="496"/>
      <c r="H15" s="544"/>
      <c r="I15" s="544"/>
      <c r="J15" s="544"/>
      <c r="K15" s="544"/>
      <c r="L15" s="544"/>
      <c r="M15" s="544"/>
      <c r="N15" s="544"/>
      <c r="O15" s="544"/>
      <c r="P15" s="544"/>
      <c r="Q15" s="544"/>
      <c r="R15" s="544"/>
      <c r="S15" s="544"/>
      <c r="T15" s="544"/>
      <c r="U15" s="548"/>
      <c r="V15" s="544"/>
      <c r="W15" s="548"/>
      <c r="X15" s="544"/>
      <c r="Y15" s="548"/>
      <c r="Z15" s="544"/>
      <c r="AA15" s="528"/>
      <c r="AB15" s="528"/>
      <c r="AC15" s="1082">
        <v>45486</v>
      </c>
      <c r="AD15" s="1082">
        <v>45516</v>
      </c>
      <c r="AE15" s="428">
        <v>31</v>
      </c>
      <c r="AF15" s="428">
        <v>2970</v>
      </c>
      <c r="AG15" s="428">
        <f t="shared" si="0"/>
        <v>95.806451612903231</v>
      </c>
      <c r="AI15" s="428">
        <f t="shared" si="1"/>
        <v>2970</v>
      </c>
    </row>
    <row r="16" spans="1:35" ht="24" customHeight="1" x14ac:dyDescent="0.3">
      <c r="A16" s="528"/>
      <c r="B16" s="529"/>
      <c r="C16" s="531"/>
      <c r="D16" s="531"/>
      <c r="E16" s="532"/>
      <c r="F16" s="533"/>
      <c r="G16" s="551"/>
      <c r="H16" s="550"/>
      <c r="I16" s="550"/>
      <c r="J16" s="550"/>
      <c r="K16" s="550"/>
      <c r="L16" s="550"/>
      <c r="M16" s="550"/>
      <c r="N16" s="550"/>
      <c r="O16" s="550"/>
      <c r="P16" s="550"/>
      <c r="Q16" s="550"/>
      <c r="R16" s="550"/>
      <c r="S16" s="550"/>
      <c r="T16" s="550"/>
      <c r="U16" s="542"/>
      <c r="V16" s="550"/>
      <c r="W16" s="542"/>
      <c r="X16" s="550"/>
      <c r="Y16" s="542"/>
      <c r="Z16" s="550"/>
      <c r="AA16" s="528"/>
      <c r="AB16" s="528"/>
      <c r="AC16" s="1082">
        <v>45456</v>
      </c>
      <c r="AD16" s="1082">
        <v>45485</v>
      </c>
      <c r="AE16" s="428">
        <v>30</v>
      </c>
      <c r="AF16" s="428">
        <v>3510</v>
      </c>
      <c r="AG16" s="428">
        <f t="shared" si="0"/>
        <v>117</v>
      </c>
      <c r="AI16" s="428">
        <f t="shared" si="1"/>
        <v>3510</v>
      </c>
    </row>
    <row r="17" spans="1:35" ht="24" customHeight="1" x14ac:dyDescent="0.3">
      <c r="A17" s="528"/>
      <c r="B17" s="552"/>
      <c r="C17" s="462"/>
      <c r="D17" s="462"/>
      <c r="E17" s="553"/>
      <c r="F17" s="554"/>
      <c r="G17" s="555"/>
      <c r="H17" s="556"/>
      <c r="I17" s="556"/>
      <c r="J17" s="556"/>
      <c r="K17" s="556"/>
      <c r="L17" s="556"/>
      <c r="M17" s="556"/>
      <c r="N17" s="556"/>
      <c r="O17" s="556"/>
      <c r="P17" s="556"/>
      <c r="Q17" s="556"/>
      <c r="R17" s="556"/>
      <c r="S17" s="556"/>
      <c r="T17" s="556"/>
      <c r="U17" s="557"/>
      <c r="V17" s="556"/>
      <c r="W17" s="557"/>
      <c r="X17" s="556"/>
      <c r="Y17" s="557"/>
      <c r="Z17" s="556"/>
      <c r="AA17" s="528"/>
      <c r="AB17" s="528"/>
      <c r="AC17" s="1082">
        <v>45425</v>
      </c>
      <c r="AD17" s="1082">
        <v>45455</v>
      </c>
      <c r="AE17" s="428">
        <v>31</v>
      </c>
      <c r="AF17" s="428">
        <v>4860</v>
      </c>
      <c r="AG17" s="428">
        <f t="shared" si="0"/>
        <v>156.7741935483871</v>
      </c>
      <c r="AI17" s="428">
        <f t="shared" si="1"/>
        <v>4860</v>
      </c>
    </row>
    <row r="18" spans="1:35"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1082">
        <v>45395</v>
      </c>
      <c r="AD18" s="1082">
        <v>45424</v>
      </c>
      <c r="AE18" s="428">
        <v>30</v>
      </c>
      <c r="AF18" s="428">
        <v>7380</v>
      </c>
      <c r="AG18" s="428">
        <f t="shared" si="0"/>
        <v>246</v>
      </c>
      <c r="AI18" s="428">
        <f t="shared" si="1"/>
        <v>7380</v>
      </c>
    </row>
    <row r="19" spans="1:35" ht="15.75" customHeight="1" x14ac:dyDescent="0.3">
      <c r="A19" s="528"/>
      <c r="B19" s="560" t="s">
        <v>355</v>
      </c>
      <c r="C19" s="561" t="s">
        <v>356</v>
      </c>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1082">
        <v>45364</v>
      </c>
      <c r="AD19" s="1082">
        <v>45394</v>
      </c>
      <c r="AE19" s="428">
        <v>31</v>
      </c>
      <c r="AF19" s="428">
        <v>14490</v>
      </c>
      <c r="AG19" s="428">
        <f t="shared" si="0"/>
        <v>467.41935483870969</v>
      </c>
      <c r="AI19" s="428">
        <f t="shared" si="1"/>
        <v>14490</v>
      </c>
    </row>
    <row r="20" spans="1:35" ht="15.75" customHeight="1" x14ac:dyDescent="0.3">
      <c r="A20" s="528"/>
      <c r="B20" s="558"/>
      <c r="C20" s="528"/>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1082">
        <v>45335</v>
      </c>
      <c r="AD20" s="1082">
        <v>45363</v>
      </c>
      <c r="AE20" s="428">
        <v>29</v>
      </c>
      <c r="AF20" s="428">
        <v>20970</v>
      </c>
      <c r="AG20" s="428">
        <f t="shared" si="0"/>
        <v>723.10344827586209</v>
      </c>
      <c r="AI20" s="428">
        <f t="shared" si="1"/>
        <v>20970</v>
      </c>
    </row>
    <row r="21" spans="1:35" ht="15.75" customHeight="1" x14ac:dyDescent="0.3">
      <c r="A21" s="528"/>
      <c r="B21" s="4383" t="s">
        <v>357</v>
      </c>
      <c r="C21" s="4384"/>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1082">
        <v>45304</v>
      </c>
      <c r="AD21" s="1082">
        <v>45334</v>
      </c>
      <c r="AE21" s="428">
        <v>31</v>
      </c>
      <c r="AF21" s="428">
        <v>26910</v>
      </c>
      <c r="AG21" s="428">
        <f t="shared" si="0"/>
        <v>868.06451612903231</v>
      </c>
      <c r="AH21" s="1084">
        <v>13</v>
      </c>
      <c r="AI21" s="428">
        <f>AG21*(AE21+AH21)</f>
        <v>38194.838709677424</v>
      </c>
    </row>
    <row r="22" spans="1:35" ht="15.75" customHeight="1" x14ac:dyDescent="0.3">
      <c r="A22" s="528"/>
      <c r="B22" s="562" t="s">
        <v>365</v>
      </c>
      <c r="C22" s="528" t="s">
        <v>545</v>
      </c>
      <c r="D22" s="528"/>
      <c r="E22" s="528"/>
      <c r="F22" s="528"/>
      <c r="G22" s="479"/>
      <c r="H22" s="479"/>
      <c r="I22" s="479"/>
      <c r="J22" s="479"/>
      <c r="K22" s="479"/>
      <c r="L22" s="479"/>
      <c r="M22" s="559"/>
      <c r="N22" s="559"/>
      <c r="O22" s="559"/>
      <c r="P22" s="559"/>
      <c r="Q22" s="559"/>
      <c r="R22" s="559"/>
      <c r="S22" s="559"/>
      <c r="T22" s="559"/>
      <c r="U22" s="559"/>
      <c r="V22" s="559"/>
      <c r="W22" s="559"/>
      <c r="X22" s="559"/>
      <c r="Y22" s="559"/>
      <c r="Z22" s="559"/>
      <c r="AA22" s="528"/>
      <c r="AB22" s="528"/>
      <c r="AI22" s="1080">
        <f>SUM(AI10:AI21)</f>
        <v>128186.12903225806</v>
      </c>
    </row>
    <row r="23" spans="1:35" ht="15.75" customHeight="1" x14ac:dyDescent="0.3">
      <c r="A23" s="528"/>
      <c r="B23" s="562" t="s">
        <v>546</v>
      </c>
      <c r="C23" s="1085" t="s">
        <v>547</v>
      </c>
      <c r="D23" s="528"/>
      <c r="E23" s="528"/>
      <c r="F23" s="528"/>
      <c r="G23" s="479"/>
      <c r="H23" s="479"/>
      <c r="I23" s="479"/>
      <c r="J23" s="479"/>
      <c r="K23" s="479"/>
      <c r="L23" s="479"/>
      <c r="M23" s="559"/>
      <c r="N23" s="559"/>
      <c r="O23" s="559"/>
      <c r="P23" s="559"/>
      <c r="Q23" s="559"/>
      <c r="R23" s="559"/>
      <c r="S23" s="559"/>
      <c r="T23" s="559"/>
      <c r="U23" s="559"/>
      <c r="V23" s="559"/>
      <c r="W23" s="559"/>
      <c r="X23" s="559"/>
      <c r="Y23" s="559"/>
      <c r="Z23" s="559"/>
      <c r="AA23" s="528"/>
      <c r="AB23" s="528"/>
      <c r="AC23" s="528"/>
      <c r="AD23" s="528"/>
    </row>
    <row r="24" spans="1:35" ht="15.75" customHeight="1" x14ac:dyDescent="0.3">
      <c r="C24" s="428" t="s">
        <v>548</v>
      </c>
    </row>
    <row r="25" spans="1:35" ht="15.75" customHeight="1" x14ac:dyDescent="0.3"/>
    <row r="26" spans="1:35" ht="15.75" customHeight="1" x14ac:dyDescent="0.3"/>
    <row r="27" spans="1:35" ht="15.75" customHeight="1" x14ac:dyDescent="0.3"/>
    <row r="28" spans="1:35" ht="15.75" customHeight="1" x14ac:dyDescent="0.3"/>
    <row r="29" spans="1:35" ht="15.75" customHeight="1" x14ac:dyDescent="0.3"/>
    <row r="30" spans="1:35" ht="15.75" customHeight="1" x14ac:dyDescent="0.3"/>
    <row r="31" spans="1:35" ht="15.75" customHeight="1" x14ac:dyDescent="0.3"/>
    <row r="32" spans="1:35"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E047-0F02-46F5-9901-83101F294CC4}">
  <dimension ref="A1:G986"/>
  <sheetViews>
    <sheetView workbookViewId="0">
      <selection activeCell="D10" sqref="D10"/>
    </sheetView>
  </sheetViews>
  <sheetFormatPr defaultColWidth="12.44140625" defaultRowHeight="15" customHeight="1" x14ac:dyDescent="0.3"/>
  <cols>
    <col min="1" max="1" width="2.6640625" style="428" customWidth="1"/>
    <col min="2" max="2" width="7.33203125" style="428" customWidth="1"/>
    <col min="3" max="3" width="34" style="428" customWidth="1"/>
    <col min="4" max="4" width="20.77734375" style="428" customWidth="1"/>
    <col min="5" max="5" width="1.5546875" style="428" customWidth="1"/>
    <col min="6" max="6" width="15.21875" style="428" customWidth="1"/>
    <col min="7" max="7" width="11.6640625" style="428" customWidth="1"/>
    <col min="8" max="16384" width="12.44140625" style="428"/>
  </cols>
  <sheetData>
    <row r="1" spans="1:7" ht="21.75" customHeight="1" x14ac:dyDescent="0.35">
      <c r="A1" s="424"/>
      <c r="B1" s="1086" t="s">
        <v>549</v>
      </c>
      <c r="E1" s="427"/>
    </row>
    <row r="2" spans="1:7" ht="15.75" customHeight="1" x14ac:dyDescent="0.3">
      <c r="A2" s="424"/>
      <c r="B2" s="429" t="s">
        <v>299</v>
      </c>
      <c r="C2" s="430"/>
      <c r="D2" s="430"/>
      <c r="E2" s="430"/>
      <c r="F2" s="430"/>
    </row>
    <row r="3" spans="1:7" ht="9.75" customHeight="1" x14ac:dyDescent="0.3">
      <c r="A3" s="427"/>
      <c r="B3" s="427"/>
      <c r="E3" s="427"/>
    </row>
    <row r="4" spans="1:7" ht="6" customHeight="1" x14ac:dyDescent="0.3">
      <c r="B4" s="427"/>
      <c r="E4" s="427"/>
    </row>
    <row r="5" spans="1:7" ht="6" customHeight="1" x14ac:dyDescent="0.3">
      <c r="A5" s="431"/>
      <c r="B5" s="427"/>
      <c r="E5" s="427"/>
    </row>
    <row r="6" spans="1:7" ht="15.75" customHeight="1" x14ac:dyDescent="0.3">
      <c r="B6" s="427"/>
      <c r="E6" s="427"/>
    </row>
    <row r="7" spans="1:7" ht="37.200000000000003" customHeight="1" x14ac:dyDescent="0.3">
      <c r="A7" s="432"/>
      <c r="B7" s="432"/>
      <c r="C7" s="433">
        <v>2024</v>
      </c>
      <c r="D7" s="686" t="s">
        <v>23</v>
      </c>
      <c r="E7" s="609"/>
      <c r="F7" s="435" t="s">
        <v>300</v>
      </c>
      <c r="G7" s="432"/>
    </row>
    <row r="8" spans="1:7" ht="18" customHeight="1" x14ac:dyDescent="0.35">
      <c r="B8" s="427"/>
      <c r="C8" s="436" t="s">
        <v>301</v>
      </c>
      <c r="D8" s="572">
        <v>1</v>
      </c>
      <c r="E8" s="610"/>
      <c r="F8" s="438"/>
    </row>
    <row r="9" spans="1:7" ht="46.5" customHeight="1" x14ac:dyDescent="0.3">
      <c r="B9" s="443"/>
      <c r="C9" s="439" t="s">
        <v>302</v>
      </c>
      <c r="D9" s="573" t="s">
        <v>550</v>
      </c>
      <c r="E9" s="611"/>
      <c r="F9" s="442"/>
    </row>
    <row r="10" spans="1:7" ht="46.5" customHeight="1" x14ac:dyDescent="0.3">
      <c r="B10" s="443"/>
      <c r="C10" s="444" t="s">
        <v>304</v>
      </c>
      <c r="D10" s="445" t="s">
        <v>551</v>
      </c>
      <c r="E10" s="612"/>
      <c r="F10" s="446"/>
    </row>
    <row r="11" spans="1:7" ht="18.75" customHeight="1" x14ac:dyDescent="0.3">
      <c r="A11" s="447"/>
      <c r="B11" s="452"/>
      <c r="C11" s="448" t="s">
        <v>306</v>
      </c>
      <c r="D11" s="613">
        <f>(D17*D18)</f>
        <v>283.07098114171595</v>
      </c>
      <c r="E11" s="614"/>
      <c r="F11" s="451">
        <f>SUM(D11:D11)</f>
        <v>283.07098114171595</v>
      </c>
      <c r="G11" s="447"/>
    </row>
    <row r="12" spans="1:7" ht="18.75" customHeight="1" x14ac:dyDescent="0.3">
      <c r="A12" s="447"/>
      <c r="B12" s="457"/>
      <c r="C12" s="453" t="s">
        <v>307</v>
      </c>
      <c r="D12" s="577">
        <f>(D22*D23)</f>
        <v>0</v>
      </c>
      <c r="E12" s="614"/>
      <c r="F12" s="456">
        <f>SUM(D12:D12)</f>
        <v>0</v>
      </c>
      <c r="G12" s="447"/>
    </row>
    <row r="13" spans="1:7" ht="18.75" customHeight="1" x14ac:dyDescent="0.3">
      <c r="A13" s="447"/>
      <c r="B13" s="461"/>
      <c r="C13" s="448" t="s">
        <v>308</v>
      </c>
      <c r="D13" s="578" t="s">
        <v>8</v>
      </c>
      <c r="E13" s="615"/>
      <c r="F13" s="460"/>
      <c r="G13" s="447"/>
    </row>
    <row r="14" spans="1:7" ht="18.75" customHeight="1" x14ac:dyDescent="0.3">
      <c r="A14" s="447"/>
      <c r="B14" s="457"/>
      <c r="C14" s="462" t="s">
        <v>309</v>
      </c>
      <c r="D14" s="579">
        <f t="shared" ref="D14" si="0">D11-D12</f>
        <v>283.07098114171595</v>
      </c>
      <c r="E14" s="614"/>
      <c r="F14" s="464">
        <f>SUM(D14:D14)</f>
        <v>283.07098114171595</v>
      </c>
      <c r="G14" s="447"/>
    </row>
    <row r="15" spans="1:7" ht="19.5" customHeight="1" x14ac:dyDescent="0.4">
      <c r="B15" s="467"/>
      <c r="C15" s="616" t="s">
        <v>395</v>
      </c>
      <c r="D15" s="617"/>
      <c r="E15" s="618"/>
      <c r="F15" s="468"/>
      <c r="G15" s="427"/>
    </row>
    <row r="16" spans="1:7" ht="35.4" customHeight="1" x14ac:dyDescent="0.3">
      <c r="A16" s="447"/>
      <c r="B16" s="457"/>
      <c r="C16" s="469" t="s">
        <v>311</v>
      </c>
      <c r="D16" s="601" t="s">
        <v>429</v>
      </c>
      <c r="E16" s="619"/>
      <c r="F16" s="620"/>
      <c r="G16" s="447"/>
    </row>
    <row r="17" spans="1:7" ht="21" customHeight="1" x14ac:dyDescent="0.3">
      <c r="A17" s="447"/>
      <c r="B17" s="475"/>
      <c r="C17" s="472" t="s">
        <v>398</v>
      </c>
      <c r="D17" s="621">
        <f>'CF-0120|GDS'!I11</f>
        <v>393.01</v>
      </c>
      <c r="E17" s="622"/>
      <c r="F17" s="623"/>
      <c r="G17" s="447"/>
    </row>
    <row r="18" spans="1:7" ht="18.75" customHeight="1" x14ac:dyDescent="0.3">
      <c r="A18" s="447"/>
      <c r="B18" s="479"/>
      <c r="C18" s="476" t="s">
        <v>314</v>
      </c>
      <c r="D18" s="584">
        <v>0.7202640674326759</v>
      </c>
      <c r="E18" s="614"/>
      <c r="F18" s="491"/>
      <c r="G18" s="447"/>
    </row>
    <row r="19" spans="1:7" ht="19.5" customHeight="1" x14ac:dyDescent="0.3">
      <c r="A19" s="447"/>
      <c r="B19" s="479"/>
      <c r="C19" s="480" t="s">
        <v>315</v>
      </c>
      <c r="D19" s="585">
        <f>D17*D18</f>
        <v>283.07098114171595</v>
      </c>
      <c r="E19" s="614"/>
      <c r="F19" s="494"/>
      <c r="G19" s="647"/>
    </row>
    <row r="20" spans="1:7" ht="21" customHeight="1" x14ac:dyDescent="0.4">
      <c r="B20" s="483"/>
      <c r="C20" s="465" t="s">
        <v>316</v>
      </c>
      <c r="D20" s="587"/>
      <c r="E20" s="618"/>
      <c r="F20" s="495"/>
    </row>
    <row r="21" spans="1:7" ht="32.4" customHeight="1" x14ac:dyDescent="0.3">
      <c r="A21" s="447"/>
      <c r="B21" s="479"/>
      <c r="C21" s="469" t="s">
        <v>183</v>
      </c>
      <c r="D21" s="601" t="s">
        <v>550</v>
      </c>
      <c r="E21" s="614"/>
      <c r="F21" s="496"/>
      <c r="G21" s="447"/>
    </row>
    <row r="22" spans="1:7" ht="21" customHeight="1" x14ac:dyDescent="0.3">
      <c r="A22" s="447"/>
      <c r="B22" s="479"/>
      <c r="C22" s="486" t="s">
        <v>398</v>
      </c>
      <c r="D22" s="589">
        <f>D17</f>
        <v>393.01</v>
      </c>
      <c r="E22" s="622"/>
      <c r="F22" s="623"/>
      <c r="G22" s="447"/>
    </row>
    <row r="23" spans="1:7" ht="21" customHeight="1" x14ac:dyDescent="0.3">
      <c r="A23" s="447"/>
      <c r="B23" s="479"/>
      <c r="C23" s="489" t="s">
        <v>314</v>
      </c>
      <c r="D23" s="590">
        <v>0</v>
      </c>
      <c r="E23" s="614"/>
      <c r="F23" s="491"/>
      <c r="G23" s="447"/>
    </row>
    <row r="24" spans="1:7" ht="21" customHeight="1" x14ac:dyDescent="0.3">
      <c r="A24" s="447"/>
      <c r="B24" s="479"/>
      <c r="C24" s="492" t="s">
        <v>315</v>
      </c>
      <c r="D24" s="624">
        <f t="shared" ref="D24" si="1">D22*D23</f>
        <v>0</v>
      </c>
      <c r="E24" s="614"/>
      <c r="F24" s="494"/>
      <c r="G24" s="447"/>
    </row>
    <row r="25" spans="1:7" ht="28.5" customHeight="1" x14ac:dyDescent="0.3">
      <c r="A25" s="447"/>
      <c r="B25" s="500"/>
      <c r="C25" s="498" t="s">
        <v>320</v>
      </c>
      <c r="D25" s="626" t="s">
        <v>401</v>
      </c>
      <c r="E25" s="614"/>
      <c r="F25" s="496"/>
      <c r="G25" s="447"/>
    </row>
    <row r="26" spans="1:7" ht="24" customHeight="1" x14ac:dyDescent="0.3">
      <c r="B26" s="504"/>
      <c r="C26" s="502" t="s">
        <v>322</v>
      </c>
      <c r="D26" s="596">
        <v>13</v>
      </c>
      <c r="E26" s="618"/>
      <c r="F26" s="495"/>
    </row>
    <row r="27" spans="1:7" ht="33" customHeight="1" x14ac:dyDescent="0.3">
      <c r="A27" s="447"/>
      <c r="B27" s="479"/>
      <c r="C27" s="506" t="s">
        <v>323</v>
      </c>
      <c r="D27" s="595" t="s">
        <v>324</v>
      </c>
      <c r="E27" s="614"/>
      <c r="F27" s="496"/>
      <c r="G27" s="447"/>
    </row>
    <row r="28" spans="1:7" ht="33" customHeight="1" x14ac:dyDescent="0.3">
      <c r="A28" s="447"/>
      <c r="B28" s="479"/>
      <c r="C28" s="508" t="s">
        <v>325</v>
      </c>
      <c r="D28" s="627" t="s">
        <v>326</v>
      </c>
      <c r="E28" s="614"/>
      <c r="F28" s="496"/>
      <c r="G28" s="447"/>
    </row>
    <row r="29" spans="1:7" ht="33" customHeight="1" x14ac:dyDescent="0.3">
      <c r="A29" s="447"/>
      <c r="B29" s="479"/>
      <c r="C29" s="506" t="s">
        <v>327</v>
      </c>
      <c r="D29" s="595" t="s">
        <v>402</v>
      </c>
      <c r="E29" s="614"/>
      <c r="F29" s="496"/>
      <c r="G29" s="447"/>
    </row>
    <row r="30" spans="1:7" ht="21" customHeight="1" x14ac:dyDescent="0.3">
      <c r="B30" s="467"/>
      <c r="C30" s="510" t="s">
        <v>329</v>
      </c>
      <c r="D30" s="596">
        <v>1</v>
      </c>
      <c r="E30" s="618"/>
      <c r="F30" s="467"/>
    </row>
    <row r="31" spans="1:7" ht="21" customHeight="1" x14ac:dyDescent="0.3">
      <c r="B31" s="483"/>
      <c r="C31" s="453" t="s">
        <v>330</v>
      </c>
      <c r="D31" s="595" t="s">
        <v>324</v>
      </c>
      <c r="E31" s="618"/>
      <c r="F31" s="495"/>
    </row>
    <row r="32" spans="1:7" ht="21" customHeight="1" x14ac:dyDescent="0.3">
      <c r="B32" s="483"/>
      <c r="C32" s="510" t="s">
        <v>331</v>
      </c>
      <c r="D32" s="596" t="s">
        <v>324</v>
      </c>
      <c r="E32" s="618"/>
      <c r="F32" s="495"/>
    </row>
    <row r="33" spans="2:6" ht="21" customHeight="1" x14ac:dyDescent="0.3">
      <c r="B33" s="483"/>
      <c r="C33" s="462" t="s">
        <v>332</v>
      </c>
      <c r="D33" s="555" t="s">
        <v>333</v>
      </c>
      <c r="E33" s="618"/>
      <c r="F33" s="495"/>
    </row>
    <row r="34" spans="2:6" ht="15.75" customHeight="1" x14ac:dyDescent="0.3">
      <c r="B34" s="483"/>
      <c r="C34" s="427"/>
      <c r="E34" s="427"/>
      <c r="F34" s="427"/>
    </row>
    <row r="35" spans="2:6" ht="15.75" customHeight="1" x14ac:dyDescent="0.3">
      <c r="B35" s="483"/>
      <c r="E35" s="427"/>
      <c r="F35" s="427"/>
    </row>
    <row r="36" spans="2:6" ht="15.75" customHeight="1" x14ac:dyDescent="0.3">
      <c r="B36" s="483"/>
      <c r="E36" s="427"/>
      <c r="F36" s="427"/>
    </row>
    <row r="37" spans="2:6" ht="15.75" customHeight="1" x14ac:dyDescent="0.3">
      <c r="B37" s="483"/>
      <c r="E37" s="427"/>
      <c r="F37" s="427"/>
    </row>
    <row r="38" spans="2:6" ht="15.75" customHeight="1" x14ac:dyDescent="0.3">
      <c r="B38" s="483"/>
      <c r="E38" s="427"/>
      <c r="F38" s="427"/>
    </row>
    <row r="39" spans="2:6" ht="15.75" customHeight="1" x14ac:dyDescent="0.3">
      <c r="B39" s="427"/>
      <c r="E39" s="427"/>
      <c r="F39" s="427"/>
    </row>
    <row r="40" spans="2:6" ht="15.75" customHeight="1" x14ac:dyDescent="0.3">
      <c r="B40" s="427"/>
      <c r="E40" s="427"/>
      <c r="F40" s="427"/>
    </row>
    <row r="41" spans="2:6" ht="15.75" customHeight="1" x14ac:dyDescent="0.3">
      <c r="B41" s="427"/>
      <c r="E41" s="427"/>
      <c r="F41" s="427"/>
    </row>
    <row r="42" spans="2:6" ht="15.75" customHeight="1" x14ac:dyDescent="0.3">
      <c r="B42" s="427"/>
      <c r="E42" s="427"/>
      <c r="F42" s="427"/>
    </row>
    <row r="43" spans="2:6" ht="15.75" customHeight="1" x14ac:dyDescent="0.3">
      <c r="B43" s="427"/>
      <c r="E43" s="427"/>
      <c r="F43" s="427"/>
    </row>
    <row r="44" spans="2:6" ht="15.75" customHeight="1" x14ac:dyDescent="0.3">
      <c r="B44" s="427"/>
      <c r="E44" s="427"/>
    </row>
    <row r="45" spans="2:6" ht="15.75" customHeight="1" x14ac:dyDescent="0.3">
      <c r="B45" s="427"/>
      <c r="E45" s="427"/>
    </row>
    <row r="46" spans="2:6" ht="15.75" customHeight="1" x14ac:dyDescent="0.3">
      <c r="B46" s="427"/>
      <c r="E46" s="427"/>
    </row>
    <row r="47" spans="2:6" ht="15.75" customHeight="1" x14ac:dyDescent="0.3">
      <c r="B47" s="427"/>
      <c r="E47" s="427"/>
    </row>
    <row r="48" spans="2:6" ht="15.75" customHeight="1" x14ac:dyDescent="0.3">
      <c r="B48" s="427"/>
      <c r="E48" s="427"/>
    </row>
    <row r="49" spans="2:5" ht="15.75" customHeight="1" x14ac:dyDescent="0.3">
      <c r="B49" s="427"/>
      <c r="E49" s="427"/>
    </row>
    <row r="50" spans="2:5" ht="15.75" customHeight="1" x14ac:dyDescent="0.3">
      <c r="B50" s="427"/>
      <c r="E50" s="427"/>
    </row>
    <row r="51" spans="2:5" ht="15.75" customHeight="1" x14ac:dyDescent="0.3">
      <c r="B51" s="427"/>
      <c r="E51" s="427"/>
    </row>
    <row r="52" spans="2:5" ht="15.75" customHeight="1" x14ac:dyDescent="0.3">
      <c r="B52" s="427"/>
      <c r="E52" s="427"/>
    </row>
    <row r="53" spans="2:5" ht="15.75" customHeight="1" x14ac:dyDescent="0.3">
      <c r="B53" s="427"/>
      <c r="E53" s="427"/>
    </row>
    <row r="54" spans="2:5" ht="15.75" customHeight="1" x14ac:dyDescent="0.3">
      <c r="B54" s="427"/>
      <c r="E54" s="427"/>
    </row>
    <row r="55" spans="2:5" ht="15.75" customHeight="1" x14ac:dyDescent="0.3">
      <c r="B55" s="427"/>
      <c r="E55" s="427"/>
    </row>
    <row r="56" spans="2:5" ht="15.75" customHeight="1" x14ac:dyDescent="0.3">
      <c r="B56" s="427"/>
      <c r="E56" s="427"/>
    </row>
    <row r="57" spans="2:5" ht="15.75" customHeight="1" x14ac:dyDescent="0.3">
      <c r="B57" s="427"/>
      <c r="E57" s="427"/>
    </row>
    <row r="58" spans="2:5" ht="15.75" customHeight="1" x14ac:dyDescent="0.3">
      <c r="B58" s="427"/>
      <c r="E58" s="427"/>
    </row>
    <row r="59" spans="2:5" ht="15.75" customHeight="1" x14ac:dyDescent="0.3">
      <c r="B59" s="427"/>
      <c r="E59" s="427"/>
    </row>
    <row r="60" spans="2:5" ht="15.75" customHeight="1" x14ac:dyDescent="0.3">
      <c r="B60" s="427"/>
      <c r="E60" s="427"/>
    </row>
    <row r="61" spans="2:5" ht="15.75" customHeight="1" x14ac:dyDescent="0.3">
      <c r="B61" s="427"/>
      <c r="E61" s="427"/>
    </row>
    <row r="62" spans="2:5" ht="15.75" customHeight="1" x14ac:dyDescent="0.3">
      <c r="B62" s="427"/>
      <c r="E62" s="427"/>
    </row>
    <row r="63" spans="2:5" ht="15.75" customHeight="1" x14ac:dyDescent="0.3">
      <c r="B63" s="427"/>
      <c r="E63" s="427"/>
    </row>
    <row r="64" spans="2:5" ht="15.75" customHeight="1" x14ac:dyDescent="0.3">
      <c r="B64" s="427"/>
      <c r="E64" s="427"/>
    </row>
    <row r="65" spans="2:5" ht="15.75" customHeight="1" x14ac:dyDescent="0.3">
      <c r="B65" s="427"/>
      <c r="E65" s="427"/>
    </row>
    <row r="66" spans="2:5" ht="15.75" customHeight="1" x14ac:dyDescent="0.3">
      <c r="B66" s="427"/>
      <c r="E66" s="427"/>
    </row>
    <row r="67" spans="2:5" ht="15.75" customHeight="1" x14ac:dyDescent="0.3">
      <c r="B67" s="427"/>
      <c r="E67" s="427"/>
    </row>
    <row r="68" spans="2:5" ht="15.75" customHeight="1" x14ac:dyDescent="0.3">
      <c r="B68" s="427"/>
      <c r="E68" s="427"/>
    </row>
    <row r="69" spans="2:5" ht="15.75" customHeight="1" x14ac:dyDescent="0.3">
      <c r="B69" s="427"/>
      <c r="E69" s="427"/>
    </row>
    <row r="70" spans="2:5" ht="15.75" customHeight="1" x14ac:dyDescent="0.3">
      <c r="B70" s="427"/>
      <c r="E70" s="427"/>
    </row>
    <row r="71" spans="2:5" ht="15.75" customHeight="1" x14ac:dyDescent="0.3">
      <c r="B71" s="427"/>
      <c r="E71" s="427"/>
    </row>
    <row r="72" spans="2:5" ht="15.75" customHeight="1" x14ac:dyDescent="0.3">
      <c r="B72" s="427"/>
      <c r="E72" s="427"/>
    </row>
    <row r="73" spans="2:5" ht="15.75" customHeight="1" x14ac:dyDescent="0.3">
      <c r="B73" s="427"/>
      <c r="E73" s="427"/>
    </row>
    <row r="74" spans="2:5" ht="15.75" customHeight="1" x14ac:dyDescent="0.3">
      <c r="B74" s="427"/>
      <c r="E74" s="427"/>
    </row>
    <row r="75" spans="2:5" ht="15.75" customHeight="1" x14ac:dyDescent="0.3">
      <c r="B75" s="427"/>
      <c r="E75" s="427"/>
    </row>
    <row r="76" spans="2:5" ht="15.75" customHeight="1" x14ac:dyDescent="0.3">
      <c r="B76" s="427"/>
      <c r="E76" s="427"/>
    </row>
    <row r="77" spans="2:5" ht="15.75" customHeight="1" x14ac:dyDescent="0.3">
      <c r="B77" s="427"/>
      <c r="E77" s="427"/>
    </row>
    <row r="78" spans="2:5" ht="15.75" customHeight="1" x14ac:dyDescent="0.3">
      <c r="B78" s="427"/>
      <c r="E78" s="427"/>
    </row>
    <row r="79" spans="2:5" ht="15.75" customHeight="1" x14ac:dyDescent="0.3">
      <c r="B79" s="427"/>
      <c r="E79" s="427"/>
    </row>
    <row r="80" spans="2:5" ht="15.75" customHeight="1" x14ac:dyDescent="0.3">
      <c r="B80" s="427"/>
      <c r="E80" s="427"/>
    </row>
    <row r="81" spans="2:5" ht="15.75" customHeight="1" x14ac:dyDescent="0.3">
      <c r="B81" s="427"/>
      <c r="E81" s="427"/>
    </row>
    <row r="82" spans="2:5" ht="15.75" customHeight="1" x14ac:dyDescent="0.3">
      <c r="B82" s="427"/>
      <c r="E82" s="427"/>
    </row>
    <row r="83" spans="2:5" ht="15.75" customHeight="1" x14ac:dyDescent="0.3">
      <c r="B83" s="427"/>
      <c r="E83" s="427"/>
    </row>
    <row r="84" spans="2:5" ht="15.75" customHeight="1" x14ac:dyDescent="0.3">
      <c r="B84" s="427"/>
      <c r="E84" s="427"/>
    </row>
    <row r="85" spans="2:5" ht="15.75" customHeight="1" x14ac:dyDescent="0.3">
      <c r="B85" s="427"/>
      <c r="E85" s="427"/>
    </row>
    <row r="86" spans="2:5" ht="15.75" customHeight="1" x14ac:dyDescent="0.3">
      <c r="B86" s="427"/>
      <c r="E86" s="427"/>
    </row>
    <row r="87" spans="2:5" ht="15.75" customHeight="1" x14ac:dyDescent="0.3">
      <c r="B87" s="427"/>
      <c r="E87" s="427"/>
    </row>
    <row r="88" spans="2:5" ht="15.75" customHeight="1" x14ac:dyDescent="0.3">
      <c r="B88" s="427"/>
      <c r="E88" s="427"/>
    </row>
    <row r="89" spans="2:5" ht="15.75" customHeight="1" x14ac:dyDescent="0.3">
      <c r="B89" s="427"/>
      <c r="E89" s="427"/>
    </row>
    <row r="90" spans="2:5" ht="15.75" customHeight="1" x14ac:dyDescent="0.3">
      <c r="B90" s="427"/>
      <c r="E90" s="427"/>
    </row>
    <row r="91" spans="2:5" ht="15.75" customHeight="1" x14ac:dyDescent="0.3">
      <c r="B91" s="427"/>
      <c r="E91" s="427"/>
    </row>
    <row r="92" spans="2:5" ht="15.75" customHeight="1" x14ac:dyDescent="0.3">
      <c r="B92" s="427"/>
      <c r="E92" s="427"/>
    </row>
    <row r="93" spans="2:5" ht="15.75" customHeight="1" x14ac:dyDescent="0.3">
      <c r="B93" s="427"/>
      <c r="E93" s="427"/>
    </row>
    <row r="94" spans="2:5" ht="15.75" customHeight="1" x14ac:dyDescent="0.3">
      <c r="B94" s="427"/>
      <c r="E94" s="427"/>
    </row>
    <row r="95" spans="2:5" ht="15.75" customHeight="1" x14ac:dyDescent="0.3">
      <c r="B95" s="427"/>
      <c r="E95" s="427"/>
    </row>
    <row r="96" spans="2:5" ht="15.75" customHeight="1" x14ac:dyDescent="0.3">
      <c r="B96" s="427"/>
      <c r="E96" s="427"/>
    </row>
    <row r="97" spans="2:5" ht="15.75" customHeight="1" x14ac:dyDescent="0.3">
      <c r="B97" s="427"/>
      <c r="E97" s="427"/>
    </row>
    <row r="98" spans="2:5" ht="15.75" customHeight="1" x14ac:dyDescent="0.3">
      <c r="B98" s="427"/>
      <c r="E98" s="427"/>
    </row>
    <row r="99" spans="2:5" ht="15.75" customHeight="1" x14ac:dyDescent="0.3">
      <c r="B99" s="427"/>
      <c r="E99" s="427"/>
    </row>
    <row r="100" spans="2:5" ht="15.75" customHeight="1" x14ac:dyDescent="0.3">
      <c r="B100" s="427"/>
      <c r="E100" s="427"/>
    </row>
    <row r="101" spans="2:5" ht="15.75" customHeight="1" x14ac:dyDescent="0.3">
      <c r="B101" s="427"/>
      <c r="E101" s="427"/>
    </row>
    <row r="102" spans="2:5" ht="15.75" customHeight="1" x14ac:dyDescent="0.3">
      <c r="B102" s="427"/>
      <c r="E102" s="427"/>
    </row>
    <row r="103" spans="2:5" ht="15.75" customHeight="1" x14ac:dyDescent="0.3">
      <c r="B103" s="427"/>
      <c r="E103" s="427"/>
    </row>
    <row r="104" spans="2:5" ht="15.75" customHeight="1" x14ac:dyDescent="0.3">
      <c r="B104" s="427"/>
      <c r="E104" s="427"/>
    </row>
    <row r="105" spans="2:5" ht="15.75" customHeight="1" x14ac:dyDescent="0.3">
      <c r="B105" s="427"/>
      <c r="E105" s="427"/>
    </row>
    <row r="106" spans="2:5" ht="15.75" customHeight="1" x14ac:dyDescent="0.3">
      <c r="B106" s="427"/>
      <c r="E106" s="427"/>
    </row>
    <row r="107" spans="2:5" ht="15.75" customHeight="1" x14ac:dyDescent="0.3">
      <c r="B107" s="427"/>
      <c r="E107" s="427"/>
    </row>
    <row r="108" spans="2:5" ht="15.75" customHeight="1" x14ac:dyDescent="0.3">
      <c r="B108" s="427"/>
      <c r="E108" s="427"/>
    </row>
    <row r="109" spans="2:5" ht="15.75" customHeight="1" x14ac:dyDescent="0.3">
      <c r="B109" s="427"/>
      <c r="E109" s="427"/>
    </row>
    <row r="110" spans="2:5" ht="15.75" customHeight="1" x14ac:dyDescent="0.3">
      <c r="B110" s="427"/>
      <c r="E110" s="427"/>
    </row>
    <row r="111" spans="2:5" ht="15.75" customHeight="1" x14ac:dyDescent="0.3">
      <c r="B111" s="427"/>
      <c r="E111" s="427"/>
    </row>
    <row r="112" spans="2:5" ht="15.75" customHeight="1" x14ac:dyDescent="0.3">
      <c r="B112" s="427"/>
      <c r="E112" s="427"/>
    </row>
    <row r="113" spans="2:5" ht="15.75" customHeight="1" x14ac:dyDescent="0.3">
      <c r="B113" s="427"/>
      <c r="E113" s="427"/>
    </row>
    <row r="114" spans="2:5" ht="15.75" customHeight="1" x14ac:dyDescent="0.3">
      <c r="B114" s="427"/>
      <c r="E114" s="427"/>
    </row>
    <row r="115" spans="2:5" ht="15.75" customHeight="1" x14ac:dyDescent="0.3">
      <c r="B115" s="427"/>
      <c r="E115" s="427"/>
    </row>
    <row r="116" spans="2:5" ht="15.75" customHeight="1" x14ac:dyDescent="0.3">
      <c r="B116" s="427"/>
      <c r="E116" s="427"/>
    </row>
    <row r="117" spans="2:5" ht="15.75" customHeight="1" x14ac:dyDescent="0.3">
      <c r="B117" s="427"/>
      <c r="E117" s="427"/>
    </row>
    <row r="118" spans="2:5" ht="15.75" customHeight="1" x14ac:dyDescent="0.3">
      <c r="B118" s="427"/>
      <c r="E118" s="427"/>
    </row>
    <row r="119" spans="2:5" ht="15.75" customHeight="1" x14ac:dyDescent="0.3">
      <c r="B119" s="427"/>
      <c r="E119" s="427"/>
    </row>
    <row r="120" spans="2:5" ht="15.75" customHeight="1" x14ac:dyDescent="0.3">
      <c r="B120" s="427"/>
      <c r="E120" s="427"/>
    </row>
    <row r="121" spans="2:5" ht="15.75" customHeight="1" x14ac:dyDescent="0.3">
      <c r="B121" s="427"/>
      <c r="E121" s="427"/>
    </row>
    <row r="122" spans="2:5" ht="15.75" customHeight="1" x14ac:dyDescent="0.3">
      <c r="B122" s="427"/>
      <c r="E122" s="427"/>
    </row>
    <row r="123" spans="2:5" ht="15.75" customHeight="1" x14ac:dyDescent="0.3">
      <c r="B123" s="427"/>
      <c r="E123" s="427"/>
    </row>
    <row r="124" spans="2:5" ht="15.75" customHeight="1" x14ac:dyDescent="0.3">
      <c r="B124" s="427"/>
      <c r="E124" s="427"/>
    </row>
    <row r="125" spans="2:5" ht="15.75" customHeight="1" x14ac:dyDescent="0.3">
      <c r="B125" s="427"/>
      <c r="E125" s="427"/>
    </row>
    <row r="126" spans="2:5" ht="15.75" customHeight="1" x14ac:dyDescent="0.3">
      <c r="B126" s="427"/>
      <c r="E126" s="427"/>
    </row>
    <row r="127" spans="2:5" ht="15.75" customHeight="1" x14ac:dyDescent="0.3">
      <c r="B127" s="427"/>
      <c r="E127" s="427"/>
    </row>
    <row r="128" spans="2:5" ht="15.75" customHeight="1" x14ac:dyDescent="0.3">
      <c r="B128" s="427"/>
      <c r="E128" s="427"/>
    </row>
    <row r="129" spans="2:5" ht="15.75" customHeight="1" x14ac:dyDescent="0.3">
      <c r="B129" s="427"/>
      <c r="E129" s="427"/>
    </row>
    <row r="130" spans="2:5" ht="15.75" customHeight="1" x14ac:dyDescent="0.3">
      <c r="B130" s="427"/>
      <c r="E130" s="427"/>
    </row>
    <row r="131" spans="2:5" ht="15.75" customHeight="1" x14ac:dyDescent="0.3">
      <c r="B131" s="427"/>
      <c r="E131" s="427"/>
    </row>
    <row r="132" spans="2:5" ht="15.75" customHeight="1" x14ac:dyDescent="0.3">
      <c r="B132" s="427"/>
      <c r="E132" s="427"/>
    </row>
    <row r="133" spans="2:5" ht="15.75" customHeight="1" x14ac:dyDescent="0.3">
      <c r="B133" s="427"/>
      <c r="E133" s="427"/>
    </row>
    <row r="134" spans="2:5" ht="15.75" customHeight="1" x14ac:dyDescent="0.3">
      <c r="B134" s="427"/>
      <c r="E134" s="427"/>
    </row>
    <row r="135" spans="2:5" ht="15.75" customHeight="1" x14ac:dyDescent="0.3">
      <c r="B135" s="427"/>
      <c r="E135" s="427"/>
    </row>
    <row r="136" spans="2:5" ht="15.75" customHeight="1" x14ac:dyDescent="0.3">
      <c r="B136" s="427"/>
      <c r="E136" s="427"/>
    </row>
    <row r="137" spans="2:5" ht="15.75" customHeight="1" x14ac:dyDescent="0.3">
      <c r="B137" s="427"/>
      <c r="E137" s="427"/>
    </row>
    <row r="138" spans="2:5" ht="15.75" customHeight="1" x14ac:dyDescent="0.3">
      <c r="B138" s="427"/>
      <c r="E138" s="427"/>
    </row>
    <row r="139" spans="2:5" ht="15.75" customHeight="1" x14ac:dyDescent="0.3">
      <c r="B139" s="427"/>
      <c r="E139" s="427"/>
    </row>
    <row r="140" spans="2:5" ht="15.75" customHeight="1" x14ac:dyDescent="0.3">
      <c r="B140" s="427"/>
      <c r="E140" s="427"/>
    </row>
    <row r="141" spans="2:5" ht="15.75" customHeight="1" x14ac:dyDescent="0.3">
      <c r="B141" s="427"/>
      <c r="E141" s="427"/>
    </row>
    <row r="142" spans="2:5" ht="15.75" customHeight="1" x14ac:dyDescent="0.3">
      <c r="B142" s="427"/>
      <c r="E142" s="427"/>
    </row>
    <row r="143" spans="2:5" ht="15.75" customHeight="1" x14ac:dyDescent="0.3">
      <c r="B143" s="427"/>
      <c r="E143" s="427"/>
    </row>
    <row r="144" spans="2:5" ht="15.75" customHeight="1" x14ac:dyDescent="0.3">
      <c r="B144" s="427"/>
      <c r="E144" s="427"/>
    </row>
    <row r="145" spans="2:5" ht="15.75" customHeight="1" x14ac:dyDescent="0.3">
      <c r="B145" s="427"/>
      <c r="E145" s="427"/>
    </row>
    <row r="146" spans="2:5" ht="15.75" customHeight="1" x14ac:dyDescent="0.3">
      <c r="B146" s="427"/>
      <c r="E146" s="427"/>
    </row>
    <row r="147" spans="2:5" ht="15.75" customHeight="1" x14ac:dyDescent="0.3">
      <c r="B147" s="427"/>
      <c r="E147" s="427"/>
    </row>
    <row r="148" spans="2:5" ht="15.75" customHeight="1" x14ac:dyDescent="0.3">
      <c r="B148" s="427"/>
      <c r="E148" s="427"/>
    </row>
    <row r="149" spans="2:5" ht="15.75" customHeight="1" x14ac:dyDescent="0.3">
      <c r="B149" s="427"/>
      <c r="E149" s="427"/>
    </row>
    <row r="150" spans="2:5" ht="15.75" customHeight="1" x14ac:dyDescent="0.3">
      <c r="B150" s="427"/>
      <c r="E150" s="427"/>
    </row>
    <row r="151" spans="2:5" ht="15.75" customHeight="1" x14ac:dyDescent="0.3">
      <c r="B151" s="427"/>
      <c r="E151" s="427"/>
    </row>
    <row r="152" spans="2:5" ht="15.75" customHeight="1" x14ac:dyDescent="0.3">
      <c r="B152" s="427"/>
      <c r="E152" s="427"/>
    </row>
    <row r="153" spans="2:5" ht="15.75" customHeight="1" x14ac:dyDescent="0.3">
      <c r="B153" s="427"/>
      <c r="E153" s="427"/>
    </row>
    <row r="154" spans="2:5" ht="15.75" customHeight="1" x14ac:dyDescent="0.3">
      <c r="B154" s="427"/>
      <c r="E154" s="427"/>
    </row>
    <row r="155" spans="2:5" ht="15.75" customHeight="1" x14ac:dyDescent="0.3">
      <c r="B155" s="427"/>
      <c r="E155" s="427"/>
    </row>
    <row r="156" spans="2:5" ht="15.75" customHeight="1" x14ac:dyDescent="0.3">
      <c r="B156" s="427"/>
      <c r="E156" s="427"/>
    </row>
    <row r="157" spans="2:5" ht="15.75" customHeight="1" x14ac:dyDescent="0.3">
      <c r="B157" s="427"/>
      <c r="E157" s="427"/>
    </row>
    <row r="158" spans="2:5" ht="15.75" customHeight="1" x14ac:dyDescent="0.3">
      <c r="B158" s="427"/>
      <c r="E158" s="427"/>
    </row>
    <row r="159" spans="2:5" ht="15.75" customHeight="1" x14ac:dyDescent="0.3">
      <c r="B159" s="427"/>
      <c r="E159" s="427"/>
    </row>
    <row r="160" spans="2:5" ht="15.75" customHeight="1" x14ac:dyDescent="0.3">
      <c r="B160" s="427"/>
      <c r="E160" s="427"/>
    </row>
    <row r="161" spans="2:5" ht="15.75" customHeight="1" x14ac:dyDescent="0.3">
      <c r="B161" s="427"/>
      <c r="E161" s="427"/>
    </row>
    <row r="162" spans="2:5" ht="15.75" customHeight="1" x14ac:dyDescent="0.3">
      <c r="B162" s="427"/>
      <c r="E162" s="427"/>
    </row>
    <row r="163" spans="2:5" ht="15.75" customHeight="1" x14ac:dyDescent="0.3">
      <c r="B163" s="427"/>
      <c r="E163" s="427"/>
    </row>
    <row r="164" spans="2:5" ht="15.75" customHeight="1" x14ac:dyDescent="0.3">
      <c r="B164" s="427"/>
      <c r="E164" s="427"/>
    </row>
    <row r="165" spans="2:5" ht="15.75" customHeight="1" x14ac:dyDescent="0.3">
      <c r="B165" s="427"/>
      <c r="E165" s="427"/>
    </row>
    <row r="166" spans="2:5" ht="15.75" customHeight="1" x14ac:dyDescent="0.3">
      <c r="B166" s="427"/>
      <c r="E166" s="427"/>
    </row>
    <row r="167" spans="2:5" ht="15.75" customHeight="1" x14ac:dyDescent="0.3">
      <c r="B167" s="427"/>
      <c r="E167" s="427"/>
    </row>
    <row r="168" spans="2:5" ht="15.75" customHeight="1" x14ac:dyDescent="0.3">
      <c r="B168" s="427"/>
      <c r="E168" s="427"/>
    </row>
    <row r="169" spans="2:5" ht="15.75" customHeight="1" x14ac:dyDescent="0.3">
      <c r="B169" s="427"/>
      <c r="E169" s="427"/>
    </row>
    <row r="170" spans="2:5" ht="15.75" customHeight="1" x14ac:dyDescent="0.3">
      <c r="B170" s="427"/>
      <c r="E170" s="427"/>
    </row>
    <row r="171" spans="2:5" ht="15.75" customHeight="1" x14ac:dyDescent="0.3">
      <c r="B171" s="427"/>
      <c r="E171" s="427"/>
    </row>
    <row r="172" spans="2:5" ht="15.75" customHeight="1" x14ac:dyDescent="0.3">
      <c r="B172" s="427"/>
      <c r="E172" s="427"/>
    </row>
    <row r="173" spans="2:5" ht="15.75" customHeight="1" x14ac:dyDescent="0.3">
      <c r="B173" s="427"/>
      <c r="E173" s="427"/>
    </row>
    <row r="174" spans="2:5" ht="15.75" customHeight="1" x14ac:dyDescent="0.3">
      <c r="B174" s="427"/>
      <c r="E174" s="427"/>
    </row>
    <row r="175" spans="2:5" ht="15.75" customHeight="1" x14ac:dyDescent="0.3">
      <c r="B175" s="427"/>
      <c r="E175" s="427"/>
    </row>
    <row r="176" spans="2:5" ht="15.75" customHeight="1" x14ac:dyDescent="0.3">
      <c r="B176" s="427"/>
      <c r="E176" s="427"/>
    </row>
    <row r="177" spans="2:5" ht="15.75" customHeight="1" x14ac:dyDescent="0.3">
      <c r="B177" s="427"/>
      <c r="E177" s="427"/>
    </row>
    <row r="178" spans="2:5" ht="15.75" customHeight="1" x14ac:dyDescent="0.3">
      <c r="B178" s="427"/>
      <c r="E178" s="427"/>
    </row>
    <row r="179" spans="2:5" ht="15.75" customHeight="1" x14ac:dyDescent="0.3">
      <c r="B179" s="427"/>
      <c r="E179" s="427"/>
    </row>
    <row r="180" spans="2:5" ht="15.75" customHeight="1" x14ac:dyDescent="0.3">
      <c r="B180" s="427"/>
      <c r="E180" s="427"/>
    </row>
    <row r="181" spans="2:5" ht="15.75" customHeight="1" x14ac:dyDescent="0.3">
      <c r="B181" s="427"/>
      <c r="E181" s="427"/>
    </row>
    <row r="182" spans="2:5" ht="15.75" customHeight="1" x14ac:dyDescent="0.3">
      <c r="B182" s="427"/>
      <c r="E182" s="427"/>
    </row>
    <row r="183" spans="2:5" ht="15.75" customHeight="1" x14ac:dyDescent="0.3">
      <c r="B183" s="427"/>
      <c r="E183" s="427"/>
    </row>
    <row r="184" spans="2:5" ht="15.75" customHeight="1" x14ac:dyDescent="0.3">
      <c r="B184" s="427"/>
      <c r="E184" s="427"/>
    </row>
    <row r="185" spans="2:5" ht="15.75" customHeight="1" x14ac:dyDescent="0.3">
      <c r="B185" s="427"/>
      <c r="E185" s="427"/>
    </row>
    <row r="186" spans="2:5" ht="15.75" customHeight="1" x14ac:dyDescent="0.3">
      <c r="B186" s="427"/>
      <c r="E186" s="427"/>
    </row>
    <row r="187" spans="2:5" ht="15.75" customHeight="1" x14ac:dyDescent="0.3">
      <c r="B187" s="427"/>
      <c r="E187" s="427"/>
    </row>
    <row r="188" spans="2:5" ht="15.75" customHeight="1" x14ac:dyDescent="0.3">
      <c r="B188" s="427"/>
      <c r="E188" s="427"/>
    </row>
    <row r="189" spans="2:5" ht="15.75" customHeight="1" x14ac:dyDescent="0.3">
      <c r="B189" s="427"/>
      <c r="E189" s="427"/>
    </row>
    <row r="190" spans="2:5" ht="15.75" customHeight="1" x14ac:dyDescent="0.3">
      <c r="B190" s="427"/>
      <c r="E190" s="427"/>
    </row>
    <row r="191" spans="2:5" ht="15.75" customHeight="1" x14ac:dyDescent="0.3">
      <c r="B191" s="427"/>
      <c r="E191" s="427"/>
    </row>
    <row r="192" spans="2:5" ht="15.75" customHeight="1" x14ac:dyDescent="0.3">
      <c r="B192" s="427"/>
      <c r="E192" s="427"/>
    </row>
    <row r="193" spans="2:5" ht="15.75" customHeight="1" x14ac:dyDescent="0.3">
      <c r="B193" s="427"/>
      <c r="E193" s="427"/>
    </row>
    <row r="194" spans="2:5" ht="15.75" customHeight="1" x14ac:dyDescent="0.3">
      <c r="B194" s="427"/>
      <c r="E194" s="427"/>
    </row>
    <row r="195" spans="2:5" ht="15.75" customHeight="1" x14ac:dyDescent="0.3">
      <c r="B195" s="427"/>
      <c r="E195" s="427"/>
    </row>
    <row r="196" spans="2:5" ht="15.75" customHeight="1" x14ac:dyDescent="0.3">
      <c r="B196" s="427"/>
      <c r="E196" s="427"/>
    </row>
    <row r="197" spans="2:5" ht="15.75" customHeight="1" x14ac:dyDescent="0.3">
      <c r="B197" s="427"/>
      <c r="E197" s="427"/>
    </row>
    <row r="198" spans="2:5" ht="15.75" customHeight="1" x14ac:dyDescent="0.3">
      <c r="B198" s="427"/>
      <c r="E198" s="427"/>
    </row>
    <row r="199" spans="2:5" ht="15.75" customHeight="1" x14ac:dyDescent="0.3">
      <c r="B199" s="427"/>
      <c r="E199" s="427"/>
    </row>
    <row r="200" spans="2:5" ht="15.75" customHeight="1" x14ac:dyDescent="0.3">
      <c r="B200" s="427"/>
      <c r="E200" s="427"/>
    </row>
    <row r="201" spans="2:5" ht="15.75" customHeight="1" x14ac:dyDescent="0.3">
      <c r="B201" s="427"/>
      <c r="E201" s="427"/>
    </row>
    <row r="202" spans="2:5" ht="15.75" customHeight="1" x14ac:dyDescent="0.3">
      <c r="B202" s="427"/>
      <c r="E202" s="427"/>
    </row>
    <row r="203" spans="2:5" ht="15.75" customHeight="1" x14ac:dyDescent="0.3">
      <c r="B203" s="427"/>
      <c r="E203" s="427"/>
    </row>
    <row r="204" spans="2:5" ht="15.75" customHeight="1" x14ac:dyDescent="0.3">
      <c r="B204" s="427"/>
      <c r="E204" s="427"/>
    </row>
    <row r="205" spans="2:5" ht="15.75" customHeight="1" x14ac:dyDescent="0.3">
      <c r="B205" s="427"/>
      <c r="E205" s="427"/>
    </row>
    <row r="206" spans="2:5" ht="15.75" customHeight="1" x14ac:dyDescent="0.3">
      <c r="B206" s="427"/>
      <c r="E206" s="427"/>
    </row>
    <row r="207" spans="2:5" ht="15.75" customHeight="1" x14ac:dyDescent="0.3">
      <c r="B207" s="427"/>
      <c r="E207" s="427"/>
    </row>
    <row r="208" spans="2:5" ht="15.75" customHeight="1" x14ac:dyDescent="0.3">
      <c r="B208" s="427"/>
      <c r="E208" s="427"/>
    </row>
    <row r="209" spans="2:5" ht="15.75" customHeight="1" x14ac:dyDescent="0.3">
      <c r="B209" s="427"/>
      <c r="E209" s="427"/>
    </row>
    <row r="210" spans="2:5" ht="15.75" customHeight="1" x14ac:dyDescent="0.3">
      <c r="B210" s="427"/>
      <c r="E210" s="427"/>
    </row>
    <row r="211" spans="2:5" ht="15.75" customHeight="1" x14ac:dyDescent="0.3">
      <c r="B211" s="427"/>
      <c r="E211" s="427"/>
    </row>
    <row r="212" spans="2:5" ht="15.75" customHeight="1" x14ac:dyDescent="0.3">
      <c r="B212" s="427"/>
      <c r="E212" s="427"/>
    </row>
    <row r="213" spans="2:5" ht="15.75" customHeight="1" x14ac:dyDescent="0.3">
      <c r="B213" s="427"/>
      <c r="E213" s="427"/>
    </row>
    <row r="214" spans="2:5" ht="15.75" customHeight="1" x14ac:dyDescent="0.3">
      <c r="B214" s="427"/>
      <c r="E214" s="427"/>
    </row>
    <row r="215" spans="2:5" ht="15.75" customHeight="1" x14ac:dyDescent="0.3">
      <c r="B215" s="427"/>
      <c r="E215" s="427"/>
    </row>
    <row r="216" spans="2:5" ht="15.75" customHeight="1" x14ac:dyDescent="0.3">
      <c r="B216" s="427"/>
      <c r="E216" s="427"/>
    </row>
    <row r="217" spans="2:5" ht="15.75" customHeight="1" x14ac:dyDescent="0.3">
      <c r="B217" s="427"/>
      <c r="E217" s="427"/>
    </row>
    <row r="218" spans="2:5" ht="15.75" customHeight="1" x14ac:dyDescent="0.3">
      <c r="B218" s="427"/>
      <c r="E218" s="427"/>
    </row>
    <row r="219" spans="2:5" ht="15.75" customHeight="1" x14ac:dyDescent="0.3">
      <c r="B219" s="427"/>
      <c r="E219" s="427"/>
    </row>
    <row r="220" spans="2:5" ht="15.75" customHeight="1" x14ac:dyDescent="0.3">
      <c r="B220" s="427"/>
      <c r="E220" s="427"/>
    </row>
    <row r="221" spans="2:5" ht="15.75" customHeight="1" x14ac:dyDescent="0.3">
      <c r="B221" s="427"/>
      <c r="E221" s="427"/>
    </row>
    <row r="222" spans="2:5" ht="15.75" customHeight="1" x14ac:dyDescent="0.3">
      <c r="B222" s="427"/>
      <c r="E222" s="427"/>
    </row>
    <row r="223" spans="2:5" ht="15.75" customHeight="1" x14ac:dyDescent="0.3">
      <c r="B223" s="427"/>
      <c r="E223" s="427"/>
    </row>
    <row r="224" spans="2:5" ht="15.75" customHeight="1" x14ac:dyDescent="0.3">
      <c r="B224" s="427"/>
      <c r="E224" s="427"/>
    </row>
    <row r="225" spans="2:5" ht="15.75" customHeight="1" x14ac:dyDescent="0.3">
      <c r="B225" s="427"/>
      <c r="E225" s="427"/>
    </row>
    <row r="226" spans="2:5" ht="15.75" customHeight="1" x14ac:dyDescent="0.3">
      <c r="B226" s="427"/>
      <c r="E226" s="427"/>
    </row>
    <row r="227" spans="2:5" ht="15.75" customHeight="1" x14ac:dyDescent="0.3">
      <c r="B227" s="427"/>
      <c r="E227" s="427"/>
    </row>
    <row r="228" spans="2:5" ht="15.75" customHeight="1" x14ac:dyDescent="0.3">
      <c r="B228" s="427"/>
      <c r="E228" s="427"/>
    </row>
    <row r="229" spans="2:5" ht="15.75" customHeight="1" x14ac:dyDescent="0.3">
      <c r="B229" s="427"/>
      <c r="E229" s="427"/>
    </row>
    <row r="230" spans="2:5" ht="15.75" customHeight="1" x14ac:dyDescent="0.3">
      <c r="B230" s="427"/>
      <c r="E230" s="427"/>
    </row>
    <row r="231" spans="2:5" ht="15.75" customHeight="1" x14ac:dyDescent="0.3">
      <c r="B231" s="427"/>
      <c r="E231" s="427"/>
    </row>
    <row r="232" spans="2:5" ht="15.75" customHeight="1" x14ac:dyDescent="0.3">
      <c r="B232" s="427"/>
      <c r="E232" s="427"/>
    </row>
    <row r="233" spans="2:5" ht="15.75" customHeight="1" x14ac:dyDescent="0.3">
      <c r="B233" s="427"/>
      <c r="E233" s="427"/>
    </row>
    <row r="234" spans="2:5" ht="15.75" customHeight="1" x14ac:dyDescent="0.3">
      <c r="B234" s="427"/>
      <c r="E234" s="427"/>
    </row>
    <row r="235" spans="2:5" ht="15.75" customHeight="1" x14ac:dyDescent="0.3">
      <c r="B235" s="427"/>
      <c r="E235" s="427"/>
    </row>
    <row r="236" spans="2:5" ht="15.75" customHeight="1" x14ac:dyDescent="0.3">
      <c r="B236" s="427"/>
      <c r="E236" s="427"/>
    </row>
    <row r="237" spans="2:5" ht="15.75" customHeight="1" x14ac:dyDescent="0.3">
      <c r="B237" s="427"/>
      <c r="E237" s="427"/>
    </row>
    <row r="238" spans="2:5" ht="15.75" customHeight="1" x14ac:dyDescent="0.3">
      <c r="B238" s="427"/>
      <c r="E238" s="427"/>
    </row>
    <row r="239" spans="2:5" ht="15.75" customHeight="1" x14ac:dyDescent="0.3">
      <c r="B239" s="427"/>
      <c r="E239" s="427"/>
    </row>
    <row r="240" spans="2:5" ht="15.75" customHeight="1" x14ac:dyDescent="0.3">
      <c r="B240" s="427"/>
      <c r="E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523DA-68CB-4D8B-AC68-AB5B495DC3F0}">
  <dimension ref="A1:Z884"/>
  <sheetViews>
    <sheetView zoomScale="90" zoomScaleNormal="90" workbookViewId="0">
      <selection activeCell="F22" sqref="F22"/>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26" ht="23.25" customHeight="1" x14ac:dyDescent="0.35">
      <c r="A1" s="513"/>
      <c r="B1" s="514" t="s">
        <v>2354</v>
      </c>
    </row>
    <row r="2" spans="1:26"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26" ht="15.75" customHeight="1" x14ac:dyDescent="0.3">
      <c r="B3" s="516"/>
    </row>
    <row r="4" spans="1:26" ht="15.75" customHeight="1" x14ac:dyDescent="0.3"/>
    <row r="5" spans="1:26" ht="15.75" customHeight="1" x14ac:dyDescent="0.3"/>
    <row r="6" spans="1:26" ht="21" customHeight="1" x14ac:dyDescent="0.3">
      <c r="B6" s="519" t="s">
        <v>409</v>
      </c>
    </row>
    <row r="7" spans="1:26" ht="9" customHeight="1" x14ac:dyDescent="0.3">
      <c r="B7" s="519"/>
    </row>
    <row r="8" spans="1:26" ht="21" customHeight="1" x14ac:dyDescent="0.3">
      <c r="B8" s="517" t="s">
        <v>410</v>
      </c>
      <c r="C8" s="518"/>
      <c r="D8" s="518"/>
    </row>
    <row r="9" spans="1:26" ht="12" customHeight="1" x14ac:dyDescent="0.3"/>
    <row r="10" spans="1:26" ht="15.75" customHeight="1" x14ac:dyDescent="0.3">
      <c r="B10" s="521" t="s">
        <v>301</v>
      </c>
      <c r="C10" s="522" t="s">
        <v>343</v>
      </c>
      <c r="D10" s="523" t="s">
        <v>344</v>
      </c>
      <c r="E10" s="523" t="s">
        <v>345</v>
      </c>
      <c r="F10" s="523" t="s">
        <v>346</v>
      </c>
      <c r="G10" s="524" t="s">
        <v>347</v>
      </c>
      <c r="H10" s="525">
        <v>2025</v>
      </c>
      <c r="I10" s="525">
        <v>2024</v>
      </c>
      <c r="J10" s="525">
        <v>2023</v>
      </c>
      <c r="K10" s="525">
        <v>2022</v>
      </c>
      <c r="L10" s="525">
        <v>2021</v>
      </c>
      <c r="M10" s="525">
        <v>2020</v>
      </c>
      <c r="N10" s="525">
        <v>2019</v>
      </c>
      <c r="O10" s="526">
        <v>2018</v>
      </c>
      <c r="P10" s="526">
        <v>2017</v>
      </c>
      <c r="Q10" s="526">
        <v>2016</v>
      </c>
      <c r="R10" s="526">
        <v>2015</v>
      </c>
      <c r="S10" s="526">
        <v>2014</v>
      </c>
      <c r="T10" s="526">
        <v>2013</v>
      </c>
      <c r="U10" s="526">
        <v>2012</v>
      </c>
      <c r="V10" s="526">
        <v>2011</v>
      </c>
      <c r="W10" s="526">
        <v>2010</v>
      </c>
      <c r="X10" s="526">
        <v>2009</v>
      </c>
      <c r="Y10" s="526">
        <v>2008</v>
      </c>
      <c r="Z10" s="527" t="s">
        <v>332</v>
      </c>
    </row>
    <row r="11" spans="1:26" ht="24" customHeight="1" x14ac:dyDescent="0.3">
      <c r="B11" s="529">
        <v>1</v>
      </c>
      <c r="C11" s="530" t="s">
        <v>348</v>
      </c>
      <c r="D11" s="531" t="s">
        <v>552</v>
      </c>
      <c r="E11" s="532" t="s">
        <v>363</v>
      </c>
      <c r="F11" s="531" t="s">
        <v>553</v>
      </c>
      <c r="G11" s="534">
        <v>2015</v>
      </c>
      <c r="H11" s="635"/>
      <c r="I11" s="536">
        <f>393010/1000</f>
        <v>393.01</v>
      </c>
      <c r="J11" s="1087">
        <f>379310/1000</f>
        <v>379.31</v>
      </c>
      <c r="K11" s="1087">
        <v>359.22</v>
      </c>
      <c r="L11" s="1087">
        <v>325.58</v>
      </c>
      <c r="M11" s="1087">
        <v>349.32499999999999</v>
      </c>
      <c r="N11" s="1087">
        <v>323.31</v>
      </c>
      <c r="O11" s="1087">
        <v>271.52</v>
      </c>
      <c r="P11" s="540">
        <v>249.7</v>
      </c>
      <c r="Q11" s="540">
        <v>270.7</v>
      </c>
      <c r="R11" s="540">
        <v>143.19</v>
      </c>
      <c r="S11" s="535"/>
      <c r="T11" s="535"/>
      <c r="U11" s="542"/>
      <c r="V11" s="535"/>
      <c r="W11" s="542"/>
      <c r="X11" s="535"/>
      <c r="Y11" s="542"/>
      <c r="Z11" s="535"/>
    </row>
    <row r="12" spans="1:26" ht="24" customHeight="1" x14ac:dyDescent="0.3">
      <c r="B12" s="529"/>
      <c r="C12" s="453"/>
      <c r="D12" s="453"/>
      <c r="E12" s="543"/>
      <c r="F12" s="453"/>
      <c r="G12" s="479"/>
      <c r="H12" s="638"/>
      <c r="I12" s="638"/>
      <c r="J12" s="545"/>
      <c r="K12" s="544"/>
      <c r="L12" s="544"/>
      <c r="M12" s="544"/>
      <c r="N12" s="544"/>
      <c r="O12" s="544"/>
      <c r="P12" s="544"/>
      <c r="Q12" s="544"/>
      <c r="R12" s="544"/>
      <c r="S12" s="544"/>
      <c r="T12" s="544"/>
      <c r="U12" s="548"/>
      <c r="V12" s="544"/>
      <c r="W12" s="548"/>
      <c r="X12" s="544"/>
      <c r="Y12" s="548"/>
      <c r="Z12" s="544"/>
    </row>
    <row r="13" spans="1:26" ht="24" customHeight="1" x14ac:dyDescent="0.3">
      <c r="B13" s="529"/>
      <c r="C13" s="531"/>
      <c r="D13" s="531"/>
      <c r="E13" s="532"/>
      <c r="F13" s="531"/>
      <c r="G13" s="639"/>
      <c r="H13" s="640"/>
      <c r="I13" s="640"/>
      <c r="J13" s="550"/>
      <c r="K13" s="550"/>
      <c r="L13" s="550"/>
      <c r="M13" s="550"/>
      <c r="N13" s="550"/>
      <c r="O13" s="550"/>
      <c r="P13" s="550"/>
      <c r="Q13" s="550"/>
      <c r="R13" s="550"/>
      <c r="S13" s="550"/>
      <c r="T13" s="550"/>
      <c r="U13" s="542"/>
      <c r="V13" s="550"/>
      <c r="W13" s="542"/>
      <c r="X13" s="550"/>
      <c r="Y13" s="542"/>
      <c r="Z13" s="550"/>
    </row>
    <row r="14" spans="1:26" ht="24" customHeight="1" x14ac:dyDescent="0.3">
      <c r="B14" s="552"/>
      <c r="C14" s="462"/>
      <c r="D14" s="462"/>
      <c r="E14" s="553"/>
      <c r="F14" s="462"/>
      <c r="G14" s="645"/>
      <c r="H14" s="646"/>
      <c r="I14" s="646"/>
      <c r="J14" s="556"/>
      <c r="K14" s="556"/>
      <c r="L14" s="556"/>
      <c r="M14" s="556"/>
      <c r="N14" s="556"/>
      <c r="O14" s="556"/>
      <c r="P14" s="556"/>
      <c r="Q14" s="556"/>
      <c r="R14" s="556"/>
      <c r="S14" s="556"/>
      <c r="T14" s="556"/>
      <c r="U14" s="557"/>
      <c r="V14" s="556"/>
      <c r="W14" s="557"/>
      <c r="X14" s="556"/>
      <c r="Y14" s="557"/>
      <c r="Z14" s="556"/>
    </row>
    <row r="15" spans="1:26" ht="15.75" customHeight="1" x14ac:dyDescent="0.3"/>
    <row r="16" spans="1:26" ht="15.75" customHeight="1" x14ac:dyDescent="0.3">
      <c r="B16" s="560" t="s">
        <v>355</v>
      </c>
      <c r="C16" s="561" t="s">
        <v>356</v>
      </c>
    </row>
    <row r="17" spans="2:3" ht="15.75" customHeight="1" x14ac:dyDescent="0.3"/>
    <row r="18" spans="2:3" ht="15.75" customHeight="1" x14ac:dyDescent="0.3">
      <c r="B18" s="4383" t="s">
        <v>357</v>
      </c>
      <c r="C18" s="4384"/>
    </row>
    <row r="19" spans="2:3" ht="15.75" customHeight="1" x14ac:dyDescent="0.3">
      <c r="B19" s="562" t="s">
        <v>301</v>
      </c>
    </row>
    <row r="20" spans="2:3" ht="15.75" customHeight="1" x14ac:dyDescent="0.3">
      <c r="B20" s="562" t="s">
        <v>301</v>
      </c>
    </row>
    <row r="21" spans="2:3" ht="15.75" customHeight="1" x14ac:dyDescent="0.3"/>
    <row r="22" spans="2:3" ht="15.75" customHeight="1" x14ac:dyDescent="0.3"/>
    <row r="23" spans="2:3" ht="15.75" customHeight="1" x14ac:dyDescent="0.3"/>
    <row r="24" spans="2:3" ht="15.75" customHeight="1" x14ac:dyDescent="0.3"/>
    <row r="25" spans="2:3" ht="15.75" customHeight="1" x14ac:dyDescent="0.3"/>
    <row r="26" spans="2:3" ht="15.75" customHeight="1" x14ac:dyDescent="0.3"/>
    <row r="27" spans="2:3" ht="15.75" customHeight="1" x14ac:dyDescent="0.3"/>
    <row r="28" spans="2:3" ht="15.75" customHeight="1" x14ac:dyDescent="0.3"/>
    <row r="29" spans="2:3" ht="15.75" customHeight="1" x14ac:dyDescent="0.3"/>
    <row r="30" spans="2:3" ht="15.75" customHeight="1" x14ac:dyDescent="0.3"/>
    <row r="31" spans="2:3" ht="15.75" customHeight="1" x14ac:dyDescent="0.3"/>
    <row r="32" spans="2: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sheetData>
  <mergeCells count="1">
    <mergeCell ref="B18:C18"/>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A87A-D264-44A0-BDCF-DD15A5B47EDC}">
  <dimension ref="A1:G986"/>
  <sheetViews>
    <sheetView topLeftCell="A17" workbookViewId="0">
      <selection activeCell="D29" sqref="D29"/>
    </sheetView>
  </sheetViews>
  <sheetFormatPr defaultColWidth="12.44140625" defaultRowHeight="15" customHeight="1" x14ac:dyDescent="0.3"/>
  <cols>
    <col min="1" max="1" width="2.6640625" style="428" customWidth="1"/>
    <col min="2" max="2" width="3.33203125" style="428" customWidth="1"/>
    <col min="3" max="3" width="34" style="428" customWidth="1"/>
    <col min="4" max="4" width="20.77734375" style="428" customWidth="1"/>
    <col min="5" max="5" width="1.5546875" style="428" customWidth="1"/>
    <col min="6" max="6" width="15.21875" style="428" customWidth="1"/>
    <col min="7" max="7" width="11.6640625" style="428" customWidth="1"/>
    <col min="8" max="16384" width="12.44140625" style="428"/>
  </cols>
  <sheetData>
    <row r="1" spans="1:7" ht="21.75" customHeight="1" x14ac:dyDescent="0.35">
      <c r="A1" s="424"/>
      <c r="B1" s="425" t="s">
        <v>549</v>
      </c>
      <c r="E1" s="427"/>
    </row>
    <row r="2" spans="1:7" ht="15.75" customHeight="1" x14ac:dyDescent="0.3">
      <c r="A2" s="424"/>
      <c r="B2" s="429" t="s">
        <v>299</v>
      </c>
      <c r="C2" s="430"/>
      <c r="D2" s="430"/>
      <c r="E2" s="430"/>
      <c r="F2" s="430"/>
    </row>
    <row r="3" spans="1:7" ht="9.75" customHeight="1" x14ac:dyDescent="0.3">
      <c r="A3" s="427"/>
      <c r="B3" s="427"/>
      <c r="E3" s="427"/>
    </row>
    <row r="4" spans="1:7" ht="6" customHeight="1" x14ac:dyDescent="0.3">
      <c r="B4" s="427"/>
      <c r="E4" s="427"/>
    </row>
    <row r="5" spans="1:7" ht="6" customHeight="1" x14ac:dyDescent="0.3">
      <c r="A5" s="431"/>
      <c r="B5" s="427"/>
      <c r="E5" s="427"/>
    </row>
    <row r="6" spans="1:7" ht="15.75" customHeight="1" x14ac:dyDescent="0.3">
      <c r="B6" s="427"/>
      <c r="E6" s="427"/>
    </row>
    <row r="7" spans="1:7" ht="37.200000000000003" customHeight="1" x14ac:dyDescent="0.3">
      <c r="A7" s="432"/>
      <c r="B7" s="432"/>
      <c r="C7" s="433">
        <v>2024</v>
      </c>
      <c r="D7" s="1088" t="s">
        <v>23</v>
      </c>
      <c r="E7" s="609"/>
      <c r="F7" s="435" t="s">
        <v>300</v>
      </c>
      <c r="G7" s="432"/>
    </row>
    <row r="8" spans="1:7" ht="18" customHeight="1" x14ac:dyDescent="0.35">
      <c r="B8" s="427"/>
      <c r="C8" s="436" t="s">
        <v>301</v>
      </c>
      <c r="D8" s="648">
        <v>1</v>
      </c>
      <c r="E8" s="610"/>
      <c r="F8" s="438"/>
    </row>
    <row r="9" spans="1:7" ht="46.5" customHeight="1" x14ac:dyDescent="0.3">
      <c r="B9" s="443"/>
      <c r="C9" s="439" t="s">
        <v>302</v>
      </c>
      <c r="D9" s="573" t="s">
        <v>554</v>
      </c>
      <c r="E9" s="611"/>
      <c r="F9" s="442"/>
    </row>
    <row r="10" spans="1:7" ht="46.5" customHeight="1" x14ac:dyDescent="0.3">
      <c r="B10" s="443"/>
      <c r="C10" s="444" t="s">
        <v>304</v>
      </c>
      <c r="D10" s="445" t="s">
        <v>555</v>
      </c>
      <c r="E10" s="612"/>
      <c r="F10" s="446"/>
    </row>
    <row r="11" spans="1:7" ht="18.75" customHeight="1" x14ac:dyDescent="0.3">
      <c r="A11" s="447"/>
      <c r="B11" s="452"/>
      <c r="C11" s="448" t="s">
        <v>306</v>
      </c>
      <c r="D11" s="1089">
        <f>(D17*D18)</f>
        <v>843.3382214048728</v>
      </c>
      <c r="E11" s="614"/>
      <c r="F11" s="451">
        <f>SUM(D11:D11)</f>
        <v>843.3382214048728</v>
      </c>
      <c r="G11" s="447"/>
    </row>
    <row r="12" spans="1:7" ht="18.75" customHeight="1" x14ac:dyDescent="0.3">
      <c r="A12" s="447"/>
      <c r="B12" s="457"/>
      <c r="C12" s="453" t="s">
        <v>307</v>
      </c>
      <c r="D12" s="577">
        <f>(D22*D23)</f>
        <v>0</v>
      </c>
      <c r="E12" s="614"/>
      <c r="F12" s="456">
        <f>SUM(D12:D12)</f>
        <v>0</v>
      </c>
      <c r="G12" s="447"/>
    </row>
    <row r="13" spans="1:7" ht="18.75" customHeight="1" x14ac:dyDescent="0.3">
      <c r="A13" s="447"/>
      <c r="B13" s="461"/>
      <c r="C13" s="448" t="s">
        <v>308</v>
      </c>
      <c r="D13" s="654" t="s">
        <v>8</v>
      </c>
      <c r="E13" s="615"/>
      <c r="F13" s="460"/>
      <c r="G13" s="447"/>
    </row>
    <row r="14" spans="1:7" ht="18.75" customHeight="1" x14ac:dyDescent="0.3">
      <c r="A14" s="447"/>
      <c r="B14" s="457"/>
      <c r="C14" s="462" t="s">
        <v>309</v>
      </c>
      <c r="D14" s="655">
        <f t="shared" ref="D14" si="0">D11-D12</f>
        <v>843.3382214048728</v>
      </c>
      <c r="E14" s="614"/>
      <c r="F14" s="464">
        <f>SUM(D14:D14)</f>
        <v>843.3382214048728</v>
      </c>
      <c r="G14" s="447"/>
    </row>
    <row r="15" spans="1:7" ht="19.5" customHeight="1" x14ac:dyDescent="0.4">
      <c r="B15" s="467"/>
      <c r="C15" s="616" t="s">
        <v>395</v>
      </c>
      <c r="D15" s="659"/>
      <c r="E15" s="618"/>
      <c r="F15" s="468"/>
      <c r="G15" s="427"/>
    </row>
    <row r="16" spans="1:7" ht="35.4" customHeight="1" x14ac:dyDescent="0.3">
      <c r="A16" s="447"/>
      <c r="B16" s="457"/>
      <c r="C16" s="469" t="s">
        <v>311</v>
      </c>
      <c r="D16" s="601" t="s">
        <v>556</v>
      </c>
      <c r="E16" s="619"/>
      <c r="F16" s="620"/>
      <c r="G16" s="447"/>
    </row>
    <row r="17" spans="1:7" ht="21" customHeight="1" x14ac:dyDescent="0.3">
      <c r="A17" s="447"/>
      <c r="B17" s="475"/>
      <c r="C17" s="472" t="s">
        <v>398</v>
      </c>
      <c r="D17" s="662">
        <f>'CF-0121|GDS'!I9</f>
        <v>211.39000000000001</v>
      </c>
      <c r="E17" s="622"/>
      <c r="F17" s="623"/>
      <c r="G17" s="447"/>
    </row>
    <row r="18" spans="1:7" ht="18.75" customHeight="1" x14ac:dyDescent="0.3">
      <c r="A18" s="447"/>
      <c r="B18" s="479"/>
      <c r="C18" s="476" t="s">
        <v>314</v>
      </c>
      <c r="D18" s="584">
        <v>3.989489670300737</v>
      </c>
      <c r="E18" s="614"/>
      <c r="F18" s="491"/>
      <c r="G18" s="447"/>
    </row>
    <row r="19" spans="1:7" ht="19.5" customHeight="1" x14ac:dyDescent="0.3">
      <c r="A19" s="447"/>
      <c r="B19" s="479"/>
      <c r="C19" s="480" t="s">
        <v>315</v>
      </c>
      <c r="D19" s="664">
        <f>D17*D18</f>
        <v>843.3382214048728</v>
      </c>
      <c r="E19" s="614"/>
      <c r="F19" s="494"/>
      <c r="G19" s="447"/>
    </row>
    <row r="20" spans="1:7" ht="21" customHeight="1" x14ac:dyDescent="0.4">
      <c r="B20" s="483"/>
      <c r="C20" s="465" t="s">
        <v>316</v>
      </c>
      <c r="D20" s="665"/>
      <c r="E20" s="618"/>
      <c r="F20" s="495"/>
    </row>
    <row r="21" spans="1:7" ht="32.4" customHeight="1" x14ac:dyDescent="0.3">
      <c r="A21" s="447"/>
      <c r="B21" s="479"/>
      <c r="C21" s="469" t="s">
        <v>183</v>
      </c>
      <c r="D21" s="601" t="s">
        <v>557</v>
      </c>
      <c r="E21" s="614"/>
      <c r="F21" s="496"/>
      <c r="G21" s="447"/>
    </row>
    <row r="22" spans="1:7" ht="21" customHeight="1" x14ac:dyDescent="0.3">
      <c r="A22" s="447"/>
      <c r="B22" s="479"/>
      <c r="C22" s="486" t="s">
        <v>398</v>
      </c>
      <c r="D22" s="666">
        <f>D17</f>
        <v>211.39000000000001</v>
      </c>
      <c r="E22" s="622"/>
      <c r="F22" s="623"/>
      <c r="G22" s="447"/>
    </row>
    <row r="23" spans="1:7" ht="21" customHeight="1" x14ac:dyDescent="0.3">
      <c r="A23" s="447"/>
      <c r="B23" s="479"/>
      <c r="C23" s="489" t="s">
        <v>314</v>
      </c>
      <c r="D23" s="590">
        <v>0</v>
      </c>
      <c r="E23" s="614"/>
      <c r="F23" s="491"/>
      <c r="G23" s="447"/>
    </row>
    <row r="24" spans="1:7" ht="21" customHeight="1" x14ac:dyDescent="0.3">
      <c r="A24" s="447"/>
      <c r="B24" s="479"/>
      <c r="C24" s="492" t="s">
        <v>315</v>
      </c>
      <c r="D24" s="668">
        <f t="shared" ref="D24" si="1">D22*D23</f>
        <v>0</v>
      </c>
      <c r="E24" s="614"/>
      <c r="F24" s="494"/>
      <c r="G24" s="447"/>
    </row>
    <row r="25" spans="1:7" ht="28.5" customHeight="1" x14ac:dyDescent="0.3">
      <c r="A25" s="447"/>
      <c r="B25" s="500"/>
      <c r="C25" s="498" t="s">
        <v>320</v>
      </c>
      <c r="D25" s="626" t="s">
        <v>401</v>
      </c>
      <c r="E25" s="614"/>
      <c r="F25" s="496"/>
      <c r="G25" s="447"/>
    </row>
    <row r="26" spans="1:7" ht="24" customHeight="1" x14ac:dyDescent="0.3">
      <c r="B26" s="504"/>
      <c r="C26" s="502" t="s">
        <v>322</v>
      </c>
      <c r="D26" s="674">
        <v>13</v>
      </c>
      <c r="E26" s="618"/>
      <c r="F26" s="495"/>
    </row>
    <row r="27" spans="1:7" ht="33" customHeight="1" x14ac:dyDescent="0.3">
      <c r="A27" s="447"/>
      <c r="B27" s="479"/>
      <c r="C27" s="506" t="s">
        <v>323</v>
      </c>
      <c r="D27" s="496" t="s">
        <v>324</v>
      </c>
      <c r="E27" s="614"/>
      <c r="F27" s="496"/>
      <c r="G27" s="447"/>
    </row>
    <row r="28" spans="1:7" ht="33" customHeight="1" x14ac:dyDescent="0.3">
      <c r="A28" s="447"/>
      <c r="B28" s="479"/>
      <c r="C28" s="508" t="s">
        <v>325</v>
      </c>
      <c r="D28" s="674" t="s">
        <v>326</v>
      </c>
      <c r="E28" s="614"/>
      <c r="F28" s="496"/>
      <c r="G28" s="447"/>
    </row>
    <row r="29" spans="1:7" ht="33" customHeight="1" x14ac:dyDescent="0.3">
      <c r="A29" s="447"/>
      <c r="B29" s="479"/>
      <c r="C29" s="506" t="s">
        <v>327</v>
      </c>
      <c r="D29" s="595" t="s">
        <v>402</v>
      </c>
      <c r="E29" s="614"/>
      <c r="F29" s="496"/>
      <c r="G29" s="447"/>
    </row>
    <row r="30" spans="1:7" ht="21" customHeight="1" x14ac:dyDescent="0.3">
      <c r="B30" s="467"/>
      <c r="C30" s="510" t="s">
        <v>329</v>
      </c>
      <c r="D30" s="596">
        <v>1</v>
      </c>
      <c r="E30" s="618"/>
      <c r="F30" s="467"/>
    </row>
    <row r="31" spans="1:7" ht="21" customHeight="1" x14ac:dyDescent="0.3">
      <c r="B31" s="483"/>
      <c r="C31" s="453" t="s">
        <v>330</v>
      </c>
      <c r="D31" s="496" t="s">
        <v>324</v>
      </c>
      <c r="E31" s="618"/>
      <c r="F31" s="495"/>
    </row>
    <row r="32" spans="1:7" ht="21" customHeight="1" x14ac:dyDescent="0.3">
      <c r="B32" s="483"/>
      <c r="C32" s="510" t="s">
        <v>331</v>
      </c>
      <c r="D32" s="674" t="s">
        <v>324</v>
      </c>
      <c r="E32" s="618"/>
      <c r="F32" s="495"/>
    </row>
    <row r="33" spans="2:6" ht="21" customHeight="1" x14ac:dyDescent="0.3">
      <c r="B33" s="483"/>
      <c r="C33" s="462" t="s">
        <v>332</v>
      </c>
      <c r="D33" s="675" t="s">
        <v>333</v>
      </c>
      <c r="E33" s="618"/>
      <c r="F33" s="495"/>
    </row>
    <row r="34" spans="2:6" ht="15.75" customHeight="1" x14ac:dyDescent="0.3">
      <c r="B34" s="483"/>
      <c r="C34" s="427"/>
      <c r="E34" s="427"/>
      <c r="F34" s="427"/>
    </row>
    <row r="35" spans="2:6" ht="15.75" customHeight="1" x14ac:dyDescent="0.3">
      <c r="B35" s="483"/>
      <c r="E35" s="427"/>
      <c r="F35" s="427"/>
    </row>
    <row r="36" spans="2:6" ht="15.75" customHeight="1" x14ac:dyDescent="0.3">
      <c r="B36" s="483"/>
      <c r="E36" s="427"/>
      <c r="F36" s="427"/>
    </row>
    <row r="37" spans="2:6" ht="15.75" customHeight="1" x14ac:dyDescent="0.3">
      <c r="B37" s="483"/>
      <c r="E37" s="427"/>
      <c r="F37" s="427"/>
    </row>
    <row r="38" spans="2:6" ht="15.75" customHeight="1" x14ac:dyDescent="0.3">
      <c r="B38" s="483"/>
      <c r="E38" s="427"/>
      <c r="F38" s="427"/>
    </row>
    <row r="39" spans="2:6" ht="15.75" customHeight="1" x14ac:dyDescent="0.3">
      <c r="B39" s="427"/>
      <c r="E39" s="427"/>
      <c r="F39" s="427"/>
    </row>
    <row r="40" spans="2:6" ht="15.75" customHeight="1" x14ac:dyDescent="0.3">
      <c r="B40" s="427"/>
      <c r="E40" s="427"/>
      <c r="F40" s="427"/>
    </row>
    <row r="41" spans="2:6" ht="15.75" customHeight="1" x14ac:dyDescent="0.3">
      <c r="B41" s="427"/>
      <c r="E41" s="427"/>
      <c r="F41" s="427"/>
    </row>
    <row r="42" spans="2:6" ht="15.75" customHeight="1" x14ac:dyDescent="0.3">
      <c r="B42" s="427"/>
      <c r="E42" s="427"/>
      <c r="F42" s="427"/>
    </row>
    <row r="43" spans="2:6" ht="15.75" customHeight="1" x14ac:dyDescent="0.3">
      <c r="B43" s="427"/>
      <c r="E43" s="427"/>
      <c r="F43" s="427"/>
    </row>
    <row r="44" spans="2:6" ht="15.75" customHeight="1" x14ac:dyDescent="0.3">
      <c r="B44" s="427"/>
      <c r="E44" s="427"/>
    </row>
    <row r="45" spans="2:6" ht="15.75" customHeight="1" x14ac:dyDescent="0.3">
      <c r="B45" s="427"/>
      <c r="E45" s="427"/>
    </row>
    <row r="46" spans="2:6" ht="15.75" customHeight="1" x14ac:dyDescent="0.3">
      <c r="B46" s="427"/>
      <c r="E46" s="427"/>
    </row>
    <row r="47" spans="2:6" ht="15.75" customHeight="1" x14ac:dyDescent="0.3">
      <c r="B47" s="427"/>
      <c r="E47" s="427"/>
    </row>
    <row r="48" spans="2:6" ht="15.75" customHeight="1" x14ac:dyDescent="0.3">
      <c r="B48" s="427"/>
      <c r="E48" s="427"/>
    </row>
    <row r="49" spans="2:5" ht="15.75" customHeight="1" x14ac:dyDescent="0.3">
      <c r="B49" s="427"/>
      <c r="E49" s="427"/>
    </row>
    <row r="50" spans="2:5" ht="15.75" customHeight="1" x14ac:dyDescent="0.3">
      <c r="B50" s="427"/>
      <c r="E50" s="427"/>
    </row>
    <row r="51" spans="2:5" ht="15.75" customHeight="1" x14ac:dyDescent="0.3">
      <c r="B51" s="427"/>
      <c r="E51" s="427"/>
    </row>
    <row r="52" spans="2:5" ht="15.75" customHeight="1" x14ac:dyDescent="0.3">
      <c r="B52" s="427"/>
      <c r="E52" s="427"/>
    </row>
    <row r="53" spans="2:5" ht="15.75" customHeight="1" x14ac:dyDescent="0.3">
      <c r="B53" s="427"/>
      <c r="E53" s="427"/>
    </row>
    <row r="54" spans="2:5" ht="15.75" customHeight="1" x14ac:dyDescent="0.3">
      <c r="B54" s="427"/>
      <c r="E54" s="427"/>
    </row>
    <row r="55" spans="2:5" ht="15.75" customHeight="1" x14ac:dyDescent="0.3">
      <c r="B55" s="427"/>
      <c r="E55" s="427"/>
    </row>
    <row r="56" spans="2:5" ht="15.75" customHeight="1" x14ac:dyDescent="0.3">
      <c r="B56" s="427"/>
      <c r="E56" s="427"/>
    </row>
    <row r="57" spans="2:5" ht="15.75" customHeight="1" x14ac:dyDescent="0.3">
      <c r="B57" s="427"/>
      <c r="E57" s="427"/>
    </row>
    <row r="58" spans="2:5" ht="15.75" customHeight="1" x14ac:dyDescent="0.3">
      <c r="B58" s="427"/>
      <c r="E58" s="427"/>
    </row>
    <row r="59" spans="2:5" ht="15.75" customHeight="1" x14ac:dyDescent="0.3">
      <c r="B59" s="427"/>
      <c r="E59" s="427"/>
    </row>
    <row r="60" spans="2:5" ht="15.75" customHeight="1" x14ac:dyDescent="0.3">
      <c r="B60" s="427"/>
      <c r="E60" s="427"/>
    </row>
    <row r="61" spans="2:5" ht="15.75" customHeight="1" x14ac:dyDescent="0.3">
      <c r="B61" s="427"/>
      <c r="E61" s="427"/>
    </row>
    <row r="62" spans="2:5" ht="15.75" customHeight="1" x14ac:dyDescent="0.3">
      <c r="B62" s="427"/>
      <c r="E62" s="427"/>
    </row>
    <row r="63" spans="2:5" ht="15.75" customHeight="1" x14ac:dyDescent="0.3">
      <c r="B63" s="427"/>
      <c r="E63" s="427"/>
    </row>
    <row r="64" spans="2:5" ht="15.75" customHeight="1" x14ac:dyDescent="0.3">
      <c r="B64" s="427"/>
      <c r="E64" s="427"/>
    </row>
    <row r="65" spans="2:5" ht="15.75" customHeight="1" x14ac:dyDescent="0.3">
      <c r="B65" s="427"/>
      <c r="E65" s="427"/>
    </row>
    <row r="66" spans="2:5" ht="15.75" customHeight="1" x14ac:dyDescent="0.3">
      <c r="B66" s="427"/>
      <c r="E66" s="427"/>
    </row>
    <row r="67" spans="2:5" ht="15.75" customHeight="1" x14ac:dyDescent="0.3">
      <c r="B67" s="427"/>
      <c r="E67" s="427"/>
    </row>
    <row r="68" spans="2:5" ht="15.75" customHeight="1" x14ac:dyDescent="0.3">
      <c r="B68" s="427"/>
      <c r="E68" s="427"/>
    </row>
    <row r="69" spans="2:5" ht="15.75" customHeight="1" x14ac:dyDescent="0.3">
      <c r="B69" s="427"/>
      <c r="E69" s="427"/>
    </row>
    <row r="70" spans="2:5" ht="15.75" customHeight="1" x14ac:dyDescent="0.3">
      <c r="B70" s="427"/>
      <c r="E70" s="427"/>
    </row>
    <row r="71" spans="2:5" ht="15.75" customHeight="1" x14ac:dyDescent="0.3">
      <c r="B71" s="427"/>
      <c r="E71" s="427"/>
    </row>
    <row r="72" spans="2:5" ht="15.75" customHeight="1" x14ac:dyDescent="0.3">
      <c r="B72" s="427"/>
      <c r="E72" s="427"/>
    </row>
    <row r="73" spans="2:5" ht="15.75" customHeight="1" x14ac:dyDescent="0.3">
      <c r="B73" s="427"/>
      <c r="E73" s="427"/>
    </row>
    <row r="74" spans="2:5" ht="15.75" customHeight="1" x14ac:dyDescent="0.3">
      <c r="B74" s="427"/>
      <c r="E74" s="427"/>
    </row>
    <row r="75" spans="2:5" ht="15.75" customHeight="1" x14ac:dyDescent="0.3">
      <c r="B75" s="427"/>
      <c r="E75" s="427"/>
    </row>
    <row r="76" spans="2:5" ht="15.75" customHeight="1" x14ac:dyDescent="0.3">
      <c r="B76" s="427"/>
      <c r="E76" s="427"/>
    </row>
    <row r="77" spans="2:5" ht="15.75" customHeight="1" x14ac:dyDescent="0.3">
      <c r="B77" s="427"/>
      <c r="E77" s="427"/>
    </row>
    <row r="78" spans="2:5" ht="15.75" customHeight="1" x14ac:dyDescent="0.3">
      <c r="B78" s="427"/>
      <c r="E78" s="427"/>
    </row>
    <row r="79" spans="2:5" ht="15.75" customHeight="1" x14ac:dyDescent="0.3">
      <c r="B79" s="427"/>
      <c r="E79" s="427"/>
    </row>
    <row r="80" spans="2:5" ht="15.75" customHeight="1" x14ac:dyDescent="0.3">
      <c r="B80" s="427"/>
      <c r="E80" s="427"/>
    </row>
    <row r="81" spans="2:5" ht="15.75" customHeight="1" x14ac:dyDescent="0.3">
      <c r="B81" s="427"/>
      <c r="E81" s="427"/>
    </row>
    <row r="82" spans="2:5" ht="15.75" customHeight="1" x14ac:dyDescent="0.3">
      <c r="B82" s="427"/>
      <c r="E82" s="427"/>
    </row>
    <row r="83" spans="2:5" ht="15.75" customHeight="1" x14ac:dyDescent="0.3">
      <c r="B83" s="427"/>
      <c r="E83" s="427"/>
    </row>
    <row r="84" spans="2:5" ht="15.75" customHeight="1" x14ac:dyDescent="0.3">
      <c r="B84" s="427"/>
      <c r="E84" s="427"/>
    </row>
    <row r="85" spans="2:5" ht="15.75" customHeight="1" x14ac:dyDescent="0.3">
      <c r="B85" s="427"/>
      <c r="E85" s="427"/>
    </row>
    <row r="86" spans="2:5" ht="15.75" customHeight="1" x14ac:dyDescent="0.3">
      <c r="B86" s="427"/>
      <c r="E86" s="427"/>
    </row>
    <row r="87" spans="2:5" ht="15.75" customHeight="1" x14ac:dyDescent="0.3">
      <c r="B87" s="427"/>
      <c r="E87" s="427"/>
    </row>
    <row r="88" spans="2:5" ht="15.75" customHeight="1" x14ac:dyDescent="0.3">
      <c r="B88" s="427"/>
      <c r="E88" s="427"/>
    </row>
    <row r="89" spans="2:5" ht="15.75" customHeight="1" x14ac:dyDescent="0.3">
      <c r="B89" s="427"/>
      <c r="E89" s="427"/>
    </row>
    <row r="90" spans="2:5" ht="15.75" customHeight="1" x14ac:dyDescent="0.3">
      <c r="B90" s="427"/>
      <c r="E90" s="427"/>
    </row>
    <row r="91" spans="2:5" ht="15.75" customHeight="1" x14ac:dyDescent="0.3">
      <c r="B91" s="427"/>
      <c r="E91" s="427"/>
    </row>
    <row r="92" spans="2:5" ht="15.75" customHeight="1" x14ac:dyDescent="0.3">
      <c r="B92" s="427"/>
      <c r="E92" s="427"/>
    </row>
    <row r="93" spans="2:5" ht="15.75" customHeight="1" x14ac:dyDescent="0.3">
      <c r="B93" s="427"/>
      <c r="E93" s="427"/>
    </row>
    <row r="94" spans="2:5" ht="15.75" customHeight="1" x14ac:dyDescent="0.3">
      <c r="B94" s="427"/>
      <c r="E94" s="427"/>
    </row>
    <row r="95" spans="2:5" ht="15.75" customHeight="1" x14ac:dyDescent="0.3">
      <c r="B95" s="427"/>
      <c r="E95" s="427"/>
    </row>
    <row r="96" spans="2:5" ht="15.75" customHeight="1" x14ac:dyDescent="0.3">
      <c r="B96" s="427"/>
      <c r="E96" s="427"/>
    </row>
    <row r="97" spans="2:5" ht="15.75" customHeight="1" x14ac:dyDescent="0.3">
      <c r="B97" s="427"/>
      <c r="E97" s="427"/>
    </row>
    <row r="98" spans="2:5" ht="15.75" customHeight="1" x14ac:dyDescent="0.3">
      <c r="B98" s="427"/>
      <c r="E98" s="427"/>
    </row>
    <row r="99" spans="2:5" ht="15.75" customHeight="1" x14ac:dyDescent="0.3">
      <c r="B99" s="427"/>
      <c r="E99" s="427"/>
    </row>
    <row r="100" spans="2:5" ht="15.75" customHeight="1" x14ac:dyDescent="0.3">
      <c r="B100" s="427"/>
      <c r="E100" s="427"/>
    </row>
    <row r="101" spans="2:5" ht="15.75" customHeight="1" x14ac:dyDescent="0.3">
      <c r="B101" s="427"/>
      <c r="E101" s="427"/>
    </row>
    <row r="102" spans="2:5" ht="15.75" customHeight="1" x14ac:dyDescent="0.3">
      <c r="B102" s="427"/>
      <c r="E102" s="427"/>
    </row>
    <row r="103" spans="2:5" ht="15.75" customHeight="1" x14ac:dyDescent="0.3">
      <c r="B103" s="427"/>
      <c r="E103" s="427"/>
    </row>
    <row r="104" spans="2:5" ht="15.75" customHeight="1" x14ac:dyDescent="0.3">
      <c r="B104" s="427"/>
      <c r="E104" s="427"/>
    </row>
    <row r="105" spans="2:5" ht="15.75" customHeight="1" x14ac:dyDescent="0.3">
      <c r="B105" s="427"/>
      <c r="E105" s="427"/>
    </row>
    <row r="106" spans="2:5" ht="15.75" customHeight="1" x14ac:dyDescent="0.3">
      <c r="B106" s="427"/>
      <c r="E106" s="427"/>
    </row>
    <row r="107" spans="2:5" ht="15.75" customHeight="1" x14ac:dyDescent="0.3">
      <c r="B107" s="427"/>
      <c r="E107" s="427"/>
    </row>
    <row r="108" spans="2:5" ht="15.75" customHeight="1" x14ac:dyDescent="0.3">
      <c r="B108" s="427"/>
      <c r="E108" s="427"/>
    </row>
    <row r="109" spans="2:5" ht="15.75" customHeight="1" x14ac:dyDescent="0.3">
      <c r="B109" s="427"/>
      <c r="E109" s="427"/>
    </row>
    <row r="110" spans="2:5" ht="15.75" customHeight="1" x14ac:dyDescent="0.3">
      <c r="B110" s="427"/>
      <c r="E110" s="427"/>
    </row>
    <row r="111" spans="2:5" ht="15.75" customHeight="1" x14ac:dyDescent="0.3">
      <c r="B111" s="427"/>
      <c r="E111" s="427"/>
    </row>
    <row r="112" spans="2:5" ht="15.75" customHeight="1" x14ac:dyDescent="0.3">
      <c r="B112" s="427"/>
      <c r="E112" s="427"/>
    </row>
    <row r="113" spans="2:5" ht="15.75" customHeight="1" x14ac:dyDescent="0.3">
      <c r="B113" s="427"/>
      <c r="E113" s="427"/>
    </row>
    <row r="114" spans="2:5" ht="15.75" customHeight="1" x14ac:dyDescent="0.3">
      <c r="B114" s="427"/>
      <c r="E114" s="427"/>
    </row>
    <row r="115" spans="2:5" ht="15.75" customHeight="1" x14ac:dyDescent="0.3">
      <c r="B115" s="427"/>
      <c r="E115" s="427"/>
    </row>
    <row r="116" spans="2:5" ht="15.75" customHeight="1" x14ac:dyDescent="0.3">
      <c r="B116" s="427"/>
      <c r="E116" s="427"/>
    </row>
    <row r="117" spans="2:5" ht="15.75" customHeight="1" x14ac:dyDescent="0.3">
      <c r="B117" s="427"/>
      <c r="E117" s="427"/>
    </row>
    <row r="118" spans="2:5" ht="15.75" customHeight="1" x14ac:dyDescent="0.3">
      <c r="B118" s="427"/>
      <c r="E118" s="427"/>
    </row>
    <row r="119" spans="2:5" ht="15.75" customHeight="1" x14ac:dyDescent="0.3">
      <c r="B119" s="427"/>
      <c r="E119" s="427"/>
    </row>
    <row r="120" spans="2:5" ht="15.75" customHeight="1" x14ac:dyDescent="0.3">
      <c r="B120" s="427"/>
      <c r="E120" s="427"/>
    </row>
    <row r="121" spans="2:5" ht="15.75" customHeight="1" x14ac:dyDescent="0.3">
      <c r="B121" s="427"/>
      <c r="E121" s="427"/>
    </row>
    <row r="122" spans="2:5" ht="15.75" customHeight="1" x14ac:dyDescent="0.3">
      <c r="B122" s="427"/>
      <c r="E122" s="427"/>
    </row>
    <row r="123" spans="2:5" ht="15.75" customHeight="1" x14ac:dyDescent="0.3">
      <c r="B123" s="427"/>
      <c r="E123" s="427"/>
    </row>
    <row r="124" spans="2:5" ht="15.75" customHeight="1" x14ac:dyDescent="0.3">
      <c r="B124" s="427"/>
      <c r="E124" s="427"/>
    </row>
    <row r="125" spans="2:5" ht="15.75" customHeight="1" x14ac:dyDescent="0.3">
      <c r="B125" s="427"/>
      <c r="E125" s="427"/>
    </row>
    <row r="126" spans="2:5" ht="15.75" customHeight="1" x14ac:dyDescent="0.3">
      <c r="B126" s="427"/>
      <c r="E126" s="427"/>
    </row>
    <row r="127" spans="2:5" ht="15.75" customHeight="1" x14ac:dyDescent="0.3">
      <c r="B127" s="427"/>
      <c r="E127" s="427"/>
    </row>
    <row r="128" spans="2:5" ht="15.75" customHeight="1" x14ac:dyDescent="0.3">
      <c r="B128" s="427"/>
      <c r="E128" s="427"/>
    </row>
    <row r="129" spans="2:5" ht="15.75" customHeight="1" x14ac:dyDescent="0.3">
      <c r="B129" s="427"/>
      <c r="E129" s="427"/>
    </row>
    <row r="130" spans="2:5" ht="15.75" customHeight="1" x14ac:dyDescent="0.3">
      <c r="B130" s="427"/>
      <c r="E130" s="427"/>
    </row>
    <row r="131" spans="2:5" ht="15.75" customHeight="1" x14ac:dyDescent="0.3">
      <c r="B131" s="427"/>
      <c r="E131" s="427"/>
    </row>
    <row r="132" spans="2:5" ht="15.75" customHeight="1" x14ac:dyDescent="0.3">
      <c r="B132" s="427"/>
      <c r="E132" s="427"/>
    </row>
    <row r="133" spans="2:5" ht="15.75" customHeight="1" x14ac:dyDescent="0.3">
      <c r="B133" s="427"/>
      <c r="E133" s="427"/>
    </row>
    <row r="134" spans="2:5" ht="15.75" customHeight="1" x14ac:dyDescent="0.3">
      <c r="B134" s="427"/>
      <c r="E134" s="427"/>
    </row>
    <row r="135" spans="2:5" ht="15.75" customHeight="1" x14ac:dyDescent="0.3">
      <c r="B135" s="427"/>
      <c r="E135" s="427"/>
    </row>
    <row r="136" spans="2:5" ht="15.75" customHeight="1" x14ac:dyDescent="0.3">
      <c r="B136" s="427"/>
      <c r="E136" s="427"/>
    </row>
    <row r="137" spans="2:5" ht="15.75" customHeight="1" x14ac:dyDescent="0.3">
      <c r="B137" s="427"/>
      <c r="E137" s="427"/>
    </row>
    <row r="138" spans="2:5" ht="15.75" customHeight="1" x14ac:dyDescent="0.3">
      <c r="B138" s="427"/>
      <c r="E138" s="427"/>
    </row>
    <row r="139" spans="2:5" ht="15.75" customHeight="1" x14ac:dyDescent="0.3">
      <c r="B139" s="427"/>
      <c r="E139" s="427"/>
    </row>
    <row r="140" spans="2:5" ht="15.75" customHeight="1" x14ac:dyDescent="0.3">
      <c r="B140" s="427"/>
      <c r="E140" s="427"/>
    </row>
    <row r="141" spans="2:5" ht="15.75" customHeight="1" x14ac:dyDescent="0.3">
      <c r="B141" s="427"/>
      <c r="E141" s="427"/>
    </row>
    <row r="142" spans="2:5" ht="15.75" customHeight="1" x14ac:dyDescent="0.3">
      <c r="B142" s="427"/>
      <c r="E142" s="427"/>
    </row>
    <row r="143" spans="2:5" ht="15.75" customHeight="1" x14ac:dyDescent="0.3">
      <c r="B143" s="427"/>
      <c r="E143" s="427"/>
    </row>
    <row r="144" spans="2:5" ht="15.75" customHeight="1" x14ac:dyDescent="0.3">
      <c r="B144" s="427"/>
      <c r="E144" s="427"/>
    </row>
    <row r="145" spans="2:5" ht="15.75" customHeight="1" x14ac:dyDescent="0.3">
      <c r="B145" s="427"/>
      <c r="E145" s="427"/>
    </row>
    <row r="146" spans="2:5" ht="15.75" customHeight="1" x14ac:dyDescent="0.3">
      <c r="B146" s="427"/>
      <c r="E146" s="427"/>
    </row>
    <row r="147" spans="2:5" ht="15.75" customHeight="1" x14ac:dyDescent="0.3">
      <c r="B147" s="427"/>
      <c r="E147" s="427"/>
    </row>
    <row r="148" spans="2:5" ht="15.75" customHeight="1" x14ac:dyDescent="0.3">
      <c r="B148" s="427"/>
      <c r="E148" s="427"/>
    </row>
    <row r="149" spans="2:5" ht="15.75" customHeight="1" x14ac:dyDescent="0.3">
      <c r="B149" s="427"/>
      <c r="E149" s="427"/>
    </row>
    <row r="150" spans="2:5" ht="15.75" customHeight="1" x14ac:dyDescent="0.3">
      <c r="B150" s="427"/>
      <c r="E150" s="427"/>
    </row>
    <row r="151" spans="2:5" ht="15.75" customHeight="1" x14ac:dyDescent="0.3">
      <c r="B151" s="427"/>
      <c r="E151" s="427"/>
    </row>
    <row r="152" spans="2:5" ht="15.75" customHeight="1" x14ac:dyDescent="0.3">
      <c r="B152" s="427"/>
      <c r="E152" s="427"/>
    </row>
    <row r="153" spans="2:5" ht="15.75" customHeight="1" x14ac:dyDescent="0.3">
      <c r="B153" s="427"/>
      <c r="E153" s="427"/>
    </row>
    <row r="154" spans="2:5" ht="15.75" customHeight="1" x14ac:dyDescent="0.3">
      <c r="B154" s="427"/>
      <c r="E154" s="427"/>
    </row>
    <row r="155" spans="2:5" ht="15.75" customHeight="1" x14ac:dyDescent="0.3">
      <c r="B155" s="427"/>
      <c r="E155" s="427"/>
    </row>
    <row r="156" spans="2:5" ht="15.75" customHeight="1" x14ac:dyDescent="0.3">
      <c r="B156" s="427"/>
      <c r="E156" s="427"/>
    </row>
    <row r="157" spans="2:5" ht="15.75" customHeight="1" x14ac:dyDescent="0.3">
      <c r="B157" s="427"/>
      <c r="E157" s="427"/>
    </row>
    <row r="158" spans="2:5" ht="15.75" customHeight="1" x14ac:dyDescent="0.3">
      <c r="B158" s="427"/>
      <c r="E158" s="427"/>
    </row>
    <row r="159" spans="2:5" ht="15.75" customHeight="1" x14ac:dyDescent="0.3">
      <c r="B159" s="427"/>
      <c r="E159" s="427"/>
    </row>
    <row r="160" spans="2:5" ht="15.75" customHeight="1" x14ac:dyDescent="0.3">
      <c r="B160" s="427"/>
      <c r="E160" s="427"/>
    </row>
    <row r="161" spans="2:5" ht="15.75" customHeight="1" x14ac:dyDescent="0.3">
      <c r="B161" s="427"/>
      <c r="E161" s="427"/>
    </row>
    <row r="162" spans="2:5" ht="15.75" customHeight="1" x14ac:dyDescent="0.3">
      <c r="B162" s="427"/>
      <c r="E162" s="427"/>
    </row>
    <row r="163" spans="2:5" ht="15.75" customHeight="1" x14ac:dyDescent="0.3">
      <c r="B163" s="427"/>
      <c r="E163" s="427"/>
    </row>
    <row r="164" spans="2:5" ht="15.75" customHeight="1" x14ac:dyDescent="0.3">
      <c r="B164" s="427"/>
      <c r="E164" s="427"/>
    </row>
    <row r="165" spans="2:5" ht="15.75" customHeight="1" x14ac:dyDescent="0.3">
      <c r="B165" s="427"/>
      <c r="E165" s="427"/>
    </row>
    <row r="166" spans="2:5" ht="15.75" customHeight="1" x14ac:dyDescent="0.3">
      <c r="B166" s="427"/>
      <c r="E166" s="427"/>
    </row>
    <row r="167" spans="2:5" ht="15.75" customHeight="1" x14ac:dyDescent="0.3">
      <c r="B167" s="427"/>
      <c r="E167" s="427"/>
    </row>
    <row r="168" spans="2:5" ht="15.75" customHeight="1" x14ac:dyDescent="0.3">
      <c r="B168" s="427"/>
      <c r="E168" s="427"/>
    </row>
    <row r="169" spans="2:5" ht="15.75" customHeight="1" x14ac:dyDescent="0.3">
      <c r="B169" s="427"/>
      <c r="E169" s="427"/>
    </row>
    <row r="170" spans="2:5" ht="15.75" customHeight="1" x14ac:dyDescent="0.3">
      <c r="B170" s="427"/>
      <c r="E170" s="427"/>
    </row>
    <row r="171" spans="2:5" ht="15.75" customHeight="1" x14ac:dyDescent="0.3">
      <c r="B171" s="427"/>
      <c r="E171" s="427"/>
    </row>
    <row r="172" spans="2:5" ht="15.75" customHeight="1" x14ac:dyDescent="0.3">
      <c r="B172" s="427"/>
      <c r="E172" s="427"/>
    </row>
    <row r="173" spans="2:5" ht="15.75" customHeight="1" x14ac:dyDescent="0.3">
      <c r="B173" s="427"/>
      <c r="E173" s="427"/>
    </row>
    <row r="174" spans="2:5" ht="15.75" customHeight="1" x14ac:dyDescent="0.3">
      <c r="B174" s="427"/>
      <c r="E174" s="427"/>
    </row>
    <row r="175" spans="2:5" ht="15.75" customHeight="1" x14ac:dyDescent="0.3">
      <c r="B175" s="427"/>
      <c r="E175" s="427"/>
    </row>
    <row r="176" spans="2:5" ht="15.75" customHeight="1" x14ac:dyDescent="0.3">
      <c r="B176" s="427"/>
      <c r="E176" s="427"/>
    </row>
    <row r="177" spans="2:5" ht="15.75" customHeight="1" x14ac:dyDescent="0.3">
      <c r="B177" s="427"/>
      <c r="E177" s="427"/>
    </row>
    <row r="178" spans="2:5" ht="15.75" customHeight="1" x14ac:dyDescent="0.3">
      <c r="B178" s="427"/>
      <c r="E178" s="427"/>
    </row>
    <row r="179" spans="2:5" ht="15.75" customHeight="1" x14ac:dyDescent="0.3">
      <c r="B179" s="427"/>
      <c r="E179" s="427"/>
    </row>
    <row r="180" spans="2:5" ht="15.75" customHeight="1" x14ac:dyDescent="0.3">
      <c r="B180" s="427"/>
      <c r="E180" s="427"/>
    </row>
    <row r="181" spans="2:5" ht="15.75" customHeight="1" x14ac:dyDescent="0.3">
      <c r="B181" s="427"/>
      <c r="E181" s="427"/>
    </row>
    <row r="182" spans="2:5" ht="15.75" customHeight="1" x14ac:dyDescent="0.3">
      <c r="B182" s="427"/>
      <c r="E182" s="427"/>
    </row>
    <row r="183" spans="2:5" ht="15.75" customHeight="1" x14ac:dyDescent="0.3">
      <c r="B183" s="427"/>
      <c r="E183" s="427"/>
    </row>
    <row r="184" spans="2:5" ht="15.75" customHeight="1" x14ac:dyDescent="0.3">
      <c r="B184" s="427"/>
      <c r="E184" s="427"/>
    </row>
    <row r="185" spans="2:5" ht="15.75" customHeight="1" x14ac:dyDescent="0.3">
      <c r="B185" s="427"/>
      <c r="E185" s="427"/>
    </row>
    <row r="186" spans="2:5" ht="15.75" customHeight="1" x14ac:dyDescent="0.3">
      <c r="B186" s="427"/>
      <c r="E186" s="427"/>
    </row>
    <row r="187" spans="2:5" ht="15.75" customHeight="1" x14ac:dyDescent="0.3">
      <c r="B187" s="427"/>
      <c r="E187" s="427"/>
    </row>
    <row r="188" spans="2:5" ht="15.75" customHeight="1" x14ac:dyDescent="0.3">
      <c r="B188" s="427"/>
      <c r="E188" s="427"/>
    </row>
    <row r="189" spans="2:5" ht="15.75" customHeight="1" x14ac:dyDescent="0.3">
      <c r="B189" s="427"/>
      <c r="E189" s="427"/>
    </row>
    <row r="190" spans="2:5" ht="15.75" customHeight="1" x14ac:dyDescent="0.3">
      <c r="B190" s="427"/>
      <c r="E190" s="427"/>
    </row>
    <row r="191" spans="2:5" ht="15.75" customHeight="1" x14ac:dyDescent="0.3">
      <c r="B191" s="427"/>
      <c r="E191" s="427"/>
    </row>
    <row r="192" spans="2:5" ht="15.75" customHeight="1" x14ac:dyDescent="0.3">
      <c r="B192" s="427"/>
      <c r="E192" s="427"/>
    </row>
    <row r="193" spans="2:5" ht="15.75" customHeight="1" x14ac:dyDescent="0.3">
      <c r="B193" s="427"/>
      <c r="E193" s="427"/>
    </row>
    <row r="194" spans="2:5" ht="15.75" customHeight="1" x14ac:dyDescent="0.3">
      <c r="B194" s="427"/>
      <c r="E194" s="427"/>
    </row>
    <row r="195" spans="2:5" ht="15.75" customHeight="1" x14ac:dyDescent="0.3">
      <c r="B195" s="427"/>
      <c r="E195" s="427"/>
    </row>
    <row r="196" spans="2:5" ht="15.75" customHeight="1" x14ac:dyDescent="0.3">
      <c r="B196" s="427"/>
      <c r="E196" s="427"/>
    </row>
    <row r="197" spans="2:5" ht="15.75" customHeight="1" x14ac:dyDescent="0.3">
      <c r="B197" s="427"/>
      <c r="E197" s="427"/>
    </row>
    <row r="198" spans="2:5" ht="15.75" customHeight="1" x14ac:dyDescent="0.3">
      <c r="B198" s="427"/>
      <c r="E198" s="427"/>
    </row>
    <row r="199" spans="2:5" ht="15.75" customHeight="1" x14ac:dyDescent="0.3">
      <c r="B199" s="427"/>
      <c r="E199" s="427"/>
    </row>
    <row r="200" spans="2:5" ht="15.75" customHeight="1" x14ac:dyDescent="0.3">
      <c r="B200" s="427"/>
      <c r="E200" s="427"/>
    </row>
    <row r="201" spans="2:5" ht="15.75" customHeight="1" x14ac:dyDescent="0.3">
      <c r="B201" s="427"/>
      <c r="E201" s="427"/>
    </row>
    <row r="202" spans="2:5" ht="15.75" customHeight="1" x14ac:dyDescent="0.3">
      <c r="B202" s="427"/>
      <c r="E202" s="427"/>
    </row>
    <row r="203" spans="2:5" ht="15.75" customHeight="1" x14ac:dyDescent="0.3">
      <c r="B203" s="427"/>
      <c r="E203" s="427"/>
    </row>
    <row r="204" spans="2:5" ht="15.75" customHeight="1" x14ac:dyDescent="0.3">
      <c r="B204" s="427"/>
      <c r="E204" s="427"/>
    </row>
    <row r="205" spans="2:5" ht="15.75" customHeight="1" x14ac:dyDescent="0.3">
      <c r="B205" s="427"/>
      <c r="E205" s="427"/>
    </row>
    <row r="206" spans="2:5" ht="15.75" customHeight="1" x14ac:dyDescent="0.3">
      <c r="B206" s="427"/>
      <c r="E206" s="427"/>
    </row>
    <row r="207" spans="2:5" ht="15.75" customHeight="1" x14ac:dyDescent="0.3">
      <c r="B207" s="427"/>
      <c r="E207" s="427"/>
    </row>
    <row r="208" spans="2:5" ht="15.75" customHeight="1" x14ac:dyDescent="0.3">
      <c r="B208" s="427"/>
      <c r="E208" s="427"/>
    </row>
    <row r="209" spans="2:5" ht="15.75" customHeight="1" x14ac:dyDescent="0.3">
      <c r="B209" s="427"/>
      <c r="E209" s="427"/>
    </row>
    <row r="210" spans="2:5" ht="15.75" customHeight="1" x14ac:dyDescent="0.3">
      <c r="B210" s="427"/>
      <c r="E210" s="427"/>
    </row>
    <row r="211" spans="2:5" ht="15.75" customHeight="1" x14ac:dyDescent="0.3">
      <c r="B211" s="427"/>
      <c r="E211" s="427"/>
    </row>
    <row r="212" spans="2:5" ht="15.75" customHeight="1" x14ac:dyDescent="0.3">
      <c r="B212" s="427"/>
      <c r="E212" s="427"/>
    </row>
    <row r="213" spans="2:5" ht="15.75" customHeight="1" x14ac:dyDescent="0.3">
      <c r="B213" s="427"/>
      <c r="E213" s="427"/>
    </row>
    <row r="214" spans="2:5" ht="15.75" customHeight="1" x14ac:dyDescent="0.3">
      <c r="B214" s="427"/>
      <c r="E214" s="427"/>
    </row>
    <row r="215" spans="2:5" ht="15.75" customHeight="1" x14ac:dyDescent="0.3">
      <c r="B215" s="427"/>
      <c r="E215" s="427"/>
    </row>
    <row r="216" spans="2:5" ht="15.75" customHeight="1" x14ac:dyDescent="0.3">
      <c r="B216" s="427"/>
      <c r="E216" s="427"/>
    </row>
    <row r="217" spans="2:5" ht="15.75" customHeight="1" x14ac:dyDescent="0.3">
      <c r="B217" s="427"/>
      <c r="E217" s="427"/>
    </row>
    <row r="218" spans="2:5" ht="15.75" customHeight="1" x14ac:dyDescent="0.3">
      <c r="B218" s="427"/>
      <c r="E218" s="427"/>
    </row>
    <row r="219" spans="2:5" ht="15.75" customHeight="1" x14ac:dyDescent="0.3">
      <c r="B219" s="427"/>
      <c r="E219" s="427"/>
    </row>
    <row r="220" spans="2:5" ht="15.75" customHeight="1" x14ac:dyDescent="0.3">
      <c r="B220" s="427"/>
      <c r="E220" s="427"/>
    </row>
    <row r="221" spans="2:5" ht="15.75" customHeight="1" x14ac:dyDescent="0.3">
      <c r="B221" s="427"/>
      <c r="E221" s="427"/>
    </row>
    <row r="222" spans="2:5" ht="15.75" customHeight="1" x14ac:dyDescent="0.3">
      <c r="B222" s="427"/>
      <c r="E222" s="427"/>
    </row>
    <row r="223" spans="2:5" ht="15.75" customHeight="1" x14ac:dyDescent="0.3">
      <c r="B223" s="427"/>
      <c r="E223" s="427"/>
    </row>
    <row r="224" spans="2:5" ht="15.75" customHeight="1" x14ac:dyDescent="0.3">
      <c r="B224" s="427"/>
      <c r="E224" s="427"/>
    </row>
    <row r="225" spans="2:5" ht="15.75" customHeight="1" x14ac:dyDescent="0.3">
      <c r="B225" s="427"/>
      <c r="E225" s="427"/>
    </row>
    <row r="226" spans="2:5" ht="15.75" customHeight="1" x14ac:dyDescent="0.3">
      <c r="B226" s="427"/>
      <c r="E226" s="427"/>
    </row>
    <row r="227" spans="2:5" ht="15.75" customHeight="1" x14ac:dyDescent="0.3">
      <c r="B227" s="427"/>
      <c r="E227" s="427"/>
    </row>
    <row r="228" spans="2:5" ht="15.75" customHeight="1" x14ac:dyDescent="0.3">
      <c r="B228" s="427"/>
      <c r="E228" s="427"/>
    </row>
    <row r="229" spans="2:5" ht="15.75" customHeight="1" x14ac:dyDescent="0.3">
      <c r="B229" s="427"/>
      <c r="E229" s="427"/>
    </row>
    <row r="230" spans="2:5" ht="15.75" customHeight="1" x14ac:dyDescent="0.3">
      <c r="B230" s="427"/>
      <c r="E230" s="427"/>
    </row>
    <row r="231" spans="2:5" ht="15.75" customHeight="1" x14ac:dyDescent="0.3">
      <c r="B231" s="427"/>
      <c r="E231" s="427"/>
    </row>
    <row r="232" spans="2:5" ht="15.75" customHeight="1" x14ac:dyDescent="0.3">
      <c r="B232" s="427"/>
      <c r="E232" s="427"/>
    </row>
    <row r="233" spans="2:5" ht="15.75" customHeight="1" x14ac:dyDescent="0.3">
      <c r="B233" s="427"/>
      <c r="E233" s="427"/>
    </row>
    <row r="234" spans="2:5" ht="15.75" customHeight="1" x14ac:dyDescent="0.3">
      <c r="B234" s="427"/>
      <c r="E234" s="427"/>
    </row>
    <row r="235" spans="2:5" ht="15.75" customHeight="1" x14ac:dyDescent="0.3">
      <c r="B235" s="427"/>
      <c r="E235" s="427"/>
    </row>
    <row r="236" spans="2:5" ht="15.75" customHeight="1" x14ac:dyDescent="0.3">
      <c r="B236" s="427"/>
      <c r="E236" s="427"/>
    </row>
    <row r="237" spans="2:5" ht="15.75" customHeight="1" x14ac:dyDescent="0.3">
      <c r="B237" s="427"/>
      <c r="E237" s="427"/>
    </row>
    <row r="238" spans="2:5" ht="15.75" customHeight="1" x14ac:dyDescent="0.3">
      <c r="B238" s="427"/>
      <c r="E238" s="427"/>
    </row>
    <row r="239" spans="2:5" ht="15.75" customHeight="1" x14ac:dyDescent="0.3">
      <c r="B239" s="427"/>
      <c r="E239" s="427"/>
    </row>
    <row r="240" spans="2:5" ht="15.75" customHeight="1" x14ac:dyDescent="0.3">
      <c r="B240" s="427"/>
      <c r="E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4CFDE-DD93-4B61-895E-7762B2057ADF}">
  <sheetPr codeName="Sheet4">
    <tabColor theme="9" tint="0.79998168889431442"/>
  </sheetPr>
  <dimension ref="A1:M58"/>
  <sheetViews>
    <sheetView workbookViewId="0">
      <selection activeCell="F54" sqref="F54"/>
    </sheetView>
  </sheetViews>
  <sheetFormatPr defaultColWidth="11.44140625" defaultRowHeight="14.4" x14ac:dyDescent="0.3"/>
  <cols>
    <col min="1" max="1" width="2.6640625" customWidth="1"/>
    <col min="2" max="2" width="6.6640625" style="61" customWidth="1"/>
    <col min="3" max="3" width="30.21875" customWidth="1"/>
    <col min="4" max="4" width="13.33203125" customWidth="1"/>
    <col min="5" max="5" width="10.44140625" style="61" customWidth="1"/>
    <col min="6" max="6" width="11.33203125" style="61" customWidth="1"/>
    <col min="7" max="7" width="8.33203125" style="61" customWidth="1"/>
    <col min="8" max="8" width="11.5546875" style="62" customWidth="1"/>
    <col min="9" max="9" width="11.109375" style="62" customWidth="1"/>
    <col min="10" max="10" width="10.77734375" style="62" customWidth="1"/>
    <col min="11" max="11" width="13.33203125" style="62" customWidth="1"/>
    <col min="12" max="12" width="5.109375" customWidth="1"/>
    <col min="14" max="15" width="11.44140625" customWidth="1"/>
  </cols>
  <sheetData>
    <row r="1" spans="2:13" ht="20.399999999999999" customHeight="1" x14ac:dyDescent="0.45">
      <c r="B1" s="1" t="s">
        <v>0</v>
      </c>
    </row>
    <row r="2" spans="2:13" ht="17.399999999999999" customHeight="1" x14ac:dyDescent="0.35">
      <c r="B2" s="2" t="s">
        <v>12</v>
      </c>
      <c r="D2" s="3"/>
      <c r="E2" s="75"/>
      <c r="J2" s="4316">
        <f>'Annex B - Summary'!B9</f>
        <v>2024</v>
      </c>
      <c r="K2" s="4317"/>
    </row>
    <row r="3" spans="2:13" ht="15.6" customHeight="1" x14ac:dyDescent="0.3">
      <c r="B3" s="5" t="s">
        <v>41</v>
      </c>
      <c r="J3" s="4316"/>
      <c r="K3" s="4317"/>
    </row>
    <row r="4" spans="2:13" s="12" customFormat="1" ht="19.95" customHeight="1" x14ac:dyDescent="0.3">
      <c r="B4" s="422" t="str">
        <f>'Annex B - Summary'!B5</f>
        <v>The 9th Monitoring Report to be submitted to the VCS program covering the period of 01-January-2024 to 31-December-2024</v>
      </c>
      <c r="I4" s="63"/>
      <c r="J4" s="63"/>
      <c r="K4" s="63"/>
    </row>
    <row r="5" spans="2:13" x14ac:dyDescent="0.3">
      <c r="B5"/>
      <c r="H5"/>
    </row>
    <row r="6" spans="2:13" ht="15" thickBot="1" x14ac:dyDescent="0.35">
      <c r="B6" t="str">
        <f>'Annex B - Summary'!B7</f>
        <v>Last revised version: October 10, 2025</v>
      </c>
    </row>
    <row r="7" spans="2:13" ht="16.95" customHeight="1" thickBot="1" x14ac:dyDescent="0.35">
      <c r="H7" s="4318" t="s">
        <v>42</v>
      </c>
      <c r="I7" s="4319"/>
      <c r="J7" s="4319"/>
      <c r="K7" s="4320"/>
    </row>
    <row r="8" spans="2:13" s="12" customFormat="1" ht="51.6" customHeight="1" thickBot="1" x14ac:dyDescent="0.35">
      <c r="B8" s="65"/>
      <c r="C8" s="78" t="s">
        <v>43</v>
      </c>
      <c r="D8" s="79" t="s">
        <v>44</v>
      </c>
      <c r="E8" s="79" t="s">
        <v>45</v>
      </c>
      <c r="F8" s="79" t="s">
        <v>46</v>
      </c>
      <c r="G8" s="80" t="s">
        <v>17</v>
      </c>
      <c r="H8" s="81" t="s">
        <v>47</v>
      </c>
      <c r="I8" s="82" t="s">
        <v>48</v>
      </c>
      <c r="J8" s="82" t="s">
        <v>49</v>
      </c>
      <c r="K8" s="83" t="s">
        <v>27</v>
      </c>
      <c r="L8" s="23"/>
      <c r="M8" s="12" t="s">
        <v>29</v>
      </c>
    </row>
    <row r="9" spans="2:13" ht="18.600000000000001" customHeight="1" x14ac:dyDescent="0.3">
      <c r="B9" s="66">
        <v>1</v>
      </c>
      <c r="C9" s="67" t="s">
        <v>28</v>
      </c>
      <c r="D9" s="84">
        <v>12</v>
      </c>
      <c r="E9" s="69">
        <f>'ER 2024 scope 3 &amp; 13'!D33+'ER 2024 scope 3 &amp; 13'!E33</f>
        <v>20</v>
      </c>
      <c r="F9" s="69">
        <f>'ER 2024 scope 3 &amp; 13'!K33+'ER 2024 scope 3 &amp; 13'!L33</f>
        <v>24</v>
      </c>
      <c r="G9" s="85">
        <f>E9+F9</f>
        <v>44</v>
      </c>
      <c r="H9" s="68">
        <f>'ER 2024 scope 3 &amp; 13'!F33+'ER 2024 scope 3 &amp; 13'!M33</f>
        <v>9797</v>
      </c>
      <c r="I9" s="69">
        <f>'ER 2024 scope 3 &amp; 13'!G33+'ER 2024 scope 3 &amp; 13'!N33</f>
        <v>504</v>
      </c>
      <c r="J9" s="70" t="s">
        <v>8</v>
      </c>
      <c r="K9" s="71">
        <f>H9-I9</f>
        <v>9293</v>
      </c>
      <c r="L9" s="86"/>
    </row>
    <row r="10" spans="2:13" ht="18.600000000000001" customHeight="1" x14ac:dyDescent="0.3">
      <c r="B10" s="66">
        <v>2</v>
      </c>
      <c r="C10" s="67" t="s">
        <v>30</v>
      </c>
      <c r="D10" s="84">
        <v>6</v>
      </c>
      <c r="E10" s="69">
        <f>'ER 2024 scope 3 &amp; 13'!D48+'ER 2024 scope 3 &amp; 13'!E48</f>
        <v>14</v>
      </c>
      <c r="F10" s="69">
        <f>'ER 2024 scope 3 &amp; 13'!K48+'ER 2024 scope 3 &amp; 13'!L48</f>
        <v>133</v>
      </c>
      <c r="G10" s="85">
        <f t="shared" ref="G10:G22" si="0">E10+F10</f>
        <v>147</v>
      </c>
      <c r="H10" s="68">
        <f>'ER 2024 scope 3 &amp; 13'!F48+'ER 2024 scope 3 &amp; 13'!M48</f>
        <v>63530</v>
      </c>
      <c r="I10" s="69">
        <f>'ER 2024 scope 3 &amp; 13'!G48+'ER 2024 scope 3 &amp; 13'!N48</f>
        <v>3639</v>
      </c>
      <c r="J10" s="70" t="s">
        <v>8</v>
      </c>
      <c r="K10" s="71">
        <f t="shared" ref="K10:K22" si="1">H10-I10</f>
        <v>59891</v>
      </c>
      <c r="L10" s="86"/>
      <c r="M10" t="s">
        <v>29</v>
      </c>
    </row>
    <row r="11" spans="2:13" ht="18.600000000000001" customHeight="1" x14ac:dyDescent="0.3">
      <c r="B11" s="66">
        <v>3</v>
      </c>
      <c r="C11" s="67" t="s">
        <v>31</v>
      </c>
      <c r="D11" s="84">
        <v>3</v>
      </c>
      <c r="E11" s="69">
        <f>'ER 2024 scope 3 &amp; 13'!D56+'ER 2024 scope 3 &amp; 13'!E56</f>
        <v>2</v>
      </c>
      <c r="F11" s="69">
        <f>'ER 2024 scope 3 &amp; 13'!K56+'ER 2024 scope 3 &amp; 13'!L56</f>
        <v>24</v>
      </c>
      <c r="G11" s="85">
        <f t="shared" si="0"/>
        <v>26</v>
      </c>
      <c r="H11" s="68">
        <f>'ER 2024 scope 3 &amp; 13'!F56+'ER 2024 scope 3 &amp; 13'!M56</f>
        <v>40577</v>
      </c>
      <c r="I11" s="69">
        <f>'ER 2024 scope 3 &amp; 13'!G56+'ER 2024 scope 3 &amp; 13'!N56</f>
        <v>6334</v>
      </c>
      <c r="J11" s="70" t="s">
        <v>8</v>
      </c>
      <c r="K11" s="71">
        <f t="shared" si="1"/>
        <v>34243</v>
      </c>
      <c r="L11" s="86"/>
    </row>
    <row r="12" spans="2:13" ht="18.600000000000001" customHeight="1" x14ac:dyDescent="0.3">
      <c r="B12" s="66">
        <v>4</v>
      </c>
      <c r="C12" s="67" t="s">
        <v>32</v>
      </c>
      <c r="D12" s="84">
        <v>1</v>
      </c>
      <c r="E12" s="69">
        <f>'ER 2024 scope 3 &amp; 13'!D59+'ER 2024 scope 3 &amp; 13'!E59</f>
        <v>1</v>
      </c>
      <c r="F12" s="69">
        <f>'ER 2024 scope 3 &amp; 13'!K59+'ER 2024 scope 3 &amp; 13'!L59</f>
        <v>14</v>
      </c>
      <c r="G12" s="85">
        <f t="shared" si="0"/>
        <v>15</v>
      </c>
      <c r="H12" s="68">
        <f>'ER 2024 scope 3 &amp; 13'!F59+'ER 2024 scope 3 &amp; 13'!M59</f>
        <v>19284</v>
      </c>
      <c r="I12" s="69">
        <f>'ER 2024 scope 3 &amp; 13'!G59+'ER 2024 scope 3 &amp; 13'!N59</f>
        <v>0</v>
      </c>
      <c r="J12" s="70" t="s">
        <v>8</v>
      </c>
      <c r="K12" s="71">
        <f t="shared" si="1"/>
        <v>19284</v>
      </c>
      <c r="L12" s="86"/>
    </row>
    <row r="13" spans="2:13" ht="18.600000000000001" customHeight="1" x14ac:dyDescent="0.3">
      <c r="B13" s="66">
        <v>5</v>
      </c>
      <c r="C13" s="67" t="s">
        <v>33</v>
      </c>
      <c r="D13" s="84">
        <v>6</v>
      </c>
      <c r="E13" s="69">
        <f>'ER 2024 scope 3 &amp; 13'!D70+'ER 2024 scope 3 &amp; 13'!E70</f>
        <v>13</v>
      </c>
      <c r="F13" s="69">
        <f>'ER 2024 scope 3 &amp; 13'!K70+'ER 2024 scope 3 &amp; 13'!L70</f>
        <v>59</v>
      </c>
      <c r="G13" s="85">
        <f t="shared" si="0"/>
        <v>72</v>
      </c>
      <c r="H13" s="68">
        <f>'ER 2024 scope 3 &amp; 13'!F70+'ER 2024 scope 3 &amp; 13'!M70</f>
        <v>26701</v>
      </c>
      <c r="I13" s="69">
        <f>'ER 2024 scope 3 &amp; 13'!G70+'ER 2024 scope 3 &amp; 13'!N70</f>
        <v>117</v>
      </c>
      <c r="J13" s="70" t="s">
        <v>8</v>
      </c>
      <c r="K13" s="71">
        <f t="shared" si="1"/>
        <v>26584</v>
      </c>
      <c r="L13" s="86"/>
    </row>
    <row r="14" spans="2:13" ht="18.600000000000001" customHeight="1" x14ac:dyDescent="0.3">
      <c r="B14" s="66">
        <v>6</v>
      </c>
      <c r="C14" s="67" t="s">
        <v>34</v>
      </c>
      <c r="D14" s="84">
        <v>3</v>
      </c>
      <c r="E14" s="69">
        <f>'ER 2024 scope 3 &amp; 13'!D79+'ER 2024 scope 3 &amp; 13'!E79</f>
        <v>19</v>
      </c>
      <c r="F14" s="69">
        <f>'ER 2024 scope 3 &amp; 13'!K79+'ER 2024 scope 3 &amp; 13'!L79</f>
        <v>3</v>
      </c>
      <c r="G14" s="85">
        <f t="shared" si="0"/>
        <v>22</v>
      </c>
      <c r="H14" s="68">
        <f>'ER 2024 scope 3 &amp; 13'!F79+'ER 2024 scope 3 &amp; 13'!M79</f>
        <v>6955</v>
      </c>
      <c r="I14" s="69">
        <f>'ER 2024 scope 3 &amp; 13'!G79+'ER 2024 scope 3 &amp; 13'!N79</f>
        <v>108</v>
      </c>
      <c r="J14" s="70" t="s">
        <v>8</v>
      </c>
      <c r="K14" s="71">
        <f t="shared" si="1"/>
        <v>6847</v>
      </c>
      <c r="L14" s="86"/>
    </row>
    <row r="15" spans="2:13" ht="18.600000000000001" customHeight="1" x14ac:dyDescent="0.3">
      <c r="B15" s="66">
        <v>7</v>
      </c>
      <c r="C15" s="67" t="s">
        <v>35</v>
      </c>
      <c r="D15" s="84">
        <v>2</v>
      </c>
      <c r="E15" s="69">
        <f>'ER 2024 scope 3 &amp; 13'!D82+'ER 2024 scope 3 &amp; 13'!E82</f>
        <v>4</v>
      </c>
      <c r="F15" s="69">
        <f>'ER 2024 scope 3 &amp; 13'!K82+'ER 2024 scope 3 &amp; 13'!L82</f>
        <v>60</v>
      </c>
      <c r="G15" s="85">
        <f t="shared" si="0"/>
        <v>64</v>
      </c>
      <c r="H15" s="68">
        <f>'ER 2024 scope 3 &amp; 13'!F82+'ER 2024 scope 3 &amp; 13'!M82</f>
        <v>73232</v>
      </c>
      <c r="I15" s="69">
        <f>'ER 2024 scope 3 &amp; 13'!G82+'ER 2024 scope 3 &amp; 13'!N82</f>
        <v>1411</v>
      </c>
      <c r="J15" s="70" t="s">
        <v>8</v>
      </c>
      <c r="K15" s="71">
        <f t="shared" si="1"/>
        <v>71821</v>
      </c>
      <c r="L15" s="86"/>
    </row>
    <row r="16" spans="2:13" ht="18.600000000000001" customHeight="1" x14ac:dyDescent="0.3">
      <c r="B16" s="66">
        <v>8</v>
      </c>
      <c r="C16" s="67" t="s">
        <v>268</v>
      </c>
      <c r="D16" s="84">
        <v>1</v>
      </c>
      <c r="E16" s="69">
        <f>SUM('ER 2024 scope 3 &amp; 13'!D84:E84)</f>
        <v>3</v>
      </c>
      <c r="F16" s="69">
        <f>'ER 2024 scope 3 &amp; 13'!K84+'ER 2024 scope 3 &amp; 13'!L84</f>
        <v>17</v>
      </c>
      <c r="G16" s="85">
        <f t="shared" si="0"/>
        <v>20</v>
      </c>
      <c r="H16" s="68">
        <f>'ER 2024 scope 3 &amp; 13'!F84+'ER 2024 scope 3 &amp; 13'!M84</f>
        <v>63937</v>
      </c>
      <c r="I16" s="69">
        <f>'ER 2024 scope 3 &amp; 13'!G84+'ER 2024 scope 3 &amp; 13'!N84</f>
        <v>202</v>
      </c>
      <c r="J16" s="70" t="s">
        <v>8</v>
      </c>
      <c r="K16" s="71">
        <f t="shared" ref="K16" si="2">H16-I16</f>
        <v>63735</v>
      </c>
      <c r="L16" s="86"/>
    </row>
    <row r="17" spans="1:12" ht="18.600000000000001" customHeight="1" x14ac:dyDescent="0.3">
      <c r="B17" s="66">
        <v>9</v>
      </c>
      <c r="C17" s="67" t="s">
        <v>36</v>
      </c>
      <c r="D17" s="84">
        <v>6</v>
      </c>
      <c r="E17" s="69">
        <f>'ER 2024 scope 3 &amp; 13'!D92+'ER 2024 scope 3 &amp; 13'!E92</f>
        <v>33</v>
      </c>
      <c r="F17" s="69">
        <f>'ER 2024 scope 3 &amp; 13'!K92+'ER 2024 scope 3 &amp; 13'!L92</f>
        <v>6</v>
      </c>
      <c r="G17" s="85">
        <f t="shared" si="0"/>
        <v>39</v>
      </c>
      <c r="H17" s="68">
        <f>'ER 2024 scope 3 &amp; 13'!F92+'ER 2024 scope 3 &amp; 13'!M92</f>
        <v>17100</v>
      </c>
      <c r="I17" s="69">
        <f>'ER 2024 scope 3 &amp; 13'!G92+'ER 2024 scope 3 &amp; 13'!N92</f>
        <v>5886</v>
      </c>
      <c r="J17" s="70" t="s">
        <v>8</v>
      </c>
      <c r="K17" s="71">
        <f t="shared" si="1"/>
        <v>11214</v>
      </c>
      <c r="L17" s="86"/>
    </row>
    <row r="18" spans="1:12" ht="18.600000000000001" customHeight="1" x14ac:dyDescent="0.3">
      <c r="B18" s="66">
        <v>10</v>
      </c>
      <c r="C18" s="67" t="s">
        <v>1913</v>
      </c>
      <c r="D18" s="84">
        <v>1</v>
      </c>
      <c r="E18" s="69">
        <f>SUM('ER 2024 scope 3 &amp; 13'!D94:E94)</f>
        <v>7</v>
      </c>
      <c r="F18" s="69">
        <f>SUM('ER 2024 scope 3 &amp; 13'!K94:L94)</f>
        <v>0</v>
      </c>
      <c r="G18" s="85">
        <f t="shared" si="0"/>
        <v>7</v>
      </c>
      <c r="H18" s="68">
        <f>'ER 2024 scope 3 &amp; 13'!F94+'ER 2024 scope 3 &amp; 13'!M94</f>
        <v>3046</v>
      </c>
      <c r="I18" s="69">
        <f>'ER 2024 scope 3 &amp; 13'!G94+'ER 2024 scope 3 &amp; 13'!N94</f>
        <v>1325</v>
      </c>
      <c r="J18" s="70"/>
      <c r="K18" s="71">
        <f t="shared" si="1"/>
        <v>1721</v>
      </c>
      <c r="L18" s="86"/>
    </row>
    <row r="19" spans="1:12" ht="18.600000000000001" customHeight="1" x14ac:dyDescent="0.3">
      <c r="B19" s="66">
        <v>11</v>
      </c>
      <c r="C19" s="67" t="s">
        <v>37</v>
      </c>
      <c r="D19" s="84">
        <v>0</v>
      </c>
      <c r="E19" s="69">
        <f>'ER 2024 scope 3 &amp; 13'!D98+'ER 2024 scope 3 &amp; 13'!E98</f>
        <v>0</v>
      </c>
      <c r="F19" s="69">
        <f>'ER 2024 scope 3 &amp; 13'!K98+'ER 2024 scope 3 &amp; 13'!L98</f>
        <v>0</v>
      </c>
      <c r="G19" s="85">
        <f t="shared" si="0"/>
        <v>0</v>
      </c>
      <c r="H19" s="68">
        <f>'ER 2024 scope 3 &amp; 13'!F98+'ER 2024 scope 3 &amp; 13'!M98</f>
        <v>0</v>
      </c>
      <c r="I19" s="69">
        <f>'ER 2024 scope 3 &amp; 13'!G98+'ER 2024 scope 3 &amp; 13'!N98</f>
        <v>0</v>
      </c>
      <c r="J19" s="70" t="s">
        <v>8</v>
      </c>
      <c r="K19" s="71">
        <f t="shared" si="1"/>
        <v>0</v>
      </c>
      <c r="L19" s="86"/>
    </row>
    <row r="20" spans="1:12" ht="18.600000000000001" customHeight="1" x14ac:dyDescent="0.3">
      <c r="B20" s="66">
        <v>12</v>
      </c>
      <c r="C20" s="67" t="s">
        <v>38</v>
      </c>
      <c r="D20" s="84">
        <v>8</v>
      </c>
      <c r="E20" s="69">
        <f>'ER 2024 scope 3 &amp; 13'!D114+'ER 2024 scope 3 &amp; 13'!E114</f>
        <v>32</v>
      </c>
      <c r="F20" s="69">
        <f>'ER 2024 scope 3 &amp; 13'!K114+'ER 2024 scope 3 &amp; 13'!L114</f>
        <v>158</v>
      </c>
      <c r="G20" s="85">
        <f t="shared" si="0"/>
        <v>190</v>
      </c>
      <c r="H20" s="68">
        <f>'ER 2024 scope 3 &amp; 13'!F114+'ER 2024 scope 3 &amp; 13'!M114</f>
        <v>69436</v>
      </c>
      <c r="I20" s="69">
        <f>'ER 2024 scope 3 &amp; 13'!G114+'ER 2024 scope 3 &amp; 13'!N114</f>
        <v>1840</v>
      </c>
      <c r="J20" s="70" t="s">
        <v>8</v>
      </c>
      <c r="K20" s="71">
        <f>H20-I20</f>
        <v>67596</v>
      </c>
      <c r="L20" s="86"/>
    </row>
    <row r="21" spans="1:12" ht="18.600000000000001" customHeight="1" x14ac:dyDescent="0.3">
      <c r="B21" s="66">
        <v>13</v>
      </c>
      <c r="C21" s="67" t="s">
        <v>39</v>
      </c>
      <c r="D21" s="84">
        <v>5</v>
      </c>
      <c r="E21" s="69">
        <f>'ER 2024 scope 3 &amp; 13'!D120+'ER 2024 scope 3 &amp; 13'!E120</f>
        <v>152</v>
      </c>
      <c r="F21" s="69">
        <f>'ER 2024 scope 3 &amp; 13'!K120+'ER 2024 scope 3 &amp; 13'!L120</f>
        <v>1601</v>
      </c>
      <c r="G21" s="85">
        <f t="shared" si="0"/>
        <v>1753</v>
      </c>
      <c r="H21" s="68">
        <f>'ER 2024 scope 3 &amp; 13'!F120+'ER 2024 scope 3 &amp; 13'!M120</f>
        <v>208356</v>
      </c>
      <c r="I21" s="69">
        <f>'ER 2024 scope 3 &amp; 13'!G120+'ER 2024 scope 3 &amp; 13'!N120</f>
        <v>2128</v>
      </c>
      <c r="J21" s="70" t="s">
        <v>8</v>
      </c>
      <c r="K21" s="71">
        <f t="shared" si="1"/>
        <v>206228</v>
      </c>
      <c r="L21" s="86"/>
    </row>
    <row r="22" spans="1:12" ht="18.600000000000001" customHeight="1" thickBot="1" x14ac:dyDescent="0.35">
      <c r="B22" s="66">
        <v>14</v>
      </c>
      <c r="C22" s="67" t="s">
        <v>40</v>
      </c>
      <c r="D22" s="84">
        <v>0</v>
      </c>
      <c r="E22" s="69">
        <f>'ER 2024 scope 3 &amp; 13'!D122+'ER 2024 scope 3 &amp; 13'!E122</f>
        <v>0</v>
      </c>
      <c r="F22" s="69">
        <f>'ER 2024 scope 3 &amp; 13'!K122+'ER 2024 scope 3 &amp; 13'!L122</f>
        <v>0</v>
      </c>
      <c r="G22" s="85">
        <f t="shared" si="0"/>
        <v>0</v>
      </c>
      <c r="H22" s="68">
        <f>'ER 2024 scope 3 &amp; 13'!F122+'ER 2024 scope 3 &amp; 13'!M122</f>
        <v>0</v>
      </c>
      <c r="I22" s="69">
        <f>'ER 2024 scope 3 &amp; 13'!G122+'ER 2024 scope 3 &amp; 13'!N122</f>
        <v>0</v>
      </c>
      <c r="J22" s="70" t="s">
        <v>8</v>
      </c>
      <c r="K22" s="71">
        <f t="shared" si="1"/>
        <v>0</v>
      </c>
      <c r="L22" s="86"/>
    </row>
    <row r="23" spans="1:12" s="50" customFormat="1" ht="26.4" customHeight="1" thickBot="1" x14ac:dyDescent="0.35">
      <c r="A23" s="87"/>
      <c r="B23" s="72" t="s">
        <v>9</v>
      </c>
      <c r="C23" s="73">
        <f>B22</f>
        <v>14</v>
      </c>
      <c r="D23" s="74">
        <f t="shared" ref="D23:K23" si="3">SUM(D9:D22)</f>
        <v>54</v>
      </c>
      <c r="E23" s="74">
        <f t="shared" si="3"/>
        <v>300</v>
      </c>
      <c r="F23" s="74">
        <f t="shared" si="3"/>
        <v>2099</v>
      </c>
      <c r="G23" s="74">
        <f t="shared" si="3"/>
        <v>2399</v>
      </c>
      <c r="H23" s="74">
        <f t="shared" si="3"/>
        <v>601951</v>
      </c>
      <c r="I23" s="74">
        <f t="shared" si="3"/>
        <v>23494</v>
      </c>
      <c r="J23" s="74">
        <f t="shared" si="3"/>
        <v>0</v>
      </c>
      <c r="K23" s="74">
        <f t="shared" si="3"/>
        <v>578457</v>
      </c>
      <c r="L23" s="88">
        <f>H23-I23-J23-K23</f>
        <v>0</v>
      </c>
    </row>
    <row r="25" spans="1:12" ht="18.600000000000001" customHeight="1" x14ac:dyDescent="0.3">
      <c r="K25" s="62">
        <f>(H23-I23)-K23</f>
        <v>0</v>
      </c>
    </row>
    <row r="26" spans="1:12" ht="15.6" x14ac:dyDescent="0.35">
      <c r="B26" s="417" t="s">
        <v>291</v>
      </c>
      <c r="C26" s="418"/>
      <c r="D26" s="418">
        <f>ROUNDDOWN(K23/G23,0)</f>
        <v>241</v>
      </c>
    </row>
    <row r="28" spans="1:12" ht="18" x14ac:dyDescent="0.35">
      <c r="B28" s="89" t="s">
        <v>50</v>
      </c>
    </row>
    <row r="29" spans="1:12" x14ac:dyDescent="0.3">
      <c r="B29" s="90" t="s">
        <v>51</v>
      </c>
    </row>
    <row r="31" spans="1:12" ht="41.4" x14ac:dyDescent="0.3">
      <c r="B31" s="91"/>
      <c r="C31" s="92" t="s">
        <v>290</v>
      </c>
      <c r="D31" s="93" t="s">
        <v>52</v>
      </c>
      <c r="E31" s="94" t="s">
        <v>53</v>
      </c>
      <c r="F31" s="95" t="s">
        <v>54</v>
      </c>
      <c r="G31" s="94" t="s">
        <v>17</v>
      </c>
      <c r="H31" s="406"/>
      <c r="I31" s="403"/>
      <c r="J31" s="403"/>
      <c r="K31" s="403"/>
    </row>
    <row r="32" spans="1:12" ht="13.2" customHeight="1" x14ac:dyDescent="0.3">
      <c r="B32" s="97">
        <v>1</v>
      </c>
      <c r="C32" s="96" t="s">
        <v>28</v>
      </c>
      <c r="D32" s="61">
        <f>COUNTA('Non participation 2024'!F14:J25)</f>
        <v>8</v>
      </c>
      <c r="E32" s="97">
        <f>SUM('Non participation 2024'!D14:D25)</f>
        <v>103</v>
      </c>
      <c r="F32" s="61">
        <f>SUM('Non participation 2024'!E14:E25)</f>
        <v>4</v>
      </c>
      <c r="G32" s="97">
        <f>E32+F32</f>
        <v>107</v>
      </c>
      <c r="H32" s="85"/>
      <c r="I32" s="85"/>
      <c r="J32" s="404"/>
      <c r="K32" s="85"/>
    </row>
    <row r="33" spans="2:11" ht="13.2" customHeight="1" x14ac:dyDescent="0.3">
      <c r="B33" s="99">
        <v>2</v>
      </c>
      <c r="C33" s="98" t="s">
        <v>30</v>
      </c>
      <c r="D33" s="61">
        <f>COUNTA('Non participation 2024'!F27:J35)</f>
        <v>8</v>
      </c>
      <c r="E33" s="99">
        <f>SUM('Non participation 2024'!D27:D35)</f>
        <v>9</v>
      </c>
      <c r="F33" s="99">
        <f>SUM('Non participation 2024'!E27:E35)</f>
        <v>5</v>
      </c>
      <c r="G33" s="99">
        <f t="shared" ref="G33:G45" si="4">E33+F33</f>
        <v>14</v>
      </c>
      <c r="H33" s="85"/>
      <c r="I33" s="85"/>
      <c r="J33" s="404"/>
      <c r="K33" s="85"/>
    </row>
    <row r="34" spans="2:11" ht="13.2" customHeight="1" x14ac:dyDescent="0.3">
      <c r="B34" s="99">
        <v>3</v>
      </c>
      <c r="C34" s="98" t="s">
        <v>31</v>
      </c>
      <c r="D34" s="61">
        <f>COUNTA('Non participation 2024'!F37:J42)</f>
        <v>4</v>
      </c>
      <c r="E34" s="99">
        <f>SUM('Non participation 2024'!D37:D42)</f>
        <v>5</v>
      </c>
      <c r="F34" s="99">
        <f>SUM('Non participation 2024'!E37:E42)</f>
        <v>53</v>
      </c>
      <c r="G34" s="99">
        <f t="shared" si="4"/>
        <v>58</v>
      </c>
      <c r="H34" s="85"/>
      <c r="I34" s="85"/>
      <c r="J34" s="404"/>
      <c r="K34" s="85"/>
    </row>
    <row r="35" spans="2:11" ht="13.2" customHeight="1" x14ac:dyDescent="0.3">
      <c r="B35" s="99">
        <v>4</v>
      </c>
      <c r="C35" s="98" t="s">
        <v>32</v>
      </c>
      <c r="D35" s="61">
        <f>COUNTA('Non participation 2024'!F44:J44)</f>
        <v>1</v>
      </c>
      <c r="E35" s="99">
        <f>SUM('Non participation 2024'!D44)</f>
        <v>2</v>
      </c>
      <c r="F35" s="61">
        <f>SUM('Non participation 2024'!E44)</f>
        <v>2</v>
      </c>
      <c r="G35" s="99">
        <f t="shared" si="4"/>
        <v>4</v>
      </c>
      <c r="H35" s="85"/>
      <c r="I35" s="85"/>
      <c r="J35" s="404"/>
      <c r="K35" s="85"/>
    </row>
    <row r="36" spans="2:11" ht="13.2" customHeight="1" x14ac:dyDescent="0.3">
      <c r="B36" s="99">
        <v>5</v>
      </c>
      <c r="C36" s="98" t="s">
        <v>33</v>
      </c>
      <c r="D36" s="61">
        <f>COUNTA('Non participation 2024'!F46:J50)</f>
        <v>4</v>
      </c>
      <c r="E36" s="99">
        <f>SUM('Non participation 2024'!D46:D50)</f>
        <v>3</v>
      </c>
      <c r="F36" s="99">
        <f>SUM('Non participation 2024'!E46:E50)</f>
        <v>12</v>
      </c>
      <c r="G36" s="99">
        <f t="shared" si="4"/>
        <v>15</v>
      </c>
      <c r="H36" s="85"/>
      <c r="I36" s="85"/>
      <c r="J36" s="404"/>
      <c r="K36" s="85"/>
    </row>
    <row r="37" spans="2:11" ht="13.2" customHeight="1" x14ac:dyDescent="0.3">
      <c r="B37" s="99">
        <v>6</v>
      </c>
      <c r="C37" s="98" t="s">
        <v>34</v>
      </c>
      <c r="D37" s="61">
        <v>5</v>
      </c>
      <c r="E37" s="99">
        <f>SUM('Non participation 2024'!D52:D56)</f>
        <v>5</v>
      </c>
      <c r="F37" s="61">
        <f>SUM('Non participation 2024'!E52:E56)</f>
        <v>0</v>
      </c>
      <c r="G37" s="99">
        <f t="shared" si="4"/>
        <v>5</v>
      </c>
      <c r="H37" s="85"/>
      <c r="I37" s="85"/>
      <c r="J37" s="404"/>
      <c r="K37" s="85"/>
    </row>
    <row r="38" spans="2:11" ht="13.2" customHeight="1" x14ac:dyDescent="0.3">
      <c r="B38" s="99">
        <v>7</v>
      </c>
      <c r="C38" s="98" t="s">
        <v>35</v>
      </c>
      <c r="D38" s="61">
        <f>COUNTA('Non participation 2024'!F58:J58)</f>
        <v>0</v>
      </c>
      <c r="E38" s="99">
        <f>SUM('Non participation 2024'!D58)</f>
        <v>0</v>
      </c>
      <c r="F38" s="99">
        <f>SUM('Non participation 2024'!E58)</f>
        <v>4</v>
      </c>
      <c r="G38" s="99">
        <f t="shared" si="4"/>
        <v>4</v>
      </c>
      <c r="H38" s="85"/>
      <c r="I38" s="85"/>
      <c r="J38" s="404"/>
      <c r="K38" s="85"/>
    </row>
    <row r="39" spans="2:11" ht="13.2" customHeight="1" x14ac:dyDescent="0.3">
      <c r="B39" s="99">
        <v>8</v>
      </c>
      <c r="C39" s="98" t="s">
        <v>268</v>
      </c>
      <c r="D39" s="61">
        <v>0</v>
      </c>
      <c r="E39" s="99">
        <v>0</v>
      </c>
      <c r="F39" s="61">
        <v>0</v>
      </c>
      <c r="G39" s="99">
        <v>0</v>
      </c>
      <c r="H39" s="85"/>
      <c r="I39" s="85"/>
      <c r="J39" s="404"/>
      <c r="K39" s="85"/>
    </row>
    <row r="40" spans="2:11" ht="13.2" customHeight="1" x14ac:dyDescent="0.3">
      <c r="B40" s="99">
        <v>9</v>
      </c>
      <c r="C40" s="98" t="s">
        <v>36</v>
      </c>
      <c r="D40" s="61">
        <f>COUNTA('Non participation 2024'!F60:J60)</f>
        <v>1</v>
      </c>
      <c r="E40" s="99">
        <f>SUM('Non participation 2024'!D60)</f>
        <v>1</v>
      </c>
      <c r="F40" s="61">
        <f>SUM('Non participation 2024'!E60)</f>
        <v>0</v>
      </c>
      <c r="G40" s="99">
        <f t="shared" si="4"/>
        <v>1</v>
      </c>
      <c r="H40" s="85"/>
      <c r="I40" s="85"/>
      <c r="J40" s="404"/>
      <c r="K40" s="85"/>
    </row>
    <row r="41" spans="2:11" ht="13.2" customHeight="1" x14ac:dyDescent="0.3">
      <c r="B41" s="99">
        <v>10</v>
      </c>
      <c r="C41" s="98" t="s">
        <v>1913</v>
      </c>
      <c r="D41" s="61">
        <v>0</v>
      </c>
      <c r="E41" s="99">
        <v>0</v>
      </c>
      <c r="F41" s="61">
        <v>0</v>
      </c>
      <c r="G41" s="99">
        <f t="shared" si="4"/>
        <v>0</v>
      </c>
      <c r="H41" s="85"/>
      <c r="I41" s="85"/>
      <c r="J41" s="404"/>
      <c r="K41" s="85"/>
    </row>
    <row r="42" spans="2:11" ht="13.2" customHeight="1" x14ac:dyDescent="0.3">
      <c r="B42" s="99">
        <v>11</v>
      </c>
      <c r="C42" s="98" t="s">
        <v>37</v>
      </c>
      <c r="D42" s="61">
        <f>COUNTA('Non participation 2024'!F62:J64)</f>
        <v>3</v>
      </c>
      <c r="E42" s="99">
        <f>SUM('Non participation 2024'!D62:D64)</f>
        <v>9</v>
      </c>
      <c r="F42" s="61">
        <f>SUM('Non participation 2024'!E62:E64)</f>
        <v>3</v>
      </c>
      <c r="G42" s="99">
        <f t="shared" si="4"/>
        <v>12</v>
      </c>
      <c r="H42" s="85"/>
      <c r="I42" s="85"/>
      <c r="J42" s="404"/>
      <c r="K42" s="85"/>
    </row>
    <row r="43" spans="2:11" ht="13.2" customHeight="1" x14ac:dyDescent="0.3">
      <c r="B43" s="99">
        <v>12</v>
      </c>
      <c r="C43" s="98" t="s">
        <v>38</v>
      </c>
      <c r="D43" s="61">
        <f>COUNTA('Non participation 2024'!F66:J74)</f>
        <v>7</v>
      </c>
      <c r="E43" s="99">
        <f>SUM('Non participation 2024'!D66:D74)</f>
        <v>35</v>
      </c>
      <c r="F43" s="99">
        <f>SUM('Non participation 2024'!E66:E74)</f>
        <v>16</v>
      </c>
      <c r="G43" s="99">
        <f t="shared" si="4"/>
        <v>51</v>
      </c>
      <c r="H43" s="85"/>
      <c r="I43" s="85"/>
      <c r="J43" s="404"/>
      <c r="K43" s="85"/>
    </row>
    <row r="44" spans="2:11" ht="13.2" customHeight="1" x14ac:dyDescent="0.3">
      <c r="B44" s="99">
        <v>13</v>
      </c>
      <c r="C44" s="98" t="s">
        <v>39</v>
      </c>
      <c r="D44" s="61">
        <f>COUNTA('Non participation 2024'!F76:J76)</f>
        <v>0</v>
      </c>
      <c r="E44" s="99">
        <f>SUM('Non participation 2024'!D76:D77)</f>
        <v>2</v>
      </c>
      <c r="F44" s="99">
        <f>SUM('Non participation 2024'!E76:E77)</f>
        <v>6</v>
      </c>
      <c r="G44" s="99">
        <f t="shared" si="4"/>
        <v>8</v>
      </c>
      <c r="H44" s="85"/>
      <c r="I44" s="85"/>
      <c r="J44" s="404"/>
      <c r="K44" s="85"/>
    </row>
    <row r="45" spans="2:11" ht="13.2" customHeight="1" x14ac:dyDescent="0.3">
      <c r="B45" s="415">
        <v>14</v>
      </c>
      <c r="C45" s="100" t="s">
        <v>40</v>
      </c>
      <c r="D45" s="61">
        <f>COUNTA('Non participation 2024'!F79:J79)</f>
        <v>1</v>
      </c>
      <c r="E45" s="99">
        <f>SUM('Non participation 2024'!D79)</f>
        <v>4</v>
      </c>
      <c r="F45" s="99">
        <f>SUM('Non participation 2024'!E79)</f>
        <v>0</v>
      </c>
      <c r="G45" s="99">
        <f t="shared" si="4"/>
        <v>4</v>
      </c>
      <c r="H45" s="85"/>
      <c r="I45" s="85"/>
      <c r="J45" s="404"/>
      <c r="K45" s="85"/>
    </row>
    <row r="46" spans="2:11" ht="15.6" x14ac:dyDescent="0.3">
      <c r="B46" s="101" t="s">
        <v>9</v>
      </c>
      <c r="C46" s="102"/>
      <c r="D46" s="103">
        <f>SUM(D32:D45)</f>
        <v>42</v>
      </c>
      <c r="E46" s="104">
        <f>SUM(E32:E45)</f>
        <v>178</v>
      </c>
      <c r="F46" s="104">
        <f>SUM(F32:F45)</f>
        <v>105</v>
      </c>
      <c r="G46" s="104">
        <f>SUM(G32:G45)</f>
        <v>283</v>
      </c>
      <c r="H46" s="407"/>
      <c r="I46" s="405"/>
      <c r="J46" s="405"/>
      <c r="K46" s="405"/>
    </row>
    <row r="51" spans="3:11" ht="42" customHeight="1" x14ac:dyDescent="0.3">
      <c r="C51" s="4321" t="s">
        <v>271</v>
      </c>
      <c r="D51" s="4322"/>
      <c r="E51" s="4321" t="s">
        <v>270</v>
      </c>
      <c r="F51" s="4321"/>
      <c r="G51" s="4321"/>
    </row>
    <row r="52" spans="3:11" ht="19.8" customHeight="1" x14ac:dyDescent="0.3">
      <c r="C52" s="4323">
        <f>D23+D46</f>
        <v>96</v>
      </c>
      <c r="D52" s="4323"/>
      <c r="E52" s="4323">
        <f>G23+G46</f>
        <v>2682</v>
      </c>
      <c r="F52" s="4324"/>
      <c r="G52" s="4324"/>
    </row>
    <row r="54" spans="3:11" x14ac:dyDescent="0.3">
      <c r="G54" s="85"/>
    </row>
    <row r="56" spans="3:11" ht="18" x14ac:dyDescent="0.35">
      <c r="C56" s="4315" t="s">
        <v>56</v>
      </c>
      <c r="D56" s="4315"/>
      <c r="E56" s="4315"/>
      <c r="F56" s="4315"/>
      <c r="G56" s="4315"/>
      <c r="H56" s="4315"/>
      <c r="I56" s="4315"/>
      <c r="J56" s="4315"/>
      <c r="K56" s="4315"/>
    </row>
    <row r="57" spans="3:11" ht="10.199999999999999" customHeight="1" x14ac:dyDescent="0.3"/>
    <row r="58" spans="3:11" x14ac:dyDescent="0.3">
      <c r="E58"/>
      <c r="F58"/>
      <c r="G58"/>
      <c r="H58"/>
      <c r="I58"/>
      <c r="J58"/>
      <c r="K58"/>
    </row>
  </sheetData>
  <mergeCells count="7">
    <mergeCell ref="C56:K56"/>
    <mergeCell ref="J2:K3"/>
    <mergeCell ref="H7:K7"/>
    <mergeCell ref="C51:D51"/>
    <mergeCell ref="E51:G51"/>
    <mergeCell ref="C52:D52"/>
    <mergeCell ref="E52:G52"/>
  </mergeCells>
  <pageMargins left="0.31496062992125984" right="0.31496062992125984" top="0.74803149606299213" bottom="0.19685039370078741" header="0.31496062992125984" footer="0.31496062992125984"/>
  <pageSetup orientation="landscape" r:id="rId1"/>
  <headerFooter>
    <oddHeader>&amp;L&amp;G | Confidential &amp; Property of WILL Solutions Inc.</oddHeader>
  </headerFooter>
  <ignoredErrors>
    <ignoredError sqref="D38 D44" formulaRange="1"/>
  </ignoredError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AE9BA-780F-4978-96CD-6E5B3B3DE639}">
  <dimension ref="A1:Z882"/>
  <sheetViews>
    <sheetView zoomScale="90" zoomScaleNormal="90" workbookViewId="0">
      <selection activeCell="E26" sqref="E26"/>
    </sheetView>
  </sheetViews>
  <sheetFormatPr defaultColWidth="12.44140625" defaultRowHeight="15" customHeight="1" x14ac:dyDescent="0.3"/>
  <cols>
    <col min="1" max="1" width="2.6640625" style="428" customWidth="1"/>
    <col min="2" max="2" width="5.109375" style="428" customWidth="1"/>
    <col min="3" max="3" width="35.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26" ht="23.25" customHeight="1" x14ac:dyDescent="0.35">
      <c r="A1" s="513"/>
      <c r="B1" s="514" t="s">
        <v>2355</v>
      </c>
    </row>
    <row r="2" spans="1:26"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26" ht="15.75" customHeight="1" x14ac:dyDescent="0.3">
      <c r="B3" s="516"/>
    </row>
    <row r="4" spans="1:26" ht="21" customHeight="1" x14ac:dyDescent="0.3">
      <c r="B4" s="519" t="s">
        <v>409</v>
      </c>
    </row>
    <row r="5" spans="1:26" ht="9" customHeight="1" x14ac:dyDescent="0.3">
      <c r="B5" s="519"/>
    </row>
    <row r="6" spans="1:26" ht="21" customHeight="1" x14ac:dyDescent="0.3">
      <c r="B6" s="517" t="s">
        <v>410</v>
      </c>
      <c r="C6" s="518"/>
      <c r="D6" s="518"/>
    </row>
    <row r="7" spans="1:26" ht="12" customHeight="1" x14ac:dyDescent="0.3"/>
    <row r="8" spans="1:26" ht="15.75" customHeight="1" x14ac:dyDescent="0.3">
      <c r="B8" s="521" t="s">
        <v>301</v>
      </c>
      <c r="C8" s="522" t="s">
        <v>343</v>
      </c>
      <c r="D8" s="523" t="s">
        <v>344</v>
      </c>
      <c r="E8" s="523" t="s">
        <v>345</v>
      </c>
      <c r="F8" s="523" t="s">
        <v>346</v>
      </c>
      <c r="G8" s="524" t="s">
        <v>347</v>
      </c>
      <c r="H8" s="525">
        <v>2025</v>
      </c>
      <c r="I8" s="525">
        <v>2024</v>
      </c>
      <c r="J8" s="525">
        <v>2023</v>
      </c>
      <c r="K8" s="525">
        <v>2022</v>
      </c>
      <c r="L8" s="525">
        <v>2021</v>
      </c>
      <c r="M8" s="525">
        <v>2020</v>
      </c>
      <c r="N8" s="525">
        <v>2019</v>
      </c>
      <c r="O8" s="526">
        <v>2018</v>
      </c>
      <c r="P8" s="526">
        <v>2017</v>
      </c>
      <c r="Q8" s="526">
        <v>2016</v>
      </c>
      <c r="R8" s="526">
        <v>2015</v>
      </c>
      <c r="S8" s="526">
        <v>2014</v>
      </c>
      <c r="T8" s="526">
        <v>2013</v>
      </c>
      <c r="U8" s="526">
        <v>2012</v>
      </c>
      <c r="V8" s="526">
        <v>2011</v>
      </c>
      <c r="W8" s="526">
        <v>2010</v>
      </c>
      <c r="X8" s="526">
        <v>2009</v>
      </c>
      <c r="Y8" s="526">
        <v>2008</v>
      </c>
      <c r="Z8" s="527" t="s">
        <v>332</v>
      </c>
    </row>
    <row r="9" spans="1:26" ht="24" customHeight="1" x14ac:dyDescent="0.3">
      <c r="B9" s="529">
        <v>1</v>
      </c>
      <c r="C9" s="530" t="s">
        <v>348</v>
      </c>
      <c r="D9" s="531" t="s">
        <v>558</v>
      </c>
      <c r="E9" s="532" t="s">
        <v>363</v>
      </c>
      <c r="F9" s="531" t="s">
        <v>558</v>
      </c>
      <c r="G9" s="534">
        <v>2004</v>
      </c>
      <c r="H9" s="635"/>
      <c r="I9" s="536">
        <f>23.25+23.724+22.777+22.901+23.117+23.642+23.681+24.4+23.898</f>
        <v>211.39000000000001</v>
      </c>
      <c r="J9" s="597">
        <v>235.33600000000001</v>
      </c>
      <c r="K9" s="597">
        <v>208.79</v>
      </c>
      <c r="L9" s="597">
        <v>203.43</v>
      </c>
      <c r="M9" s="597">
        <v>181.26</v>
      </c>
      <c r="N9" s="597">
        <v>205.49</v>
      </c>
      <c r="O9" s="597">
        <v>220.87</v>
      </c>
      <c r="P9" s="597">
        <v>146.85</v>
      </c>
      <c r="Q9" s="597">
        <v>152.86000000000001</v>
      </c>
      <c r="R9" s="597">
        <v>137.77000000000001</v>
      </c>
      <c r="S9" s="597">
        <v>133.85</v>
      </c>
      <c r="T9" s="597">
        <v>135.72</v>
      </c>
      <c r="U9" s="598">
        <v>114.33</v>
      </c>
      <c r="V9" s="597">
        <v>104.35</v>
      </c>
      <c r="W9" s="598">
        <v>114.73</v>
      </c>
      <c r="X9" s="597">
        <v>113.92</v>
      </c>
      <c r="Y9" s="598">
        <v>109.03</v>
      </c>
      <c r="Z9" s="597">
        <v>28.22</v>
      </c>
    </row>
    <row r="10" spans="1:26" ht="24" customHeight="1" x14ac:dyDescent="0.3">
      <c r="B10" s="529"/>
      <c r="C10" s="453"/>
      <c r="D10" s="453"/>
      <c r="E10" s="543"/>
      <c r="F10" s="453"/>
      <c r="G10" s="479"/>
      <c r="H10" s="638"/>
      <c r="I10" s="638"/>
      <c r="J10" s="545"/>
      <c r="K10" s="544"/>
      <c r="L10" s="544"/>
      <c r="M10" s="544"/>
      <c r="N10" s="544"/>
      <c r="O10" s="544"/>
      <c r="P10" s="544"/>
      <c r="Q10" s="544"/>
      <c r="R10" s="544"/>
      <c r="S10" s="544"/>
      <c r="T10" s="544"/>
      <c r="U10" s="548"/>
      <c r="V10" s="544"/>
      <c r="W10" s="548"/>
      <c r="X10" s="544"/>
      <c r="Y10" s="548"/>
      <c r="Z10" s="544"/>
    </row>
    <row r="11" spans="1:26" ht="24" customHeight="1" x14ac:dyDescent="0.3">
      <c r="B11" s="529"/>
      <c r="C11" s="531"/>
      <c r="D11" s="531"/>
      <c r="E11" s="532"/>
      <c r="F11" s="531"/>
      <c r="G11" s="641"/>
      <c r="H11" s="640"/>
      <c r="I11" s="640"/>
      <c r="J11" s="642"/>
      <c r="K11" s="642"/>
      <c r="L11" s="642"/>
      <c r="M11" s="642"/>
      <c r="N11" s="642"/>
      <c r="O11" s="642"/>
      <c r="P11" s="642"/>
      <c r="Q11" s="642"/>
      <c r="R11" s="642"/>
      <c r="S11" s="643"/>
      <c r="T11" s="643"/>
      <c r="U11" s="644"/>
      <c r="V11" s="643"/>
      <c r="W11" s="644"/>
      <c r="X11" s="643"/>
      <c r="Y11" s="644"/>
      <c r="Z11" s="550"/>
    </row>
    <row r="12" spans="1:26" ht="24" customHeight="1" x14ac:dyDescent="0.3">
      <c r="B12" s="552"/>
      <c r="C12" s="462"/>
      <c r="D12" s="462"/>
      <c r="E12" s="553"/>
      <c r="F12" s="462"/>
      <c r="G12" s="645"/>
      <c r="H12" s="646"/>
      <c r="I12" s="646"/>
      <c r="J12" s="556"/>
      <c r="K12" s="556"/>
      <c r="L12" s="556"/>
      <c r="M12" s="556"/>
      <c r="N12" s="556"/>
      <c r="O12" s="556"/>
      <c r="P12" s="556"/>
      <c r="Q12" s="556"/>
      <c r="R12" s="556"/>
      <c r="S12" s="556"/>
      <c r="T12" s="556"/>
      <c r="U12" s="557"/>
      <c r="V12" s="556"/>
      <c r="W12" s="557"/>
      <c r="X12" s="556"/>
      <c r="Y12" s="557"/>
      <c r="Z12" s="556"/>
    </row>
    <row r="13" spans="1:26" ht="15.75" customHeight="1" x14ac:dyDescent="0.3"/>
    <row r="14" spans="1:26" ht="15.75" customHeight="1" x14ac:dyDescent="0.3">
      <c r="B14" s="560" t="s">
        <v>355</v>
      </c>
      <c r="C14" s="561" t="s">
        <v>356</v>
      </c>
    </row>
    <row r="15" spans="1:26" ht="15.75" customHeight="1" x14ac:dyDescent="0.3"/>
    <row r="16" spans="1:26" ht="15.75" customHeight="1" x14ac:dyDescent="0.3">
      <c r="B16" s="4383" t="s">
        <v>357</v>
      </c>
      <c r="C16" s="4384"/>
    </row>
    <row r="17" spans="2:2" ht="15.75" customHeight="1" x14ac:dyDescent="0.3">
      <c r="B17" s="562" t="s">
        <v>301</v>
      </c>
    </row>
    <row r="18" spans="2:2" ht="15.75" customHeight="1" x14ac:dyDescent="0.3">
      <c r="B18" s="562" t="s">
        <v>301</v>
      </c>
    </row>
    <row r="19" spans="2:2" ht="15.75" customHeight="1" x14ac:dyDescent="0.3"/>
    <row r="20" spans="2:2" ht="15.75" customHeight="1" x14ac:dyDescent="0.3"/>
    <row r="21" spans="2:2" ht="15.75" customHeight="1" x14ac:dyDescent="0.3"/>
    <row r="22" spans="2:2" ht="15.75" customHeight="1" x14ac:dyDescent="0.3"/>
    <row r="23" spans="2:2" ht="15.75" customHeight="1" x14ac:dyDescent="0.3"/>
    <row r="24" spans="2:2" ht="15.75" customHeight="1" x14ac:dyDescent="0.3"/>
    <row r="25" spans="2:2" ht="15.75" customHeight="1" x14ac:dyDescent="0.3"/>
    <row r="26" spans="2:2" ht="15.75" customHeight="1" x14ac:dyDescent="0.3"/>
    <row r="27" spans="2:2" ht="15.75" customHeight="1" x14ac:dyDescent="0.3"/>
    <row r="28" spans="2:2" ht="15.75" customHeight="1" x14ac:dyDescent="0.3"/>
    <row r="29" spans="2:2" ht="15.75" customHeight="1" x14ac:dyDescent="0.3"/>
    <row r="30" spans="2:2" ht="15.75" customHeight="1" x14ac:dyDescent="0.3"/>
    <row r="31" spans="2:2" ht="15.75" customHeight="1" x14ac:dyDescent="0.3"/>
    <row r="32" spans="2: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sheetData>
  <mergeCells count="1">
    <mergeCell ref="B16:C16"/>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F66C1-83E6-4A17-879B-3637EDD213B2}">
  <dimension ref="A1:Q996"/>
  <sheetViews>
    <sheetView topLeftCell="A15" workbookViewId="0">
      <selection activeCell="C35" sqref="C35"/>
    </sheetView>
  </sheetViews>
  <sheetFormatPr defaultColWidth="12.44140625" defaultRowHeight="15" customHeight="1" x14ac:dyDescent="0.3"/>
  <cols>
    <col min="1" max="1" width="2.6640625" style="428" customWidth="1"/>
    <col min="2" max="2" width="35.109375" style="428" customWidth="1"/>
    <col min="3" max="3" width="19.77734375" style="428" customWidth="1"/>
    <col min="4" max="6" width="16.33203125" style="428" hidden="1" customWidth="1"/>
    <col min="7" max="7" width="1.5546875" style="428" customWidth="1"/>
    <col min="8" max="8" width="14.6640625" style="428" customWidth="1"/>
    <col min="9" max="9" width="7.33203125" style="428" customWidth="1"/>
    <col min="10" max="10" width="34" style="428" hidden="1" customWidth="1"/>
    <col min="11" max="14" width="16" style="428" hidden="1" customWidth="1"/>
    <col min="15" max="15" width="1.5546875" style="428" hidden="1" customWidth="1"/>
    <col min="16" max="16" width="15.21875" style="428" hidden="1" customWidth="1"/>
    <col min="17" max="17" width="11.6640625" style="428" customWidth="1"/>
    <col min="18" max="16384" width="12.44140625" style="428"/>
  </cols>
  <sheetData>
    <row r="1" spans="1:17" ht="21.75" customHeight="1" x14ac:dyDescent="0.35">
      <c r="A1" s="424"/>
      <c r="B1" s="425" t="s">
        <v>549</v>
      </c>
      <c r="C1" s="426"/>
      <c r="G1" s="427"/>
      <c r="I1" s="427"/>
      <c r="O1" s="427"/>
    </row>
    <row r="2" spans="1:17" ht="15.75" customHeight="1" x14ac:dyDescent="0.3">
      <c r="A2" s="424"/>
      <c r="B2" s="429" t="s">
        <v>299</v>
      </c>
      <c r="C2" s="430"/>
      <c r="D2" s="430"/>
      <c r="E2" s="430"/>
      <c r="F2" s="430"/>
      <c r="G2" s="430"/>
      <c r="H2" s="430"/>
      <c r="I2" s="430"/>
      <c r="J2" s="430"/>
      <c r="K2" s="430"/>
      <c r="L2" s="430"/>
      <c r="M2" s="430"/>
      <c r="N2" s="430"/>
      <c r="O2" s="430"/>
      <c r="P2" s="430"/>
    </row>
    <row r="3" spans="1:17" ht="9.75" customHeight="1" x14ac:dyDescent="0.3">
      <c r="A3" s="427"/>
      <c r="B3" s="431"/>
      <c r="G3" s="427"/>
      <c r="I3" s="427"/>
      <c r="O3" s="427"/>
    </row>
    <row r="4" spans="1:17" ht="6" customHeight="1" x14ac:dyDescent="0.3">
      <c r="B4" s="427"/>
      <c r="G4" s="427"/>
      <c r="I4" s="427"/>
      <c r="O4" s="427"/>
    </row>
    <row r="5" spans="1:17" ht="6" customHeight="1" x14ac:dyDescent="0.3">
      <c r="A5" s="431"/>
      <c r="G5" s="427"/>
      <c r="I5" s="427"/>
      <c r="O5" s="427"/>
    </row>
    <row r="6" spans="1:17" ht="15.75" customHeight="1" x14ac:dyDescent="0.3">
      <c r="C6" s="428">
        <v>1000000</v>
      </c>
      <c r="G6" s="427"/>
      <c r="H6" s="427"/>
      <c r="I6" s="427"/>
      <c r="O6" s="427"/>
    </row>
    <row r="7" spans="1:17" ht="37.200000000000003" customHeight="1" x14ac:dyDescent="0.3">
      <c r="A7" s="432"/>
      <c r="B7" s="433">
        <v>2024</v>
      </c>
      <c r="C7" s="4385" t="s">
        <v>22</v>
      </c>
      <c r="D7" s="4386"/>
      <c r="E7" s="4386"/>
      <c r="F7" s="4386"/>
      <c r="G7" s="1980"/>
      <c r="H7" s="435" t="s">
        <v>300</v>
      </c>
      <c r="I7" s="432"/>
      <c r="J7" s="433">
        <v>2024</v>
      </c>
      <c r="K7" s="4385" t="s">
        <v>23</v>
      </c>
      <c r="L7" s="4386"/>
      <c r="M7" s="4386"/>
      <c r="N7" s="4386"/>
      <c r="O7" s="609"/>
      <c r="P7" s="435" t="s">
        <v>300</v>
      </c>
      <c r="Q7" s="432"/>
    </row>
    <row r="8" spans="1:17" ht="18" customHeight="1" x14ac:dyDescent="0.35">
      <c r="B8" s="436" t="s">
        <v>301</v>
      </c>
      <c r="C8" s="648">
        <v>1</v>
      </c>
      <c r="D8" s="572">
        <v>2</v>
      </c>
      <c r="E8" s="649">
        <v>3</v>
      </c>
      <c r="F8" s="648">
        <v>4</v>
      </c>
      <c r="G8" s="2944"/>
      <c r="H8" s="438"/>
      <c r="I8" s="427"/>
      <c r="J8" s="436" t="s">
        <v>301</v>
      </c>
      <c r="K8" s="648">
        <v>1</v>
      </c>
      <c r="L8" s="572">
        <v>2</v>
      </c>
      <c r="M8" s="649">
        <v>3</v>
      </c>
      <c r="N8" s="572">
        <v>4</v>
      </c>
      <c r="O8" s="610"/>
      <c r="P8" s="438"/>
    </row>
    <row r="9" spans="1:17" ht="46.5" customHeight="1" x14ac:dyDescent="0.3">
      <c r="B9" s="439" t="s">
        <v>302</v>
      </c>
      <c r="C9" s="573" t="s">
        <v>1553</v>
      </c>
      <c r="D9" s="573" t="s">
        <v>2356</v>
      </c>
      <c r="E9" s="573" t="s">
        <v>2356</v>
      </c>
      <c r="F9" s="573" t="s">
        <v>2356</v>
      </c>
      <c r="G9" s="574"/>
      <c r="H9" s="442"/>
      <c r="I9" s="443"/>
      <c r="J9" s="439" t="s">
        <v>302</v>
      </c>
      <c r="K9" s="573" t="s">
        <v>2356</v>
      </c>
      <c r="L9" s="573" t="s">
        <v>2356</v>
      </c>
      <c r="M9" s="573" t="s">
        <v>2356</v>
      </c>
      <c r="N9" s="573" t="s">
        <v>2356</v>
      </c>
      <c r="O9" s="611"/>
      <c r="P9" s="442"/>
    </row>
    <row r="10" spans="1:17" ht="46.5" customHeight="1" x14ac:dyDescent="0.3">
      <c r="B10" s="444" t="s">
        <v>304</v>
      </c>
      <c r="C10" s="445" t="s">
        <v>1554</v>
      </c>
      <c r="D10" s="445" t="s">
        <v>2357</v>
      </c>
      <c r="E10" s="445" t="s">
        <v>2357</v>
      </c>
      <c r="F10" s="445" t="s">
        <v>2357</v>
      </c>
      <c r="G10" s="574"/>
      <c r="H10" s="446"/>
      <c r="I10" s="443"/>
      <c r="J10" s="444" t="s">
        <v>304</v>
      </c>
      <c r="K10" s="445" t="s">
        <v>2357</v>
      </c>
      <c r="L10" s="445" t="s">
        <v>2357</v>
      </c>
      <c r="M10" s="445" t="s">
        <v>2357</v>
      </c>
      <c r="N10" s="445" t="s">
        <v>2357</v>
      </c>
      <c r="O10" s="612"/>
      <c r="P10" s="446"/>
    </row>
    <row r="11" spans="1:17" ht="18.75" customHeight="1" x14ac:dyDescent="0.3">
      <c r="A11" s="447"/>
      <c r="B11" s="448" t="s">
        <v>306</v>
      </c>
      <c r="C11" s="575">
        <f>(C17*C18)+(C22*C23)</f>
        <v>56.179794707000006</v>
      </c>
      <c r="D11" s="575">
        <f>(D17*D18)+(D22*D23)</f>
        <v>0</v>
      </c>
      <c r="E11" s="575">
        <f>(E17*E18)+(E22*E23)</f>
        <v>0</v>
      </c>
      <c r="F11" s="575">
        <f>(F17*F18)+(F22*F23)</f>
        <v>0</v>
      </c>
      <c r="G11" s="576"/>
      <c r="H11" s="451">
        <f t="shared" ref="H11:H12" si="0">SUM(C11:F11)</f>
        <v>56.179794707000006</v>
      </c>
      <c r="I11" s="452"/>
      <c r="J11" s="448" t="s">
        <v>306</v>
      </c>
      <c r="K11" s="1089">
        <f>(K17*K18)+(K22*K23)</f>
        <v>0</v>
      </c>
      <c r="L11" s="613">
        <f>(L17*L18)+(L22*L23)</f>
        <v>0</v>
      </c>
      <c r="M11" s="613">
        <f>(M17*M18)+(M22*M23)</f>
        <v>0</v>
      </c>
      <c r="N11" s="613">
        <f>(N17*N18)+(N22*N23)</f>
        <v>0</v>
      </c>
      <c r="O11" s="614"/>
      <c r="P11" s="451">
        <f t="shared" ref="P11:P12" si="1">SUM(K11:N11)</f>
        <v>0</v>
      </c>
      <c r="Q11" s="447"/>
    </row>
    <row r="12" spans="1:17" ht="18.75" customHeight="1" x14ac:dyDescent="0.3">
      <c r="A12" s="447"/>
      <c r="B12" s="453" t="s">
        <v>307</v>
      </c>
      <c r="C12" s="577">
        <f t="shared" ref="C12:F12" si="2">(C27*C28)+(C32*C33)</f>
        <v>0.20861550000000001</v>
      </c>
      <c r="D12" s="652">
        <f t="shared" si="2"/>
        <v>0</v>
      </c>
      <c r="E12" s="653">
        <f t="shared" si="2"/>
        <v>0</v>
      </c>
      <c r="F12" s="577">
        <f t="shared" si="2"/>
        <v>0</v>
      </c>
      <c r="G12" s="455"/>
      <c r="H12" s="456">
        <f t="shared" si="0"/>
        <v>0.20861550000000001</v>
      </c>
      <c r="I12" s="457"/>
      <c r="J12" s="453" t="s">
        <v>307</v>
      </c>
      <c r="K12" s="577">
        <f t="shared" ref="K12:N12" si="3">(K27*K28)+(K32*K33)</f>
        <v>0</v>
      </c>
      <c r="L12" s="577">
        <f t="shared" si="3"/>
        <v>0</v>
      </c>
      <c r="M12" s="577">
        <f t="shared" si="3"/>
        <v>0</v>
      </c>
      <c r="N12" s="577">
        <f t="shared" si="3"/>
        <v>0</v>
      </c>
      <c r="O12" s="614"/>
      <c r="P12" s="456">
        <f t="shared" si="1"/>
        <v>0</v>
      </c>
      <c r="Q12" s="447"/>
    </row>
    <row r="13" spans="1:17" ht="18.75" customHeight="1" x14ac:dyDescent="0.3">
      <c r="A13" s="447"/>
      <c r="B13" s="448" t="s">
        <v>308</v>
      </c>
      <c r="C13" s="458" t="s">
        <v>8</v>
      </c>
      <c r="D13" s="1131" t="s">
        <v>8</v>
      </c>
      <c r="E13" s="654" t="s">
        <v>8</v>
      </c>
      <c r="F13" s="578" t="s">
        <v>8</v>
      </c>
      <c r="G13" s="459"/>
      <c r="H13" s="460"/>
      <c r="I13" s="461"/>
      <c r="J13" s="448" t="s">
        <v>308</v>
      </c>
      <c r="K13" s="654" t="s">
        <v>8</v>
      </c>
      <c r="L13" s="578" t="s">
        <v>8</v>
      </c>
      <c r="M13" s="654" t="s">
        <v>8</v>
      </c>
      <c r="N13" s="578" t="s">
        <v>8</v>
      </c>
      <c r="O13" s="615"/>
      <c r="P13" s="460"/>
      <c r="Q13" s="447"/>
    </row>
    <row r="14" spans="1:17" ht="18.75" customHeight="1" x14ac:dyDescent="0.3">
      <c r="A14" s="447"/>
      <c r="B14" s="462" t="s">
        <v>309</v>
      </c>
      <c r="C14" s="655">
        <f t="shared" ref="C14:F14" si="4">C11-C12</f>
        <v>55.971179207000006</v>
      </c>
      <c r="D14" s="579">
        <f t="shared" si="4"/>
        <v>0</v>
      </c>
      <c r="E14" s="655">
        <f t="shared" si="4"/>
        <v>0</v>
      </c>
      <c r="F14" s="2945">
        <f t="shared" si="4"/>
        <v>0</v>
      </c>
      <c r="G14" s="2946"/>
      <c r="H14" s="464">
        <f>SUM(C14:F14)</f>
        <v>55.971179207000006</v>
      </c>
      <c r="I14" s="457"/>
      <c r="J14" s="462" t="s">
        <v>309</v>
      </c>
      <c r="K14" s="655">
        <f t="shared" ref="K14:N14" si="5">K11-K12</f>
        <v>0</v>
      </c>
      <c r="L14" s="579">
        <f t="shared" si="5"/>
        <v>0</v>
      </c>
      <c r="M14" s="655">
        <f t="shared" si="5"/>
        <v>0</v>
      </c>
      <c r="N14" s="579">
        <f t="shared" si="5"/>
        <v>0</v>
      </c>
      <c r="O14" s="614"/>
      <c r="P14" s="464">
        <f>SUM(K14:N14)</f>
        <v>0</v>
      </c>
      <c r="Q14" s="447"/>
    </row>
    <row r="15" spans="1:17" ht="19.5" customHeight="1" x14ac:dyDescent="0.4">
      <c r="B15" s="465" t="s">
        <v>310</v>
      </c>
      <c r="C15" s="656"/>
      <c r="D15" s="657"/>
      <c r="E15" s="658"/>
      <c r="F15" s="656"/>
      <c r="G15" s="2947"/>
      <c r="H15" s="468"/>
      <c r="I15" s="467"/>
      <c r="J15" s="616" t="s">
        <v>395</v>
      </c>
      <c r="K15" s="659"/>
      <c r="L15" s="617"/>
      <c r="M15" s="659"/>
      <c r="N15" s="617"/>
      <c r="O15" s="618"/>
      <c r="P15" s="468"/>
      <c r="Q15" s="427"/>
    </row>
    <row r="16" spans="1:17" ht="35.4" customHeight="1" x14ac:dyDescent="0.3">
      <c r="A16" s="447"/>
      <c r="B16" s="469" t="s">
        <v>311</v>
      </c>
      <c r="C16" s="2948" t="s">
        <v>1222</v>
      </c>
      <c r="D16" s="601" t="s">
        <v>2358</v>
      </c>
      <c r="E16" s="601" t="s">
        <v>2358</v>
      </c>
      <c r="F16" s="601" t="s">
        <v>2358</v>
      </c>
      <c r="G16" s="581"/>
      <c r="H16" s="471"/>
      <c r="I16" s="457"/>
      <c r="J16" s="469" t="s">
        <v>311</v>
      </c>
      <c r="K16" s="601" t="s">
        <v>2358</v>
      </c>
      <c r="L16" s="601" t="s">
        <v>2358</v>
      </c>
      <c r="M16" s="601" t="s">
        <v>2358</v>
      </c>
      <c r="N16" s="601" t="s">
        <v>2358</v>
      </c>
      <c r="O16" s="619"/>
      <c r="P16" s="620"/>
      <c r="Q16" s="447"/>
    </row>
    <row r="17" spans="1:17" ht="21" customHeight="1" x14ac:dyDescent="0.3">
      <c r="A17" s="447"/>
      <c r="B17" s="472" t="s">
        <v>313</v>
      </c>
      <c r="C17" s="582">
        <f>'CF-0204|GDS'!T10</f>
        <v>20549</v>
      </c>
      <c r="D17" s="660">
        <v>0</v>
      </c>
      <c r="E17" s="661">
        <v>0</v>
      </c>
      <c r="F17" s="582">
        <v>0</v>
      </c>
      <c r="G17" s="583"/>
      <c r="I17" s="475"/>
      <c r="J17" s="472" t="s">
        <v>398</v>
      </c>
      <c r="K17" s="662">
        <v>0</v>
      </c>
      <c r="L17" s="662">
        <v>0</v>
      </c>
      <c r="M17" s="662">
        <v>0</v>
      </c>
      <c r="N17" s="621">
        <v>0</v>
      </c>
      <c r="O17" s="622"/>
      <c r="P17" s="623"/>
      <c r="Q17" s="447"/>
    </row>
    <row r="18" spans="1:17" ht="18.75" customHeight="1" x14ac:dyDescent="0.3">
      <c r="A18" s="447"/>
      <c r="B18" s="476" t="s">
        <v>314</v>
      </c>
      <c r="C18" s="584">
        <v>2.7339430000000004E-3</v>
      </c>
      <c r="D18" s="584">
        <v>0</v>
      </c>
      <c r="E18" s="584">
        <v>0</v>
      </c>
      <c r="F18" s="584">
        <v>0</v>
      </c>
      <c r="G18" s="478"/>
      <c r="I18" s="479"/>
      <c r="J18" s="476" t="s">
        <v>314</v>
      </c>
      <c r="K18" s="584">
        <v>0</v>
      </c>
      <c r="L18" s="584">
        <v>0</v>
      </c>
      <c r="M18" s="584">
        <v>0</v>
      </c>
      <c r="N18" s="584">
        <v>0</v>
      </c>
      <c r="O18" s="614"/>
      <c r="P18" s="491"/>
      <c r="Q18" s="447"/>
    </row>
    <row r="19" spans="1:17" ht="19.5" customHeight="1" x14ac:dyDescent="0.3">
      <c r="A19" s="447"/>
      <c r="B19" s="480" t="s">
        <v>315</v>
      </c>
      <c r="C19" s="663">
        <f>C17*C18</f>
        <v>56.179794707000006</v>
      </c>
      <c r="D19" s="664">
        <f>D17*D18</f>
        <v>0</v>
      </c>
      <c r="E19" s="585">
        <f>E17*E18</f>
        <v>0</v>
      </c>
      <c r="F19" s="585">
        <f>F17*F18</f>
        <v>0</v>
      </c>
      <c r="G19" s="586"/>
      <c r="I19" s="479"/>
      <c r="J19" s="480" t="s">
        <v>315</v>
      </c>
      <c r="K19" s="664">
        <f>K17*K18</f>
        <v>0</v>
      </c>
      <c r="L19" s="663">
        <f>L17*L18</f>
        <v>0</v>
      </c>
      <c r="M19" s="664">
        <f>M17*M18</f>
        <v>0</v>
      </c>
      <c r="N19" s="585">
        <f>N17*N18</f>
        <v>0</v>
      </c>
      <c r="O19" s="614"/>
      <c r="P19" s="494"/>
      <c r="Q19" s="447"/>
    </row>
    <row r="20" spans="1:17" ht="19.5" hidden="1" customHeight="1" x14ac:dyDescent="0.4">
      <c r="B20" s="465" t="s">
        <v>310</v>
      </c>
      <c r="C20" s="656"/>
      <c r="D20" s="657"/>
      <c r="E20" s="658"/>
      <c r="F20" s="580"/>
      <c r="G20" s="467"/>
      <c r="I20" s="467"/>
      <c r="J20" s="465"/>
      <c r="K20" s="656"/>
      <c r="L20" s="657"/>
      <c r="M20" s="656"/>
      <c r="N20" s="657"/>
      <c r="O20" s="618"/>
      <c r="P20" s="467"/>
    </row>
    <row r="21" spans="1:17" ht="37.950000000000003" hidden="1" customHeight="1" x14ac:dyDescent="0.3">
      <c r="A21" s="447"/>
      <c r="B21" s="469" t="s">
        <v>311</v>
      </c>
      <c r="C21" s="601" t="s">
        <v>2359</v>
      </c>
      <c r="D21" s="601" t="s">
        <v>2358</v>
      </c>
      <c r="E21" s="601" t="s">
        <v>2358</v>
      </c>
      <c r="F21" s="601" t="s">
        <v>2358</v>
      </c>
      <c r="G21" s="1094"/>
      <c r="I21" s="457"/>
      <c r="J21" s="469"/>
      <c r="K21" s="601"/>
      <c r="L21" s="601"/>
      <c r="M21" s="601"/>
      <c r="N21" s="601"/>
      <c r="O21" s="619"/>
      <c r="P21" s="620"/>
      <c r="Q21" s="447"/>
    </row>
    <row r="22" spans="1:17" ht="21" hidden="1" customHeight="1" x14ac:dyDescent="0.3">
      <c r="A22" s="447"/>
      <c r="B22" s="472" t="s">
        <v>2342</v>
      </c>
      <c r="C22" s="661">
        <v>0</v>
      </c>
      <c r="D22" s="661">
        <v>0</v>
      </c>
      <c r="E22" s="661">
        <v>0</v>
      </c>
      <c r="F22" s="661">
        <v>0</v>
      </c>
      <c r="G22" s="583"/>
      <c r="I22" s="475"/>
      <c r="J22" s="472"/>
      <c r="K22" s="662"/>
      <c r="L22" s="662"/>
      <c r="M22" s="662"/>
      <c r="N22" s="621"/>
      <c r="O22" s="622"/>
      <c r="P22" s="623"/>
      <c r="Q22" s="447"/>
    </row>
    <row r="23" spans="1:17" ht="18.75" hidden="1" customHeight="1" x14ac:dyDescent="0.3">
      <c r="A23" s="447"/>
      <c r="B23" s="476" t="s">
        <v>314</v>
      </c>
      <c r="C23" s="584">
        <v>0</v>
      </c>
      <c r="D23" s="584">
        <v>0</v>
      </c>
      <c r="E23" s="584">
        <v>0</v>
      </c>
      <c r="F23" s="584">
        <v>0</v>
      </c>
      <c r="G23" s="586"/>
      <c r="H23" s="1095"/>
      <c r="I23" s="479"/>
      <c r="J23" s="476"/>
      <c r="K23" s="584"/>
      <c r="L23" s="584"/>
      <c r="M23" s="584"/>
      <c r="N23" s="584"/>
      <c r="O23" s="614"/>
      <c r="P23" s="491"/>
      <c r="Q23" s="447"/>
    </row>
    <row r="24" spans="1:17" ht="19.5" hidden="1" customHeight="1" x14ac:dyDescent="0.3">
      <c r="A24" s="447"/>
      <c r="B24" s="480" t="s">
        <v>315</v>
      </c>
      <c r="C24" s="663">
        <f>C22*C23</f>
        <v>0</v>
      </c>
      <c r="D24" s="664">
        <f>D22*D23</f>
        <v>0</v>
      </c>
      <c r="E24" s="585">
        <f>E22*E23</f>
        <v>0</v>
      </c>
      <c r="F24" s="585">
        <f>F22*F23</f>
        <v>0</v>
      </c>
      <c r="G24" s="586"/>
      <c r="H24" s="1096"/>
      <c r="I24" s="479"/>
      <c r="J24" s="480"/>
      <c r="K24" s="663"/>
      <c r="L24" s="663"/>
      <c r="M24" s="663"/>
      <c r="N24" s="664"/>
      <c r="O24" s="614"/>
      <c r="P24" s="494"/>
      <c r="Q24" s="447"/>
    </row>
    <row r="25" spans="1:17" ht="21" customHeight="1" x14ac:dyDescent="0.4">
      <c r="B25" s="465" t="s">
        <v>316</v>
      </c>
      <c r="C25" s="2949"/>
      <c r="D25" s="1144"/>
      <c r="E25" s="665"/>
      <c r="F25" s="587"/>
      <c r="G25" s="483"/>
      <c r="H25" s="484"/>
      <c r="I25" s="483"/>
      <c r="J25" s="465" t="s">
        <v>316</v>
      </c>
      <c r="K25" s="665"/>
      <c r="L25" s="587"/>
      <c r="M25" s="665"/>
      <c r="N25" s="587"/>
      <c r="O25" s="618"/>
      <c r="P25" s="495"/>
    </row>
    <row r="26" spans="1:17" ht="32.4" customHeight="1" x14ac:dyDescent="0.3">
      <c r="A26" s="447"/>
      <c r="B26" s="469" t="s">
        <v>183</v>
      </c>
      <c r="C26" s="2948" t="s">
        <v>352</v>
      </c>
      <c r="D26" s="601" t="s">
        <v>2359</v>
      </c>
      <c r="E26" s="601" t="s">
        <v>2359</v>
      </c>
      <c r="F26" s="601" t="s">
        <v>2359</v>
      </c>
      <c r="G26" s="588"/>
      <c r="H26" s="485"/>
      <c r="I26" s="479"/>
      <c r="J26" s="469" t="s">
        <v>183</v>
      </c>
      <c r="K26" s="601" t="s">
        <v>2359</v>
      </c>
      <c r="L26" s="601" t="s">
        <v>2359</v>
      </c>
      <c r="M26" s="601" t="s">
        <v>2359</v>
      </c>
      <c r="N26" s="601" t="s">
        <v>2359</v>
      </c>
      <c r="O26" s="614"/>
      <c r="P26" s="496"/>
      <c r="Q26" s="447"/>
    </row>
    <row r="27" spans="1:17" ht="21" customHeight="1" x14ac:dyDescent="0.3">
      <c r="A27" s="447"/>
      <c r="B27" s="486" t="s">
        <v>319</v>
      </c>
      <c r="C27" s="666">
        <f>'CF-0204|GDS'!I11</f>
        <v>122715</v>
      </c>
      <c r="D27" s="589">
        <v>0</v>
      </c>
      <c r="E27" s="666">
        <v>0</v>
      </c>
      <c r="F27" s="2950">
        <v>0</v>
      </c>
      <c r="G27" s="2951"/>
      <c r="H27" s="488"/>
      <c r="I27" s="479"/>
      <c r="J27" s="486" t="s">
        <v>398</v>
      </c>
      <c r="K27" s="666">
        <f>K17</f>
        <v>0</v>
      </c>
      <c r="L27" s="589">
        <f>L17</f>
        <v>0</v>
      </c>
      <c r="M27" s="666">
        <f>M17</f>
        <v>0</v>
      </c>
      <c r="N27" s="589">
        <f>N17</f>
        <v>0</v>
      </c>
      <c r="O27" s="622"/>
      <c r="P27" s="623"/>
      <c r="Q27" s="447"/>
    </row>
    <row r="28" spans="1:17" ht="21" customHeight="1" x14ac:dyDescent="0.3">
      <c r="A28" s="447"/>
      <c r="B28" s="489" t="s">
        <v>314</v>
      </c>
      <c r="C28" s="590">
        <v>1.7E-6</v>
      </c>
      <c r="D28" s="590">
        <f>C28</f>
        <v>1.7E-6</v>
      </c>
      <c r="E28" s="590">
        <v>0</v>
      </c>
      <c r="F28" s="590">
        <v>0</v>
      </c>
      <c r="G28" s="588"/>
      <c r="H28" s="491"/>
      <c r="I28" s="479"/>
      <c r="J28" s="489" t="s">
        <v>314</v>
      </c>
      <c r="K28" s="590">
        <v>0</v>
      </c>
      <c r="L28" s="590">
        <v>0</v>
      </c>
      <c r="M28" s="590">
        <v>0</v>
      </c>
      <c r="N28" s="590">
        <v>0</v>
      </c>
      <c r="O28" s="614"/>
      <c r="P28" s="491"/>
      <c r="Q28" s="447"/>
    </row>
    <row r="29" spans="1:17" ht="21" customHeight="1" x14ac:dyDescent="0.3">
      <c r="A29" s="447"/>
      <c r="B29" s="492" t="s">
        <v>315</v>
      </c>
      <c r="C29" s="668">
        <f t="shared" ref="C29:F29" si="6">C27*C28</f>
        <v>0.20861550000000001</v>
      </c>
      <c r="D29" s="668">
        <f t="shared" si="6"/>
        <v>0</v>
      </c>
      <c r="E29" s="668">
        <f t="shared" si="6"/>
        <v>0</v>
      </c>
      <c r="F29" s="591">
        <f t="shared" si="6"/>
        <v>0</v>
      </c>
      <c r="G29" s="588"/>
      <c r="H29" s="494"/>
      <c r="I29" s="479"/>
      <c r="J29" s="492" t="s">
        <v>315</v>
      </c>
      <c r="K29" s="668">
        <f t="shared" ref="K29:N29" si="7">K27*K28</f>
        <v>0</v>
      </c>
      <c r="L29" s="591">
        <f t="shared" si="7"/>
        <v>0</v>
      </c>
      <c r="M29" s="624">
        <f t="shared" si="7"/>
        <v>0</v>
      </c>
      <c r="N29" s="624">
        <f t="shared" si="7"/>
        <v>0</v>
      </c>
      <c r="O29" s="614"/>
      <c r="P29" s="494"/>
      <c r="Q29" s="447"/>
    </row>
    <row r="30" spans="1:17" ht="21" hidden="1" customHeight="1" x14ac:dyDescent="0.4">
      <c r="B30" s="465" t="s">
        <v>316</v>
      </c>
      <c r="C30" s="665"/>
      <c r="D30" s="587"/>
      <c r="E30" s="665"/>
      <c r="F30" s="587"/>
      <c r="G30" s="483"/>
      <c r="H30" s="495"/>
      <c r="I30" s="483"/>
      <c r="J30" s="465"/>
      <c r="K30" s="665"/>
      <c r="L30" s="587"/>
      <c r="M30" s="665"/>
      <c r="N30" s="587"/>
      <c r="O30" s="618"/>
      <c r="P30" s="495"/>
    </row>
    <row r="31" spans="1:17" ht="30.6" hidden="1" customHeight="1" x14ac:dyDescent="0.3">
      <c r="A31" s="447"/>
      <c r="B31" s="469" t="s">
        <v>183</v>
      </c>
      <c r="C31" s="601" t="s">
        <v>2359</v>
      </c>
      <c r="D31" s="601" t="s">
        <v>2359</v>
      </c>
      <c r="E31" s="601" t="s">
        <v>2359</v>
      </c>
      <c r="F31" s="601" t="s">
        <v>2359</v>
      </c>
      <c r="G31" s="588"/>
      <c r="H31" s="496"/>
      <c r="I31" s="479"/>
      <c r="J31" s="469"/>
      <c r="K31" s="601"/>
      <c r="L31" s="601"/>
      <c r="M31" s="601"/>
      <c r="N31" s="601"/>
      <c r="O31" s="614"/>
      <c r="P31" s="496"/>
      <c r="Q31" s="447"/>
    </row>
    <row r="32" spans="1:17" ht="21" hidden="1" customHeight="1" x14ac:dyDescent="0.3">
      <c r="A32" s="447"/>
      <c r="B32" s="486" t="s">
        <v>2342</v>
      </c>
      <c r="C32" s="666">
        <v>0</v>
      </c>
      <c r="D32" s="589">
        <v>0</v>
      </c>
      <c r="E32" s="666">
        <v>0</v>
      </c>
      <c r="F32" s="589">
        <v>0</v>
      </c>
      <c r="G32" s="479"/>
      <c r="H32" s="488"/>
      <c r="I32" s="479"/>
      <c r="J32" s="486"/>
      <c r="K32" s="666"/>
      <c r="L32" s="589"/>
      <c r="M32" s="666"/>
      <c r="N32" s="589"/>
      <c r="O32" s="622"/>
      <c r="P32" s="623"/>
      <c r="Q32" s="447"/>
    </row>
    <row r="33" spans="1:17" ht="21" hidden="1" customHeight="1" x14ac:dyDescent="0.3">
      <c r="A33" s="447"/>
      <c r="B33" s="489" t="s">
        <v>314</v>
      </c>
      <c r="C33" s="590">
        <v>0</v>
      </c>
      <c r="D33" s="590">
        <v>0</v>
      </c>
      <c r="E33" s="590">
        <v>0</v>
      </c>
      <c r="F33" s="590">
        <v>0</v>
      </c>
      <c r="G33" s="588"/>
      <c r="H33" s="491"/>
      <c r="I33" s="479"/>
      <c r="J33" s="489"/>
      <c r="K33" s="625"/>
      <c r="L33" s="669"/>
      <c r="M33" s="590"/>
      <c r="N33" s="625"/>
      <c r="O33" s="614"/>
      <c r="P33" s="491"/>
      <c r="Q33" s="447"/>
    </row>
    <row r="34" spans="1:17" ht="21" hidden="1" customHeight="1" x14ac:dyDescent="0.3">
      <c r="A34" s="447"/>
      <c r="B34" s="492" t="s">
        <v>315</v>
      </c>
      <c r="C34" s="668">
        <f t="shared" ref="C34:F34" si="8">C32*C33</f>
        <v>0</v>
      </c>
      <c r="D34" s="668">
        <f t="shared" si="8"/>
        <v>0</v>
      </c>
      <c r="E34" s="668">
        <f t="shared" si="8"/>
        <v>0</v>
      </c>
      <c r="F34" s="591">
        <f t="shared" si="8"/>
        <v>0</v>
      </c>
      <c r="G34" s="588"/>
      <c r="H34" s="494"/>
      <c r="I34" s="479"/>
      <c r="J34" s="492"/>
      <c r="K34" s="591"/>
      <c r="L34" s="624"/>
      <c r="M34" s="668"/>
      <c r="N34" s="591"/>
      <c r="O34" s="614"/>
      <c r="P34" s="494"/>
      <c r="Q34" s="447"/>
    </row>
    <row r="35" spans="1:17" ht="28.5" customHeight="1" x14ac:dyDescent="0.3">
      <c r="A35" s="447"/>
      <c r="B35" s="498" t="s">
        <v>320</v>
      </c>
      <c r="C35" s="592" t="s">
        <v>321</v>
      </c>
      <c r="D35" s="592" t="s">
        <v>1625</v>
      </c>
      <c r="E35" s="592" t="s">
        <v>1625</v>
      </c>
      <c r="F35" s="592" t="s">
        <v>1625</v>
      </c>
      <c r="G35" s="593"/>
      <c r="H35" s="501"/>
      <c r="I35" s="500"/>
      <c r="J35" s="498" t="s">
        <v>320</v>
      </c>
      <c r="K35" s="626" t="s">
        <v>1625</v>
      </c>
      <c r="L35" s="626" t="s">
        <v>1625</v>
      </c>
      <c r="M35" s="626" t="s">
        <v>1625</v>
      </c>
      <c r="N35" s="626" t="s">
        <v>1625</v>
      </c>
      <c r="O35" s="614"/>
      <c r="P35" s="496"/>
      <c r="Q35" s="447"/>
    </row>
    <row r="36" spans="1:17" ht="24" customHeight="1" x14ac:dyDescent="0.3">
      <c r="B36" s="502" t="s">
        <v>322</v>
      </c>
      <c r="C36" s="673">
        <v>3</v>
      </c>
      <c r="D36" s="594">
        <v>3</v>
      </c>
      <c r="E36" s="673">
        <v>3</v>
      </c>
      <c r="F36" s="2952">
        <v>3</v>
      </c>
      <c r="G36" s="2953"/>
      <c r="H36" s="505"/>
      <c r="I36" s="504"/>
      <c r="J36" s="502" t="s">
        <v>322</v>
      </c>
      <c r="K36" s="674">
        <v>13</v>
      </c>
      <c r="L36" s="596">
        <v>13</v>
      </c>
      <c r="M36" s="674">
        <v>13</v>
      </c>
      <c r="N36" s="596">
        <v>13</v>
      </c>
      <c r="O36" s="618"/>
      <c r="P36" s="495"/>
    </row>
    <row r="37" spans="1:17" ht="33" customHeight="1" x14ac:dyDescent="0.3">
      <c r="A37" s="447"/>
      <c r="B37" s="506" t="s">
        <v>323</v>
      </c>
      <c r="C37" s="496" t="s">
        <v>324</v>
      </c>
      <c r="D37" s="595" t="s">
        <v>324</v>
      </c>
      <c r="E37" s="496" t="s">
        <v>324</v>
      </c>
      <c r="F37" s="2954" t="s">
        <v>324</v>
      </c>
      <c r="G37" s="2951"/>
      <c r="H37" s="496"/>
      <c r="I37" s="479"/>
      <c r="J37" s="506" t="s">
        <v>323</v>
      </c>
      <c r="K37" s="496" t="s">
        <v>324</v>
      </c>
      <c r="L37" s="595" t="s">
        <v>324</v>
      </c>
      <c r="M37" s="496" t="s">
        <v>324</v>
      </c>
      <c r="N37" s="595" t="s">
        <v>324</v>
      </c>
      <c r="O37" s="614"/>
      <c r="P37" s="496"/>
      <c r="Q37" s="447"/>
    </row>
    <row r="38" spans="1:17" ht="33" customHeight="1" x14ac:dyDescent="0.3">
      <c r="A38" s="447"/>
      <c r="B38" s="508" t="s">
        <v>325</v>
      </c>
      <c r="C38" s="509" t="s">
        <v>326</v>
      </c>
      <c r="D38" s="1154" t="s">
        <v>326</v>
      </c>
      <c r="E38" s="674" t="s">
        <v>326</v>
      </c>
      <c r="F38" s="596" t="s">
        <v>326</v>
      </c>
      <c r="G38" s="479"/>
      <c r="H38" s="496"/>
      <c r="I38" s="479"/>
      <c r="J38" s="508" t="s">
        <v>325</v>
      </c>
      <c r="K38" s="674" t="s">
        <v>326</v>
      </c>
      <c r="L38" s="596" t="s">
        <v>326</v>
      </c>
      <c r="M38" s="674" t="s">
        <v>326</v>
      </c>
      <c r="N38" s="627" t="s">
        <v>326</v>
      </c>
      <c r="O38" s="614"/>
      <c r="P38" s="496"/>
      <c r="Q38" s="447"/>
    </row>
    <row r="39" spans="1:17" ht="33" customHeight="1" x14ac:dyDescent="0.3">
      <c r="A39" s="447"/>
      <c r="B39" s="506" t="s">
        <v>327</v>
      </c>
      <c r="C39" s="595" t="s">
        <v>433</v>
      </c>
      <c r="D39" s="595" t="s">
        <v>729</v>
      </c>
      <c r="E39" s="595" t="s">
        <v>729</v>
      </c>
      <c r="F39" s="595" t="s">
        <v>729</v>
      </c>
      <c r="G39" s="479"/>
      <c r="H39" s="496"/>
      <c r="I39" s="479"/>
      <c r="J39" s="506" t="s">
        <v>327</v>
      </c>
      <c r="K39" s="595" t="s">
        <v>402</v>
      </c>
      <c r="L39" s="595" t="s">
        <v>402</v>
      </c>
      <c r="M39" s="595" t="s">
        <v>402</v>
      </c>
      <c r="N39" s="595" t="s">
        <v>402</v>
      </c>
      <c r="O39" s="614"/>
      <c r="P39" s="496"/>
      <c r="Q39" s="447"/>
    </row>
    <row r="40" spans="1:17" ht="21" customHeight="1" x14ac:dyDescent="0.3">
      <c r="B40" s="510" t="s">
        <v>329</v>
      </c>
      <c r="C40" s="596">
        <v>1</v>
      </c>
      <c r="D40" s="596">
        <v>0</v>
      </c>
      <c r="E40" s="596">
        <v>0</v>
      </c>
      <c r="F40" s="596">
        <v>0</v>
      </c>
      <c r="G40" s="467"/>
      <c r="H40" s="467"/>
      <c r="I40" s="467"/>
      <c r="J40" s="510" t="s">
        <v>329</v>
      </c>
      <c r="K40" s="596">
        <v>0</v>
      </c>
      <c r="L40" s="596">
        <v>0</v>
      </c>
      <c r="M40" s="596">
        <v>0</v>
      </c>
      <c r="N40" s="596">
        <v>0</v>
      </c>
      <c r="O40" s="618"/>
      <c r="P40" s="467"/>
    </row>
    <row r="41" spans="1:17" ht="21" customHeight="1" x14ac:dyDescent="0.3">
      <c r="B41" s="453" t="s">
        <v>330</v>
      </c>
      <c r="C41" s="507" t="s">
        <v>324</v>
      </c>
      <c r="D41" s="1156" t="s">
        <v>324</v>
      </c>
      <c r="E41" s="496" t="s">
        <v>324</v>
      </c>
      <c r="F41" s="595" t="s">
        <v>324</v>
      </c>
      <c r="G41" s="483"/>
      <c r="H41" s="495"/>
      <c r="I41" s="483"/>
      <c r="J41" s="453" t="s">
        <v>330</v>
      </c>
      <c r="K41" s="496" t="s">
        <v>324</v>
      </c>
      <c r="L41" s="595" t="s">
        <v>324</v>
      </c>
      <c r="M41" s="496" t="s">
        <v>324</v>
      </c>
      <c r="N41" s="595" t="s">
        <v>324</v>
      </c>
      <c r="O41" s="618"/>
      <c r="P41" s="495"/>
    </row>
    <row r="42" spans="1:17" ht="21" customHeight="1" x14ac:dyDescent="0.3">
      <c r="B42" s="510" t="s">
        <v>331</v>
      </c>
      <c r="C42" s="509" t="s">
        <v>324</v>
      </c>
      <c r="D42" s="1154" t="s">
        <v>324</v>
      </c>
      <c r="E42" s="674" t="s">
        <v>324</v>
      </c>
      <c r="F42" s="596" t="s">
        <v>324</v>
      </c>
      <c r="G42" s="483"/>
      <c r="H42" s="495"/>
      <c r="I42" s="483"/>
      <c r="J42" s="510" t="s">
        <v>331</v>
      </c>
      <c r="K42" s="674" t="s">
        <v>324</v>
      </c>
      <c r="L42" s="596" t="s">
        <v>324</v>
      </c>
      <c r="M42" s="674" t="s">
        <v>324</v>
      </c>
      <c r="N42" s="596" t="s">
        <v>324</v>
      </c>
      <c r="O42" s="618"/>
      <c r="P42" s="495"/>
    </row>
    <row r="43" spans="1:17" ht="21" customHeight="1" x14ac:dyDescent="0.3">
      <c r="B43" s="462" t="s">
        <v>332</v>
      </c>
      <c r="C43" s="675" t="s">
        <v>333</v>
      </c>
      <c r="D43" s="555" t="s">
        <v>333</v>
      </c>
      <c r="E43" s="676" t="s">
        <v>333</v>
      </c>
      <c r="F43" s="675" t="s">
        <v>333</v>
      </c>
      <c r="G43" s="2955"/>
      <c r="H43" s="495"/>
      <c r="I43" s="483"/>
      <c r="J43" s="462" t="s">
        <v>332</v>
      </c>
      <c r="K43" s="675" t="s">
        <v>333</v>
      </c>
      <c r="L43" s="555" t="s">
        <v>333</v>
      </c>
      <c r="M43" s="676" t="s">
        <v>333</v>
      </c>
      <c r="N43" s="555" t="s">
        <v>333</v>
      </c>
      <c r="O43" s="618"/>
      <c r="P43" s="495"/>
    </row>
    <row r="44" spans="1:17" ht="15.75" customHeight="1" x14ac:dyDescent="0.3">
      <c r="B44" s="427"/>
      <c r="C44" s="427"/>
      <c r="D44" s="427"/>
      <c r="E44" s="427"/>
      <c r="F44" s="427"/>
      <c r="G44" s="483"/>
      <c r="H44" s="483"/>
      <c r="I44" s="483"/>
      <c r="J44" s="427"/>
      <c r="O44" s="427"/>
      <c r="P44" s="427"/>
    </row>
    <row r="45" spans="1:17" ht="15.75" customHeight="1" x14ac:dyDescent="0.3">
      <c r="B45" s="512" t="s">
        <v>334</v>
      </c>
      <c r="C45" s="427"/>
      <c r="D45" s="427"/>
      <c r="E45" s="427"/>
      <c r="F45" s="427"/>
      <c r="G45" s="483"/>
      <c r="H45" s="483"/>
      <c r="I45" s="483"/>
      <c r="O45" s="427"/>
      <c r="P45" s="427"/>
    </row>
    <row r="46" spans="1:17" ht="15.75" customHeight="1" x14ac:dyDescent="0.3">
      <c r="B46" s="512" t="s">
        <v>335</v>
      </c>
      <c r="C46" s="427"/>
      <c r="D46" s="427"/>
      <c r="E46" s="427"/>
      <c r="F46" s="427"/>
      <c r="G46" s="483"/>
      <c r="H46" s="483"/>
      <c r="I46" s="483"/>
      <c r="O46" s="427"/>
      <c r="P46" s="427"/>
    </row>
    <row r="47" spans="1:17" ht="15.75" customHeight="1" x14ac:dyDescent="0.3">
      <c r="B47" s="512" t="s">
        <v>336</v>
      </c>
      <c r="C47" s="427"/>
      <c r="D47" s="427"/>
      <c r="E47" s="427"/>
      <c r="F47" s="427"/>
      <c r="G47" s="483"/>
      <c r="H47" s="483"/>
      <c r="I47" s="483"/>
      <c r="O47" s="427"/>
      <c r="P47" s="427"/>
    </row>
    <row r="48" spans="1:17" ht="15.75" customHeight="1" x14ac:dyDescent="0.3">
      <c r="B48" s="512" t="s">
        <v>337</v>
      </c>
      <c r="C48" s="427"/>
      <c r="D48" s="427"/>
      <c r="E48" s="427"/>
      <c r="F48" s="427"/>
      <c r="G48" s="483"/>
      <c r="H48" s="483"/>
      <c r="I48" s="483"/>
      <c r="O48" s="427"/>
      <c r="P48" s="427"/>
    </row>
    <row r="49" spans="2:16" ht="15.75" customHeight="1" x14ac:dyDescent="0.3">
      <c r="B49" s="512" t="s">
        <v>338</v>
      </c>
      <c r="G49" s="427"/>
      <c r="I49" s="427"/>
      <c r="O49" s="427"/>
      <c r="P49" s="427"/>
    </row>
    <row r="50" spans="2:16" ht="15.75" customHeight="1" x14ac:dyDescent="0.3">
      <c r="B50" s="512" t="s">
        <v>339</v>
      </c>
      <c r="G50" s="427"/>
      <c r="I50" s="427"/>
      <c r="O50" s="427"/>
      <c r="P50" s="427"/>
    </row>
    <row r="51" spans="2:16" ht="15.75" customHeight="1" x14ac:dyDescent="0.3">
      <c r="G51" s="427"/>
      <c r="I51" s="427"/>
      <c r="O51" s="427"/>
      <c r="P51" s="427"/>
    </row>
    <row r="52" spans="2:16" ht="15.75" customHeight="1" x14ac:dyDescent="0.3">
      <c r="G52" s="427"/>
      <c r="I52" s="427"/>
      <c r="O52" s="427"/>
      <c r="P52" s="427"/>
    </row>
    <row r="53" spans="2:16" ht="15.75" customHeight="1" x14ac:dyDescent="0.3">
      <c r="G53" s="427"/>
      <c r="I53" s="427"/>
      <c r="O53" s="427"/>
      <c r="P53" s="427"/>
    </row>
    <row r="54" spans="2:16" ht="15.75" customHeight="1" x14ac:dyDescent="0.3">
      <c r="G54" s="427"/>
      <c r="I54" s="427"/>
      <c r="O54" s="427"/>
    </row>
    <row r="55" spans="2:16" ht="15.75" customHeight="1" x14ac:dyDescent="0.3">
      <c r="G55" s="427"/>
      <c r="I55" s="427"/>
      <c r="O55" s="427"/>
    </row>
    <row r="56" spans="2:16" ht="15.75" customHeight="1" x14ac:dyDescent="0.3">
      <c r="G56" s="427"/>
      <c r="I56" s="427"/>
      <c r="O56" s="427"/>
    </row>
    <row r="57" spans="2:16" ht="15.75" customHeight="1" x14ac:dyDescent="0.3">
      <c r="G57" s="427"/>
      <c r="I57" s="427"/>
      <c r="O57" s="427"/>
    </row>
    <row r="58" spans="2:16" ht="15.75" customHeight="1" x14ac:dyDescent="0.3">
      <c r="G58" s="427"/>
      <c r="I58" s="427"/>
      <c r="O58" s="427"/>
    </row>
    <row r="59" spans="2:16" ht="15.75" customHeight="1" x14ac:dyDescent="0.3">
      <c r="G59" s="427"/>
      <c r="I59" s="427"/>
      <c r="O59" s="427"/>
    </row>
    <row r="60" spans="2:16" ht="15.75" customHeight="1" x14ac:dyDescent="0.3">
      <c r="G60" s="427"/>
      <c r="I60" s="427"/>
      <c r="O60" s="427"/>
    </row>
    <row r="61" spans="2:16" ht="15.75" customHeight="1" x14ac:dyDescent="0.3">
      <c r="G61" s="427"/>
      <c r="I61" s="427"/>
      <c r="O61" s="427"/>
    </row>
    <row r="62" spans="2:16" ht="15.75" customHeight="1" x14ac:dyDescent="0.3">
      <c r="G62" s="427"/>
      <c r="I62" s="427"/>
      <c r="O62" s="427"/>
    </row>
    <row r="63" spans="2:16" ht="15.75" customHeight="1" x14ac:dyDescent="0.3">
      <c r="G63" s="427"/>
      <c r="I63" s="427"/>
      <c r="O63" s="427"/>
    </row>
    <row r="64" spans="2:16" ht="15.75" customHeight="1" x14ac:dyDescent="0.3">
      <c r="G64" s="427"/>
      <c r="I64" s="427"/>
      <c r="O64" s="427"/>
    </row>
    <row r="65" spans="7:15" ht="15.75" customHeight="1" x14ac:dyDescent="0.3">
      <c r="G65" s="427"/>
      <c r="I65" s="427"/>
      <c r="O65" s="427"/>
    </row>
    <row r="66" spans="7:15" ht="15.75" customHeight="1" x14ac:dyDescent="0.3">
      <c r="G66" s="427"/>
      <c r="I66" s="427"/>
      <c r="O66" s="427"/>
    </row>
    <row r="67" spans="7:15" ht="15.75" customHeight="1" x14ac:dyDescent="0.3">
      <c r="G67" s="427"/>
      <c r="I67" s="427"/>
      <c r="O67" s="427"/>
    </row>
    <row r="68" spans="7:15" ht="15.75" customHeight="1" x14ac:dyDescent="0.3">
      <c r="G68" s="427"/>
      <c r="I68" s="427"/>
      <c r="O68" s="427"/>
    </row>
    <row r="69" spans="7:15" ht="15.75" customHeight="1" x14ac:dyDescent="0.3">
      <c r="G69" s="427"/>
      <c r="I69" s="427"/>
      <c r="O69" s="427"/>
    </row>
    <row r="70" spans="7:15" ht="15.75" customHeight="1" x14ac:dyDescent="0.3">
      <c r="G70" s="427"/>
      <c r="I70" s="427"/>
      <c r="O70" s="427"/>
    </row>
    <row r="71" spans="7:15" ht="15.75" customHeight="1" x14ac:dyDescent="0.3">
      <c r="G71" s="427"/>
      <c r="I71" s="427"/>
      <c r="O71" s="427"/>
    </row>
    <row r="72" spans="7:15" ht="15.75" customHeight="1" x14ac:dyDescent="0.3">
      <c r="G72" s="427"/>
      <c r="I72" s="427"/>
      <c r="O72" s="427"/>
    </row>
    <row r="73" spans="7:15" ht="15.75" customHeight="1" x14ac:dyDescent="0.3">
      <c r="G73" s="427"/>
      <c r="I73" s="427"/>
      <c r="O73" s="427"/>
    </row>
    <row r="74" spans="7:15" ht="15.75" customHeight="1" x14ac:dyDescent="0.3">
      <c r="G74" s="427"/>
      <c r="I74" s="427"/>
      <c r="O74" s="427"/>
    </row>
    <row r="75" spans="7:15" ht="15.75" customHeight="1" x14ac:dyDescent="0.3">
      <c r="G75" s="427"/>
      <c r="I75" s="427"/>
      <c r="O75" s="427"/>
    </row>
    <row r="76" spans="7:15" ht="15.75" customHeight="1" x14ac:dyDescent="0.3">
      <c r="G76" s="427"/>
      <c r="I76" s="427"/>
      <c r="O76" s="427"/>
    </row>
    <row r="77" spans="7:15" ht="15.75" customHeight="1" x14ac:dyDescent="0.3">
      <c r="G77" s="427"/>
      <c r="I77" s="427"/>
      <c r="O77" s="427"/>
    </row>
    <row r="78" spans="7:15" ht="15.75" customHeight="1" x14ac:dyDescent="0.3">
      <c r="G78" s="427"/>
      <c r="I78" s="427"/>
      <c r="O78" s="427"/>
    </row>
    <row r="79" spans="7:15" ht="15.75" customHeight="1" x14ac:dyDescent="0.3">
      <c r="G79" s="427"/>
      <c r="I79" s="427"/>
      <c r="O79" s="427"/>
    </row>
    <row r="80" spans="7:15" ht="15.75" customHeight="1" x14ac:dyDescent="0.3">
      <c r="G80" s="427"/>
      <c r="I80" s="427"/>
      <c r="O80" s="427"/>
    </row>
    <row r="81" spans="7:15" ht="15.75" customHeight="1" x14ac:dyDescent="0.3">
      <c r="G81" s="427"/>
      <c r="I81" s="427"/>
      <c r="O81" s="427"/>
    </row>
    <row r="82" spans="7:15" ht="15.75" customHeight="1" x14ac:dyDescent="0.3">
      <c r="G82" s="427"/>
      <c r="I82" s="427"/>
      <c r="O82" s="427"/>
    </row>
    <row r="83" spans="7:15" ht="15.75" customHeight="1" x14ac:dyDescent="0.3">
      <c r="G83" s="427"/>
      <c r="I83" s="427"/>
      <c r="O83" s="427"/>
    </row>
    <row r="84" spans="7:15" ht="15.75" customHeight="1" x14ac:dyDescent="0.3">
      <c r="G84" s="427"/>
      <c r="I84" s="427"/>
      <c r="O84" s="427"/>
    </row>
    <row r="85" spans="7:15" ht="15.75" customHeight="1" x14ac:dyDescent="0.3">
      <c r="G85" s="427"/>
      <c r="I85" s="427"/>
      <c r="O85" s="427"/>
    </row>
    <row r="86" spans="7:15" ht="15.75" customHeight="1" x14ac:dyDescent="0.3">
      <c r="G86" s="427"/>
      <c r="I86" s="427"/>
      <c r="O86" s="427"/>
    </row>
    <row r="87" spans="7:15" ht="15.75" customHeight="1" x14ac:dyDescent="0.3">
      <c r="G87" s="427"/>
      <c r="I87" s="427"/>
      <c r="O87" s="427"/>
    </row>
    <row r="88" spans="7:15" ht="15.75" customHeight="1" x14ac:dyDescent="0.3">
      <c r="G88" s="427"/>
      <c r="I88" s="427"/>
      <c r="O88" s="427"/>
    </row>
    <row r="89" spans="7:15" ht="15.75" customHeight="1" x14ac:dyDescent="0.3">
      <c r="G89" s="427"/>
      <c r="I89" s="427"/>
      <c r="O89" s="427"/>
    </row>
    <row r="90" spans="7:15" ht="15.75" customHeight="1" x14ac:dyDescent="0.3">
      <c r="G90" s="427"/>
      <c r="I90" s="427"/>
      <c r="O90" s="427"/>
    </row>
    <row r="91" spans="7:15" ht="15.75" customHeight="1" x14ac:dyDescent="0.3">
      <c r="G91" s="427"/>
      <c r="I91" s="427"/>
      <c r="O91" s="427"/>
    </row>
    <row r="92" spans="7:15" ht="15.75" customHeight="1" x14ac:dyDescent="0.3">
      <c r="G92" s="427"/>
      <c r="I92" s="427"/>
      <c r="O92" s="427"/>
    </row>
    <row r="93" spans="7:15" ht="15.75" customHeight="1" x14ac:dyDescent="0.3">
      <c r="G93" s="427"/>
      <c r="I93" s="427"/>
      <c r="O93" s="427"/>
    </row>
    <row r="94" spans="7:15" ht="15.75" customHeight="1" x14ac:dyDescent="0.3">
      <c r="G94" s="427"/>
      <c r="I94" s="427"/>
      <c r="O94" s="427"/>
    </row>
    <row r="95" spans="7:15" ht="15.75" customHeight="1" x14ac:dyDescent="0.3">
      <c r="G95" s="427"/>
      <c r="I95" s="427"/>
      <c r="O95" s="427"/>
    </row>
    <row r="96" spans="7:15" ht="15.75" customHeight="1" x14ac:dyDescent="0.3">
      <c r="G96" s="427"/>
      <c r="I96" s="427"/>
      <c r="O96" s="427"/>
    </row>
    <row r="97" spans="7:15" ht="15.75" customHeight="1" x14ac:dyDescent="0.3">
      <c r="G97" s="427"/>
      <c r="I97" s="427"/>
      <c r="O97" s="427"/>
    </row>
    <row r="98" spans="7:15" ht="15.75" customHeight="1" x14ac:dyDescent="0.3">
      <c r="G98" s="427"/>
      <c r="I98" s="427"/>
      <c r="O98" s="427"/>
    </row>
    <row r="99" spans="7:15" ht="15.75" customHeight="1" x14ac:dyDescent="0.3">
      <c r="G99" s="427"/>
      <c r="I99" s="427"/>
      <c r="O99" s="427"/>
    </row>
    <row r="100" spans="7:15" ht="15.75" customHeight="1" x14ac:dyDescent="0.3">
      <c r="G100" s="427"/>
      <c r="I100" s="427"/>
      <c r="O100" s="427"/>
    </row>
    <row r="101" spans="7:15" ht="15.75" customHeight="1" x14ac:dyDescent="0.3">
      <c r="G101" s="427"/>
      <c r="I101" s="427"/>
      <c r="O101" s="427"/>
    </row>
    <row r="102" spans="7:15" ht="15.75" customHeight="1" x14ac:dyDescent="0.3">
      <c r="G102" s="427"/>
      <c r="I102" s="427"/>
      <c r="O102" s="427"/>
    </row>
    <row r="103" spans="7:15" ht="15.75" customHeight="1" x14ac:dyDescent="0.3">
      <c r="G103" s="427"/>
      <c r="I103" s="427"/>
      <c r="O103" s="427"/>
    </row>
    <row r="104" spans="7:15" ht="15.75" customHeight="1" x14ac:dyDescent="0.3">
      <c r="G104" s="427"/>
      <c r="I104" s="427"/>
      <c r="O104" s="427"/>
    </row>
    <row r="105" spans="7:15" ht="15.75" customHeight="1" x14ac:dyDescent="0.3">
      <c r="G105" s="427"/>
      <c r="I105" s="427"/>
      <c r="O105" s="427"/>
    </row>
    <row r="106" spans="7:15" ht="15.75" customHeight="1" x14ac:dyDescent="0.3">
      <c r="G106" s="427"/>
      <c r="I106" s="427"/>
      <c r="O106" s="427"/>
    </row>
    <row r="107" spans="7:15" ht="15.75" customHeight="1" x14ac:dyDescent="0.3">
      <c r="G107" s="427"/>
      <c r="I107" s="427"/>
      <c r="O107" s="427"/>
    </row>
    <row r="108" spans="7:15" ht="15.75" customHeight="1" x14ac:dyDescent="0.3">
      <c r="G108" s="427"/>
      <c r="I108" s="427"/>
      <c r="O108" s="427"/>
    </row>
    <row r="109" spans="7:15" ht="15.75" customHeight="1" x14ac:dyDescent="0.3">
      <c r="G109" s="427"/>
      <c r="I109" s="427"/>
      <c r="O109" s="427"/>
    </row>
    <row r="110" spans="7:15" ht="15.75" customHeight="1" x14ac:dyDescent="0.3">
      <c r="G110" s="427"/>
      <c r="I110" s="427"/>
      <c r="O110" s="427"/>
    </row>
    <row r="111" spans="7:15" ht="15.75" customHeight="1" x14ac:dyDescent="0.3">
      <c r="G111" s="427"/>
      <c r="I111" s="427"/>
      <c r="O111" s="427"/>
    </row>
    <row r="112" spans="7:15" ht="15.75" customHeight="1" x14ac:dyDescent="0.3">
      <c r="G112" s="427"/>
      <c r="I112" s="427"/>
      <c r="O112" s="427"/>
    </row>
    <row r="113" spans="7:15" ht="15.75" customHeight="1" x14ac:dyDescent="0.3">
      <c r="G113" s="427"/>
      <c r="I113" s="427"/>
      <c r="O113" s="427"/>
    </row>
    <row r="114" spans="7:15" ht="15.75" customHeight="1" x14ac:dyDescent="0.3">
      <c r="G114" s="427"/>
      <c r="I114" s="427"/>
      <c r="O114" s="427"/>
    </row>
    <row r="115" spans="7:15" ht="15.75" customHeight="1" x14ac:dyDescent="0.3">
      <c r="G115" s="427"/>
      <c r="I115" s="427"/>
      <c r="O115" s="427"/>
    </row>
    <row r="116" spans="7:15" ht="15.75" customHeight="1" x14ac:dyDescent="0.3">
      <c r="G116" s="427"/>
      <c r="I116" s="427"/>
      <c r="O116" s="427"/>
    </row>
    <row r="117" spans="7:15" ht="15.75" customHeight="1" x14ac:dyDescent="0.3">
      <c r="G117" s="427"/>
      <c r="I117" s="427"/>
      <c r="O117" s="427"/>
    </row>
    <row r="118" spans="7:15" ht="15.75" customHeight="1" x14ac:dyDescent="0.3">
      <c r="G118" s="427"/>
      <c r="I118" s="427"/>
      <c r="O118" s="427"/>
    </row>
    <row r="119" spans="7:15" ht="15.75" customHeight="1" x14ac:dyDescent="0.3">
      <c r="G119" s="427"/>
      <c r="I119" s="427"/>
      <c r="O119" s="427"/>
    </row>
    <row r="120" spans="7:15" ht="15.75" customHeight="1" x14ac:dyDescent="0.3">
      <c r="G120" s="427"/>
      <c r="I120" s="427"/>
      <c r="O120" s="427"/>
    </row>
    <row r="121" spans="7:15" ht="15.75" customHeight="1" x14ac:dyDescent="0.3">
      <c r="G121" s="427"/>
      <c r="I121" s="427"/>
      <c r="O121" s="427"/>
    </row>
    <row r="122" spans="7:15" ht="15.75" customHeight="1" x14ac:dyDescent="0.3">
      <c r="G122" s="427"/>
      <c r="I122" s="427"/>
      <c r="O122" s="427"/>
    </row>
    <row r="123" spans="7:15" ht="15.75" customHeight="1" x14ac:dyDescent="0.3">
      <c r="G123" s="427"/>
      <c r="I123" s="427"/>
      <c r="O123" s="427"/>
    </row>
    <row r="124" spans="7:15" ht="15.75" customHeight="1" x14ac:dyDescent="0.3">
      <c r="G124" s="427"/>
      <c r="I124" s="427"/>
      <c r="O124" s="427"/>
    </row>
    <row r="125" spans="7:15" ht="15.75" customHeight="1" x14ac:dyDescent="0.3">
      <c r="G125" s="427"/>
      <c r="I125" s="427"/>
      <c r="O125" s="427"/>
    </row>
    <row r="126" spans="7:15" ht="15.75" customHeight="1" x14ac:dyDescent="0.3">
      <c r="G126" s="427"/>
      <c r="I126" s="427"/>
      <c r="O126" s="427"/>
    </row>
    <row r="127" spans="7:15" ht="15.75" customHeight="1" x14ac:dyDescent="0.3">
      <c r="G127" s="427"/>
      <c r="I127" s="427"/>
      <c r="O127" s="427"/>
    </row>
    <row r="128" spans="7:15" ht="15.75" customHeight="1" x14ac:dyDescent="0.3">
      <c r="G128" s="427"/>
      <c r="I128" s="427"/>
      <c r="O128" s="427"/>
    </row>
    <row r="129" spans="7:15" ht="15.75" customHeight="1" x14ac:dyDescent="0.3">
      <c r="G129" s="427"/>
      <c r="I129" s="427"/>
      <c r="O129" s="427"/>
    </row>
    <row r="130" spans="7:15" ht="15.75" customHeight="1" x14ac:dyDescent="0.3">
      <c r="G130" s="427"/>
      <c r="I130" s="427"/>
      <c r="O130" s="427"/>
    </row>
    <row r="131" spans="7:15" ht="15.75" customHeight="1" x14ac:dyDescent="0.3">
      <c r="G131" s="427"/>
      <c r="I131" s="427"/>
      <c r="O131" s="427"/>
    </row>
    <row r="132" spans="7:15" ht="15.75" customHeight="1" x14ac:dyDescent="0.3">
      <c r="G132" s="427"/>
      <c r="I132" s="427"/>
      <c r="O132" s="427"/>
    </row>
    <row r="133" spans="7:15" ht="15.75" customHeight="1" x14ac:dyDescent="0.3">
      <c r="G133" s="427"/>
      <c r="I133" s="427"/>
      <c r="O133" s="427"/>
    </row>
    <row r="134" spans="7:15" ht="15.75" customHeight="1" x14ac:dyDescent="0.3">
      <c r="G134" s="427"/>
      <c r="I134" s="427"/>
      <c r="O134" s="427"/>
    </row>
    <row r="135" spans="7:15" ht="15.75" customHeight="1" x14ac:dyDescent="0.3">
      <c r="G135" s="427"/>
      <c r="I135" s="427"/>
      <c r="O135" s="427"/>
    </row>
    <row r="136" spans="7:15" ht="15.75" customHeight="1" x14ac:dyDescent="0.3">
      <c r="G136" s="427"/>
      <c r="I136" s="427"/>
      <c r="O136" s="427"/>
    </row>
    <row r="137" spans="7:15" ht="15.75" customHeight="1" x14ac:dyDescent="0.3">
      <c r="G137" s="427"/>
      <c r="I137" s="427"/>
      <c r="O137" s="427"/>
    </row>
    <row r="138" spans="7:15" ht="15.75" customHeight="1" x14ac:dyDescent="0.3">
      <c r="G138" s="427"/>
      <c r="I138" s="427"/>
      <c r="O138" s="427"/>
    </row>
    <row r="139" spans="7:15" ht="15.75" customHeight="1" x14ac:dyDescent="0.3">
      <c r="G139" s="427"/>
      <c r="I139" s="427"/>
      <c r="O139" s="427"/>
    </row>
    <row r="140" spans="7:15" ht="15.75" customHeight="1" x14ac:dyDescent="0.3">
      <c r="G140" s="427"/>
      <c r="I140" s="427"/>
      <c r="O140" s="427"/>
    </row>
    <row r="141" spans="7:15" ht="15.75" customHeight="1" x14ac:dyDescent="0.3">
      <c r="G141" s="427"/>
      <c r="I141" s="427"/>
      <c r="O141" s="427"/>
    </row>
    <row r="142" spans="7:15" ht="15.75" customHeight="1" x14ac:dyDescent="0.3">
      <c r="G142" s="427"/>
      <c r="I142" s="427"/>
      <c r="O142" s="427"/>
    </row>
    <row r="143" spans="7:15" ht="15.75" customHeight="1" x14ac:dyDescent="0.3">
      <c r="G143" s="427"/>
      <c r="I143" s="427"/>
      <c r="O143" s="427"/>
    </row>
    <row r="144" spans="7:15" ht="15.75" customHeight="1" x14ac:dyDescent="0.3">
      <c r="G144" s="427"/>
      <c r="I144" s="427"/>
      <c r="O144" s="427"/>
    </row>
    <row r="145" spans="7:15" ht="15.75" customHeight="1" x14ac:dyDescent="0.3">
      <c r="G145" s="427"/>
      <c r="I145" s="427"/>
      <c r="O145" s="427"/>
    </row>
    <row r="146" spans="7:15" ht="15.75" customHeight="1" x14ac:dyDescent="0.3">
      <c r="G146" s="427"/>
      <c r="I146" s="427"/>
      <c r="O146" s="427"/>
    </row>
    <row r="147" spans="7:15" ht="15.75" customHeight="1" x14ac:dyDescent="0.3">
      <c r="G147" s="427"/>
      <c r="I147" s="427"/>
      <c r="O147" s="427"/>
    </row>
    <row r="148" spans="7:15" ht="15.75" customHeight="1" x14ac:dyDescent="0.3">
      <c r="G148" s="427"/>
      <c r="I148" s="427"/>
      <c r="O148" s="427"/>
    </row>
    <row r="149" spans="7:15" ht="15.75" customHeight="1" x14ac:dyDescent="0.3">
      <c r="G149" s="427"/>
      <c r="I149" s="427"/>
      <c r="O149" s="427"/>
    </row>
    <row r="150" spans="7:15" ht="15.75" customHeight="1" x14ac:dyDescent="0.3">
      <c r="G150" s="427"/>
      <c r="I150" s="427"/>
      <c r="O150" s="427"/>
    </row>
    <row r="151" spans="7:15" ht="15.75" customHeight="1" x14ac:dyDescent="0.3">
      <c r="G151" s="427"/>
      <c r="I151" s="427"/>
      <c r="O151" s="427"/>
    </row>
    <row r="152" spans="7:15" ht="15.75" customHeight="1" x14ac:dyDescent="0.3">
      <c r="G152" s="427"/>
      <c r="I152" s="427"/>
      <c r="O152" s="427"/>
    </row>
    <row r="153" spans="7:15" ht="15.75" customHeight="1" x14ac:dyDescent="0.3">
      <c r="G153" s="427"/>
      <c r="I153" s="427"/>
      <c r="O153" s="427"/>
    </row>
    <row r="154" spans="7:15" ht="15.75" customHeight="1" x14ac:dyDescent="0.3">
      <c r="G154" s="427"/>
      <c r="I154" s="427"/>
      <c r="O154" s="427"/>
    </row>
    <row r="155" spans="7:15" ht="15.75" customHeight="1" x14ac:dyDescent="0.3">
      <c r="G155" s="427"/>
      <c r="I155" s="427"/>
      <c r="O155" s="427"/>
    </row>
    <row r="156" spans="7:15" ht="15.75" customHeight="1" x14ac:dyDescent="0.3">
      <c r="G156" s="427"/>
      <c r="I156" s="427"/>
      <c r="O156" s="427"/>
    </row>
    <row r="157" spans="7:15" ht="15.75" customHeight="1" x14ac:dyDescent="0.3">
      <c r="G157" s="427"/>
      <c r="I157" s="427"/>
      <c r="O157" s="427"/>
    </row>
    <row r="158" spans="7:15" ht="15.75" customHeight="1" x14ac:dyDescent="0.3">
      <c r="G158" s="427"/>
      <c r="I158" s="427"/>
      <c r="O158" s="427"/>
    </row>
    <row r="159" spans="7:15" ht="15.75" customHeight="1" x14ac:dyDescent="0.3">
      <c r="G159" s="427"/>
      <c r="I159" s="427"/>
      <c r="O159" s="427"/>
    </row>
    <row r="160" spans="7:15" ht="15.75" customHeight="1" x14ac:dyDescent="0.3">
      <c r="G160" s="427"/>
      <c r="I160" s="427"/>
      <c r="O160" s="427"/>
    </row>
    <row r="161" spans="7:15" ht="15.75" customHeight="1" x14ac:dyDescent="0.3">
      <c r="G161" s="427"/>
      <c r="I161" s="427"/>
      <c r="O161" s="427"/>
    </row>
    <row r="162" spans="7:15" ht="15.75" customHeight="1" x14ac:dyDescent="0.3">
      <c r="G162" s="427"/>
      <c r="I162" s="427"/>
      <c r="O162" s="427"/>
    </row>
    <row r="163" spans="7:15" ht="15.75" customHeight="1" x14ac:dyDescent="0.3">
      <c r="G163" s="427"/>
      <c r="I163" s="427"/>
      <c r="O163" s="427"/>
    </row>
    <row r="164" spans="7:15" ht="15.75" customHeight="1" x14ac:dyDescent="0.3">
      <c r="G164" s="427"/>
      <c r="I164" s="427"/>
      <c r="O164" s="427"/>
    </row>
    <row r="165" spans="7:15" ht="15.75" customHeight="1" x14ac:dyDescent="0.3">
      <c r="G165" s="427"/>
      <c r="I165" s="427"/>
      <c r="O165" s="427"/>
    </row>
    <row r="166" spans="7:15" ht="15.75" customHeight="1" x14ac:dyDescent="0.3">
      <c r="G166" s="427"/>
      <c r="I166" s="427"/>
      <c r="O166" s="427"/>
    </row>
    <row r="167" spans="7:15" ht="15.75" customHeight="1" x14ac:dyDescent="0.3">
      <c r="G167" s="427"/>
      <c r="I167" s="427"/>
      <c r="O167" s="427"/>
    </row>
    <row r="168" spans="7:15" ht="15.75" customHeight="1" x14ac:dyDescent="0.3">
      <c r="G168" s="427"/>
      <c r="I168" s="427"/>
      <c r="O168" s="427"/>
    </row>
    <row r="169" spans="7:15" ht="15.75" customHeight="1" x14ac:dyDescent="0.3">
      <c r="G169" s="427"/>
      <c r="I169" s="427"/>
      <c r="O169" s="427"/>
    </row>
    <row r="170" spans="7:15" ht="15.75" customHeight="1" x14ac:dyDescent="0.3">
      <c r="G170" s="427"/>
      <c r="I170" s="427"/>
      <c r="O170" s="427"/>
    </row>
    <row r="171" spans="7:15" ht="15.75" customHeight="1" x14ac:dyDescent="0.3">
      <c r="G171" s="427"/>
      <c r="I171" s="427"/>
      <c r="O171" s="427"/>
    </row>
    <row r="172" spans="7:15" ht="15.75" customHeight="1" x14ac:dyDescent="0.3">
      <c r="G172" s="427"/>
      <c r="I172" s="427"/>
      <c r="O172" s="427"/>
    </row>
    <row r="173" spans="7:15" ht="15.75" customHeight="1" x14ac:dyDescent="0.3">
      <c r="G173" s="427"/>
      <c r="I173" s="427"/>
      <c r="O173" s="427"/>
    </row>
    <row r="174" spans="7:15" ht="15.75" customHeight="1" x14ac:dyDescent="0.3">
      <c r="G174" s="427"/>
      <c r="I174" s="427"/>
      <c r="O174" s="427"/>
    </row>
    <row r="175" spans="7:15" ht="15.75" customHeight="1" x14ac:dyDescent="0.3">
      <c r="G175" s="427"/>
      <c r="I175" s="427"/>
      <c r="O175" s="427"/>
    </row>
    <row r="176" spans="7:15" ht="15.75" customHeight="1" x14ac:dyDescent="0.3">
      <c r="G176" s="427"/>
      <c r="I176" s="427"/>
      <c r="O176" s="427"/>
    </row>
    <row r="177" spans="7:15" ht="15.75" customHeight="1" x14ac:dyDescent="0.3">
      <c r="G177" s="427"/>
      <c r="I177" s="427"/>
      <c r="O177" s="427"/>
    </row>
    <row r="178" spans="7:15" ht="15.75" customHeight="1" x14ac:dyDescent="0.3">
      <c r="G178" s="427"/>
      <c r="I178" s="427"/>
      <c r="O178" s="427"/>
    </row>
    <row r="179" spans="7:15" ht="15.75" customHeight="1" x14ac:dyDescent="0.3">
      <c r="G179" s="427"/>
      <c r="I179" s="427"/>
      <c r="O179" s="427"/>
    </row>
    <row r="180" spans="7:15" ht="15.75" customHeight="1" x14ac:dyDescent="0.3">
      <c r="G180" s="427"/>
      <c r="I180" s="427"/>
      <c r="O180" s="427"/>
    </row>
    <row r="181" spans="7:15" ht="15.75" customHeight="1" x14ac:dyDescent="0.3">
      <c r="G181" s="427"/>
      <c r="I181" s="427"/>
      <c r="O181" s="427"/>
    </row>
    <row r="182" spans="7:15" ht="15.75" customHeight="1" x14ac:dyDescent="0.3">
      <c r="G182" s="427"/>
      <c r="I182" s="427"/>
      <c r="O182" s="427"/>
    </row>
    <row r="183" spans="7:15" ht="15.75" customHeight="1" x14ac:dyDescent="0.3">
      <c r="G183" s="427"/>
      <c r="I183" s="427"/>
      <c r="O183" s="427"/>
    </row>
    <row r="184" spans="7:15" ht="15.75" customHeight="1" x14ac:dyDescent="0.3">
      <c r="G184" s="427"/>
      <c r="I184" s="427"/>
      <c r="O184" s="427"/>
    </row>
    <row r="185" spans="7:15" ht="15.75" customHeight="1" x14ac:dyDescent="0.3">
      <c r="G185" s="427"/>
      <c r="I185" s="427"/>
      <c r="O185" s="427"/>
    </row>
    <row r="186" spans="7:15" ht="15.75" customHeight="1" x14ac:dyDescent="0.3">
      <c r="G186" s="427"/>
      <c r="I186" s="427"/>
      <c r="O186" s="427"/>
    </row>
    <row r="187" spans="7:15" ht="15.75" customHeight="1" x14ac:dyDescent="0.3">
      <c r="G187" s="427"/>
      <c r="I187" s="427"/>
      <c r="O187" s="427"/>
    </row>
    <row r="188" spans="7:15" ht="15.75" customHeight="1" x14ac:dyDescent="0.3">
      <c r="G188" s="427"/>
      <c r="I188" s="427"/>
      <c r="O188" s="427"/>
    </row>
    <row r="189" spans="7:15" ht="15.75" customHeight="1" x14ac:dyDescent="0.3">
      <c r="G189" s="427"/>
      <c r="I189" s="427"/>
      <c r="O189" s="427"/>
    </row>
    <row r="190" spans="7:15" ht="15.75" customHeight="1" x14ac:dyDescent="0.3">
      <c r="G190" s="427"/>
      <c r="I190" s="427"/>
      <c r="O190" s="427"/>
    </row>
    <row r="191" spans="7:15" ht="15.75" customHeight="1" x14ac:dyDescent="0.3">
      <c r="G191" s="427"/>
      <c r="I191" s="427"/>
      <c r="O191" s="427"/>
    </row>
    <row r="192" spans="7:15" ht="15.75" customHeight="1" x14ac:dyDescent="0.3">
      <c r="G192" s="427"/>
      <c r="I192" s="427"/>
      <c r="O192" s="427"/>
    </row>
    <row r="193" spans="7:15" ht="15.75" customHeight="1" x14ac:dyDescent="0.3">
      <c r="G193" s="427"/>
      <c r="I193" s="427"/>
      <c r="O193" s="427"/>
    </row>
    <row r="194" spans="7:15" ht="15.75" customHeight="1" x14ac:dyDescent="0.3">
      <c r="G194" s="427"/>
      <c r="I194" s="427"/>
      <c r="O194" s="427"/>
    </row>
    <row r="195" spans="7:15" ht="15.75" customHeight="1" x14ac:dyDescent="0.3">
      <c r="G195" s="427"/>
      <c r="I195" s="427"/>
      <c r="O195" s="427"/>
    </row>
    <row r="196" spans="7:15" ht="15.75" customHeight="1" x14ac:dyDescent="0.3">
      <c r="G196" s="427"/>
      <c r="I196" s="427"/>
      <c r="O196" s="427"/>
    </row>
    <row r="197" spans="7:15" ht="15.75" customHeight="1" x14ac:dyDescent="0.3">
      <c r="G197" s="427"/>
      <c r="I197" s="427"/>
      <c r="O197" s="427"/>
    </row>
    <row r="198" spans="7:15" ht="15.75" customHeight="1" x14ac:dyDescent="0.3">
      <c r="G198" s="427"/>
      <c r="I198" s="427"/>
      <c r="O198" s="427"/>
    </row>
    <row r="199" spans="7:15" ht="15.75" customHeight="1" x14ac:dyDescent="0.3">
      <c r="G199" s="427"/>
      <c r="I199" s="427"/>
      <c r="O199" s="427"/>
    </row>
    <row r="200" spans="7:15" ht="15.75" customHeight="1" x14ac:dyDescent="0.3">
      <c r="G200" s="427"/>
      <c r="I200" s="427"/>
      <c r="O200" s="427"/>
    </row>
    <row r="201" spans="7:15" ht="15.75" customHeight="1" x14ac:dyDescent="0.3">
      <c r="G201" s="427"/>
      <c r="I201" s="427"/>
      <c r="O201" s="427"/>
    </row>
    <row r="202" spans="7:15" ht="15.75" customHeight="1" x14ac:dyDescent="0.3">
      <c r="G202" s="427"/>
      <c r="I202" s="427"/>
      <c r="O202" s="427"/>
    </row>
    <row r="203" spans="7:15" ht="15.75" customHeight="1" x14ac:dyDescent="0.3">
      <c r="G203" s="427"/>
      <c r="I203" s="427"/>
      <c r="O203" s="427"/>
    </row>
    <row r="204" spans="7:15" ht="15.75" customHeight="1" x14ac:dyDescent="0.3">
      <c r="G204" s="427"/>
      <c r="I204" s="427"/>
      <c r="O204" s="427"/>
    </row>
    <row r="205" spans="7:15" ht="15.75" customHeight="1" x14ac:dyDescent="0.3">
      <c r="G205" s="427"/>
      <c r="I205" s="427"/>
      <c r="O205" s="427"/>
    </row>
    <row r="206" spans="7:15" ht="15.75" customHeight="1" x14ac:dyDescent="0.3">
      <c r="G206" s="427"/>
      <c r="I206" s="427"/>
      <c r="O206" s="427"/>
    </row>
    <row r="207" spans="7:15" ht="15.75" customHeight="1" x14ac:dyDescent="0.3">
      <c r="G207" s="427"/>
      <c r="I207" s="427"/>
      <c r="O207" s="427"/>
    </row>
    <row r="208" spans="7:15" ht="15.75" customHeight="1" x14ac:dyDescent="0.3">
      <c r="G208" s="427"/>
      <c r="I208" s="427"/>
      <c r="O208" s="427"/>
    </row>
    <row r="209" spans="7:15" ht="15.75" customHeight="1" x14ac:dyDescent="0.3">
      <c r="G209" s="427"/>
      <c r="I209" s="427"/>
      <c r="O209" s="427"/>
    </row>
    <row r="210" spans="7:15" ht="15.75" customHeight="1" x14ac:dyDescent="0.3">
      <c r="G210" s="427"/>
      <c r="I210" s="427"/>
      <c r="O210" s="427"/>
    </row>
    <row r="211" spans="7:15" ht="15.75" customHeight="1" x14ac:dyDescent="0.3">
      <c r="G211" s="427"/>
      <c r="I211" s="427"/>
      <c r="O211" s="427"/>
    </row>
    <row r="212" spans="7:15" ht="15.75" customHeight="1" x14ac:dyDescent="0.3">
      <c r="G212" s="427"/>
      <c r="I212" s="427"/>
      <c r="O212" s="427"/>
    </row>
    <row r="213" spans="7:15" ht="15.75" customHeight="1" x14ac:dyDescent="0.3">
      <c r="G213" s="427"/>
      <c r="I213" s="427"/>
      <c r="O213" s="427"/>
    </row>
    <row r="214" spans="7:15" ht="15.75" customHeight="1" x14ac:dyDescent="0.3">
      <c r="G214" s="427"/>
      <c r="I214" s="427"/>
      <c r="O214" s="427"/>
    </row>
    <row r="215" spans="7:15" ht="15.75" customHeight="1" x14ac:dyDescent="0.3">
      <c r="G215" s="427"/>
      <c r="I215" s="427"/>
      <c r="O215" s="427"/>
    </row>
    <row r="216" spans="7:15" ht="15.75" customHeight="1" x14ac:dyDescent="0.3">
      <c r="G216" s="427"/>
      <c r="I216" s="427"/>
      <c r="O216" s="427"/>
    </row>
    <row r="217" spans="7:15" ht="15.75" customHeight="1" x14ac:dyDescent="0.3">
      <c r="G217" s="427"/>
      <c r="I217" s="427"/>
      <c r="O217" s="427"/>
    </row>
    <row r="218" spans="7:15" ht="15.75" customHeight="1" x14ac:dyDescent="0.3">
      <c r="G218" s="427"/>
      <c r="I218" s="427"/>
      <c r="O218" s="427"/>
    </row>
    <row r="219" spans="7:15" ht="15.75" customHeight="1" x14ac:dyDescent="0.3">
      <c r="G219" s="427"/>
      <c r="I219" s="427"/>
      <c r="O219" s="427"/>
    </row>
    <row r="220" spans="7:15" ht="15.75" customHeight="1" x14ac:dyDescent="0.3">
      <c r="G220" s="427"/>
      <c r="I220" s="427"/>
      <c r="O220" s="427"/>
    </row>
    <row r="221" spans="7:15" ht="15.75" customHeight="1" x14ac:dyDescent="0.3">
      <c r="G221" s="427"/>
      <c r="I221" s="427"/>
      <c r="O221" s="427"/>
    </row>
    <row r="222" spans="7:15" ht="15.75" customHeight="1" x14ac:dyDescent="0.3">
      <c r="G222" s="427"/>
      <c r="I222" s="427"/>
      <c r="O222" s="427"/>
    </row>
    <row r="223" spans="7:15" ht="15.75" customHeight="1" x14ac:dyDescent="0.3">
      <c r="G223" s="427"/>
      <c r="I223" s="427"/>
      <c r="O223" s="427"/>
    </row>
    <row r="224" spans="7:15" ht="15.75" customHeight="1" x14ac:dyDescent="0.3">
      <c r="G224" s="427"/>
      <c r="I224" s="427"/>
      <c r="O224" s="427"/>
    </row>
    <row r="225" spans="7:15" ht="15.75" customHeight="1" x14ac:dyDescent="0.3">
      <c r="G225" s="427"/>
      <c r="I225" s="427"/>
      <c r="O225" s="427"/>
    </row>
    <row r="226" spans="7:15" ht="15.75" customHeight="1" x14ac:dyDescent="0.3">
      <c r="G226" s="427"/>
      <c r="I226" s="427"/>
      <c r="O226" s="427"/>
    </row>
    <row r="227" spans="7:15" ht="15.75" customHeight="1" x14ac:dyDescent="0.3">
      <c r="G227" s="427"/>
      <c r="I227" s="427"/>
      <c r="O227" s="427"/>
    </row>
    <row r="228" spans="7:15" ht="15.75" customHeight="1" x14ac:dyDescent="0.3">
      <c r="G228" s="427"/>
      <c r="I228" s="427"/>
      <c r="O228" s="427"/>
    </row>
    <row r="229" spans="7:15" ht="15.75" customHeight="1" x14ac:dyDescent="0.3">
      <c r="G229" s="427"/>
      <c r="I229" s="427"/>
      <c r="O229" s="427"/>
    </row>
    <row r="230" spans="7:15" ht="15.75" customHeight="1" x14ac:dyDescent="0.3">
      <c r="G230" s="427"/>
      <c r="I230" s="427"/>
      <c r="O230" s="427"/>
    </row>
    <row r="231" spans="7:15" ht="15.75" customHeight="1" x14ac:dyDescent="0.3">
      <c r="G231" s="427"/>
      <c r="I231" s="427"/>
      <c r="O231" s="427"/>
    </row>
    <row r="232" spans="7:15" ht="15.75" customHeight="1" x14ac:dyDescent="0.3">
      <c r="G232" s="427"/>
      <c r="I232" s="427"/>
      <c r="O232" s="427"/>
    </row>
    <row r="233" spans="7:15" ht="15.75" customHeight="1" x14ac:dyDescent="0.3">
      <c r="G233" s="427"/>
      <c r="I233" s="427"/>
      <c r="O233" s="427"/>
    </row>
    <row r="234" spans="7:15" ht="15.75" customHeight="1" x14ac:dyDescent="0.3">
      <c r="G234" s="427"/>
      <c r="I234" s="427"/>
      <c r="O234" s="427"/>
    </row>
    <row r="235" spans="7:15" ht="15.75" customHeight="1" x14ac:dyDescent="0.3">
      <c r="G235" s="427"/>
      <c r="I235" s="427"/>
      <c r="O235" s="427"/>
    </row>
    <row r="236" spans="7:15" ht="15.75" customHeight="1" x14ac:dyDescent="0.3">
      <c r="G236" s="427"/>
      <c r="I236" s="427"/>
      <c r="O236" s="427"/>
    </row>
    <row r="237" spans="7:15" ht="15.75" customHeight="1" x14ac:dyDescent="0.3">
      <c r="G237" s="427"/>
      <c r="I237" s="427"/>
      <c r="O237" s="427"/>
    </row>
    <row r="238" spans="7:15" ht="15.75" customHeight="1" x14ac:dyDescent="0.3">
      <c r="G238" s="427"/>
      <c r="I238" s="427"/>
      <c r="O238" s="427"/>
    </row>
    <row r="239" spans="7:15" ht="15.75" customHeight="1" x14ac:dyDescent="0.3">
      <c r="G239" s="427"/>
      <c r="I239" s="427"/>
      <c r="O239" s="427"/>
    </row>
    <row r="240" spans="7:15" ht="15.75" customHeight="1" x14ac:dyDescent="0.3">
      <c r="G240" s="427"/>
      <c r="I240" s="427"/>
      <c r="O240" s="427"/>
    </row>
    <row r="241" spans="7:15" ht="15.75" customHeight="1" x14ac:dyDescent="0.3">
      <c r="G241" s="427"/>
      <c r="I241" s="427"/>
      <c r="O241" s="427"/>
    </row>
    <row r="242" spans="7:15" ht="15.75" customHeight="1" x14ac:dyDescent="0.3">
      <c r="G242" s="427"/>
      <c r="I242" s="427"/>
      <c r="O242" s="427"/>
    </row>
    <row r="243" spans="7:15" ht="15.75" customHeight="1" x14ac:dyDescent="0.3">
      <c r="G243" s="427"/>
      <c r="I243" s="427"/>
      <c r="O243" s="427"/>
    </row>
    <row r="244" spans="7:15" ht="15.75" customHeight="1" x14ac:dyDescent="0.3">
      <c r="G244" s="427"/>
      <c r="I244" s="427"/>
      <c r="O244" s="427"/>
    </row>
    <row r="245" spans="7:15" ht="15.75" customHeight="1" x14ac:dyDescent="0.3">
      <c r="G245" s="427"/>
      <c r="I245" s="427"/>
      <c r="O245" s="427"/>
    </row>
    <row r="246" spans="7:15" ht="15.75" customHeight="1" x14ac:dyDescent="0.3">
      <c r="G246" s="427"/>
      <c r="I246" s="427"/>
      <c r="O246" s="427"/>
    </row>
    <row r="247" spans="7:15" ht="15.75" customHeight="1" x14ac:dyDescent="0.3">
      <c r="G247" s="427"/>
      <c r="I247" s="427"/>
      <c r="O247" s="427"/>
    </row>
    <row r="248" spans="7:15" ht="15.75" customHeight="1" x14ac:dyDescent="0.3">
      <c r="G248" s="427"/>
      <c r="I248" s="427"/>
      <c r="O248" s="427"/>
    </row>
    <row r="249" spans="7:15" ht="15.75" customHeight="1" x14ac:dyDescent="0.3">
      <c r="G249" s="427"/>
      <c r="I249" s="427"/>
      <c r="O249" s="427"/>
    </row>
    <row r="250" spans="7:15" ht="15.75" customHeight="1" x14ac:dyDescent="0.3">
      <c r="G250" s="427"/>
      <c r="I250" s="427"/>
      <c r="O250" s="427"/>
    </row>
    <row r="251" spans="7:15" ht="15.75" customHeight="1" x14ac:dyDescent="0.3"/>
    <row r="252" spans="7:15" ht="15.75" customHeight="1" x14ac:dyDescent="0.3"/>
    <row r="253" spans="7:15" ht="15.75" customHeight="1" x14ac:dyDescent="0.3"/>
    <row r="254" spans="7:15" ht="15.75" customHeight="1" x14ac:dyDescent="0.3"/>
    <row r="255" spans="7:15" ht="15.75" customHeight="1" x14ac:dyDescent="0.3"/>
    <row r="256" spans="7:15"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2">
    <mergeCell ref="C7:F7"/>
    <mergeCell ref="K7:N7"/>
  </mergeCells>
  <dataValidations count="1">
    <dataValidation type="list" allowBlank="1" showErrorMessage="1" sqref="B17 B22 B27 B32" xr:uid="{A1DACB8C-16B0-4C39-85EA-33E4A5B83D7F}">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3DC58-36FC-4CE4-BAA1-4AB5127CA8AA}">
  <dimension ref="A1:AD884"/>
  <sheetViews>
    <sheetView zoomScale="80" zoomScaleNormal="80" workbookViewId="0">
      <selection activeCell="F25" sqref="F25"/>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19" width="11.5546875" style="428" hidden="1" customWidth="1"/>
    <col min="20" max="20" width="11.5546875" style="428" customWidth="1"/>
    <col min="21"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2360</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1302" t="s">
        <v>474</v>
      </c>
      <c r="D10" s="1303" t="s">
        <v>523</v>
      </c>
      <c r="E10" s="2956" t="s">
        <v>350</v>
      </c>
      <c r="F10" s="533"/>
      <c r="G10" s="534">
        <v>2015</v>
      </c>
      <c r="H10" s="535"/>
      <c r="I10" s="536">
        <v>0</v>
      </c>
      <c r="J10" s="4169">
        <v>0</v>
      </c>
      <c r="K10" s="4169">
        <v>0</v>
      </c>
      <c r="L10" s="2960">
        <v>0</v>
      </c>
      <c r="M10" s="2960">
        <v>0</v>
      </c>
      <c r="N10" s="2960">
        <v>0</v>
      </c>
      <c r="O10" s="2960">
        <v>0</v>
      </c>
      <c r="P10" s="2960">
        <v>0</v>
      </c>
      <c r="Q10" s="2960">
        <v>0</v>
      </c>
      <c r="R10" s="2960">
        <v>0</v>
      </c>
      <c r="S10" s="2960">
        <v>0</v>
      </c>
      <c r="T10" s="2961">
        <v>20549</v>
      </c>
      <c r="U10" s="542"/>
      <c r="V10" s="535"/>
      <c r="W10" s="542"/>
      <c r="X10" s="535"/>
      <c r="Y10" s="542"/>
      <c r="Z10" s="535"/>
      <c r="AA10" s="528"/>
      <c r="AB10" s="528"/>
      <c r="AC10" s="528"/>
      <c r="AD10" s="528"/>
    </row>
    <row r="11" spans="1:30" ht="24" customHeight="1" x14ac:dyDescent="0.3">
      <c r="A11" s="528"/>
      <c r="B11" s="529"/>
      <c r="C11" s="1308" t="s">
        <v>474</v>
      </c>
      <c r="D11" s="1308" t="s">
        <v>1555</v>
      </c>
      <c r="E11" s="1309" t="s">
        <v>353</v>
      </c>
      <c r="F11" s="506"/>
      <c r="G11" s="496"/>
      <c r="H11" s="544"/>
      <c r="I11" s="545">
        <v>122715</v>
      </c>
      <c r="J11" s="4170">
        <v>129987</v>
      </c>
      <c r="K11" s="4170">
        <v>134988</v>
      </c>
      <c r="L11" s="2957">
        <v>132031</v>
      </c>
      <c r="M11" s="2957">
        <v>135173</v>
      </c>
      <c r="N11" s="2957">
        <v>160141</v>
      </c>
      <c r="O11" s="2962">
        <v>150851</v>
      </c>
      <c r="P11" s="2957">
        <v>125851</v>
      </c>
      <c r="Q11" s="2957">
        <v>132828</v>
      </c>
      <c r="R11" s="2958">
        <v>0</v>
      </c>
      <c r="S11" s="2958">
        <v>0</v>
      </c>
      <c r="T11" s="1312">
        <v>0</v>
      </c>
      <c r="U11" s="548"/>
      <c r="V11" s="544"/>
      <c r="W11" s="548"/>
      <c r="X11" s="544"/>
      <c r="Y11" s="548"/>
      <c r="Z11" s="544"/>
      <c r="AA11" s="528"/>
      <c r="AB11" s="528"/>
      <c r="AC11" s="528"/>
      <c r="AD11" s="528"/>
    </row>
    <row r="12" spans="1:30" ht="30" customHeight="1" x14ac:dyDescent="0.3">
      <c r="A12" s="528"/>
      <c r="B12" s="529"/>
      <c r="C12" s="531"/>
      <c r="D12" s="531"/>
      <c r="E12" s="532"/>
      <c r="F12" s="533"/>
      <c r="G12" s="549"/>
      <c r="H12" s="550"/>
      <c r="I12" s="550"/>
      <c r="J12" s="631"/>
      <c r="K12" s="631"/>
      <c r="L12" s="550"/>
      <c r="M12" s="550"/>
      <c r="N12" s="550"/>
      <c r="O12" s="550"/>
      <c r="P12" s="550"/>
      <c r="Q12" s="550"/>
      <c r="R12" s="550"/>
      <c r="S12" s="550"/>
      <c r="T12" s="550"/>
      <c r="U12" s="542"/>
      <c r="V12" s="550"/>
      <c r="W12" s="542"/>
      <c r="X12" s="550"/>
      <c r="Y12" s="542"/>
      <c r="Z12" s="550"/>
      <c r="AA12" s="528"/>
      <c r="AB12" s="528"/>
      <c r="AC12" s="528"/>
      <c r="AD12" s="528"/>
    </row>
    <row r="13" spans="1:30" ht="30" customHeight="1" x14ac:dyDescent="0.3">
      <c r="A13" s="528"/>
      <c r="B13" s="529"/>
      <c r="C13" s="453"/>
      <c r="D13" s="453"/>
      <c r="E13" s="543"/>
      <c r="F13" s="506"/>
      <c r="G13" s="496"/>
      <c r="H13" s="544"/>
      <c r="I13" s="544"/>
      <c r="J13" s="545"/>
      <c r="K13" s="544"/>
      <c r="L13" s="544"/>
      <c r="M13" s="544"/>
      <c r="N13" s="544"/>
      <c r="O13" s="544"/>
      <c r="P13" s="544"/>
      <c r="Q13" s="544"/>
      <c r="R13" s="544"/>
      <c r="S13" s="544"/>
      <c r="T13" s="544"/>
      <c r="U13" s="548"/>
      <c r="V13" s="544"/>
      <c r="W13" s="548"/>
      <c r="X13" s="544"/>
      <c r="Y13" s="548"/>
      <c r="Z13" s="544"/>
      <c r="AA13" s="528"/>
      <c r="AB13" s="528"/>
      <c r="AC13" s="528"/>
      <c r="AD13" s="528"/>
    </row>
    <row r="14" spans="1:30" ht="24" customHeight="1" x14ac:dyDescent="0.3">
      <c r="A14" s="528"/>
      <c r="B14" s="529"/>
      <c r="C14" s="531"/>
      <c r="D14" s="531"/>
      <c r="E14" s="532"/>
      <c r="F14" s="533"/>
      <c r="G14" s="551"/>
      <c r="H14" s="550"/>
      <c r="I14" s="550"/>
      <c r="J14" s="550"/>
      <c r="K14" s="550"/>
      <c r="L14" s="550"/>
      <c r="M14" s="550"/>
      <c r="N14" s="550"/>
      <c r="O14" s="550"/>
      <c r="P14" s="550"/>
      <c r="Q14" s="550"/>
      <c r="R14" s="550"/>
      <c r="S14" s="550"/>
      <c r="T14" s="550"/>
      <c r="U14" s="542"/>
      <c r="V14" s="550"/>
      <c r="W14" s="542"/>
      <c r="X14" s="550"/>
      <c r="Y14" s="542"/>
      <c r="Z14" s="550"/>
      <c r="AA14" s="528"/>
      <c r="AB14" s="528"/>
      <c r="AC14" s="528"/>
      <c r="AD14" s="528"/>
    </row>
    <row r="15" spans="1:30" ht="24" customHeight="1" x14ac:dyDescent="0.3">
      <c r="A15" s="528"/>
      <c r="B15" s="552"/>
      <c r="C15" s="462"/>
      <c r="D15" s="462"/>
      <c r="E15" s="553"/>
      <c r="F15" s="554"/>
      <c r="G15" s="555"/>
      <c r="H15" s="556"/>
      <c r="I15" s="556"/>
      <c r="J15" s="556"/>
      <c r="K15" s="556"/>
      <c r="L15" s="556"/>
      <c r="M15" s="556"/>
      <c r="N15" s="556"/>
      <c r="O15" s="556"/>
      <c r="P15" s="556"/>
      <c r="Q15" s="556"/>
      <c r="R15" s="556"/>
      <c r="S15" s="556"/>
      <c r="T15" s="556"/>
      <c r="U15" s="557"/>
      <c r="V15" s="556"/>
      <c r="W15" s="557"/>
      <c r="X15" s="556"/>
      <c r="Y15" s="557"/>
      <c r="Z15" s="556"/>
      <c r="AA15" s="528"/>
      <c r="AB15" s="528"/>
      <c r="AC15" s="528"/>
      <c r="AD15" s="528"/>
    </row>
    <row r="16" spans="1:30" ht="15.75" customHeight="1" x14ac:dyDescent="0.3">
      <c r="A16" s="528"/>
      <c r="B16" s="558"/>
      <c r="C16" s="528"/>
      <c r="D16" s="528"/>
      <c r="E16" s="528"/>
      <c r="F16" s="528"/>
      <c r="G16" s="479"/>
      <c r="H16" s="479"/>
      <c r="I16" s="479"/>
      <c r="J16" s="479"/>
      <c r="K16" s="479"/>
      <c r="L16" s="479"/>
      <c r="M16" s="559"/>
      <c r="N16" s="559"/>
      <c r="O16" s="559"/>
      <c r="P16" s="559"/>
      <c r="Q16" s="559"/>
      <c r="R16" s="559"/>
      <c r="S16" s="559"/>
      <c r="T16" s="559"/>
      <c r="U16" s="559"/>
      <c r="V16" s="559"/>
      <c r="W16" s="559"/>
      <c r="X16" s="559"/>
      <c r="Y16" s="559"/>
      <c r="Z16" s="559"/>
      <c r="AA16" s="528"/>
      <c r="AB16" s="528"/>
      <c r="AC16" s="528"/>
      <c r="AD16" s="528"/>
    </row>
    <row r="17" spans="1:30" ht="15.75" customHeight="1" x14ac:dyDescent="0.3">
      <c r="A17" s="528"/>
      <c r="B17" s="560" t="s">
        <v>355</v>
      </c>
      <c r="C17" s="561" t="s">
        <v>356</v>
      </c>
      <c r="D17" s="528"/>
      <c r="E17" s="528"/>
      <c r="F17" s="528"/>
      <c r="G17" s="479"/>
      <c r="H17" s="479"/>
      <c r="I17" s="479"/>
      <c r="J17" s="479"/>
      <c r="K17" s="479"/>
      <c r="L17" s="479"/>
      <c r="M17" s="559"/>
      <c r="N17" s="559"/>
      <c r="O17" s="559"/>
      <c r="P17" s="559"/>
      <c r="Q17" s="559"/>
      <c r="R17" s="559"/>
      <c r="S17" s="559"/>
      <c r="T17" s="559"/>
      <c r="U17" s="559"/>
      <c r="V17" s="559"/>
      <c r="W17" s="559"/>
      <c r="X17" s="559"/>
      <c r="Y17" s="559"/>
      <c r="Z17" s="559"/>
      <c r="AA17" s="528"/>
      <c r="AB17" s="528"/>
      <c r="AC17" s="528"/>
      <c r="AD17" s="528"/>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4383" t="s">
        <v>357</v>
      </c>
      <c r="C19" s="4384"/>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62" t="s">
        <v>301</v>
      </c>
      <c r="C20" s="528"/>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562" t="s">
        <v>301</v>
      </c>
      <c r="C21" s="528"/>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row r="23" spans="1:30" ht="15.75" customHeight="1" x14ac:dyDescent="0.3"/>
    <row r="24" spans="1:30" ht="15.75" customHeight="1" x14ac:dyDescent="0.3"/>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sheetData>
  <mergeCells count="1">
    <mergeCell ref="B19:C19"/>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A01F8-4102-4DDB-853F-E07293FD95D5}">
  <dimension ref="A1:T991"/>
  <sheetViews>
    <sheetView topLeftCell="H16" workbookViewId="0">
      <selection activeCell="Q18" sqref="Q18"/>
    </sheetView>
  </sheetViews>
  <sheetFormatPr defaultColWidth="12.44140625" defaultRowHeight="15" customHeight="1" x14ac:dyDescent="0.3"/>
  <cols>
    <col min="1" max="1" width="2.6640625" style="428" customWidth="1"/>
    <col min="2" max="2" width="35.109375" style="428" customWidth="1"/>
    <col min="3" max="12" width="16.33203125" style="428" customWidth="1"/>
    <col min="13" max="13" width="3.77734375" style="428" customWidth="1"/>
    <col min="14" max="14" width="17.21875" style="428" customWidth="1"/>
    <col min="15" max="15" width="8.44140625" style="428" customWidth="1"/>
    <col min="16" max="16" width="29.6640625" style="428" customWidth="1"/>
    <col min="17" max="17" width="19.5546875" style="428" customWidth="1"/>
    <col min="18" max="18" width="4.5546875" style="428" customWidth="1"/>
    <col min="19" max="19" width="15" style="428" customWidth="1"/>
    <col min="20" max="16384" width="12.44140625" style="428"/>
  </cols>
  <sheetData>
    <row r="1" spans="1:20" ht="21.75" customHeight="1" x14ac:dyDescent="0.35">
      <c r="A1" s="424"/>
      <c r="B1" s="425" t="s">
        <v>549</v>
      </c>
      <c r="C1" s="426"/>
      <c r="F1" s="427"/>
      <c r="H1" s="427"/>
      <c r="N1" s="427"/>
    </row>
    <row r="2" spans="1:20" ht="15.75" customHeight="1" x14ac:dyDescent="0.3">
      <c r="A2" s="424"/>
      <c r="B2" s="429" t="s">
        <v>299</v>
      </c>
      <c r="C2" s="430"/>
      <c r="D2" s="430"/>
      <c r="E2" s="430"/>
      <c r="F2" s="430"/>
      <c r="G2" s="430"/>
      <c r="H2" s="430"/>
      <c r="I2" s="430"/>
      <c r="J2" s="430"/>
      <c r="K2" s="430"/>
      <c r="L2" s="430"/>
      <c r="M2" s="430"/>
      <c r="N2" s="430"/>
      <c r="O2" s="430"/>
    </row>
    <row r="3" spans="1:20" ht="9.75" customHeight="1" x14ac:dyDescent="0.3">
      <c r="A3" s="427"/>
      <c r="B3" s="431"/>
      <c r="F3" s="427"/>
      <c r="H3" s="427"/>
      <c r="N3" s="427"/>
    </row>
    <row r="4" spans="1:20" ht="6" customHeight="1" x14ac:dyDescent="0.3">
      <c r="B4" s="427"/>
      <c r="F4" s="427"/>
      <c r="H4" s="427"/>
      <c r="N4" s="427"/>
    </row>
    <row r="5" spans="1:20" ht="6" customHeight="1" x14ac:dyDescent="0.3">
      <c r="A5" s="431"/>
      <c r="F5" s="427"/>
      <c r="H5" s="427"/>
      <c r="N5" s="427"/>
    </row>
    <row r="6" spans="1:20" ht="15.75" customHeight="1" x14ac:dyDescent="0.3">
      <c r="C6" s="428">
        <v>1000000</v>
      </c>
      <c r="F6" s="427"/>
      <c r="G6" s="427"/>
      <c r="H6" s="427"/>
      <c r="N6" s="427"/>
    </row>
    <row r="7" spans="1:20" ht="37.200000000000003" customHeight="1" x14ac:dyDescent="0.3">
      <c r="A7" s="432"/>
      <c r="B7" s="433">
        <v>2024</v>
      </c>
      <c r="C7" s="4385" t="s">
        <v>22</v>
      </c>
      <c r="D7" s="4393"/>
      <c r="E7" s="4393"/>
      <c r="F7" s="4393"/>
      <c r="G7" s="4393"/>
      <c r="H7" s="4393"/>
      <c r="I7" s="4393"/>
      <c r="J7" s="4393"/>
      <c r="K7" s="4393"/>
      <c r="L7" s="4394"/>
      <c r="M7" s="432"/>
      <c r="N7" s="435" t="s">
        <v>300</v>
      </c>
      <c r="O7" s="432"/>
      <c r="P7" s="433">
        <v>2024</v>
      </c>
      <c r="Q7" s="1090" t="s">
        <v>23</v>
      </c>
      <c r="R7" s="609"/>
      <c r="S7" s="435" t="s">
        <v>300</v>
      </c>
      <c r="T7" s="432"/>
    </row>
    <row r="8" spans="1:20" ht="18" customHeight="1" x14ac:dyDescent="0.35">
      <c r="B8" s="436" t="s">
        <v>301</v>
      </c>
      <c r="C8" s="648">
        <v>1</v>
      </c>
      <c r="D8" s="572">
        <v>2</v>
      </c>
      <c r="E8" s="572">
        <v>3</v>
      </c>
      <c r="F8" s="572">
        <v>4</v>
      </c>
      <c r="G8" s="572">
        <v>5</v>
      </c>
      <c r="H8" s="572">
        <v>6</v>
      </c>
      <c r="I8" s="572">
        <v>7</v>
      </c>
      <c r="J8" s="572">
        <v>8</v>
      </c>
      <c r="K8" s="649">
        <v>9</v>
      </c>
      <c r="L8" s="572">
        <v>10</v>
      </c>
      <c r="M8" s="427"/>
      <c r="N8" s="438"/>
      <c r="O8" s="427"/>
      <c r="P8" s="436" t="s">
        <v>301</v>
      </c>
      <c r="Q8" s="572">
        <v>1</v>
      </c>
      <c r="R8" s="610"/>
      <c r="S8" s="438"/>
    </row>
    <row r="9" spans="1:20" ht="46.5" customHeight="1" x14ac:dyDescent="0.3">
      <c r="B9" s="439" t="s">
        <v>302</v>
      </c>
      <c r="C9" s="573" t="s">
        <v>1938</v>
      </c>
      <c r="D9" s="573" t="s">
        <v>1939</v>
      </c>
      <c r="E9" s="573" t="s">
        <v>1940</v>
      </c>
      <c r="F9" s="573" t="s">
        <v>1941</v>
      </c>
      <c r="G9" s="573" t="s">
        <v>1942</v>
      </c>
      <c r="H9" s="573" t="s">
        <v>1943</v>
      </c>
      <c r="I9" s="573" t="s">
        <v>1944</v>
      </c>
      <c r="J9" s="573" t="s">
        <v>1945</v>
      </c>
      <c r="K9" s="573" t="s">
        <v>1946</v>
      </c>
      <c r="L9" s="573" t="s">
        <v>559</v>
      </c>
      <c r="M9" s="574"/>
      <c r="N9" s="442"/>
      <c r="O9" s="443"/>
      <c r="P9" s="439" t="s">
        <v>302</v>
      </c>
      <c r="Q9" s="573" t="s">
        <v>2411</v>
      </c>
      <c r="R9" s="611"/>
      <c r="S9" s="442"/>
    </row>
    <row r="10" spans="1:20" ht="46.5" customHeight="1" x14ac:dyDescent="0.3">
      <c r="B10" s="444" t="s">
        <v>304</v>
      </c>
      <c r="C10" s="445" t="s">
        <v>560</v>
      </c>
      <c r="D10" s="4083" t="s">
        <v>1939</v>
      </c>
      <c r="E10" s="4083" t="s">
        <v>1940</v>
      </c>
      <c r="F10" s="4083" t="s">
        <v>1941</v>
      </c>
      <c r="G10" s="4083" t="s">
        <v>1942</v>
      </c>
      <c r="H10" s="4083" t="s">
        <v>1943</v>
      </c>
      <c r="I10" s="4083" t="s">
        <v>1944</v>
      </c>
      <c r="J10" s="4083" t="s">
        <v>1945</v>
      </c>
      <c r="K10" s="4083" t="s">
        <v>1946</v>
      </c>
      <c r="L10" s="445" t="s">
        <v>561</v>
      </c>
      <c r="M10" s="574"/>
      <c r="N10" s="446"/>
      <c r="O10" s="443"/>
      <c r="P10" s="444" t="s">
        <v>304</v>
      </c>
      <c r="Q10" s="445" t="s">
        <v>2412</v>
      </c>
      <c r="R10" s="612"/>
      <c r="S10" s="446"/>
    </row>
    <row r="11" spans="1:20" ht="18.75" customHeight="1" x14ac:dyDescent="0.3">
      <c r="A11" s="447"/>
      <c r="B11" s="448" t="s">
        <v>306</v>
      </c>
      <c r="C11" s="575">
        <f t="shared" ref="C11:L11" si="0">(C17*C18)+(C22*C23)</f>
        <v>5528.1960309236247</v>
      </c>
      <c r="D11" s="575">
        <f t="shared" si="0"/>
        <v>1396.1837851065457</v>
      </c>
      <c r="E11" s="575">
        <f t="shared" si="0"/>
        <v>768.63879466446838</v>
      </c>
      <c r="F11" s="575">
        <f t="shared" si="0"/>
        <v>535.39523384721929</v>
      </c>
      <c r="G11" s="575">
        <f t="shared" si="0"/>
        <v>491.02675625664182</v>
      </c>
      <c r="H11" s="575">
        <f t="shared" si="0"/>
        <v>426.71000137623366</v>
      </c>
      <c r="I11" s="575">
        <f t="shared" si="0"/>
        <v>398.5571353297675</v>
      </c>
      <c r="J11" s="575">
        <f t="shared" si="0"/>
        <v>316.7755133596047</v>
      </c>
      <c r="K11" s="575">
        <f t="shared" si="0"/>
        <v>280.05289155085313</v>
      </c>
      <c r="L11" s="575">
        <f t="shared" si="0"/>
        <v>0</v>
      </c>
      <c r="M11" s="576"/>
      <c r="N11" s="451">
        <f>SUM(C11:L11)</f>
        <v>10141.536142414958</v>
      </c>
      <c r="O11" s="452"/>
      <c r="P11" s="448" t="s">
        <v>306</v>
      </c>
      <c r="Q11" s="613">
        <f>(Q17*Q18)+(Q22*Q23)</f>
        <v>726.82340036240009</v>
      </c>
      <c r="R11" s="614"/>
      <c r="S11" s="451">
        <f>SUM(Q11:Q11)</f>
        <v>726.82340036240009</v>
      </c>
      <c r="T11" s="447"/>
    </row>
    <row r="12" spans="1:20" ht="18.75" customHeight="1" x14ac:dyDescent="0.3">
      <c r="A12" s="447"/>
      <c r="B12" s="453" t="s">
        <v>307</v>
      </c>
      <c r="C12" s="577">
        <f>(C27*C28)</f>
        <v>1848.6889018315385</v>
      </c>
      <c r="D12" s="577">
        <f t="shared" ref="D12:L12" si="1">(D27*D28)</f>
        <v>466.89904880460278</v>
      </c>
      <c r="E12" s="577">
        <f t="shared" si="1"/>
        <v>257.04117604815906</v>
      </c>
      <c r="F12" s="577">
        <f t="shared" si="1"/>
        <v>179.04199152313487</v>
      </c>
      <c r="G12" s="577">
        <f t="shared" si="1"/>
        <v>164.20468986920679</v>
      </c>
      <c r="H12" s="577">
        <f t="shared" si="1"/>
        <v>142.69646724393849</v>
      </c>
      <c r="I12" s="577">
        <f t="shared" si="1"/>
        <v>133.28184252301367</v>
      </c>
      <c r="J12" s="577">
        <f t="shared" si="1"/>
        <v>105.9331783178548</v>
      </c>
      <c r="K12" s="577">
        <f t="shared" si="1"/>
        <v>93.652734027485934</v>
      </c>
      <c r="L12" s="577">
        <f t="shared" si="1"/>
        <v>0</v>
      </c>
      <c r="M12" s="455"/>
      <c r="N12" s="456">
        <f>SUM(C12:L12)</f>
        <v>3391.4400301889355</v>
      </c>
      <c r="O12" s="457"/>
      <c r="P12" s="453" t="s">
        <v>307</v>
      </c>
      <c r="Q12" s="577">
        <f>(Q27*Q28)</f>
        <v>0</v>
      </c>
      <c r="R12" s="614"/>
      <c r="S12" s="456">
        <f>SUM(Q12:Q12)</f>
        <v>0</v>
      </c>
      <c r="T12" s="447"/>
    </row>
    <row r="13" spans="1:20" ht="18.75" customHeight="1" x14ac:dyDescent="0.3">
      <c r="A13" s="447"/>
      <c r="B13" s="448" t="s">
        <v>308</v>
      </c>
      <c r="C13" s="654" t="s">
        <v>8</v>
      </c>
      <c r="D13" s="578" t="s">
        <v>8</v>
      </c>
      <c r="E13" s="578" t="s">
        <v>8</v>
      </c>
      <c r="F13" s="578" t="s">
        <v>8</v>
      </c>
      <c r="G13" s="578" t="s">
        <v>8</v>
      </c>
      <c r="H13" s="578" t="s">
        <v>8</v>
      </c>
      <c r="I13" s="578" t="s">
        <v>8</v>
      </c>
      <c r="J13" s="578" t="s">
        <v>8</v>
      </c>
      <c r="K13" s="654" t="s">
        <v>8</v>
      </c>
      <c r="L13" s="578" t="s">
        <v>8</v>
      </c>
      <c r="M13" s="459"/>
      <c r="N13" s="460"/>
      <c r="O13" s="461"/>
      <c r="P13" s="448" t="s">
        <v>308</v>
      </c>
      <c r="Q13" s="578" t="s">
        <v>8</v>
      </c>
      <c r="R13" s="615"/>
      <c r="S13" s="460"/>
      <c r="T13" s="447"/>
    </row>
    <row r="14" spans="1:20" ht="18.75" customHeight="1" x14ac:dyDescent="0.3">
      <c r="A14" s="447"/>
      <c r="B14" s="462" t="s">
        <v>309</v>
      </c>
      <c r="C14" s="655">
        <f t="shared" ref="C14:L14" si="2">C11-C12</f>
        <v>3679.507129092086</v>
      </c>
      <c r="D14" s="579">
        <f t="shared" si="2"/>
        <v>929.28473630194287</v>
      </c>
      <c r="E14" s="579">
        <f t="shared" si="2"/>
        <v>511.59761861630932</v>
      </c>
      <c r="F14" s="579">
        <f t="shared" si="2"/>
        <v>356.35324232408442</v>
      </c>
      <c r="G14" s="579">
        <f t="shared" si="2"/>
        <v>326.82206638743503</v>
      </c>
      <c r="H14" s="579">
        <f t="shared" si="2"/>
        <v>284.01353413229515</v>
      </c>
      <c r="I14" s="579">
        <f t="shared" si="2"/>
        <v>265.27529280675384</v>
      </c>
      <c r="J14" s="579">
        <f t="shared" si="2"/>
        <v>210.84233504174989</v>
      </c>
      <c r="K14" s="655">
        <f t="shared" si="2"/>
        <v>186.4001575233672</v>
      </c>
      <c r="L14" s="579">
        <f t="shared" si="2"/>
        <v>0</v>
      </c>
      <c r="M14" s="455"/>
      <c r="N14" s="464">
        <f>SUM(C14:L14)</f>
        <v>6750.0961122260233</v>
      </c>
      <c r="O14" s="457"/>
      <c r="P14" s="462" t="s">
        <v>309</v>
      </c>
      <c r="Q14" s="579">
        <f t="shared" ref="Q14" si="3">Q11-Q12</f>
        <v>726.82340036240009</v>
      </c>
      <c r="R14" s="614"/>
      <c r="S14" s="464">
        <f>SUM(Q14:Q14)</f>
        <v>726.82340036240009</v>
      </c>
      <c r="T14" s="447"/>
    </row>
    <row r="15" spans="1:20" ht="19.5" customHeight="1" x14ac:dyDescent="0.4">
      <c r="B15" s="465" t="s">
        <v>310</v>
      </c>
      <c r="C15" s="656"/>
      <c r="D15" s="657"/>
      <c r="E15" s="657"/>
      <c r="F15" s="657"/>
      <c r="G15" s="657"/>
      <c r="H15" s="657"/>
      <c r="I15" s="657"/>
      <c r="J15" s="657"/>
      <c r="K15" s="658"/>
      <c r="L15" s="580"/>
      <c r="M15" s="467"/>
      <c r="N15" s="468"/>
      <c r="O15" s="467"/>
      <c r="P15" s="616" t="s">
        <v>395</v>
      </c>
      <c r="Q15" s="617"/>
      <c r="R15" s="618"/>
      <c r="S15" s="468"/>
      <c r="T15" s="427"/>
    </row>
    <row r="16" spans="1:20" ht="35.4" customHeight="1" x14ac:dyDescent="0.3">
      <c r="A16" s="447"/>
      <c r="B16" s="469" t="s">
        <v>311</v>
      </c>
      <c r="C16" s="601" t="s">
        <v>562</v>
      </c>
      <c r="D16" s="601" t="s">
        <v>562</v>
      </c>
      <c r="E16" s="601" t="s">
        <v>562</v>
      </c>
      <c r="F16" s="601" t="s">
        <v>562</v>
      </c>
      <c r="G16" s="601" t="s">
        <v>562</v>
      </c>
      <c r="H16" s="601" t="s">
        <v>562</v>
      </c>
      <c r="I16" s="601" t="s">
        <v>562</v>
      </c>
      <c r="J16" s="601" t="s">
        <v>562</v>
      </c>
      <c r="K16" s="601" t="s">
        <v>562</v>
      </c>
      <c r="L16" s="601" t="s">
        <v>562</v>
      </c>
      <c r="M16" s="581"/>
      <c r="N16" s="471"/>
      <c r="O16" s="457"/>
      <c r="P16" s="469" t="s">
        <v>311</v>
      </c>
      <c r="Q16" s="601" t="s">
        <v>496</v>
      </c>
      <c r="R16" s="619"/>
      <c r="S16" s="620"/>
      <c r="T16" s="447"/>
    </row>
    <row r="17" spans="1:20" ht="21" customHeight="1" x14ac:dyDescent="0.3">
      <c r="A17" s="447"/>
      <c r="B17" s="472" t="s">
        <v>313</v>
      </c>
      <c r="C17" s="582">
        <f>'CF-0206|GDS'!I12</f>
        <v>3085612.7413347242</v>
      </c>
      <c r="D17" s="660">
        <f>'CF-0206|GDS'!I17</f>
        <v>779292.63949236728</v>
      </c>
      <c r="E17" s="660">
        <f>'CF-0206|GDS'!I27</f>
        <v>429022.71284048381</v>
      </c>
      <c r="F17" s="660">
        <f>'CF-0206|GDS'!I32</f>
        <v>298835.70444459294</v>
      </c>
      <c r="G17" s="660">
        <f>'CF-0206|GDS'!I37</f>
        <v>274071.03636819031</v>
      </c>
      <c r="H17" s="660">
        <f>'CF-0206|GDS'!I42</f>
        <v>238172.05644234052</v>
      </c>
      <c r="I17" s="660">
        <f>'CF-0206|GDS'!I47</f>
        <v>222458.27898362905</v>
      </c>
      <c r="J17" s="660">
        <f>'CF-0206|GDS'!I52</f>
        <v>176811.12512971746</v>
      </c>
      <c r="K17" s="661">
        <f>'CF-0206|GDS'!I57</f>
        <v>156314.06078640244</v>
      </c>
      <c r="L17" s="582">
        <v>0</v>
      </c>
      <c r="M17" s="583"/>
      <c r="O17" s="475"/>
      <c r="P17" s="472" t="s">
        <v>398</v>
      </c>
      <c r="Q17" s="621">
        <f>'CF-0206|GDS'!I81</f>
        <v>32563.072000000004</v>
      </c>
      <c r="R17" s="622"/>
      <c r="S17" s="623"/>
      <c r="T17" s="447"/>
    </row>
    <row r="18" spans="1:20" ht="18.75" customHeight="1" x14ac:dyDescent="0.3">
      <c r="A18" s="447"/>
      <c r="B18" s="476" t="s">
        <v>314</v>
      </c>
      <c r="C18" s="584">
        <v>1.759292E-3</v>
      </c>
      <c r="D18" s="584">
        <v>1.759292E-3</v>
      </c>
      <c r="E18" s="584">
        <v>1.759292E-3</v>
      </c>
      <c r="F18" s="584">
        <v>1.759292E-3</v>
      </c>
      <c r="G18" s="584">
        <v>1.759292E-3</v>
      </c>
      <c r="H18" s="584">
        <v>1.759292E-3</v>
      </c>
      <c r="I18" s="584">
        <v>1.759292E-3</v>
      </c>
      <c r="J18" s="584">
        <v>1.759292E-3</v>
      </c>
      <c r="K18" s="584">
        <v>1.759292E-3</v>
      </c>
      <c r="L18" s="584">
        <v>1.759292E-3</v>
      </c>
      <c r="M18" s="590"/>
      <c r="O18" s="479"/>
      <c r="P18" s="476" t="s">
        <v>314</v>
      </c>
      <c r="Q18" s="584">
        <f>'CF-0206|GDS'!C89</f>
        <v>2.232048009359805E-2</v>
      </c>
      <c r="R18" s="614"/>
      <c r="S18" s="491"/>
      <c r="T18" s="447"/>
    </row>
    <row r="19" spans="1:20" ht="19.5" customHeight="1" x14ac:dyDescent="0.3">
      <c r="A19" s="447"/>
      <c r="B19" s="480" t="s">
        <v>315</v>
      </c>
      <c r="C19" s="663">
        <f t="shared" ref="C19:L19" si="4">C17*C18</f>
        <v>5428.4938109282493</v>
      </c>
      <c r="D19" s="664">
        <f t="shared" si="4"/>
        <v>1371.0033063178057</v>
      </c>
      <c r="E19" s="1091">
        <f t="shared" si="4"/>
        <v>754.77622651856041</v>
      </c>
      <c r="F19" s="1091">
        <f t="shared" si="4"/>
        <v>525.73926414373682</v>
      </c>
      <c r="G19" s="1092">
        <f t="shared" si="4"/>
        <v>482.17098171426625</v>
      </c>
      <c r="H19" s="664">
        <f t="shared" si="4"/>
        <v>419.01419352255812</v>
      </c>
      <c r="I19" s="1091">
        <f t="shared" si="4"/>
        <v>391.36907054966673</v>
      </c>
      <c r="J19" s="1093">
        <f t="shared" si="4"/>
        <v>311.06239795171086</v>
      </c>
      <c r="K19" s="585">
        <f t="shared" si="4"/>
        <v>275.00207662903154</v>
      </c>
      <c r="L19" s="585">
        <f t="shared" si="4"/>
        <v>0</v>
      </c>
      <c r="M19" s="586"/>
      <c r="O19" s="479"/>
      <c r="P19" s="480" t="s">
        <v>315</v>
      </c>
      <c r="Q19" s="585">
        <f>Q17*Q18</f>
        <v>726.82340036240009</v>
      </c>
      <c r="R19" s="614"/>
      <c r="S19" s="494"/>
      <c r="T19" s="447"/>
    </row>
    <row r="20" spans="1:20" ht="19.5" customHeight="1" x14ac:dyDescent="0.4">
      <c r="B20" s="465" t="s">
        <v>310</v>
      </c>
      <c r="C20" s="656"/>
      <c r="D20" s="657"/>
      <c r="E20" s="657"/>
      <c r="F20" s="657"/>
      <c r="G20" s="657"/>
      <c r="H20" s="657"/>
      <c r="I20" s="657"/>
      <c r="J20" s="657"/>
      <c r="K20" s="658"/>
      <c r="L20" s="580"/>
      <c r="M20" s="467"/>
      <c r="O20" s="467"/>
      <c r="P20" s="465"/>
      <c r="Q20" s="657"/>
      <c r="R20" s="618"/>
      <c r="S20" s="467"/>
    </row>
    <row r="21" spans="1:20" ht="37.950000000000003" customHeight="1" x14ac:dyDescent="0.3">
      <c r="A21" s="447"/>
      <c r="B21" s="469" t="s">
        <v>311</v>
      </c>
      <c r="C21" s="601" t="s">
        <v>403</v>
      </c>
      <c r="D21" s="601" t="s">
        <v>403</v>
      </c>
      <c r="E21" s="601" t="s">
        <v>403</v>
      </c>
      <c r="F21" s="601" t="s">
        <v>403</v>
      </c>
      <c r="G21" s="601" t="s">
        <v>403</v>
      </c>
      <c r="H21" s="601" t="s">
        <v>403</v>
      </c>
      <c r="I21" s="601" t="s">
        <v>403</v>
      </c>
      <c r="J21" s="601" t="s">
        <v>403</v>
      </c>
      <c r="K21" s="601" t="s">
        <v>403</v>
      </c>
      <c r="L21" s="601" t="s">
        <v>403</v>
      </c>
      <c r="M21" s="1094"/>
      <c r="O21" s="457"/>
      <c r="P21" s="469"/>
      <c r="Q21" s="601"/>
      <c r="R21" s="619"/>
      <c r="S21" s="620"/>
      <c r="T21" s="447"/>
    </row>
    <row r="22" spans="1:20" ht="21" customHeight="1" x14ac:dyDescent="0.3">
      <c r="A22" s="447"/>
      <c r="B22" s="472" t="s">
        <v>313</v>
      </c>
      <c r="C22" s="661">
        <f>'CF-0206|GDS'!I13</f>
        <v>64771.47935243947</v>
      </c>
      <c r="D22" s="661">
        <f>'CF-0206|GDS'!I18</f>
        <v>16358.480904688598</v>
      </c>
      <c r="E22" s="661">
        <f>'CF-0206|GDS'!I28</f>
        <v>9005.8079597035558</v>
      </c>
      <c r="F22" s="661">
        <f>'CF-0206|GDS'!I33</f>
        <v>6272.994145024154</v>
      </c>
      <c r="G22" s="661">
        <f>'CF-0206|GDS'!I38</f>
        <v>5753.1479033059286</v>
      </c>
      <c r="H22" s="661">
        <f>'CF-0206|GDS'!I43</f>
        <v>4999.5763335842503</v>
      </c>
      <c r="I22" s="661">
        <f>'CF-0206|GDS'!I48</f>
        <v>4669.7213914583972</v>
      </c>
      <c r="J22" s="661">
        <f>'CF-0206|GDS'!I53</f>
        <v>3711.5215358059577</v>
      </c>
      <c r="K22" s="661">
        <f>'CF-0206|GDS'!I58</f>
        <v>3281.2584758587882</v>
      </c>
      <c r="L22" s="661">
        <v>0</v>
      </c>
      <c r="M22" s="583"/>
      <c r="O22" s="475"/>
      <c r="P22" s="472"/>
      <c r="Q22" s="621"/>
      <c r="R22" s="622"/>
      <c r="S22" s="623"/>
      <c r="T22" s="447"/>
    </row>
    <row r="23" spans="1:20" ht="18.75" customHeight="1" x14ac:dyDescent="0.3">
      <c r="A23" s="447"/>
      <c r="B23" s="476" t="s">
        <v>314</v>
      </c>
      <c r="C23" s="584">
        <v>1.5392919999999998E-3</v>
      </c>
      <c r="D23" s="584">
        <v>1.5392919999999998E-3</v>
      </c>
      <c r="E23" s="584">
        <v>1.5392919999999998E-3</v>
      </c>
      <c r="F23" s="584">
        <v>1.5392919999999998E-3</v>
      </c>
      <c r="G23" s="584">
        <v>1.5392919999999998E-3</v>
      </c>
      <c r="H23" s="584">
        <v>1.5392919999999998E-3</v>
      </c>
      <c r="I23" s="584">
        <v>1.5392919999999998E-3</v>
      </c>
      <c r="J23" s="584">
        <v>1.5392919999999998E-3</v>
      </c>
      <c r="K23" s="584">
        <v>1.5392919999999998E-3</v>
      </c>
      <c r="L23" s="584">
        <v>1.5392919999999998E-3</v>
      </c>
      <c r="M23" s="586"/>
      <c r="N23" s="1095"/>
      <c r="O23" s="479"/>
      <c r="P23" s="476"/>
      <c r="Q23" s="584"/>
      <c r="R23" s="614"/>
      <c r="S23" s="491"/>
      <c r="T23" s="447"/>
    </row>
    <row r="24" spans="1:20" ht="19.5" customHeight="1" x14ac:dyDescent="0.3">
      <c r="A24" s="447"/>
      <c r="B24" s="480" t="s">
        <v>315</v>
      </c>
      <c r="C24" s="663">
        <f t="shared" ref="C24:L24" si="5">C22*C23</f>
        <v>99.702219995375245</v>
      </c>
      <c r="D24" s="664">
        <f t="shared" si="5"/>
        <v>25.180478788739919</v>
      </c>
      <c r="E24" s="1092">
        <f t="shared" si="5"/>
        <v>13.862568145908003</v>
      </c>
      <c r="F24" s="664">
        <f t="shared" si="5"/>
        <v>9.6559697034825192</v>
      </c>
      <c r="G24" s="1092">
        <f t="shared" si="5"/>
        <v>8.8557745423755883</v>
      </c>
      <c r="H24" s="1092">
        <f t="shared" si="5"/>
        <v>7.695807853675567</v>
      </c>
      <c r="I24" s="1092">
        <f t="shared" si="5"/>
        <v>7.1880647801007784</v>
      </c>
      <c r="J24" s="1093">
        <f t="shared" si="5"/>
        <v>5.7131154078938238</v>
      </c>
      <c r="K24" s="585">
        <f t="shared" si="5"/>
        <v>5.0508149218216252</v>
      </c>
      <c r="L24" s="585">
        <f t="shared" si="5"/>
        <v>0</v>
      </c>
      <c r="M24" s="586"/>
      <c r="N24" s="1096"/>
      <c r="O24" s="479"/>
      <c r="P24" s="480"/>
      <c r="Q24" s="664"/>
      <c r="R24" s="614"/>
      <c r="S24" s="494"/>
      <c r="T24" s="447"/>
    </row>
    <row r="25" spans="1:20" ht="21" customHeight="1" x14ac:dyDescent="0.4">
      <c r="B25" s="465" t="s">
        <v>316</v>
      </c>
      <c r="C25" s="665"/>
      <c r="D25" s="587"/>
      <c r="E25" s="587"/>
      <c r="F25" s="587"/>
      <c r="G25" s="587"/>
      <c r="H25" s="587"/>
      <c r="I25" s="587"/>
      <c r="J25" s="587"/>
      <c r="K25" s="665"/>
      <c r="L25" s="587"/>
      <c r="M25" s="483"/>
      <c r="N25" s="484"/>
      <c r="O25" s="483"/>
      <c r="P25" s="465" t="s">
        <v>316</v>
      </c>
      <c r="Q25" s="587"/>
      <c r="R25" s="618"/>
      <c r="S25" s="495"/>
    </row>
    <row r="26" spans="1:20" ht="32.4" customHeight="1" x14ac:dyDescent="0.3">
      <c r="A26" s="447"/>
      <c r="B26" s="469" t="s">
        <v>183</v>
      </c>
      <c r="C26" s="601" t="s">
        <v>403</v>
      </c>
      <c r="D26" s="601" t="s">
        <v>403</v>
      </c>
      <c r="E26" s="601" t="s">
        <v>403</v>
      </c>
      <c r="F26" s="601" t="s">
        <v>403</v>
      </c>
      <c r="G26" s="601" t="s">
        <v>403</v>
      </c>
      <c r="H26" s="601" t="s">
        <v>403</v>
      </c>
      <c r="I26" s="601" t="s">
        <v>403</v>
      </c>
      <c r="J26" s="601" t="s">
        <v>403</v>
      </c>
      <c r="K26" s="601" t="s">
        <v>403</v>
      </c>
      <c r="L26" s="601" t="s">
        <v>403</v>
      </c>
      <c r="M26" s="588"/>
      <c r="N26" s="485"/>
      <c r="O26" s="479"/>
      <c r="P26" s="469" t="s">
        <v>183</v>
      </c>
      <c r="Q26" s="601" t="s">
        <v>1409</v>
      </c>
      <c r="R26" s="614"/>
      <c r="S26" s="496"/>
      <c r="T26" s="447"/>
    </row>
    <row r="27" spans="1:20" ht="21" customHeight="1" x14ac:dyDescent="0.3">
      <c r="A27" s="447"/>
      <c r="B27" s="486" t="s">
        <v>313</v>
      </c>
      <c r="C27" s="666">
        <f>'CF-0206|GDS'!I14</f>
        <v>1200999.486667597</v>
      </c>
      <c r="D27" s="589">
        <f>'CF-0206|GDS'!I19</f>
        <v>303320.64923653397</v>
      </c>
      <c r="E27" s="589">
        <f>'CF-0206|GDS'!I29</f>
        <v>166986.62505110083</v>
      </c>
      <c r="F27" s="589">
        <f>'CF-0206|GDS'!I34</f>
        <v>116314.50791866319</v>
      </c>
      <c r="G27" s="589">
        <f>'CF-0206|GDS'!I39</f>
        <v>106675.46499897797</v>
      </c>
      <c r="H27" s="589">
        <f>'CF-0206|GDS'!I44</f>
        <v>92702.662811174552</v>
      </c>
      <c r="I27" s="589">
        <f>'CF-0206|GDS'!I49</f>
        <v>86586.458269784867</v>
      </c>
      <c r="J27" s="589">
        <f>'CF-0206|GDS'!I54</f>
        <v>68819.417185209051</v>
      </c>
      <c r="K27" s="666">
        <f>'CF-0206|GDS'!I59</f>
        <v>60841.434911300748</v>
      </c>
      <c r="L27" s="589">
        <v>0</v>
      </c>
      <c r="M27" s="479"/>
      <c r="N27" s="488"/>
      <c r="O27" s="479"/>
      <c r="P27" s="486" t="s">
        <v>398</v>
      </c>
      <c r="Q27" s="589">
        <f>Q17</f>
        <v>32563.072000000004</v>
      </c>
      <c r="R27" s="622"/>
      <c r="S27" s="623"/>
      <c r="T27" s="447"/>
    </row>
    <row r="28" spans="1:20" ht="21" customHeight="1" x14ac:dyDescent="0.3">
      <c r="A28" s="447"/>
      <c r="B28" s="489" t="s">
        <v>314</v>
      </c>
      <c r="C28" s="590">
        <v>1.5392919999999998E-3</v>
      </c>
      <c r="D28" s="590">
        <v>1.5392919999999998E-3</v>
      </c>
      <c r="E28" s="590">
        <v>1.5392919999999998E-3</v>
      </c>
      <c r="F28" s="590">
        <v>1.5392919999999998E-3</v>
      </c>
      <c r="G28" s="590">
        <v>1.5392919999999998E-3</v>
      </c>
      <c r="H28" s="590">
        <v>1.5392919999999998E-3</v>
      </c>
      <c r="I28" s="590">
        <v>1.5392919999999998E-3</v>
      </c>
      <c r="J28" s="590">
        <v>1.5392919999999998E-3</v>
      </c>
      <c r="K28" s="590">
        <v>1.5392919999999998E-3</v>
      </c>
      <c r="L28" s="590">
        <v>1.5392919999999998E-3</v>
      </c>
      <c r="M28" s="588"/>
      <c r="N28" s="491"/>
      <c r="O28" s="479"/>
      <c r="P28" s="489" t="s">
        <v>314</v>
      </c>
      <c r="Q28" s="590">
        <v>0</v>
      </c>
      <c r="R28" s="614"/>
      <c r="S28" s="491"/>
      <c r="T28" s="447"/>
    </row>
    <row r="29" spans="1:20" ht="21" customHeight="1" x14ac:dyDescent="0.3">
      <c r="A29" s="447"/>
      <c r="B29" s="492" t="s">
        <v>315</v>
      </c>
      <c r="C29" s="668">
        <f>C27*C28</f>
        <v>1848.6889018315385</v>
      </c>
      <c r="D29" s="668">
        <f t="shared" ref="D29:L29" si="6">D27*D28</f>
        <v>466.89904880460278</v>
      </c>
      <c r="E29" s="668">
        <f t="shared" si="6"/>
        <v>257.04117604815906</v>
      </c>
      <c r="F29" s="668">
        <f t="shared" si="6"/>
        <v>179.04199152313487</v>
      </c>
      <c r="G29" s="668">
        <f t="shared" si="6"/>
        <v>164.20468986920679</v>
      </c>
      <c r="H29" s="668">
        <f t="shared" si="6"/>
        <v>142.69646724393849</v>
      </c>
      <c r="I29" s="668">
        <f t="shared" si="6"/>
        <v>133.28184252301367</v>
      </c>
      <c r="J29" s="668">
        <f t="shared" si="6"/>
        <v>105.9331783178548</v>
      </c>
      <c r="K29" s="668">
        <f t="shared" si="6"/>
        <v>93.652734027485934</v>
      </c>
      <c r="L29" s="591">
        <f t="shared" si="6"/>
        <v>0</v>
      </c>
      <c r="M29" s="588"/>
      <c r="N29" s="494"/>
      <c r="O29" s="479"/>
      <c r="P29" s="492" t="s">
        <v>315</v>
      </c>
      <c r="Q29" s="624">
        <f t="shared" ref="Q29" si="7">Q27*Q28</f>
        <v>0</v>
      </c>
      <c r="R29" s="614"/>
      <c r="S29" s="494"/>
      <c r="T29" s="447"/>
    </row>
    <row r="30" spans="1:20" ht="28.5" customHeight="1" x14ac:dyDescent="0.3">
      <c r="A30" s="447"/>
      <c r="B30" s="498" t="s">
        <v>320</v>
      </c>
      <c r="C30" s="592" t="s">
        <v>321</v>
      </c>
      <c r="D30" s="592" t="s">
        <v>563</v>
      </c>
      <c r="E30" s="592" t="s">
        <v>564</v>
      </c>
      <c r="F30" s="592" t="s">
        <v>565</v>
      </c>
      <c r="G30" s="592" t="s">
        <v>566</v>
      </c>
      <c r="H30" s="592" t="s">
        <v>567</v>
      </c>
      <c r="I30" s="592" t="s">
        <v>568</v>
      </c>
      <c r="J30" s="592" t="s">
        <v>569</v>
      </c>
      <c r="K30" s="592" t="s">
        <v>570</v>
      </c>
      <c r="L30" s="592" t="s">
        <v>571</v>
      </c>
      <c r="M30" s="593"/>
      <c r="N30" s="501"/>
      <c r="O30" s="500"/>
      <c r="P30" s="498" t="s">
        <v>320</v>
      </c>
      <c r="Q30" s="626" t="s">
        <v>401</v>
      </c>
      <c r="R30" s="614"/>
      <c r="S30" s="496"/>
      <c r="T30" s="447"/>
    </row>
    <row r="31" spans="1:20" ht="24" customHeight="1" x14ac:dyDescent="0.3">
      <c r="B31" s="502" t="s">
        <v>322</v>
      </c>
      <c r="C31" s="673">
        <v>3</v>
      </c>
      <c r="D31" s="594">
        <v>3</v>
      </c>
      <c r="E31" s="594">
        <v>3</v>
      </c>
      <c r="F31" s="594">
        <v>3</v>
      </c>
      <c r="G31" s="594">
        <v>3</v>
      </c>
      <c r="H31" s="594">
        <v>3</v>
      </c>
      <c r="I31" s="594">
        <v>3</v>
      </c>
      <c r="J31" s="594">
        <v>3</v>
      </c>
      <c r="K31" s="673">
        <v>3</v>
      </c>
      <c r="L31" s="594">
        <v>3</v>
      </c>
      <c r="M31" s="504"/>
      <c r="N31" s="505"/>
      <c r="O31" s="504"/>
      <c r="P31" s="502" t="s">
        <v>322</v>
      </c>
      <c r="Q31" s="596">
        <v>13</v>
      </c>
      <c r="R31" s="618"/>
      <c r="S31" s="495"/>
    </row>
    <row r="32" spans="1:20" ht="33" customHeight="1" x14ac:dyDescent="0.3">
      <c r="A32" s="447"/>
      <c r="B32" s="506" t="s">
        <v>323</v>
      </c>
      <c r="C32" s="496" t="s">
        <v>324</v>
      </c>
      <c r="D32" s="595" t="s">
        <v>324</v>
      </c>
      <c r="E32" s="595" t="s">
        <v>324</v>
      </c>
      <c r="F32" s="595" t="s">
        <v>324</v>
      </c>
      <c r="G32" s="595" t="s">
        <v>324</v>
      </c>
      <c r="H32" s="595" t="s">
        <v>324</v>
      </c>
      <c r="I32" s="595" t="s">
        <v>324</v>
      </c>
      <c r="J32" s="595" t="s">
        <v>324</v>
      </c>
      <c r="K32" s="496" t="s">
        <v>324</v>
      </c>
      <c r="L32" s="595" t="s">
        <v>324</v>
      </c>
      <c r="M32" s="479"/>
      <c r="N32" s="496"/>
      <c r="O32" s="479"/>
      <c r="P32" s="506" t="s">
        <v>323</v>
      </c>
      <c r="Q32" s="595" t="s">
        <v>324</v>
      </c>
      <c r="R32" s="614"/>
      <c r="S32" s="496"/>
      <c r="T32" s="447"/>
    </row>
    <row r="33" spans="1:20" ht="33" customHeight="1" x14ac:dyDescent="0.3">
      <c r="A33" s="447"/>
      <c r="B33" s="508" t="s">
        <v>325</v>
      </c>
      <c r="C33" s="674" t="s">
        <v>326</v>
      </c>
      <c r="D33" s="596" t="s">
        <v>326</v>
      </c>
      <c r="E33" s="596" t="s">
        <v>326</v>
      </c>
      <c r="F33" s="596" t="s">
        <v>326</v>
      </c>
      <c r="G33" s="596" t="s">
        <v>326</v>
      </c>
      <c r="H33" s="596" t="s">
        <v>326</v>
      </c>
      <c r="I33" s="596" t="s">
        <v>326</v>
      </c>
      <c r="J33" s="596" t="s">
        <v>326</v>
      </c>
      <c r="K33" s="674" t="s">
        <v>326</v>
      </c>
      <c r="L33" s="596" t="s">
        <v>326</v>
      </c>
      <c r="M33" s="479"/>
      <c r="N33" s="496"/>
      <c r="O33" s="479"/>
      <c r="P33" s="508" t="s">
        <v>325</v>
      </c>
      <c r="Q33" s="627" t="s">
        <v>326</v>
      </c>
      <c r="R33" s="614"/>
      <c r="S33" s="496"/>
      <c r="T33" s="447"/>
    </row>
    <row r="34" spans="1:20" ht="33" customHeight="1" x14ac:dyDescent="0.3">
      <c r="A34" s="447"/>
      <c r="B34" s="506" t="s">
        <v>327</v>
      </c>
      <c r="C34" s="595" t="s">
        <v>433</v>
      </c>
      <c r="D34" s="595" t="s">
        <v>433</v>
      </c>
      <c r="E34" s="595" t="s">
        <v>433</v>
      </c>
      <c r="F34" s="595" t="s">
        <v>433</v>
      </c>
      <c r="G34" s="595" t="s">
        <v>433</v>
      </c>
      <c r="H34" s="595" t="s">
        <v>433</v>
      </c>
      <c r="I34" s="595" t="s">
        <v>433</v>
      </c>
      <c r="J34" s="595" t="s">
        <v>433</v>
      </c>
      <c r="K34" s="595" t="s">
        <v>433</v>
      </c>
      <c r="L34" s="595" t="s">
        <v>433</v>
      </c>
      <c r="M34" s="479"/>
      <c r="N34" s="496"/>
      <c r="O34" s="479"/>
      <c r="P34" s="506" t="s">
        <v>327</v>
      </c>
      <c r="Q34" s="595" t="s">
        <v>402</v>
      </c>
      <c r="R34" s="614"/>
      <c r="S34" s="496"/>
      <c r="T34" s="447"/>
    </row>
    <row r="35" spans="1:20" ht="21" customHeight="1" x14ac:dyDescent="0.3">
      <c r="B35" s="510" t="s">
        <v>329</v>
      </c>
      <c r="C35" s="596">
        <v>1</v>
      </c>
      <c r="D35" s="596">
        <v>1</v>
      </c>
      <c r="E35" s="596">
        <v>1</v>
      </c>
      <c r="F35" s="596">
        <v>1</v>
      </c>
      <c r="G35" s="596">
        <v>1</v>
      </c>
      <c r="H35" s="596">
        <v>1</v>
      </c>
      <c r="I35" s="596">
        <v>1</v>
      </c>
      <c r="J35" s="596">
        <v>1</v>
      </c>
      <c r="K35" s="596">
        <v>1</v>
      </c>
      <c r="L35" s="596">
        <v>0</v>
      </c>
      <c r="M35" s="467"/>
      <c r="N35" s="467"/>
      <c r="O35" s="467"/>
      <c r="P35" s="510" t="s">
        <v>329</v>
      </c>
      <c r="Q35" s="596">
        <v>1</v>
      </c>
      <c r="R35" s="618"/>
      <c r="S35" s="467"/>
    </row>
    <row r="36" spans="1:20" ht="21" customHeight="1" x14ac:dyDescent="0.3">
      <c r="B36" s="453" t="s">
        <v>330</v>
      </c>
      <c r="C36" s="496" t="s">
        <v>324</v>
      </c>
      <c r="D36" s="595" t="s">
        <v>324</v>
      </c>
      <c r="E36" s="595" t="s">
        <v>324</v>
      </c>
      <c r="F36" s="595" t="s">
        <v>324</v>
      </c>
      <c r="G36" s="595" t="s">
        <v>324</v>
      </c>
      <c r="H36" s="595" t="s">
        <v>324</v>
      </c>
      <c r="I36" s="595" t="s">
        <v>324</v>
      </c>
      <c r="J36" s="595" t="s">
        <v>324</v>
      </c>
      <c r="K36" s="496" t="s">
        <v>324</v>
      </c>
      <c r="L36" s="595" t="s">
        <v>324</v>
      </c>
      <c r="M36" s="483"/>
      <c r="N36" s="495"/>
      <c r="O36" s="483"/>
      <c r="P36" s="453" t="s">
        <v>330</v>
      </c>
      <c r="Q36" s="595" t="s">
        <v>324</v>
      </c>
      <c r="R36" s="618"/>
      <c r="S36" s="495"/>
    </row>
    <row r="37" spans="1:20" ht="21" customHeight="1" x14ac:dyDescent="0.3">
      <c r="B37" s="510" t="s">
        <v>331</v>
      </c>
      <c r="C37" s="674" t="s">
        <v>324</v>
      </c>
      <c r="D37" s="596" t="s">
        <v>324</v>
      </c>
      <c r="E37" s="596" t="s">
        <v>324</v>
      </c>
      <c r="F37" s="596" t="s">
        <v>324</v>
      </c>
      <c r="G37" s="596" t="s">
        <v>324</v>
      </c>
      <c r="H37" s="596" t="s">
        <v>324</v>
      </c>
      <c r="I37" s="596" t="s">
        <v>324</v>
      </c>
      <c r="J37" s="596" t="s">
        <v>324</v>
      </c>
      <c r="K37" s="674" t="s">
        <v>324</v>
      </c>
      <c r="L37" s="596" t="s">
        <v>324</v>
      </c>
      <c r="M37" s="483"/>
      <c r="N37" s="495"/>
      <c r="O37" s="483"/>
      <c r="P37" s="510" t="s">
        <v>331</v>
      </c>
      <c r="Q37" s="596" t="s">
        <v>324</v>
      </c>
      <c r="R37" s="618"/>
      <c r="S37" s="495"/>
    </row>
    <row r="38" spans="1:20" ht="21" customHeight="1" x14ac:dyDescent="0.3">
      <c r="B38" s="462" t="s">
        <v>332</v>
      </c>
      <c r="C38" s="675" t="s">
        <v>333</v>
      </c>
      <c r="D38" s="555" t="s">
        <v>333</v>
      </c>
      <c r="E38" s="555" t="s">
        <v>333</v>
      </c>
      <c r="F38" s="555" t="s">
        <v>333</v>
      </c>
      <c r="G38" s="555" t="s">
        <v>333</v>
      </c>
      <c r="H38" s="555" t="s">
        <v>333</v>
      </c>
      <c r="I38" s="555" t="s">
        <v>333</v>
      </c>
      <c r="J38" s="555" t="s">
        <v>333</v>
      </c>
      <c r="K38" s="676" t="s">
        <v>333</v>
      </c>
      <c r="L38" s="555" t="s">
        <v>333</v>
      </c>
      <c r="M38" s="483"/>
      <c r="N38" s="495"/>
      <c r="O38" s="483"/>
      <c r="P38" s="462" t="s">
        <v>332</v>
      </c>
      <c r="Q38" s="555" t="s">
        <v>333</v>
      </c>
      <c r="R38" s="618"/>
      <c r="S38" s="495"/>
    </row>
    <row r="39" spans="1:20" ht="15.75" customHeight="1" x14ac:dyDescent="0.3">
      <c r="B39" s="427"/>
      <c r="C39" s="427"/>
      <c r="D39" s="427"/>
      <c r="E39" s="427"/>
      <c r="F39" s="483"/>
      <c r="G39" s="483"/>
      <c r="H39" s="483"/>
      <c r="I39" s="427"/>
      <c r="N39" s="427"/>
      <c r="O39" s="427"/>
    </row>
    <row r="40" spans="1:20" ht="15.75" customHeight="1" x14ac:dyDescent="0.3">
      <c r="B40" s="512" t="s">
        <v>334</v>
      </c>
      <c r="C40" s="427"/>
      <c r="D40" s="427"/>
      <c r="E40" s="427"/>
      <c r="F40" s="483"/>
      <c r="G40" s="483"/>
      <c r="H40" s="483"/>
      <c r="N40" s="427"/>
      <c r="O40" s="427"/>
    </row>
    <row r="41" spans="1:20" ht="15.75" customHeight="1" x14ac:dyDescent="0.3">
      <c r="B41" s="512" t="s">
        <v>335</v>
      </c>
      <c r="C41" s="427"/>
      <c r="D41" s="427"/>
      <c r="E41" s="427"/>
      <c r="F41" s="483"/>
      <c r="G41" s="483"/>
      <c r="H41" s="483"/>
      <c r="N41" s="427"/>
      <c r="O41" s="427"/>
    </row>
    <row r="42" spans="1:20" ht="15.75" customHeight="1" x14ac:dyDescent="0.3">
      <c r="B42" s="512" t="s">
        <v>336</v>
      </c>
      <c r="C42" s="427"/>
      <c r="D42" s="427"/>
      <c r="E42" s="427"/>
      <c r="F42" s="483"/>
      <c r="G42" s="483"/>
      <c r="H42" s="483"/>
      <c r="N42" s="427"/>
      <c r="O42" s="427"/>
    </row>
    <row r="43" spans="1:20" ht="15.75" customHeight="1" x14ac:dyDescent="0.3">
      <c r="B43" s="512" t="s">
        <v>337</v>
      </c>
      <c r="C43" s="427"/>
      <c r="D43" s="427"/>
      <c r="E43" s="427"/>
      <c r="F43" s="483"/>
      <c r="G43" s="483"/>
      <c r="H43" s="483"/>
      <c r="N43" s="427"/>
      <c r="O43" s="427"/>
    </row>
    <row r="44" spans="1:20" ht="15.75" customHeight="1" x14ac:dyDescent="0.3">
      <c r="B44" s="512" t="s">
        <v>338</v>
      </c>
      <c r="F44" s="427"/>
      <c r="H44" s="427"/>
      <c r="N44" s="427"/>
      <c r="O44" s="427"/>
    </row>
    <row r="45" spans="1:20" ht="15.75" customHeight="1" x14ac:dyDescent="0.3">
      <c r="B45" s="512" t="s">
        <v>339</v>
      </c>
      <c r="F45" s="427"/>
      <c r="H45" s="427"/>
      <c r="N45" s="427"/>
      <c r="O45" s="427"/>
    </row>
    <row r="46" spans="1:20" ht="15.75" customHeight="1" x14ac:dyDescent="0.3">
      <c r="F46" s="427"/>
      <c r="H46" s="427"/>
      <c r="N46" s="427"/>
      <c r="O46" s="427"/>
    </row>
    <row r="47" spans="1:20" ht="15.75" customHeight="1" x14ac:dyDescent="0.3">
      <c r="F47" s="427"/>
      <c r="H47" s="427"/>
      <c r="N47" s="427"/>
      <c r="O47" s="427"/>
    </row>
    <row r="48" spans="1:20" ht="15.75" customHeight="1" x14ac:dyDescent="0.3">
      <c r="F48" s="427"/>
      <c r="H48" s="427"/>
      <c r="N48" s="427"/>
      <c r="O48" s="427"/>
    </row>
    <row r="49" spans="6:14" ht="15.75" customHeight="1" x14ac:dyDescent="0.3">
      <c r="F49" s="427"/>
      <c r="H49" s="427"/>
      <c r="N49" s="427"/>
    </row>
    <row r="50" spans="6:14" ht="15.75" customHeight="1" x14ac:dyDescent="0.3">
      <c r="F50" s="427"/>
      <c r="H50" s="427"/>
      <c r="N50" s="427"/>
    </row>
    <row r="51" spans="6:14" ht="15.75" customHeight="1" x14ac:dyDescent="0.3">
      <c r="F51" s="427"/>
      <c r="H51" s="427"/>
      <c r="N51" s="427"/>
    </row>
    <row r="52" spans="6:14" ht="15.75" customHeight="1" x14ac:dyDescent="0.3">
      <c r="F52" s="427"/>
      <c r="H52" s="427"/>
      <c r="N52" s="427"/>
    </row>
    <row r="53" spans="6:14" ht="15.75" customHeight="1" x14ac:dyDescent="0.3">
      <c r="F53" s="427"/>
      <c r="H53" s="427"/>
      <c r="N53" s="427"/>
    </row>
    <row r="54" spans="6:14" ht="15.75" customHeight="1" x14ac:dyDescent="0.3">
      <c r="F54" s="427"/>
      <c r="H54" s="427"/>
      <c r="N54" s="427"/>
    </row>
    <row r="55" spans="6:14" ht="15.75" customHeight="1" x14ac:dyDescent="0.3">
      <c r="F55" s="427"/>
      <c r="H55" s="427"/>
      <c r="N55" s="427"/>
    </row>
    <row r="56" spans="6:14" ht="15.75" customHeight="1" x14ac:dyDescent="0.3">
      <c r="F56" s="427"/>
      <c r="H56" s="427"/>
      <c r="N56" s="427"/>
    </row>
    <row r="57" spans="6:14" ht="15.75" customHeight="1" x14ac:dyDescent="0.3">
      <c r="F57" s="427"/>
      <c r="H57" s="427"/>
      <c r="N57" s="427"/>
    </row>
    <row r="58" spans="6:14" ht="15.75" customHeight="1" x14ac:dyDescent="0.3">
      <c r="F58" s="427"/>
      <c r="H58" s="427"/>
      <c r="N58" s="427"/>
    </row>
    <row r="59" spans="6:14" ht="15.75" customHeight="1" x14ac:dyDescent="0.3">
      <c r="F59" s="427"/>
      <c r="H59" s="427"/>
      <c r="N59" s="427"/>
    </row>
    <row r="60" spans="6:14" ht="15.75" customHeight="1" x14ac:dyDescent="0.3">
      <c r="F60" s="427"/>
      <c r="H60" s="427"/>
      <c r="N60" s="427"/>
    </row>
    <row r="61" spans="6:14" ht="15.75" customHeight="1" x14ac:dyDescent="0.3">
      <c r="F61" s="427"/>
      <c r="H61" s="427"/>
      <c r="N61" s="427"/>
    </row>
    <row r="62" spans="6:14" ht="15.75" customHeight="1" x14ac:dyDescent="0.3">
      <c r="F62" s="427"/>
      <c r="H62" s="427"/>
      <c r="N62" s="427"/>
    </row>
    <row r="63" spans="6:14" ht="15.75" customHeight="1" x14ac:dyDescent="0.3">
      <c r="F63" s="427"/>
      <c r="H63" s="427"/>
      <c r="N63" s="427"/>
    </row>
    <row r="64" spans="6:14" ht="15.75" customHeight="1" x14ac:dyDescent="0.3">
      <c r="F64" s="427"/>
      <c r="H64" s="427"/>
      <c r="N64" s="427"/>
    </row>
    <row r="65" spans="6:14" ht="15.75" customHeight="1" x14ac:dyDescent="0.3">
      <c r="F65" s="427"/>
      <c r="H65" s="427"/>
      <c r="N65" s="427"/>
    </row>
    <row r="66" spans="6:14" ht="15.75" customHeight="1" x14ac:dyDescent="0.3">
      <c r="F66" s="427"/>
      <c r="H66" s="427"/>
      <c r="N66" s="427"/>
    </row>
    <row r="67" spans="6:14" ht="15.75" customHeight="1" x14ac:dyDescent="0.3">
      <c r="F67" s="427"/>
      <c r="H67" s="427"/>
      <c r="N67" s="427"/>
    </row>
    <row r="68" spans="6:14" ht="15.75" customHeight="1" x14ac:dyDescent="0.3">
      <c r="F68" s="427"/>
      <c r="H68" s="427"/>
      <c r="N68" s="427"/>
    </row>
    <row r="69" spans="6:14" ht="15.75" customHeight="1" x14ac:dyDescent="0.3">
      <c r="F69" s="427"/>
      <c r="H69" s="427"/>
      <c r="N69" s="427"/>
    </row>
    <row r="70" spans="6:14" ht="15.75" customHeight="1" x14ac:dyDescent="0.3">
      <c r="F70" s="427"/>
      <c r="H70" s="427"/>
      <c r="N70" s="427"/>
    </row>
    <row r="71" spans="6:14" ht="15.75" customHeight="1" x14ac:dyDescent="0.3">
      <c r="F71" s="427"/>
      <c r="H71" s="427"/>
      <c r="N71" s="427"/>
    </row>
    <row r="72" spans="6:14" ht="15.75" customHeight="1" x14ac:dyDescent="0.3">
      <c r="F72" s="427"/>
      <c r="H72" s="427"/>
      <c r="N72" s="427"/>
    </row>
    <row r="73" spans="6:14" ht="15.75" customHeight="1" x14ac:dyDescent="0.3">
      <c r="F73" s="427"/>
      <c r="H73" s="427"/>
      <c r="N73" s="427"/>
    </row>
    <row r="74" spans="6:14" ht="15.75" customHeight="1" x14ac:dyDescent="0.3">
      <c r="F74" s="427"/>
      <c r="H74" s="427"/>
      <c r="N74" s="427"/>
    </row>
    <row r="75" spans="6:14" ht="15.75" customHeight="1" x14ac:dyDescent="0.3">
      <c r="F75" s="427"/>
      <c r="H75" s="427"/>
      <c r="N75" s="427"/>
    </row>
    <row r="76" spans="6:14" ht="15.75" customHeight="1" x14ac:dyDescent="0.3">
      <c r="F76" s="427"/>
      <c r="H76" s="427"/>
      <c r="N76" s="427"/>
    </row>
    <row r="77" spans="6:14" ht="15.75" customHeight="1" x14ac:dyDescent="0.3">
      <c r="F77" s="427"/>
      <c r="H77" s="427"/>
      <c r="N77" s="427"/>
    </row>
    <row r="78" spans="6:14" ht="15.75" customHeight="1" x14ac:dyDescent="0.3">
      <c r="F78" s="427"/>
      <c r="H78" s="427"/>
      <c r="N78" s="427"/>
    </row>
    <row r="79" spans="6:14" ht="15.75" customHeight="1" x14ac:dyDescent="0.3">
      <c r="F79" s="427"/>
      <c r="H79" s="427"/>
      <c r="N79" s="427"/>
    </row>
    <row r="80" spans="6:14" ht="15.75" customHeight="1" x14ac:dyDescent="0.3">
      <c r="F80" s="427"/>
      <c r="H80" s="427"/>
      <c r="N80" s="427"/>
    </row>
    <row r="81" spans="6:14" ht="15.75" customHeight="1" x14ac:dyDescent="0.3">
      <c r="F81" s="427"/>
      <c r="H81" s="427"/>
      <c r="N81" s="427"/>
    </row>
    <row r="82" spans="6:14" ht="15.75" customHeight="1" x14ac:dyDescent="0.3">
      <c r="F82" s="427"/>
      <c r="H82" s="427"/>
      <c r="N82" s="427"/>
    </row>
    <row r="83" spans="6:14" ht="15.75" customHeight="1" x14ac:dyDescent="0.3">
      <c r="F83" s="427"/>
      <c r="H83" s="427"/>
      <c r="N83" s="427"/>
    </row>
    <row r="84" spans="6:14" ht="15.75" customHeight="1" x14ac:dyDescent="0.3">
      <c r="F84" s="427"/>
      <c r="H84" s="427"/>
      <c r="N84" s="427"/>
    </row>
    <row r="85" spans="6:14" ht="15.75" customHeight="1" x14ac:dyDescent="0.3">
      <c r="F85" s="427"/>
      <c r="H85" s="427"/>
      <c r="N85" s="427"/>
    </row>
    <row r="86" spans="6:14" ht="15.75" customHeight="1" x14ac:dyDescent="0.3">
      <c r="F86" s="427"/>
      <c r="H86" s="427"/>
      <c r="N86" s="427"/>
    </row>
    <row r="87" spans="6:14" ht="15.75" customHeight="1" x14ac:dyDescent="0.3">
      <c r="F87" s="427"/>
      <c r="H87" s="427"/>
      <c r="N87" s="427"/>
    </row>
    <row r="88" spans="6:14" ht="15.75" customHeight="1" x14ac:dyDescent="0.3">
      <c r="F88" s="427"/>
      <c r="H88" s="427"/>
      <c r="N88" s="427"/>
    </row>
    <row r="89" spans="6:14" ht="15.75" customHeight="1" x14ac:dyDescent="0.3">
      <c r="F89" s="427"/>
      <c r="H89" s="427"/>
      <c r="N89" s="427"/>
    </row>
    <row r="90" spans="6:14" ht="15.75" customHeight="1" x14ac:dyDescent="0.3">
      <c r="F90" s="427"/>
      <c r="H90" s="427"/>
      <c r="N90" s="427"/>
    </row>
    <row r="91" spans="6:14" ht="15.75" customHeight="1" x14ac:dyDescent="0.3">
      <c r="F91" s="427"/>
      <c r="H91" s="427"/>
      <c r="N91" s="427"/>
    </row>
    <row r="92" spans="6:14" ht="15.75" customHeight="1" x14ac:dyDescent="0.3">
      <c r="F92" s="427"/>
      <c r="H92" s="427"/>
      <c r="N92" s="427"/>
    </row>
    <row r="93" spans="6:14" ht="15.75" customHeight="1" x14ac:dyDescent="0.3">
      <c r="F93" s="427"/>
      <c r="H93" s="427"/>
      <c r="N93" s="427"/>
    </row>
    <row r="94" spans="6:14" ht="15.75" customHeight="1" x14ac:dyDescent="0.3">
      <c r="F94" s="427"/>
      <c r="H94" s="427"/>
      <c r="N94" s="427"/>
    </row>
    <row r="95" spans="6:14" ht="15.75" customHeight="1" x14ac:dyDescent="0.3">
      <c r="F95" s="427"/>
      <c r="H95" s="427"/>
      <c r="N95" s="427"/>
    </row>
    <row r="96" spans="6:14" ht="15.75" customHeight="1" x14ac:dyDescent="0.3">
      <c r="F96" s="427"/>
      <c r="H96" s="427"/>
      <c r="N96" s="427"/>
    </row>
    <row r="97" spans="6:14" ht="15.75" customHeight="1" x14ac:dyDescent="0.3">
      <c r="F97" s="427"/>
      <c r="H97" s="427"/>
      <c r="N97" s="427"/>
    </row>
    <row r="98" spans="6:14" ht="15.75" customHeight="1" x14ac:dyDescent="0.3">
      <c r="F98" s="427"/>
      <c r="H98" s="427"/>
      <c r="N98" s="427"/>
    </row>
    <row r="99" spans="6:14" ht="15.75" customHeight="1" x14ac:dyDescent="0.3">
      <c r="F99" s="427"/>
      <c r="H99" s="427"/>
      <c r="N99" s="427"/>
    </row>
    <row r="100" spans="6:14" ht="15.75" customHeight="1" x14ac:dyDescent="0.3">
      <c r="F100" s="427"/>
      <c r="H100" s="427"/>
      <c r="N100" s="427"/>
    </row>
    <row r="101" spans="6:14" ht="15.75" customHeight="1" x14ac:dyDescent="0.3">
      <c r="F101" s="427"/>
      <c r="H101" s="427"/>
      <c r="N101" s="427"/>
    </row>
    <row r="102" spans="6:14" ht="15.75" customHeight="1" x14ac:dyDescent="0.3">
      <c r="F102" s="427"/>
      <c r="H102" s="427"/>
      <c r="N102" s="427"/>
    </row>
    <row r="103" spans="6:14" ht="15.75" customHeight="1" x14ac:dyDescent="0.3">
      <c r="F103" s="427"/>
      <c r="H103" s="427"/>
      <c r="N103" s="427"/>
    </row>
    <row r="104" spans="6:14" ht="15.75" customHeight="1" x14ac:dyDescent="0.3">
      <c r="F104" s="427"/>
      <c r="H104" s="427"/>
      <c r="N104" s="427"/>
    </row>
    <row r="105" spans="6:14" ht="15.75" customHeight="1" x14ac:dyDescent="0.3">
      <c r="F105" s="427"/>
      <c r="H105" s="427"/>
      <c r="N105" s="427"/>
    </row>
    <row r="106" spans="6:14" ht="15.75" customHeight="1" x14ac:dyDescent="0.3">
      <c r="F106" s="427"/>
      <c r="H106" s="427"/>
      <c r="N106" s="427"/>
    </row>
    <row r="107" spans="6:14" ht="15.75" customHeight="1" x14ac:dyDescent="0.3">
      <c r="F107" s="427"/>
      <c r="H107" s="427"/>
      <c r="N107" s="427"/>
    </row>
    <row r="108" spans="6:14" ht="15.75" customHeight="1" x14ac:dyDescent="0.3">
      <c r="F108" s="427"/>
      <c r="H108" s="427"/>
      <c r="N108" s="427"/>
    </row>
    <row r="109" spans="6:14" ht="15.75" customHeight="1" x14ac:dyDescent="0.3">
      <c r="F109" s="427"/>
      <c r="H109" s="427"/>
      <c r="N109" s="427"/>
    </row>
    <row r="110" spans="6:14" ht="15.75" customHeight="1" x14ac:dyDescent="0.3">
      <c r="F110" s="427"/>
      <c r="H110" s="427"/>
      <c r="N110" s="427"/>
    </row>
    <row r="111" spans="6:14" ht="15.75" customHeight="1" x14ac:dyDescent="0.3">
      <c r="F111" s="427"/>
      <c r="H111" s="427"/>
      <c r="N111" s="427"/>
    </row>
    <row r="112" spans="6:14" ht="15.75" customHeight="1" x14ac:dyDescent="0.3">
      <c r="F112" s="427"/>
      <c r="H112" s="427"/>
      <c r="N112" s="427"/>
    </row>
    <row r="113" spans="6:14" ht="15.75" customHeight="1" x14ac:dyDescent="0.3">
      <c r="F113" s="427"/>
      <c r="H113" s="427"/>
      <c r="N113" s="427"/>
    </row>
    <row r="114" spans="6:14" ht="15.75" customHeight="1" x14ac:dyDescent="0.3">
      <c r="F114" s="427"/>
      <c r="H114" s="427"/>
      <c r="N114" s="427"/>
    </row>
    <row r="115" spans="6:14" ht="15.75" customHeight="1" x14ac:dyDescent="0.3">
      <c r="F115" s="427"/>
      <c r="H115" s="427"/>
      <c r="N115" s="427"/>
    </row>
    <row r="116" spans="6:14" ht="15.75" customHeight="1" x14ac:dyDescent="0.3">
      <c r="F116" s="427"/>
      <c r="H116" s="427"/>
      <c r="N116" s="427"/>
    </row>
    <row r="117" spans="6:14" ht="15.75" customHeight="1" x14ac:dyDescent="0.3">
      <c r="F117" s="427"/>
      <c r="H117" s="427"/>
      <c r="N117" s="427"/>
    </row>
    <row r="118" spans="6:14" ht="15.75" customHeight="1" x14ac:dyDescent="0.3">
      <c r="F118" s="427"/>
      <c r="H118" s="427"/>
      <c r="N118" s="427"/>
    </row>
    <row r="119" spans="6:14" ht="15.75" customHeight="1" x14ac:dyDescent="0.3">
      <c r="F119" s="427"/>
      <c r="H119" s="427"/>
      <c r="N119" s="427"/>
    </row>
    <row r="120" spans="6:14" ht="15.75" customHeight="1" x14ac:dyDescent="0.3">
      <c r="F120" s="427"/>
      <c r="H120" s="427"/>
      <c r="N120" s="427"/>
    </row>
    <row r="121" spans="6:14" ht="15.75" customHeight="1" x14ac:dyDescent="0.3">
      <c r="F121" s="427"/>
      <c r="H121" s="427"/>
      <c r="N121" s="427"/>
    </row>
    <row r="122" spans="6:14" ht="15.75" customHeight="1" x14ac:dyDescent="0.3">
      <c r="F122" s="427"/>
      <c r="H122" s="427"/>
      <c r="N122" s="427"/>
    </row>
    <row r="123" spans="6:14" ht="15.75" customHeight="1" x14ac:dyDescent="0.3">
      <c r="F123" s="427"/>
      <c r="H123" s="427"/>
      <c r="N123" s="427"/>
    </row>
    <row r="124" spans="6:14" ht="15.75" customHeight="1" x14ac:dyDescent="0.3">
      <c r="F124" s="427"/>
      <c r="H124" s="427"/>
      <c r="N124" s="427"/>
    </row>
    <row r="125" spans="6:14" ht="15.75" customHeight="1" x14ac:dyDescent="0.3">
      <c r="F125" s="427"/>
      <c r="H125" s="427"/>
      <c r="N125" s="427"/>
    </row>
    <row r="126" spans="6:14" ht="15.75" customHeight="1" x14ac:dyDescent="0.3">
      <c r="F126" s="427"/>
      <c r="H126" s="427"/>
      <c r="N126" s="427"/>
    </row>
    <row r="127" spans="6:14" ht="15.75" customHeight="1" x14ac:dyDescent="0.3">
      <c r="F127" s="427"/>
      <c r="H127" s="427"/>
      <c r="N127" s="427"/>
    </row>
    <row r="128" spans="6:14" ht="15.75" customHeight="1" x14ac:dyDescent="0.3">
      <c r="F128" s="427"/>
      <c r="H128" s="427"/>
      <c r="N128" s="427"/>
    </row>
    <row r="129" spans="6:14" ht="15.75" customHeight="1" x14ac:dyDescent="0.3">
      <c r="F129" s="427"/>
      <c r="H129" s="427"/>
      <c r="N129" s="427"/>
    </row>
    <row r="130" spans="6:14" ht="15.75" customHeight="1" x14ac:dyDescent="0.3">
      <c r="F130" s="427"/>
      <c r="H130" s="427"/>
      <c r="N130" s="427"/>
    </row>
    <row r="131" spans="6:14" ht="15.75" customHeight="1" x14ac:dyDescent="0.3">
      <c r="F131" s="427"/>
      <c r="H131" s="427"/>
      <c r="N131" s="427"/>
    </row>
    <row r="132" spans="6:14" ht="15.75" customHeight="1" x14ac:dyDescent="0.3">
      <c r="F132" s="427"/>
      <c r="H132" s="427"/>
      <c r="N132" s="427"/>
    </row>
    <row r="133" spans="6:14" ht="15.75" customHeight="1" x14ac:dyDescent="0.3">
      <c r="F133" s="427"/>
      <c r="H133" s="427"/>
      <c r="N133" s="427"/>
    </row>
    <row r="134" spans="6:14" ht="15.75" customHeight="1" x14ac:dyDescent="0.3">
      <c r="F134" s="427"/>
      <c r="H134" s="427"/>
      <c r="N134" s="427"/>
    </row>
    <row r="135" spans="6:14" ht="15.75" customHeight="1" x14ac:dyDescent="0.3">
      <c r="F135" s="427"/>
      <c r="H135" s="427"/>
      <c r="N135" s="427"/>
    </row>
    <row r="136" spans="6:14" ht="15.75" customHeight="1" x14ac:dyDescent="0.3">
      <c r="F136" s="427"/>
      <c r="H136" s="427"/>
      <c r="N136" s="427"/>
    </row>
    <row r="137" spans="6:14" ht="15.75" customHeight="1" x14ac:dyDescent="0.3">
      <c r="F137" s="427"/>
      <c r="H137" s="427"/>
      <c r="N137" s="427"/>
    </row>
    <row r="138" spans="6:14" ht="15.75" customHeight="1" x14ac:dyDescent="0.3">
      <c r="F138" s="427"/>
      <c r="H138" s="427"/>
      <c r="N138" s="427"/>
    </row>
    <row r="139" spans="6:14" ht="15.75" customHeight="1" x14ac:dyDescent="0.3">
      <c r="F139" s="427"/>
      <c r="H139" s="427"/>
      <c r="N139" s="427"/>
    </row>
    <row r="140" spans="6:14" ht="15.75" customHeight="1" x14ac:dyDescent="0.3">
      <c r="F140" s="427"/>
      <c r="H140" s="427"/>
      <c r="N140" s="427"/>
    </row>
    <row r="141" spans="6:14" ht="15.75" customHeight="1" x14ac:dyDescent="0.3">
      <c r="F141" s="427"/>
      <c r="H141" s="427"/>
      <c r="N141" s="427"/>
    </row>
    <row r="142" spans="6:14" ht="15.75" customHeight="1" x14ac:dyDescent="0.3">
      <c r="F142" s="427"/>
      <c r="H142" s="427"/>
      <c r="N142" s="427"/>
    </row>
    <row r="143" spans="6:14" ht="15.75" customHeight="1" x14ac:dyDescent="0.3">
      <c r="F143" s="427"/>
      <c r="H143" s="427"/>
      <c r="N143" s="427"/>
    </row>
    <row r="144" spans="6:14" ht="15.75" customHeight="1" x14ac:dyDescent="0.3">
      <c r="F144" s="427"/>
      <c r="H144" s="427"/>
      <c r="N144" s="427"/>
    </row>
    <row r="145" spans="6:14" ht="15.75" customHeight="1" x14ac:dyDescent="0.3">
      <c r="F145" s="427"/>
      <c r="H145" s="427"/>
      <c r="N145" s="427"/>
    </row>
    <row r="146" spans="6:14" ht="15.75" customHeight="1" x14ac:dyDescent="0.3">
      <c r="F146" s="427"/>
      <c r="H146" s="427"/>
      <c r="N146" s="427"/>
    </row>
    <row r="147" spans="6:14" ht="15.75" customHeight="1" x14ac:dyDescent="0.3">
      <c r="F147" s="427"/>
      <c r="H147" s="427"/>
      <c r="N147" s="427"/>
    </row>
    <row r="148" spans="6:14" ht="15.75" customHeight="1" x14ac:dyDescent="0.3">
      <c r="F148" s="427"/>
      <c r="H148" s="427"/>
      <c r="N148" s="427"/>
    </row>
    <row r="149" spans="6:14" ht="15.75" customHeight="1" x14ac:dyDescent="0.3">
      <c r="F149" s="427"/>
      <c r="H149" s="427"/>
      <c r="N149" s="427"/>
    </row>
    <row r="150" spans="6:14" ht="15.75" customHeight="1" x14ac:dyDescent="0.3">
      <c r="F150" s="427"/>
      <c r="H150" s="427"/>
      <c r="N150" s="427"/>
    </row>
    <row r="151" spans="6:14" ht="15.75" customHeight="1" x14ac:dyDescent="0.3">
      <c r="F151" s="427"/>
      <c r="H151" s="427"/>
      <c r="N151" s="427"/>
    </row>
    <row r="152" spans="6:14" ht="15.75" customHeight="1" x14ac:dyDescent="0.3">
      <c r="F152" s="427"/>
      <c r="H152" s="427"/>
      <c r="N152" s="427"/>
    </row>
    <row r="153" spans="6:14" ht="15.75" customHeight="1" x14ac:dyDescent="0.3">
      <c r="F153" s="427"/>
      <c r="H153" s="427"/>
      <c r="N153" s="427"/>
    </row>
    <row r="154" spans="6:14" ht="15.75" customHeight="1" x14ac:dyDescent="0.3">
      <c r="F154" s="427"/>
      <c r="H154" s="427"/>
      <c r="N154" s="427"/>
    </row>
    <row r="155" spans="6:14" ht="15.75" customHeight="1" x14ac:dyDescent="0.3">
      <c r="F155" s="427"/>
      <c r="H155" s="427"/>
      <c r="N155" s="427"/>
    </row>
    <row r="156" spans="6:14" ht="15.75" customHeight="1" x14ac:dyDescent="0.3">
      <c r="F156" s="427"/>
      <c r="H156" s="427"/>
      <c r="N156" s="427"/>
    </row>
    <row r="157" spans="6:14" ht="15.75" customHeight="1" x14ac:dyDescent="0.3">
      <c r="F157" s="427"/>
      <c r="H157" s="427"/>
      <c r="N157" s="427"/>
    </row>
    <row r="158" spans="6:14" ht="15.75" customHeight="1" x14ac:dyDescent="0.3">
      <c r="F158" s="427"/>
      <c r="H158" s="427"/>
      <c r="N158" s="427"/>
    </row>
    <row r="159" spans="6:14" ht="15.75" customHeight="1" x14ac:dyDescent="0.3">
      <c r="F159" s="427"/>
      <c r="H159" s="427"/>
      <c r="N159" s="427"/>
    </row>
    <row r="160" spans="6:14" ht="15.75" customHeight="1" x14ac:dyDescent="0.3">
      <c r="F160" s="427"/>
      <c r="H160" s="427"/>
      <c r="N160" s="427"/>
    </row>
    <row r="161" spans="6:14" ht="15.75" customHeight="1" x14ac:dyDescent="0.3">
      <c r="F161" s="427"/>
      <c r="H161" s="427"/>
      <c r="N161" s="427"/>
    </row>
    <row r="162" spans="6:14" ht="15.75" customHeight="1" x14ac:dyDescent="0.3">
      <c r="F162" s="427"/>
      <c r="H162" s="427"/>
      <c r="N162" s="427"/>
    </row>
    <row r="163" spans="6:14" ht="15.75" customHeight="1" x14ac:dyDescent="0.3">
      <c r="F163" s="427"/>
      <c r="H163" s="427"/>
      <c r="N163" s="427"/>
    </row>
    <row r="164" spans="6:14" ht="15.75" customHeight="1" x14ac:dyDescent="0.3">
      <c r="F164" s="427"/>
      <c r="H164" s="427"/>
      <c r="N164" s="427"/>
    </row>
    <row r="165" spans="6:14" ht="15.75" customHeight="1" x14ac:dyDescent="0.3">
      <c r="F165" s="427"/>
      <c r="H165" s="427"/>
      <c r="N165" s="427"/>
    </row>
    <row r="166" spans="6:14" ht="15.75" customHeight="1" x14ac:dyDescent="0.3">
      <c r="F166" s="427"/>
      <c r="H166" s="427"/>
      <c r="N166" s="427"/>
    </row>
    <row r="167" spans="6:14" ht="15.75" customHeight="1" x14ac:dyDescent="0.3">
      <c r="F167" s="427"/>
      <c r="H167" s="427"/>
      <c r="N167" s="427"/>
    </row>
    <row r="168" spans="6:14" ht="15.75" customHeight="1" x14ac:dyDescent="0.3">
      <c r="F168" s="427"/>
      <c r="H168" s="427"/>
      <c r="N168" s="427"/>
    </row>
    <row r="169" spans="6:14" ht="15.75" customHeight="1" x14ac:dyDescent="0.3">
      <c r="F169" s="427"/>
      <c r="H169" s="427"/>
      <c r="N169" s="427"/>
    </row>
    <row r="170" spans="6:14" ht="15.75" customHeight="1" x14ac:dyDescent="0.3">
      <c r="F170" s="427"/>
      <c r="H170" s="427"/>
      <c r="N170" s="427"/>
    </row>
    <row r="171" spans="6:14" ht="15.75" customHeight="1" x14ac:dyDescent="0.3">
      <c r="F171" s="427"/>
      <c r="H171" s="427"/>
      <c r="N171" s="427"/>
    </row>
    <row r="172" spans="6:14" ht="15.75" customHeight="1" x14ac:dyDescent="0.3">
      <c r="F172" s="427"/>
      <c r="H172" s="427"/>
      <c r="N172" s="427"/>
    </row>
    <row r="173" spans="6:14" ht="15.75" customHeight="1" x14ac:dyDescent="0.3">
      <c r="F173" s="427"/>
      <c r="H173" s="427"/>
      <c r="N173" s="427"/>
    </row>
    <row r="174" spans="6:14" ht="15.75" customHeight="1" x14ac:dyDescent="0.3">
      <c r="F174" s="427"/>
      <c r="H174" s="427"/>
      <c r="N174" s="427"/>
    </row>
    <row r="175" spans="6:14" ht="15.75" customHeight="1" x14ac:dyDescent="0.3">
      <c r="F175" s="427"/>
      <c r="H175" s="427"/>
      <c r="N175" s="427"/>
    </row>
    <row r="176" spans="6:14" ht="15.75" customHeight="1" x14ac:dyDescent="0.3">
      <c r="F176" s="427"/>
      <c r="H176" s="427"/>
      <c r="N176" s="427"/>
    </row>
    <row r="177" spans="6:14" ht="15.75" customHeight="1" x14ac:dyDescent="0.3">
      <c r="F177" s="427"/>
      <c r="H177" s="427"/>
      <c r="N177" s="427"/>
    </row>
    <row r="178" spans="6:14" ht="15.75" customHeight="1" x14ac:dyDescent="0.3">
      <c r="F178" s="427"/>
      <c r="H178" s="427"/>
      <c r="N178" s="427"/>
    </row>
    <row r="179" spans="6:14" ht="15.75" customHeight="1" x14ac:dyDescent="0.3">
      <c r="F179" s="427"/>
      <c r="H179" s="427"/>
      <c r="N179" s="427"/>
    </row>
    <row r="180" spans="6:14" ht="15.75" customHeight="1" x14ac:dyDescent="0.3">
      <c r="F180" s="427"/>
      <c r="H180" s="427"/>
      <c r="N180" s="427"/>
    </row>
    <row r="181" spans="6:14" ht="15.75" customHeight="1" x14ac:dyDescent="0.3">
      <c r="F181" s="427"/>
      <c r="H181" s="427"/>
      <c r="N181" s="427"/>
    </row>
    <row r="182" spans="6:14" ht="15.75" customHeight="1" x14ac:dyDescent="0.3">
      <c r="F182" s="427"/>
      <c r="H182" s="427"/>
      <c r="N182" s="427"/>
    </row>
    <row r="183" spans="6:14" ht="15.75" customHeight="1" x14ac:dyDescent="0.3">
      <c r="F183" s="427"/>
      <c r="H183" s="427"/>
      <c r="N183" s="427"/>
    </row>
    <row r="184" spans="6:14" ht="15.75" customHeight="1" x14ac:dyDescent="0.3">
      <c r="F184" s="427"/>
      <c r="H184" s="427"/>
      <c r="N184" s="427"/>
    </row>
    <row r="185" spans="6:14" ht="15.75" customHeight="1" x14ac:dyDescent="0.3">
      <c r="F185" s="427"/>
      <c r="H185" s="427"/>
      <c r="N185" s="427"/>
    </row>
    <row r="186" spans="6:14" ht="15.75" customHeight="1" x14ac:dyDescent="0.3">
      <c r="F186" s="427"/>
      <c r="H186" s="427"/>
      <c r="N186" s="427"/>
    </row>
    <row r="187" spans="6:14" ht="15.75" customHeight="1" x14ac:dyDescent="0.3">
      <c r="F187" s="427"/>
      <c r="H187" s="427"/>
      <c r="N187" s="427"/>
    </row>
    <row r="188" spans="6:14" ht="15.75" customHeight="1" x14ac:dyDescent="0.3">
      <c r="F188" s="427"/>
      <c r="H188" s="427"/>
      <c r="N188" s="427"/>
    </row>
    <row r="189" spans="6:14" ht="15.75" customHeight="1" x14ac:dyDescent="0.3">
      <c r="F189" s="427"/>
      <c r="H189" s="427"/>
      <c r="N189" s="427"/>
    </row>
    <row r="190" spans="6:14" ht="15.75" customHeight="1" x14ac:dyDescent="0.3">
      <c r="F190" s="427"/>
      <c r="H190" s="427"/>
      <c r="N190" s="427"/>
    </row>
    <row r="191" spans="6:14" ht="15.75" customHeight="1" x14ac:dyDescent="0.3">
      <c r="F191" s="427"/>
      <c r="H191" s="427"/>
      <c r="N191" s="427"/>
    </row>
    <row r="192" spans="6:14" ht="15.75" customHeight="1" x14ac:dyDescent="0.3">
      <c r="F192" s="427"/>
      <c r="H192" s="427"/>
      <c r="N192" s="427"/>
    </row>
    <row r="193" spans="6:14" ht="15.75" customHeight="1" x14ac:dyDescent="0.3">
      <c r="F193" s="427"/>
      <c r="H193" s="427"/>
      <c r="N193" s="427"/>
    </row>
    <row r="194" spans="6:14" ht="15.75" customHeight="1" x14ac:dyDescent="0.3">
      <c r="F194" s="427"/>
      <c r="H194" s="427"/>
      <c r="N194" s="427"/>
    </row>
    <row r="195" spans="6:14" ht="15.75" customHeight="1" x14ac:dyDescent="0.3">
      <c r="F195" s="427"/>
      <c r="H195" s="427"/>
      <c r="N195" s="427"/>
    </row>
    <row r="196" spans="6:14" ht="15.75" customHeight="1" x14ac:dyDescent="0.3">
      <c r="F196" s="427"/>
      <c r="H196" s="427"/>
      <c r="N196" s="427"/>
    </row>
    <row r="197" spans="6:14" ht="15.75" customHeight="1" x14ac:dyDescent="0.3">
      <c r="F197" s="427"/>
      <c r="H197" s="427"/>
      <c r="N197" s="427"/>
    </row>
    <row r="198" spans="6:14" ht="15.75" customHeight="1" x14ac:dyDescent="0.3">
      <c r="F198" s="427"/>
      <c r="H198" s="427"/>
      <c r="N198" s="427"/>
    </row>
    <row r="199" spans="6:14" ht="15.75" customHeight="1" x14ac:dyDescent="0.3">
      <c r="F199" s="427"/>
      <c r="H199" s="427"/>
      <c r="N199" s="427"/>
    </row>
    <row r="200" spans="6:14" ht="15.75" customHeight="1" x14ac:dyDescent="0.3">
      <c r="F200" s="427"/>
      <c r="H200" s="427"/>
      <c r="N200" s="427"/>
    </row>
    <row r="201" spans="6:14" ht="15.75" customHeight="1" x14ac:dyDescent="0.3">
      <c r="F201" s="427"/>
      <c r="H201" s="427"/>
      <c r="N201" s="427"/>
    </row>
    <row r="202" spans="6:14" ht="15.75" customHeight="1" x14ac:dyDescent="0.3">
      <c r="F202" s="427"/>
      <c r="H202" s="427"/>
      <c r="N202" s="427"/>
    </row>
    <row r="203" spans="6:14" ht="15.75" customHeight="1" x14ac:dyDescent="0.3">
      <c r="F203" s="427"/>
      <c r="H203" s="427"/>
      <c r="N203" s="427"/>
    </row>
    <row r="204" spans="6:14" ht="15.75" customHeight="1" x14ac:dyDescent="0.3">
      <c r="F204" s="427"/>
      <c r="H204" s="427"/>
      <c r="N204" s="427"/>
    </row>
    <row r="205" spans="6:14" ht="15.75" customHeight="1" x14ac:dyDescent="0.3">
      <c r="F205" s="427"/>
      <c r="H205" s="427"/>
      <c r="N205" s="427"/>
    </row>
    <row r="206" spans="6:14" ht="15.75" customHeight="1" x14ac:dyDescent="0.3">
      <c r="F206" s="427"/>
      <c r="H206" s="427"/>
      <c r="N206" s="427"/>
    </row>
    <row r="207" spans="6:14" ht="15.75" customHeight="1" x14ac:dyDescent="0.3">
      <c r="F207" s="427"/>
      <c r="H207" s="427"/>
      <c r="N207" s="427"/>
    </row>
    <row r="208" spans="6:14" ht="15.75" customHeight="1" x14ac:dyDescent="0.3">
      <c r="F208" s="427"/>
      <c r="H208" s="427"/>
      <c r="N208" s="427"/>
    </row>
    <row r="209" spans="6:14" ht="15.75" customHeight="1" x14ac:dyDescent="0.3">
      <c r="F209" s="427"/>
      <c r="H209" s="427"/>
      <c r="N209" s="427"/>
    </row>
    <row r="210" spans="6:14" ht="15.75" customHeight="1" x14ac:dyDescent="0.3">
      <c r="F210" s="427"/>
      <c r="H210" s="427"/>
      <c r="N210" s="427"/>
    </row>
    <row r="211" spans="6:14" ht="15.75" customHeight="1" x14ac:dyDescent="0.3">
      <c r="F211" s="427"/>
      <c r="H211" s="427"/>
      <c r="N211" s="427"/>
    </row>
    <row r="212" spans="6:14" ht="15.75" customHeight="1" x14ac:dyDescent="0.3">
      <c r="F212" s="427"/>
      <c r="H212" s="427"/>
      <c r="N212" s="427"/>
    </row>
    <row r="213" spans="6:14" ht="15.75" customHeight="1" x14ac:dyDescent="0.3">
      <c r="F213" s="427"/>
      <c r="H213" s="427"/>
      <c r="N213" s="427"/>
    </row>
    <row r="214" spans="6:14" ht="15.75" customHeight="1" x14ac:dyDescent="0.3">
      <c r="F214" s="427"/>
      <c r="H214" s="427"/>
      <c r="N214" s="427"/>
    </row>
    <row r="215" spans="6:14" ht="15.75" customHeight="1" x14ac:dyDescent="0.3">
      <c r="F215" s="427"/>
      <c r="H215" s="427"/>
      <c r="N215" s="427"/>
    </row>
    <row r="216" spans="6:14" ht="15.75" customHeight="1" x14ac:dyDescent="0.3">
      <c r="F216" s="427"/>
      <c r="H216" s="427"/>
      <c r="N216" s="427"/>
    </row>
    <row r="217" spans="6:14" ht="15.75" customHeight="1" x14ac:dyDescent="0.3">
      <c r="F217" s="427"/>
      <c r="H217" s="427"/>
      <c r="N217" s="427"/>
    </row>
    <row r="218" spans="6:14" ht="15.75" customHeight="1" x14ac:dyDescent="0.3">
      <c r="F218" s="427"/>
      <c r="H218" s="427"/>
      <c r="N218" s="427"/>
    </row>
    <row r="219" spans="6:14" ht="15.75" customHeight="1" x14ac:dyDescent="0.3">
      <c r="F219" s="427"/>
      <c r="H219" s="427"/>
      <c r="N219" s="427"/>
    </row>
    <row r="220" spans="6:14" ht="15.75" customHeight="1" x14ac:dyDescent="0.3">
      <c r="F220" s="427"/>
      <c r="H220" s="427"/>
      <c r="N220" s="427"/>
    </row>
    <row r="221" spans="6:14" ht="15.75" customHeight="1" x14ac:dyDescent="0.3">
      <c r="F221" s="427"/>
      <c r="H221" s="427"/>
      <c r="N221" s="427"/>
    </row>
    <row r="222" spans="6:14" ht="15.75" customHeight="1" x14ac:dyDescent="0.3">
      <c r="F222" s="427"/>
      <c r="H222" s="427"/>
      <c r="N222" s="427"/>
    </row>
    <row r="223" spans="6:14" ht="15.75" customHeight="1" x14ac:dyDescent="0.3">
      <c r="F223" s="427"/>
      <c r="H223" s="427"/>
      <c r="N223" s="427"/>
    </row>
    <row r="224" spans="6:14" ht="15.75" customHeight="1" x14ac:dyDescent="0.3">
      <c r="F224" s="427"/>
      <c r="H224" s="427"/>
      <c r="N224" s="427"/>
    </row>
    <row r="225" spans="6:14" ht="15.75" customHeight="1" x14ac:dyDescent="0.3">
      <c r="F225" s="427"/>
      <c r="H225" s="427"/>
      <c r="N225" s="427"/>
    </row>
    <row r="226" spans="6:14" ht="15.75" customHeight="1" x14ac:dyDescent="0.3">
      <c r="F226" s="427"/>
      <c r="H226" s="427"/>
      <c r="N226" s="427"/>
    </row>
    <row r="227" spans="6:14" ht="15.75" customHeight="1" x14ac:dyDescent="0.3">
      <c r="F227" s="427"/>
      <c r="H227" s="427"/>
      <c r="N227" s="427"/>
    </row>
    <row r="228" spans="6:14" ht="15.75" customHeight="1" x14ac:dyDescent="0.3">
      <c r="F228" s="427"/>
      <c r="H228" s="427"/>
      <c r="N228" s="427"/>
    </row>
    <row r="229" spans="6:14" ht="15.75" customHeight="1" x14ac:dyDescent="0.3">
      <c r="F229" s="427"/>
      <c r="H229" s="427"/>
      <c r="N229" s="427"/>
    </row>
    <row r="230" spans="6:14" ht="15.75" customHeight="1" x14ac:dyDescent="0.3">
      <c r="F230" s="427"/>
      <c r="H230" s="427"/>
      <c r="N230" s="427"/>
    </row>
    <row r="231" spans="6:14" ht="15.75" customHeight="1" x14ac:dyDescent="0.3">
      <c r="F231" s="427"/>
      <c r="H231" s="427"/>
      <c r="N231" s="427"/>
    </row>
    <row r="232" spans="6:14" ht="15.75" customHeight="1" x14ac:dyDescent="0.3">
      <c r="F232" s="427"/>
      <c r="H232" s="427"/>
      <c r="N232" s="427"/>
    </row>
    <row r="233" spans="6:14" ht="15.75" customHeight="1" x14ac:dyDescent="0.3">
      <c r="F233" s="427"/>
      <c r="H233" s="427"/>
      <c r="N233" s="427"/>
    </row>
    <row r="234" spans="6:14" ht="15.75" customHeight="1" x14ac:dyDescent="0.3">
      <c r="F234" s="427"/>
      <c r="H234" s="427"/>
      <c r="N234" s="427"/>
    </row>
    <row r="235" spans="6:14" ht="15.75" customHeight="1" x14ac:dyDescent="0.3">
      <c r="F235" s="427"/>
      <c r="H235" s="427"/>
      <c r="N235" s="427"/>
    </row>
    <row r="236" spans="6:14" ht="15.75" customHeight="1" x14ac:dyDescent="0.3">
      <c r="F236" s="427"/>
      <c r="H236" s="427"/>
      <c r="N236" s="427"/>
    </row>
    <row r="237" spans="6:14" ht="15.75" customHeight="1" x14ac:dyDescent="0.3">
      <c r="F237" s="427"/>
      <c r="H237" s="427"/>
      <c r="N237" s="427"/>
    </row>
    <row r="238" spans="6:14" ht="15.75" customHeight="1" x14ac:dyDescent="0.3">
      <c r="F238" s="427"/>
      <c r="H238" s="427"/>
      <c r="N238" s="427"/>
    </row>
    <row r="239" spans="6:14" ht="15.75" customHeight="1" x14ac:dyDescent="0.3">
      <c r="F239" s="427"/>
      <c r="H239" s="427"/>
      <c r="N239" s="427"/>
    </row>
    <row r="240" spans="6:14" ht="15.75" customHeight="1" x14ac:dyDescent="0.3">
      <c r="F240" s="427"/>
      <c r="H240" s="427"/>
      <c r="N240" s="427"/>
    </row>
    <row r="241" spans="6:14" ht="15.75" customHeight="1" x14ac:dyDescent="0.3">
      <c r="F241" s="427"/>
      <c r="H241" s="427"/>
      <c r="N241" s="427"/>
    </row>
    <row r="242" spans="6:14" ht="15.75" customHeight="1" x14ac:dyDescent="0.3">
      <c r="F242" s="427"/>
      <c r="H242" s="427"/>
      <c r="N242" s="427"/>
    </row>
    <row r="243" spans="6:14" ht="15.75" customHeight="1" x14ac:dyDescent="0.3">
      <c r="F243" s="427"/>
      <c r="H243" s="427"/>
      <c r="N243" s="427"/>
    </row>
    <row r="244" spans="6:14" ht="15.75" customHeight="1" x14ac:dyDescent="0.3">
      <c r="F244" s="427"/>
      <c r="H244" s="427"/>
      <c r="N244" s="427"/>
    </row>
    <row r="245" spans="6:14" ht="15.75" customHeight="1" x14ac:dyDescent="0.3">
      <c r="F245" s="427"/>
      <c r="H245" s="427"/>
      <c r="N245" s="427"/>
    </row>
    <row r="246" spans="6:14" ht="15.75" customHeight="1" x14ac:dyDescent="0.3"/>
    <row r="247" spans="6:14" ht="15.75" customHeight="1" x14ac:dyDescent="0.3"/>
    <row r="248" spans="6:14" ht="15.75" customHeight="1" x14ac:dyDescent="0.3"/>
    <row r="249" spans="6:14" ht="15.75" customHeight="1" x14ac:dyDescent="0.3"/>
    <row r="250" spans="6:14" ht="15.75" customHeight="1" x14ac:dyDescent="0.3"/>
    <row r="251" spans="6:14" ht="15.75" customHeight="1" x14ac:dyDescent="0.3"/>
    <row r="252" spans="6:14" ht="15.75" customHeight="1" x14ac:dyDescent="0.3"/>
    <row r="253" spans="6:14" ht="15.75" customHeight="1" x14ac:dyDescent="0.3"/>
    <row r="254" spans="6:14" ht="15.75" customHeight="1" x14ac:dyDescent="0.3"/>
    <row r="255" spans="6:14" ht="15.75" customHeight="1" x14ac:dyDescent="0.3"/>
    <row r="256" spans="6:14"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mergeCells count="1">
    <mergeCell ref="C7:L7"/>
  </mergeCells>
  <phoneticPr fontId="94" type="noConversion"/>
  <dataValidations count="1">
    <dataValidation type="list" allowBlank="1" showErrorMessage="1" sqref="B17 B27 B22" xr:uid="{2995A5A1-571C-4426-A088-350937694D4F}">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95DA5-0C50-4F3A-B0BD-6F694C9211FB}">
  <dimension ref="A1:AD954"/>
  <sheetViews>
    <sheetView topLeftCell="A66" zoomScale="90" zoomScaleNormal="90" workbookViewId="0">
      <selection activeCell="F92" sqref="F92"/>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45" style="428" bestFit="1" customWidth="1"/>
    <col min="5" max="5" width="8.88671875" style="428" customWidth="1"/>
    <col min="6" max="6" width="27.77734375" style="428" customWidth="1"/>
    <col min="7" max="7" width="12.77734375" style="428" customWidth="1"/>
    <col min="8" max="8" width="12.77734375" style="428" hidden="1" customWidth="1"/>
    <col min="9" max="9" width="12.777343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2361</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572</v>
      </c>
      <c r="D10" s="531" t="s">
        <v>573</v>
      </c>
      <c r="E10" s="532" t="s">
        <v>363</v>
      </c>
      <c r="F10" s="533" t="s">
        <v>1947</v>
      </c>
      <c r="G10" s="534">
        <v>2010</v>
      </c>
      <c r="H10" s="535"/>
      <c r="I10" s="535">
        <v>16107.7</v>
      </c>
      <c r="J10" s="536"/>
      <c r="K10" s="535"/>
      <c r="L10" s="535"/>
      <c r="M10" s="538"/>
      <c r="N10" s="535"/>
      <c r="O10" s="535"/>
      <c r="P10" s="535"/>
      <c r="Q10" s="535"/>
      <c r="R10" s="535"/>
      <c r="S10" s="535"/>
      <c r="T10" s="535"/>
      <c r="U10" s="542"/>
      <c r="V10" s="535"/>
      <c r="W10" s="542"/>
      <c r="X10" s="535"/>
      <c r="Y10" s="542"/>
      <c r="Z10" s="535"/>
      <c r="AA10" s="528"/>
      <c r="AB10" s="528"/>
      <c r="AC10" s="528"/>
      <c r="AD10" s="528"/>
    </row>
    <row r="11" spans="1:30" ht="24" customHeight="1" x14ac:dyDescent="0.3">
      <c r="A11" s="528"/>
      <c r="B11" s="529"/>
      <c r="C11" s="531" t="s">
        <v>374</v>
      </c>
      <c r="D11" s="531" t="s">
        <v>574</v>
      </c>
      <c r="E11" s="532" t="s">
        <v>453</v>
      </c>
      <c r="F11" s="533"/>
      <c r="G11" s="534"/>
      <c r="H11" s="550"/>
      <c r="I11" s="1097">
        <f>I10/I67</f>
        <v>0.4946615601869504</v>
      </c>
      <c r="J11" s="602"/>
      <c r="K11" s="550"/>
      <c r="L11" s="550"/>
      <c r="M11" s="1098"/>
      <c r="N11" s="550"/>
      <c r="O11" s="550"/>
      <c r="P11" s="550"/>
      <c r="Q11" s="550"/>
      <c r="R11" s="550"/>
      <c r="S11" s="550"/>
      <c r="T11" s="550"/>
      <c r="U11" s="542"/>
      <c r="V11" s="550"/>
      <c r="W11" s="542"/>
      <c r="X11" s="550"/>
      <c r="Y11" s="542"/>
      <c r="Z11" s="550"/>
      <c r="AA11" s="528"/>
      <c r="AB11" s="528"/>
      <c r="AC11" s="528"/>
      <c r="AD11" s="528"/>
    </row>
    <row r="12" spans="1:30" ht="24" customHeight="1" x14ac:dyDescent="0.3">
      <c r="A12" s="528"/>
      <c r="B12" s="529"/>
      <c r="C12" s="531" t="s">
        <v>374</v>
      </c>
      <c r="D12" s="531" t="s">
        <v>575</v>
      </c>
      <c r="E12" s="532" t="s">
        <v>350</v>
      </c>
      <c r="F12" s="533"/>
      <c r="G12" s="534"/>
      <c r="H12" s="550"/>
      <c r="I12" s="4171">
        <f>C70*I11</f>
        <v>3085612.7413347242</v>
      </c>
      <c r="J12" s="602"/>
      <c r="K12" s="550"/>
      <c r="L12" s="550"/>
      <c r="M12" s="1098"/>
      <c r="N12" s="550"/>
      <c r="O12" s="550"/>
      <c r="P12" s="550"/>
      <c r="Q12" s="550"/>
      <c r="R12" s="550"/>
      <c r="S12" s="550"/>
      <c r="T12" s="550"/>
      <c r="U12" s="542"/>
      <c r="V12" s="550"/>
      <c r="W12" s="542"/>
      <c r="X12" s="550"/>
      <c r="Y12" s="542"/>
      <c r="Z12" s="550"/>
      <c r="AA12" s="528"/>
      <c r="AB12" s="528"/>
      <c r="AC12" s="528"/>
      <c r="AD12" s="528"/>
    </row>
    <row r="13" spans="1:30" ht="24" customHeight="1" x14ac:dyDescent="0.3">
      <c r="A13" s="528"/>
      <c r="B13" s="529"/>
      <c r="C13" s="531" t="s">
        <v>374</v>
      </c>
      <c r="D13" s="531" t="s">
        <v>576</v>
      </c>
      <c r="E13" s="532" t="s">
        <v>350</v>
      </c>
      <c r="F13" s="533"/>
      <c r="G13" s="534"/>
      <c r="H13" s="550"/>
      <c r="I13" s="4171">
        <f>I11*C71</f>
        <v>64771.47935243947</v>
      </c>
      <c r="J13" s="602"/>
      <c r="K13" s="550"/>
      <c r="L13" s="550"/>
      <c r="M13" s="1098"/>
      <c r="N13" s="550"/>
      <c r="O13" s="550"/>
      <c r="P13" s="550"/>
      <c r="Q13" s="550"/>
      <c r="R13" s="550"/>
      <c r="S13" s="550"/>
      <c r="T13" s="550"/>
      <c r="U13" s="542"/>
      <c r="V13" s="550"/>
      <c r="W13" s="542"/>
      <c r="X13" s="550"/>
      <c r="Y13" s="542"/>
      <c r="Z13" s="550"/>
      <c r="AA13" s="528"/>
      <c r="AB13" s="528"/>
      <c r="AC13" s="528"/>
      <c r="AD13" s="528"/>
    </row>
    <row r="14" spans="1:30" ht="24" customHeight="1" x14ac:dyDescent="0.3">
      <c r="A14" s="528"/>
      <c r="B14" s="529"/>
      <c r="C14" s="531" t="s">
        <v>374</v>
      </c>
      <c r="D14" s="1099" t="s">
        <v>577</v>
      </c>
      <c r="E14" s="1100" t="s">
        <v>350</v>
      </c>
      <c r="F14" s="533"/>
      <c r="G14" s="534"/>
      <c r="H14" s="550"/>
      <c r="I14" s="602">
        <f>I11*C72</f>
        <v>1200999.486667597</v>
      </c>
      <c r="J14" s="602"/>
      <c r="K14" s="550"/>
      <c r="L14" s="550"/>
      <c r="M14" s="1098"/>
      <c r="N14" s="550"/>
      <c r="O14" s="550"/>
      <c r="P14" s="550"/>
      <c r="Q14" s="550"/>
      <c r="R14" s="550"/>
      <c r="S14" s="550"/>
      <c r="T14" s="550"/>
      <c r="U14" s="542"/>
      <c r="V14" s="550"/>
      <c r="W14" s="542"/>
      <c r="X14" s="550"/>
      <c r="Y14" s="542"/>
      <c r="Z14" s="550"/>
      <c r="AA14" s="528"/>
      <c r="AB14" s="528"/>
      <c r="AC14" s="528"/>
      <c r="AD14" s="528"/>
    </row>
    <row r="15" spans="1:30" ht="24" customHeight="1" x14ac:dyDescent="0.3">
      <c r="A15" s="528"/>
      <c r="B15" s="529">
        <v>2</v>
      </c>
      <c r="C15" s="1101" t="s">
        <v>572</v>
      </c>
      <c r="D15" s="453" t="s">
        <v>573</v>
      </c>
      <c r="E15" s="543" t="s">
        <v>363</v>
      </c>
      <c r="F15" s="506" t="s">
        <v>1948</v>
      </c>
      <c r="G15" s="1102"/>
      <c r="H15" s="544"/>
      <c r="I15" s="544">
        <v>4068.11</v>
      </c>
      <c r="J15" s="545"/>
      <c r="K15" s="544"/>
      <c r="L15" s="544"/>
      <c r="M15" s="1103"/>
      <c r="N15" s="544"/>
      <c r="O15" s="544"/>
      <c r="P15" s="544"/>
      <c r="Q15" s="544"/>
      <c r="R15" s="544"/>
      <c r="S15" s="544"/>
      <c r="T15" s="544"/>
      <c r="U15" s="548"/>
      <c r="V15" s="544"/>
      <c r="W15" s="548"/>
      <c r="X15" s="544"/>
      <c r="Y15" s="548"/>
      <c r="Z15" s="544"/>
      <c r="AA15" s="528"/>
      <c r="AB15" s="528"/>
      <c r="AC15" s="528"/>
      <c r="AD15" s="528"/>
    </row>
    <row r="16" spans="1:30" ht="24" customHeight="1" x14ac:dyDescent="0.3">
      <c r="A16" s="528"/>
      <c r="B16" s="529"/>
      <c r="C16" s="453" t="s">
        <v>374</v>
      </c>
      <c r="D16" s="453" t="s">
        <v>574</v>
      </c>
      <c r="E16" s="543" t="s">
        <v>453</v>
      </c>
      <c r="F16" s="506"/>
      <c r="G16" s="1102"/>
      <c r="H16" s="544"/>
      <c r="I16" s="1104">
        <f>I15/I67</f>
        <v>0.12493016629389266</v>
      </c>
      <c r="J16" s="545"/>
      <c r="K16" s="544"/>
      <c r="L16" s="544"/>
      <c r="M16" s="1103"/>
      <c r="N16" s="544"/>
      <c r="O16" s="544"/>
      <c r="P16" s="544"/>
      <c r="Q16" s="544"/>
      <c r="R16" s="544"/>
      <c r="S16" s="544"/>
      <c r="T16" s="544"/>
      <c r="U16" s="548"/>
      <c r="V16" s="544"/>
      <c r="W16" s="548"/>
      <c r="X16" s="544"/>
      <c r="Y16" s="548"/>
      <c r="Z16" s="544"/>
      <c r="AA16" s="528"/>
      <c r="AB16" s="528"/>
      <c r="AC16" s="528"/>
      <c r="AD16" s="528"/>
    </row>
    <row r="17" spans="1:30" ht="24" customHeight="1" x14ac:dyDescent="0.3">
      <c r="A17" s="528"/>
      <c r="B17" s="529"/>
      <c r="C17" s="453" t="s">
        <v>374</v>
      </c>
      <c r="D17" s="453" t="s">
        <v>575</v>
      </c>
      <c r="E17" s="543" t="s">
        <v>350</v>
      </c>
      <c r="F17" s="506"/>
      <c r="G17" s="1102"/>
      <c r="H17" s="544"/>
      <c r="I17" s="4172">
        <f>I16*C70</f>
        <v>779292.63949236728</v>
      </c>
      <c r="J17" s="545"/>
      <c r="K17" s="544"/>
      <c r="L17" s="544"/>
      <c r="M17" s="1103"/>
      <c r="N17" s="544"/>
      <c r="O17" s="544"/>
      <c r="P17" s="544"/>
      <c r="Q17" s="544"/>
      <c r="R17" s="544"/>
      <c r="S17" s="544"/>
      <c r="T17" s="544"/>
      <c r="U17" s="548"/>
      <c r="V17" s="544"/>
      <c r="W17" s="548"/>
      <c r="X17" s="544"/>
      <c r="Y17" s="548"/>
      <c r="Z17" s="544"/>
      <c r="AA17" s="528"/>
      <c r="AB17" s="528"/>
      <c r="AC17" s="528"/>
      <c r="AD17" s="528"/>
    </row>
    <row r="18" spans="1:30" ht="24" customHeight="1" x14ac:dyDescent="0.3">
      <c r="A18" s="528"/>
      <c r="B18" s="529"/>
      <c r="C18" s="453" t="s">
        <v>374</v>
      </c>
      <c r="D18" s="453" t="s">
        <v>576</v>
      </c>
      <c r="E18" s="543" t="s">
        <v>350</v>
      </c>
      <c r="F18" s="506"/>
      <c r="G18" s="1102"/>
      <c r="H18" s="544"/>
      <c r="I18" s="4172">
        <f>I16*C71</f>
        <v>16358.480904688598</v>
      </c>
      <c r="J18" s="545"/>
      <c r="K18" s="544"/>
      <c r="L18" s="544"/>
      <c r="M18" s="1103"/>
      <c r="N18" s="544"/>
      <c r="O18" s="544"/>
      <c r="P18" s="544"/>
      <c r="Q18" s="544"/>
      <c r="R18" s="544"/>
      <c r="S18" s="544"/>
      <c r="T18" s="544"/>
      <c r="U18" s="548"/>
      <c r="V18" s="544"/>
      <c r="W18" s="548"/>
      <c r="X18" s="544"/>
      <c r="Y18" s="548"/>
      <c r="Z18" s="544"/>
      <c r="AA18" s="528"/>
      <c r="AB18" s="528"/>
      <c r="AC18" s="528"/>
      <c r="AD18" s="528"/>
    </row>
    <row r="19" spans="1:30" ht="24" customHeight="1" x14ac:dyDescent="0.3">
      <c r="A19" s="528"/>
      <c r="B19" s="529"/>
      <c r="C19" s="453" t="s">
        <v>374</v>
      </c>
      <c r="D19" s="1105" t="s">
        <v>577</v>
      </c>
      <c r="E19" s="1106" t="s">
        <v>350</v>
      </c>
      <c r="F19" s="506"/>
      <c r="G19" s="1102"/>
      <c r="H19" s="544"/>
      <c r="I19" s="545">
        <f>I16*C72</f>
        <v>303320.64923653397</v>
      </c>
      <c r="J19" s="545"/>
      <c r="K19" s="544"/>
      <c r="L19" s="544"/>
      <c r="M19" s="1103"/>
      <c r="N19" s="544"/>
      <c r="O19" s="544"/>
      <c r="P19" s="544"/>
      <c r="Q19" s="544"/>
      <c r="R19" s="544"/>
      <c r="S19" s="544"/>
      <c r="T19" s="544"/>
      <c r="U19" s="548"/>
      <c r="V19" s="544"/>
      <c r="W19" s="548"/>
      <c r="X19" s="544"/>
      <c r="Y19" s="548"/>
      <c r="Z19" s="544"/>
      <c r="AA19" s="528"/>
      <c r="AB19" s="528"/>
      <c r="AC19" s="528"/>
      <c r="AD19" s="528"/>
    </row>
    <row r="20" spans="1:30" ht="24" customHeight="1" x14ac:dyDescent="0.3">
      <c r="A20" s="528"/>
      <c r="B20" s="529">
        <v>3</v>
      </c>
      <c r="C20" s="530" t="s">
        <v>572</v>
      </c>
      <c r="D20" s="531" t="s">
        <v>573</v>
      </c>
      <c r="E20" s="532" t="s">
        <v>363</v>
      </c>
      <c r="F20" s="4082" t="s">
        <v>1949</v>
      </c>
      <c r="G20" s="534"/>
      <c r="H20" s="550"/>
      <c r="I20" s="550">
        <v>3013.32</v>
      </c>
      <c r="J20" s="602"/>
      <c r="K20" s="550"/>
      <c r="L20" s="550"/>
      <c r="M20" s="1098"/>
      <c r="N20" s="550"/>
      <c r="O20" s="550"/>
      <c r="P20" s="550"/>
      <c r="Q20" s="550"/>
      <c r="R20" s="550"/>
      <c r="S20" s="550"/>
      <c r="T20" s="550"/>
      <c r="U20" s="542"/>
      <c r="V20" s="550"/>
      <c r="W20" s="542"/>
      <c r="X20" s="550"/>
      <c r="Y20" s="542"/>
      <c r="Z20" s="550"/>
      <c r="AA20" s="528"/>
      <c r="AB20" s="528"/>
      <c r="AC20" s="528"/>
      <c r="AD20" s="528"/>
    </row>
    <row r="21" spans="1:30" ht="24" customHeight="1" x14ac:dyDescent="0.3">
      <c r="A21" s="528"/>
      <c r="B21" s="529"/>
      <c r="C21" s="531" t="s">
        <v>374</v>
      </c>
      <c r="D21" s="531" t="s">
        <v>574</v>
      </c>
      <c r="E21" s="532" t="s">
        <v>453</v>
      </c>
      <c r="F21" s="533"/>
      <c r="G21" s="534"/>
      <c r="H21" s="550"/>
      <c r="I21" s="1097">
        <f>I20/I67</f>
        <v>9.2537952193208303E-2</v>
      </c>
      <c r="J21" s="602"/>
      <c r="K21" s="550"/>
      <c r="L21" s="550"/>
      <c r="M21" s="1098"/>
      <c r="N21" s="550"/>
      <c r="O21" s="550"/>
      <c r="P21" s="550"/>
      <c r="Q21" s="550"/>
      <c r="R21" s="550"/>
      <c r="S21" s="550"/>
      <c r="T21" s="550"/>
      <c r="U21" s="542"/>
      <c r="V21" s="550"/>
      <c r="W21" s="542"/>
      <c r="X21" s="550"/>
      <c r="Y21" s="542"/>
      <c r="Z21" s="550"/>
      <c r="AA21" s="528"/>
      <c r="AB21" s="528"/>
      <c r="AC21" s="528"/>
      <c r="AD21" s="528"/>
    </row>
    <row r="22" spans="1:30" ht="24" customHeight="1" x14ac:dyDescent="0.3">
      <c r="A22" s="528"/>
      <c r="B22" s="529"/>
      <c r="C22" s="531" t="s">
        <v>374</v>
      </c>
      <c r="D22" s="531" t="s">
        <v>575</v>
      </c>
      <c r="E22" s="532" t="s">
        <v>350</v>
      </c>
      <c r="F22" s="533"/>
      <c r="G22" s="534"/>
      <c r="H22" s="550"/>
      <c r="I22" s="4171">
        <f>I21*C70</f>
        <v>577235.64417755173</v>
      </c>
      <c r="J22" s="602"/>
      <c r="K22" s="550"/>
      <c r="L22" s="550"/>
      <c r="M22" s="1098"/>
      <c r="N22" s="550"/>
      <c r="O22" s="550"/>
      <c r="P22" s="550"/>
      <c r="Q22" s="550"/>
      <c r="R22" s="550"/>
      <c r="S22" s="550"/>
      <c r="T22" s="550"/>
      <c r="U22" s="542"/>
      <c r="V22" s="550"/>
      <c r="W22" s="542"/>
      <c r="X22" s="550"/>
      <c r="Y22" s="542"/>
      <c r="Z22" s="550"/>
      <c r="AA22" s="528"/>
      <c r="AB22" s="528"/>
      <c r="AC22" s="528"/>
      <c r="AD22" s="528"/>
    </row>
    <row r="23" spans="1:30" ht="24" customHeight="1" x14ac:dyDescent="0.3">
      <c r="A23" s="528"/>
      <c r="B23" s="529"/>
      <c r="C23" s="531" t="s">
        <v>374</v>
      </c>
      <c r="D23" s="531" t="s">
        <v>576</v>
      </c>
      <c r="E23" s="532" t="s">
        <v>350</v>
      </c>
      <c r="F23" s="533"/>
      <c r="G23" s="534"/>
      <c r="H23" s="550"/>
      <c r="I23" s="4171">
        <f>I21*C71</f>
        <v>12117.011998130889</v>
      </c>
      <c r="J23" s="602"/>
      <c r="K23" s="550"/>
      <c r="L23" s="550"/>
      <c r="M23" s="1098"/>
      <c r="N23" s="550"/>
      <c r="O23" s="550"/>
      <c r="P23" s="550"/>
      <c r="Q23" s="550"/>
      <c r="R23" s="550"/>
      <c r="S23" s="550"/>
      <c r="T23" s="550"/>
      <c r="U23" s="542"/>
      <c r="V23" s="550"/>
      <c r="W23" s="542"/>
      <c r="X23" s="550"/>
      <c r="Y23" s="542"/>
      <c r="Z23" s="550"/>
      <c r="AA23" s="528"/>
      <c r="AB23" s="528"/>
      <c r="AC23" s="528"/>
      <c r="AD23" s="528"/>
    </row>
    <row r="24" spans="1:30" ht="24" customHeight="1" x14ac:dyDescent="0.3">
      <c r="A24" s="528"/>
      <c r="B24" s="529"/>
      <c r="C24" s="531" t="s">
        <v>374</v>
      </c>
      <c r="D24" s="1099" t="s">
        <v>577</v>
      </c>
      <c r="E24" s="1100" t="s">
        <v>350</v>
      </c>
      <c r="F24" s="533"/>
      <c r="G24" s="534"/>
      <c r="H24" s="550"/>
      <c r="I24" s="602">
        <f>I21*C72</f>
        <v>224674.89294965783</v>
      </c>
      <c r="J24" s="602"/>
      <c r="K24" s="550"/>
      <c r="L24" s="550"/>
      <c r="M24" s="1098"/>
      <c r="N24" s="550"/>
      <c r="O24" s="550"/>
      <c r="P24" s="550"/>
      <c r="Q24" s="550"/>
      <c r="R24" s="550"/>
      <c r="S24" s="550"/>
      <c r="T24" s="550"/>
      <c r="U24" s="542"/>
      <c r="V24" s="550"/>
      <c r="W24" s="542"/>
      <c r="X24" s="550"/>
      <c r="Y24" s="542"/>
      <c r="Z24" s="550"/>
      <c r="AA24" s="528"/>
      <c r="AB24" s="528"/>
      <c r="AC24" s="528"/>
      <c r="AD24" s="528"/>
    </row>
    <row r="25" spans="1:30" ht="24" customHeight="1" x14ac:dyDescent="0.3">
      <c r="A25" s="528"/>
      <c r="B25" s="529">
        <v>4</v>
      </c>
      <c r="C25" s="1101" t="s">
        <v>572</v>
      </c>
      <c r="D25" s="453" t="s">
        <v>573</v>
      </c>
      <c r="E25" s="543" t="s">
        <v>363</v>
      </c>
      <c r="F25" s="506" t="s">
        <v>1950</v>
      </c>
      <c r="G25" s="1102"/>
      <c r="H25" s="544"/>
      <c r="I25" s="544">
        <v>2239.61</v>
      </c>
      <c r="J25" s="545"/>
      <c r="K25" s="544"/>
      <c r="L25" s="544"/>
      <c r="M25" s="1103"/>
      <c r="N25" s="544"/>
      <c r="O25" s="544"/>
      <c r="P25" s="544"/>
      <c r="Q25" s="544"/>
      <c r="R25" s="544"/>
      <c r="S25" s="544"/>
      <c r="T25" s="544"/>
      <c r="U25" s="548"/>
      <c r="V25" s="544"/>
      <c r="W25" s="548"/>
      <c r="X25" s="544"/>
      <c r="Y25" s="548"/>
      <c r="Z25" s="544"/>
      <c r="AA25" s="528"/>
      <c r="AB25" s="528"/>
      <c r="AC25" s="528"/>
      <c r="AD25" s="528"/>
    </row>
    <row r="26" spans="1:30" ht="24" customHeight="1" x14ac:dyDescent="0.3">
      <c r="A26" s="528"/>
      <c r="B26" s="529"/>
      <c r="C26" s="453" t="s">
        <v>374</v>
      </c>
      <c r="D26" s="453" t="s">
        <v>574</v>
      </c>
      <c r="E26" s="543" t="s">
        <v>453</v>
      </c>
      <c r="F26" s="506"/>
      <c r="G26" s="1102"/>
      <c r="H26" s="544"/>
      <c r="I26" s="1104">
        <f>I25/I67</f>
        <v>6.8777601818403367E-2</v>
      </c>
      <c r="J26" s="545"/>
      <c r="K26" s="544"/>
      <c r="L26" s="544"/>
      <c r="M26" s="1103"/>
      <c r="N26" s="544"/>
      <c r="O26" s="544"/>
      <c r="P26" s="544"/>
      <c r="Q26" s="544"/>
      <c r="R26" s="544"/>
      <c r="S26" s="544"/>
      <c r="T26" s="544"/>
      <c r="U26" s="548"/>
      <c r="V26" s="544"/>
      <c r="W26" s="548"/>
      <c r="X26" s="544"/>
      <c r="Y26" s="548"/>
      <c r="Z26" s="544"/>
      <c r="AA26" s="528"/>
      <c r="AB26" s="528"/>
      <c r="AC26" s="528"/>
      <c r="AD26" s="528"/>
    </row>
    <row r="27" spans="1:30" ht="24" customHeight="1" x14ac:dyDescent="0.3">
      <c r="A27" s="528"/>
      <c r="B27" s="529"/>
      <c r="C27" s="453" t="s">
        <v>374</v>
      </c>
      <c r="D27" s="453" t="s">
        <v>575</v>
      </c>
      <c r="E27" s="543" t="s">
        <v>350</v>
      </c>
      <c r="F27" s="506"/>
      <c r="G27" s="1102"/>
      <c r="H27" s="544"/>
      <c r="I27" s="4172">
        <f>I26*C70</f>
        <v>429022.71284048381</v>
      </c>
      <c r="J27" s="545"/>
      <c r="K27" s="544"/>
      <c r="L27" s="544"/>
      <c r="M27" s="1103"/>
      <c r="N27" s="544"/>
      <c r="O27" s="544"/>
      <c r="P27" s="544"/>
      <c r="Q27" s="544"/>
      <c r="R27" s="544"/>
      <c r="S27" s="544"/>
      <c r="T27" s="544"/>
      <c r="U27" s="548"/>
      <c r="V27" s="544"/>
      <c r="W27" s="548"/>
      <c r="X27" s="544"/>
      <c r="Y27" s="548"/>
      <c r="Z27" s="544"/>
      <c r="AA27" s="528"/>
      <c r="AB27" s="528"/>
      <c r="AC27" s="528"/>
      <c r="AD27" s="528"/>
    </row>
    <row r="28" spans="1:30" ht="24" customHeight="1" x14ac:dyDescent="0.3">
      <c r="A28" s="528"/>
      <c r="B28" s="529"/>
      <c r="C28" s="453" t="s">
        <v>374</v>
      </c>
      <c r="D28" s="453" t="s">
        <v>576</v>
      </c>
      <c r="E28" s="543" t="s">
        <v>350</v>
      </c>
      <c r="F28" s="506"/>
      <c r="G28" s="1102"/>
      <c r="H28" s="544"/>
      <c r="I28" s="4172">
        <f>I26*C71</f>
        <v>9005.8079597035558</v>
      </c>
      <c r="J28" s="545"/>
      <c r="K28" s="544"/>
      <c r="L28" s="544"/>
      <c r="M28" s="1103"/>
      <c r="N28" s="544"/>
      <c r="O28" s="544"/>
      <c r="P28" s="544"/>
      <c r="Q28" s="544"/>
      <c r="R28" s="544"/>
      <c r="S28" s="544"/>
      <c r="T28" s="544"/>
      <c r="U28" s="548"/>
      <c r="V28" s="544"/>
      <c r="W28" s="548"/>
      <c r="X28" s="544"/>
      <c r="Y28" s="548"/>
      <c r="Z28" s="544"/>
      <c r="AA28" s="528"/>
      <c r="AB28" s="528"/>
      <c r="AC28" s="528"/>
      <c r="AD28" s="528"/>
    </row>
    <row r="29" spans="1:30" ht="24" customHeight="1" x14ac:dyDescent="0.3">
      <c r="A29" s="528"/>
      <c r="B29" s="529"/>
      <c r="C29" s="453" t="s">
        <v>374</v>
      </c>
      <c r="D29" s="1105" t="s">
        <v>577</v>
      </c>
      <c r="E29" s="1106" t="s">
        <v>350</v>
      </c>
      <c r="F29" s="506"/>
      <c r="G29" s="1102"/>
      <c r="H29" s="544"/>
      <c r="I29" s="545">
        <f>I26*C72</f>
        <v>166986.62505110083</v>
      </c>
      <c r="J29" s="545"/>
      <c r="K29" s="544"/>
      <c r="L29" s="544"/>
      <c r="M29" s="1103"/>
      <c r="N29" s="544"/>
      <c r="O29" s="544"/>
      <c r="P29" s="544"/>
      <c r="Q29" s="544"/>
      <c r="R29" s="544"/>
      <c r="S29" s="544"/>
      <c r="T29" s="544"/>
      <c r="U29" s="548"/>
      <c r="V29" s="544"/>
      <c r="W29" s="548"/>
      <c r="X29" s="544"/>
      <c r="Y29" s="548"/>
      <c r="Z29" s="544"/>
      <c r="AA29" s="528"/>
      <c r="AB29" s="528"/>
      <c r="AC29" s="528"/>
      <c r="AD29" s="528"/>
    </row>
    <row r="30" spans="1:30" ht="24" customHeight="1" x14ac:dyDescent="0.3">
      <c r="A30" s="528"/>
      <c r="B30" s="529">
        <v>5</v>
      </c>
      <c r="C30" s="530" t="s">
        <v>572</v>
      </c>
      <c r="D30" s="531" t="s">
        <v>573</v>
      </c>
      <c r="E30" s="532" t="s">
        <v>363</v>
      </c>
      <c r="F30" s="533" t="s">
        <v>1951</v>
      </c>
      <c r="G30" s="534"/>
      <c r="H30" s="550"/>
      <c r="I30" s="550">
        <v>1560</v>
      </c>
      <c r="J30" s="602"/>
      <c r="K30" s="550"/>
      <c r="L30" s="550"/>
      <c r="M30" s="1098"/>
      <c r="N30" s="550"/>
      <c r="O30" s="550"/>
      <c r="P30" s="550"/>
      <c r="Q30" s="550"/>
      <c r="R30" s="550"/>
      <c r="S30" s="550"/>
      <c r="T30" s="550"/>
      <c r="U30" s="542"/>
      <c r="V30" s="550"/>
      <c r="W30" s="542"/>
      <c r="X30" s="550"/>
      <c r="Y30" s="542"/>
      <c r="Z30" s="550"/>
      <c r="AA30" s="528"/>
      <c r="AB30" s="528"/>
      <c r="AC30" s="528"/>
      <c r="AD30" s="528"/>
    </row>
    <row r="31" spans="1:30" ht="24" customHeight="1" x14ac:dyDescent="0.3">
      <c r="A31" s="528"/>
      <c r="B31" s="529"/>
      <c r="C31" s="531" t="s">
        <v>374</v>
      </c>
      <c r="D31" s="531" t="s">
        <v>574</v>
      </c>
      <c r="E31" s="532" t="s">
        <v>453</v>
      </c>
      <c r="F31" s="533"/>
      <c r="G31" s="534"/>
      <c r="H31" s="550"/>
      <c r="I31" s="1097">
        <f>I30/I67</f>
        <v>4.7907027936430563E-2</v>
      </c>
      <c r="J31" s="602"/>
      <c r="K31" s="550"/>
      <c r="L31" s="550"/>
      <c r="M31" s="1098"/>
      <c r="N31" s="550"/>
      <c r="O31" s="550"/>
      <c r="P31" s="550"/>
      <c r="Q31" s="550"/>
      <c r="R31" s="550"/>
      <c r="S31" s="550"/>
      <c r="T31" s="550"/>
      <c r="U31" s="542"/>
      <c r="V31" s="550"/>
      <c r="W31" s="542"/>
      <c r="X31" s="550"/>
      <c r="Y31" s="542"/>
      <c r="Z31" s="550"/>
      <c r="AA31" s="528"/>
      <c r="AB31" s="528"/>
      <c r="AC31" s="528"/>
      <c r="AD31" s="528"/>
    </row>
    <row r="32" spans="1:30" ht="24" customHeight="1" x14ac:dyDescent="0.3">
      <c r="A32" s="528"/>
      <c r="B32" s="529"/>
      <c r="C32" s="531" t="s">
        <v>374</v>
      </c>
      <c r="D32" s="531" t="s">
        <v>575</v>
      </c>
      <c r="E32" s="532" t="s">
        <v>350</v>
      </c>
      <c r="F32" s="533"/>
      <c r="G32" s="534"/>
      <c r="H32" s="550"/>
      <c r="I32" s="4171">
        <f>I31*C70</f>
        <v>298835.70444459294</v>
      </c>
      <c r="J32" s="602"/>
      <c r="K32" s="550"/>
      <c r="L32" s="550"/>
      <c r="M32" s="1098"/>
      <c r="N32" s="550"/>
      <c r="O32" s="550"/>
      <c r="P32" s="550"/>
      <c r="Q32" s="550"/>
      <c r="R32" s="550"/>
      <c r="S32" s="550"/>
      <c r="T32" s="550"/>
      <c r="U32" s="542"/>
      <c r="V32" s="550"/>
      <c r="W32" s="542"/>
      <c r="X32" s="550"/>
      <c r="Y32" s="542"/>
      <c r="Z32" s="550"/>
      <c r="AA32" s="528"/>
      <c r="AB32" s="528"/>
      <c r="AC32" s="528"/>
      <c r="AD32" s="528"/>
    </row>
    <row r="33" spans="1:30" ht="24" customHeight="1" x14ac:dyDescent="0.3">
      <c r="A33" s="528"/>
      <c r="B33" s="529"/>
      <c r="C33" s="531" t="s">
        <v>374</v>
      </c>
      <c r="D33" s="531" t="s">
        <v>576</v>
      </c>
      <c r="E33" s="532" t="s">
        <v>350</v>
      </c>
      <c r="F33" s="533"/>
      <c r="G33" s="534"/>
      <c r="H33" s="550"/>
      <c r="I33" s="4171">
        <f>I31*C71</f>
        <v>6272.994145024154</v>
      </c>
      <c r="J33" s="602"/>
      <c r="K33" s="550"/>
      <c r="L33" s="550"/>
      <c r="M33" s="1098"/>
      <c r="N33" s="550"/>
      <c r="O33" s="550"/>
      <c r="P33" s="550"/>
      <c r="Q33" s="550"/>
      <c r="R33" s="550"/>
      <c r="S33" s="550"/>
      <c r="T33" s="550"/>
      <c r="U33" s="542"/>
      <c r="V33" s="550"/>
      <c r="W33" s="542"/>
      <c r="X33" s="550"/>
      <c r="Y33" s="542"/>
      <c r="Z33" s="550"/>
      <c r="AA33" s="528"/>
      <c r="AB33" s="528"/>
      <c r="AC33" s="528"/>
      <c r="AD33" s="528"/>
    </row>
    <row r="34" spans="1:30" ht="24" customHeight="1" x14ac:dyDescent="0.3">
      <c r="A34" s="528"/>
      <c r="B34" s="529"/>
      <c r="C34" s="531" t="s">
        <v>374</v>
      </c>
      <c r="D34" s="1099" t="s">
        <v>577</v>
      </c>
      <c r="E34" s="1100" t="s">
        <v>350</v>
      </c>
      <c r="F34" s="533"/>
      <c r="G34" s="534"/>
      <c r="H34" s="550"/>
      <c r="I34" s="602">
        <f>I31*C72</f>
        <v>116314.50791866319</v>
      </c>
      <c r="J34" s="602"/>
      <c r="K34" s="550"/>
      <c r="L34" s="550"/>
      <c r="M34" s="1098"/>
      <c r="N34" s="550"/>
      <c r="O34" s="550"/>
      <c r="P34" s="550"/>
      <c r="Q34" s="550"/>
      <c r="R34" s="550"/>
      <c r="S34" s="550"/>
      <c r="T34" s="550"/>
      <c r="U34" s="542"/>
      <c r="V34" s="550"/>
      <c r="W34" s="542"/>
      <c r="X34" s="550"/>
      <c r="Y34" s="542"/>
      <c r="Z34" s="550"/>
      <c r="AA34" s="528"/>
      <c r="AB34" s="528"/>
      <c r="AC34" s="528"/>
      <c r="AD34" s="528"/>
    </row>
    <row r="35" spans="1:30" ht="24" customHeight="1" x14ac:dyDescent="0.3">
      <c r="A35" s="528"/>
      <c r="B35" s="529">
        <v>6</v>
      </c>
      <c r="C35" s="1101" t="s">
        <v>572</v>
      </c>
      <c r="D35" s="453" t="s">
        <v>573</v>
      </c>
      <c r="E35" s="543" t="s">
        <v>363</v>
      </c>
      <c r="F35" s="506" t="s">
        <v>1952</v>
      </c>
      <c r="G35" s="1102"/>
      <c r="H35" s="544"/>
      <c r="I35" s="544">
        <v>1430.722</v>
      </c>
      <c r="J35" s="545"/>
      <c r="K35" s="544"/>
      <c r="L35" s="544"/>
      <c r="M35" s="1103"/>
      <c r="N35" s="544"/>
      <c r="O35" s="544"/>
      <c r="P35" s="544"/>
      <c r="Q35" s="544"/>
      <c r="R35" s="544"/>
      <c r="S35" s="544"/>
      <c r="T35" s="544"/>
      <c r="U35" s="548"/>
      <c r="V35" s="544"/>
      <c r="W35" s="548"/>
      <c r="X35" s="544"/>
      <c r="Y35" s="548"/>
      <c r="Z35" s="544"/>
      <c r="AA35" s="528"/>
      <c r="AB35" s="528"/>
      <c r="AC35" s="528"/>
      <c r="AD35" s="528"/>
    </row>
    <row r="36" spans="1:30" ht="24" customHeight="1" x14ac:dyDescent="0.3">
      <c r="A36" s="528"/>
      <c r="B36" s="529"/>
      <c r="C36" s="453" t="s">
        <v>374</v>
      </c>
      <c r="D36" s="453" t="s">
        <v>574</v>
      </c>
      <c r="E36" s="543" t="s">
        <v>453</v>
      </c>
      <c r="F36" s="506"/>
      <c r="G36" s="1102"/>
      <c r="H36" s="544"/>
      <c r="I36" s="1104">
        <f>I35/I67</f>
        <v>4.3936947963631928E-2</v>
      </c>
      <c r="J36" s="545"/>
      <c r="K36" s="544"/>
      <c r="L36" s="544"/>
      <c r="M36" s="1103"/>
      <c r="N36" s="544"/>
      <c r="O36" s="544"/>
      <c r="P36" s="544"/>
      <c r="Q36" s="544"/>
      <c r="R36" s="544"/>
      <c r="S36" s="544"/>
      <c r="T36" s="544"/>
      <c r="U36" s="548"/>
      <c r="V36" s="544"/>
      <c r="W36" s="548"/>
      <c r="X36" s="544"/>
      <c r="Y36" s="548"/>
      <c r="Z36" s="544"/>
      <c r="AA36" s="528"/>
      <c r="AB36" s="528"/>
      <c r="AC36" s="528"/>
      <c r="AD36" s="528"/>
    </row>
    <row r="37" spans="1:30" ht="24" customHeight="1" x14ac:dyDescent="0.3">
      <c r="A37" s="528"/>
      <c r="B37" s="529"/>
      <c r="C37" s="453" t="s">
        <v>374</v>
      </c>
      <c r="D37" s="453" t="s">
        <v>575</v>
      </c>
      <c r="E37" s="543" t="s">
        <v>350</v>
      </c>
      <c r="F37" s="506"/>
      <c r="G37" s="1102"/>
      <c r="H37" s="544"/>
      <c r="I37" s="4172">
        <f>I36*C70</f>
        <v>274071.03636819031</v>
      </c>
      <c r="J37" s="545"/>
      <c r="K37" s="544"/>
      <c r="L37" s="544"/>
      <c r="M37" s="1103"/>
      <c r="N37" s="544"/>
      <c r="O37" s="544"/>
      <c r="P37" s="544"/>
      <c r="Q37" s="544"/>
      <c r="R37" s="544"/>
      <c r="S37" s="544"/>
      <c r="T37" s="544"/>
      <c r="U37" s="548"/>
      <c r="V37" s="544"/>
      <c r="W37" s="548"/>
      <c r="X37" s="544"/>
      <c r="Y37" s="548"/>
      <c r="Z37" s="544"/>
      <c r="AA37" s="528"/>
      <c r="AB37" s="528"/>
      <c r="AC37" s="528"/>
      <c r="AD37" s="528"/>
    </row>
    <row r="38" spans="1:30" ht="24" customHeight="1" x14ac:dyDescent="0.3">
      <c r="A38" s="528"/>
      <c r="B38" s="529"/>
      <c r="C38" s="453" t="s">
        <v>374</v>
      </c>
      <c r="D38" s="453" t="s">
        <v>576</v>
      </c>
      <c r="E38" s="543" t="s">
        <v>350</v>
      </c>
      <c r="F38" s="506"/>
      <c r="G38" s="1102"/>
      <c r="H38" s="544"/>
      <c r="I38" s="4172">
        <f>I36*C71</f>
        <v>5753.1479033059286</v>
      </c>
      <c r="J38" s="545"/>
      <c r="K38" s="544"/>
      <c r="L38" s="544"/>
      <c r="M38" s="1103"/>
      <c r="N38" s="544"/>
      <c r="O38" s="544"/>
      <c r="P38" s="544"/>
      <c r="Q38" s="544"/>
      <c r="R38" s="544"/>
      <c r="S38" s="544"/>
      <c r="T38" s="544"/>
      <c r="U38" s="548"/>
      <c r="V38" s="544"/>
      <c r="W38" s="548"/>
      <c r="X38" s="544"/>
      <c r="Y38" s="548"/>
      <c r="Z38" s="544"/>
      <c r="AA38" s="528"/>
      <c r="AB38" s="528"/>
      <c r="AC38" s="528"/>
      <c r="AD38" s="528"/>
    </row>
    <row r="39" spans="1:30" ht="24" customHeight="1" x14ac:dyDescent="0.3">
      <c r="A39" s="528"/>
      <c r="B39" s="529"/>
      <c r="C39" s="453" t="s">
        <v>374</v>
      </c>
      <c r="D39" s="1105" t="s">
        <v>577</v>
      </c>
      <c r="E39" s="1106" t="s">
        <v>350</v>
      </c>
      <c r="F39" s="506"/>
      <c r="G39" s="1102"/>
      <c r="H39" s="544"/>
      <c r="I39" s="545">
        <f>I36*C72</f>
        <v>106675.46499897797</v>
      </c>
      <c r="J39" s="545"/>
      <c r="K39" s="544"/>
      <c r="L39" s="544"/>
      <c r="M39" s="1103"/>
      <c r="N39" s="544"/>
      <c r="O39" s="544"/>
      <c r="P39" s="544"/>
      <c r="Q39" s="544"/>
      <c r="R39" s="544"/>
      <c r="S39" s="544"/>
      <c r="T39" s="544"/>
      <c r="U39" s="548"/>
      <c r="V39" s="544"/>
      <c r="W39" s="548"/>
      <c r="X39" s="544"/>
      <c r="Y39" s="548"/>
      <c r="Z39" s="544"/>
      <c r="AA39" s="528"/>
      <c r="AB39" s="528"/>
      <c r="AC39" s="528"/>
      <c r="AD39" s="528"/>
    </row>
    <row r="40" spans="1:30" ht="24" customHeight="1" x14ac:dyDescent="0.3">
      <c r="A40" s="528"/>
      <c r="B40" s="529">
        <v>7</v>
      </c>
      <c r="C40" s="530" t="s">
        <v>572</v>
      </c>
      <c r="D40" s="531" t="s">
        <v>573</v>
      </c>
      <c r="E40" s="532" t="s">
        <v>363</v>
      </c>
      <c r="F40" s="533" t="s">
        <v>1953</v>
      </c>
      <c r="G40" s="534"/>
      <c r="H40" s="550"/>
      <c r="I40" s="550">
        <v>1243.32</v>
      </c>
      <c r="J40" s="602"/>
      <c r="K40" s="550"/>
      <c r="L40" s="550"/>
      <c r="M40" s="1098"/>
      <c r="N40" s="550"/>
      <c r="O40" s="550"/>
      <c r="P40" s="550"/>
      <c r="Q40" s="550"/>
      <c r="R40" s="550"/>
      <c r="S40" s="550"/>
      <c r="T40" s="550"/>
      <c r="U40" s="542"/>
      <c r="V40" s="550"/>
      <c r="W40" s="542"/>
      <c r="X40" s="550"/>
      <c r="Y40" s="542"/>
      <c r="Z40" s="550"/>
      <c r="AA40" s="528"/>
      <c r="AB40" s="528"/>
      <c r="AC40" s="528"/>
      <c r="AD40" s="528"/>
    </row>
    <row r="41" spans="1:30" ht="24" customHeight="1" x14ac:dyDescent="0.3">
      <c r="A41" s="528"/>
      <c r="B41" s="529"/>
      <c r="C41" s="531" t="s">
        <v>374</v>
      </c>
      <c r="D41" s="531" t="s">
        <v>574</v>
      </c>
      <c r="E41" s="532" t="s">
        <v>453</v>
      </c>
      <c r="F41" s="533"/>
      <c r="G41" s="534"/>
      <c r="H41" s="550"/>
      <c r="I41" s="1097">
        <f>I40/I67</f>
        <v>3.8181901265335154E-2</v>
      </c>
      <c r="J41" s="602"/>
      <c r="K41" s="550"/>
      <c r="L41" s="550"/>
      <c r="M41" s="1098"/>
      <c r="N41" s="550"/>
      <c r="O41" s="550"/>
      <c r="P41" s="550"/>
      <c r="Q41" s="550"/>
      <c r="R41" s="550"/>
      <c r="S41" s="550"/>
      <c r="T41" s="550"/>
      <c r="U41" s="542"/>
      <c r="V41" s="550"/>
      <c r="W41" s="542"/>
      <c r="X41" s="550"/>
      <c r="Y41" s="542"/>
      <c r="Z41" s="550"/>
      <c r="AA41" s="528"/>
      <c r="AB41" s="528"/>
      <c r="AC41" s="528"/>
      <c r="AD41" s="528"/>
    </row>
    <row r="42" spans="1:30" ht="24" customHeight="1" x14ac:dyDescent="0.3">
      <c r="A42" s="528"/>
      <c r="B42" s="529"/>
      <c r="C42" s="531" t="s">
        <v>374</v>
      </c>
      <c r="D42" s="531" t="s">
        <v>575</v>
      </c>
      <c r="E42" s="532" t="s">
        <v>350</v>
      </c>
      <c r="F42" s="533"/>
      <c r="G42" s="534"/>
      <c r="H42" s="550"/>
      <c r="I42" s="4171">
        <f>I41*C70</f>
        <v>238172.05644234052</v>
      </c>
      <c r="J42" s="602"/>
      <c r="K42" s="550"/>
      <c r="L42" s="550"/>
      <c r="M42" s="1098"/>
      <c r="N42" s="550"/>
      <c r="O42" s="550"/>
      <c r="P42" s="550"/>
      <c r="Q42" s="550"/>
      <c r="R42" s="550"/>
      <c r="S42" s="550"/>
      <c r="T42" s="550"/>
      <c r="U42" s="542"/>
      <c r="V42" s="550"/>
      <c r="W42" s="542"/>
      <c r="X42" s="550"/>
      <c r="Y42" s="542"/>
      <c r="Z42" s="550"/>
      <c r="AA42" s="528"/>
      <c r="AB42" s="528"/>
      <c r="AC42" s="528"/>
      <c r="AD42" s="528"/>
    </row>
    <row r="43" spans="1:30" ht="24" customHeight="1" x14ac:dyDescent="0.3">
      <c r="A43" s="528"/>
      <c r="B43" s="529"/>
      <c r="C43" s="531" t="s">
        <v>374</v>
      </c>
      <c r="D43" s="531" t="s">
        <v>576</v>
      </c>
      <c r="E43" s="532" t="s">
        <v>350</v>
      </c>
      <c r="F43" s="533"/>
      <c r="G43" s="534"/>
      <c r="H43" s="550"/>
      <c r="I43" s="4171">
        <f>I41*C71</f>
        <v>4999.5763335842503</v>
      </c>
      <c r="J43" s="602"/>
      <c r="K43" s="550"/>
      <c r="L43" s="550"/>
      <c r="M43" s="1098"/>
      <c r="N43" s="550"/>
      <c r="O43" s="550"/>
      <c r="P43" s="550"/>
      <c r="Q43" s="550"/>
      <c r="R43" s="550"/>
      <c r="S43" s="550"/>
      <c r="T43" s="550"/>
      <c r="U43" s="542"/>
      <c r="V43" s="550"/>
      <c r="W43" s="542"/>
      <c r="X43" s="550"/>
      <c r="Y43" s="542"/>
      <c r="Z43" s="550"/>
      <c r="AA43" s="528"/>
      <c r="AB43" s="528"/>
      <c r="AC43" s="528"/>
      <c r="AD43" s="528"/>
    </row>
    <row r="44" spans="1:30" ht="24" customHeight="1" x14ac:dyDescent="0.3">
      <c r="A44" s="528"/>
      <c r="B44" s="529"/>
      <c r="C44" s="531" t="s">
        <v>374</v>
      </c>
      <c r="D44" s="1099" t="s">
        <v>577</v>
      </c>
      <c r="E44" s="1100" t="s">
        <v>350</v>
      </c>
      <c r="F44" s="533"/>
      <c r="G44" s="534"/>
      <c r="H44" s="550"/>
      <c r="I44" s="602">
        <f>I41*C72</f>
        <v>92702.662811174552</v>
      </c>
      <c r="J44" s="602"/>
      <c r="K44" s="550"/>
      <c r="L44" s="550"/>
      <c r="M44" s="1098"/>
      <c r="N44" s="550"/>
      <c r="O44" s="550"/>
      <c r="P44" s="550"/>
      <c r="Q44" s="550"/>
      <c r="R44" s="550"/>
      <c r="S44" s="550"/>
      <c r="T44" s="550"/>
      <c r="U44" s="542"/>
      <c r="V44" s="550"/>
      <c r="W44" s="542"/>
      <c r="X44" s="550"/>
      <c r="Y44" s="542"/>
      <c r="Z44" s="550"/>
      <c r="AA44" s="528"/>
      <c r="AB44" s="528"/>
      <c r="AC44" s="528"/>
      <c r="AD44" s="528"/>
    </row>
    <row r="45" spans="1:30" ht="24" customHeight="1" x14ac:dyDescent="0.3">
      <c r="A45" s="528"/>
      <c r="B45" s="529">
        <v>8</v>
      </c>
      <c r="C45" s="1101" t="s">
        <v>572</v>
      </c>
      <c r="D45" s="453" t="s">
        <v>573</v>
      </c>
      <c r="E45" s="543" t="s">
        <v>363</v>
      </c>
      <c r="F45" s="506" t="s">
        <v>1954</v>
      </c>
      <c r="G45" s="1102"/>
      <c r="H45" s="544"/>
      <c r="I45" s="544">
        <v>1161.29</v>
      </c>
      <c r="J45" s="545"/>
      <c r="K45" s="544"/>
      <c r="L45" s="544"/>
      <c r="M45" s="1103"/>
      <c r="N45" s="544"/>
      <c r="O45" s="544"/>
      <c r="P45" s="544"/>
      <c r="Q45" s="544"/>
      <c r="R45" s="544"/>
      <c r="S45" s="544"/>
      <c r="T45" s="544"/>
      <c r="U45" s="548"/>
      <c r="V45" s="544"/>
      <c r="W45" s="548"/>
      <c r="X45" s="544"/>
      <c r="Y45" s="548"/>
      <c r="Z45" s="544"/>
      <c r="AA45" s="528"/>
      <c r="AB45" s="528"/>
      <c r="AC45" s="528"/>
      <c r="AD45" s="528"/>
    </row>
    <row r="46" spans="1:30" ht="24" customHeight="1" x14ac:dyDescent="0.3">
      <c r="A46" s="528"/>
      <c r="B46" s="529"/>
      <c r="C46" s="453" t="s">
        <v>374</v>
      </c>
      <c r="D46" s="453" t="s">
        <v>574</v>
      </c>
      <c r="E46" s="543" t="s">
        <v>453</v>
      </c>
      <c r="F46" s="506"/>
      <c r="G46" s="1102"/>
      <c r="H46" s="544"/>
      <c r="I46" s="1104">
        <f>I45/I67</f>
        <v>3.5662790046344518E-2</v>
      </c>
      <c r="J46" s="545"/>
      <c r="K46" s="544"/>
      <c r="L46" s="544"/>
      <c r="M46" s="1103"/>
      <c r="N46" s="544"/>
      <c r="O46" s="544"/>
      <c r="P46" s="544"/>
      <c r="Q46" s="544"/>
      <c r="R46" s="544"/>
      <c r="S46" s="544"/>
      <c r="T46" s="544"/>
      <c r="U46" s="548"/>
      <c r="V46" s="544"/>
      <c r="W46" s="548"/>
      <c r="X46" s="544"/>
      <c r="Y46" s="548"/>
      <c r="Z46" s="544"/>
      <c r="AA46" s="528"/>
      <c r="AB46" s="528"/>
      <c r="AC46" s="528"/>
      <c r="AD46" s="528"/>
    </row>
    <row r="47" spans="1:30" ht="24" customHeight="1" x14ac:dyDescent="0.3">
      <c r="A47" s="528"/>
      <c r="B47" s="529"/>
      <c r="C47" s="453" t="s">
        <v>374</v>
      </c>
      <c r="D47" s="453" t="s">
        <v>575</v>
      </c>
      <c r="E47" s="543" t="s">
        <v>350</v>
      </c>
      <c r="F47" s="506"/>
      <c r="G47" s="1102"/>
      <c r="H47" s="544"/>
      <c r="I47" s="4172">
        <f>I46*C70</f>
        <v>222458.27898362905</v>
      </c>
      <c r="J47" s="545"/>
      <c r="K47" s="544"/>
      <c r="L47" s="544"/>
      <c r="M47" s="1103"/>
      <c r="N47" s="544"/>
      <c r="O47" s="544"/>
      <c r="P47" s="544"/>
      <c r="Q47" s="544"/>
      <c r="R47" s="544"/>
      <c r="S47" s="544"/>
      <c r="T47" s="544"/>
      <c r="U47" s="548"/>
      <c r="V47" s="544"/>
      <c r="W47" s="548"/>
      <c r="X47" s="544"/>
      <c r="Y47" s="548"/>
      <c r="Z47" s="544"/>
      <c r="AA47" s="528"/>
      <c r="AB47" s="528"/>
      <c r="AC47" s="528"/>
      <c r="AD47" s="528"/>
    </row>
    <row r="48" spans="1:30" ht="24" customHeight="1" x14ac:dyDescent="0.3">
      <c r="A48" s="528"/>
      <c r="B48" s="529"/>
      <c r="C48" s="453" t="s">
        <v>374</v>
      </c>
      <c r="D48" s="453" t="s">
        <v>576</v>
      </c>
      <c r="E48" s="543" t="s">
        <v>350</v>
      </c>
      <c r="F48" s="506"/>
      <c r="G48" s="1102"/>
      <c r="H48" s="544"/>
      <c r="I48" s="4172">
        <f>I46*C71</f>
        <v>4669.7213914583972</v>
      </c>
      <c r="J48" s="545"/>
      <c r="K48" s="544"/>
      <c r="L48" s="544"/>
      <c r="M48" s="1103"/>
      <c r="N48" s="544"/>
      <c r="O48" s="544"/>
      <c r="P48" s="544"/>
      <c r="Q48" s="544"/>
      <c r="R48" s="544"/>
      <c r="S48" s="544"/>
      <c r="T48" s="544"/>
      <c r="U48" s="548"/>
      <c r="V48" s="544"/>
      <c r="W48" s="548"/>
      <c r="X48" s="544"/>
      <c r="Y48" s="548"/>
      <c r="Z48" s="544"/>
      <c r="AA48" s="528"/>
      <c r="AB48" s="528"/>
      <c r="AC48" s="528"/>
      <c r="AD48" s="528"/>
    </row>
    <row r="49" spans="1:30" ht="24" customHeight="1" x14ac:dyDescent="0.3">
      <c r="A49" s="528"/>
      <c r="B49" s="529"/>
      <c r="C49" s="453" t="s">
        <v>374</v>
      </c>
      <c r="D49" s="1105" t="s">
        <v>577</v>
      </c>
      <c r="E49" s="1106" t="s">
        <v>350</v>
      </c>
      <c r="F49" s="506"/>
      <c r="G49" s="1102"/>
      <c r="H49" s="544"/>
      <c r="I49" s="545">
        <f>I46*C72</f>
        <v>86586.458269784867</v>
      </c>
      <c r="J49" s="545"/>
      <c r="K49" s="544"/>
      <c r="L49" s="544"/>
      <c r="M49" s="1103"/>
      <c r="N49" s="544"/>
      <c r="O49" s="544"/>
      <c r="P49" s="544"/>
      <c r="Q49" s="544"/>
      <c r="R49" s="544"/>
      <c r="S49" s="544"/>
      <c r="T49" s="544"/>
      <c r="U49" s="548"/>
      <c r="V49" s="544"/>
      <c r="W49" s="548"/>
      <c r="X49" s="544"/>
      <c r="Y49" s="548"/>
      <c r="Z49" s="544"/>
      <c r="AA49" s="528"/>
      <c r="AB49" s="528"/>
      <c r="AC49" s="528"/>
      <c r="AD49" s="528"/>
    </row>
    <row r="50" spans="1:30" ht="24" customHeight="1" x14ac:dyDescent="0.3">
      <c r="A50" s="528"/>
      <c r="B50" s="529">
        <v>9</v>
      </c>
      <c r="C50" s="530" t="s">
        <v>572</v>
      </c>
      <c r="D50" s="531" t="s">
        <v>573</v>
      </c>
      <c r="E50" s="532" t="s">
        <v>363</v>
      </c>
      <c r="F50" s="533" t="s">
        <v>1955</v>
      </c>
      <c r="G50" s="534"/>
      <c r="H50" s="550"/>
      <c r="I50" s="550">
        <v>923</v>
      </c>
      <c r="J50" s="602"/>
      <c r="K50" s="550"/>
      <c r="L50" s="550"/>
      <c r="M50" s="1098"/>
      <c r="N50" s="550"/>
      <c r="O50" s="550"/>
      <c r="P50" s="550"/>
      <c r="Q50" s="550"/>
      <c r="R50" s="550"/>
      <c r="S50" s="550"/>
      <c r="T50" s="550"/>
      <c r="U50" s="542"/>
      <c r="V50" s="550"/>
      <c r="W50" s="542"/>
      <c r="X50" s="550"/>
      <c r="Y50" s="542"/>
      <c r="Z50" s="550"/>
      <c r="AA50" s="528"/>
      <c r="AB50" s="528"/>
      <c r="AC50" s="528"/>
      <c r="AD50" s="528"/>
    </row>
    <row r="51" spans="1:30" ht="24" customHeight="1" x14ac:dyDescent="0.3">
      <c r="A51" s="528"/>
      <c r="B51" s="529"/>
      <c r="C51" s="531" t="s">
        <v>374</v>
      </c>
      <c r="D51" s="531" t="s">
        <v>574</v>
      </c>
      <c r="E51" s="532" t="s">
        <v>453</v>
      </c>
      <c r="F51" s="533"/>
      <c r="G51" s="534"/>
      <c r="H51" s="550"/>
      <c r="I51" s="1097">
        <f>I50/I67</f>
        <v>2.8344991529054748E-2</v>
      </c>
      <c r="J51" s="602"/>
      <c r="K51" s="550"/>
      <c r="L51" s="550"/>
      <c r="M51" s="1098"/>
      <c r="N51" s="550"/>
      <c r="O51" s="550"/>
      <c r="P51" s="550"/>
      <c r="Q51" s="550"/>
      <c r="R51" s="550"/>
      <c r="S51" s="550"/>
      <c r="T51" s="550"/>
      <c r="U51" s="542"/>
      <c r="V51" s="550"/>
      <c r="W51" s="542"/>
      <c r="X51" s="550"/>
      <c r="Y51" s="542"/>
      <c r="Z51" s="550"/>
      <c r="AA51" s="528"/>
      <c r="AB51" s="528"/>
      <c r="AC51" s="528"/>
      <c r="AD51" s="528"/>
    </row>
    <row r="52" spans="1:30" ht="24" customHeight="1" x14ac:dyDescent="0.3">
      <c r="A52" s="528"/>
      <c r="B52" s="529"/>
      <c r="C52" s="531" t="s">
        <v>374</v>
      </c>
      <c r="D52" s="531" t="s">
        <v>575</v>
      </c>
      <c r="E52" s="532" t="s">
        <v>350</v>
      </c>
      <c r="F52" s="533"/>
      <c r="G52" s="534"/>
      <c r="H52" s="550"/>
      <c r="I52" s="4171">
        <f>I51*C70</f>
        <v>176811.12512971746</v>
      </c>
      <c r="J52" s="602"/>
      <c r="K52" s="550"/>
      <c r="L52" s="550"/>
      <c r="M52" s="1098"/>
      <c r="N52" s="550"/>
      <c r="O52" s="550"/>
      <c r="P52" s="550"/>
      <c r="Q52" s="550"/>
      <c r="R52" s="550"/>
      <c r="S52" s="550"/>
      <c r="T52" s="550"/>
      <c r="U52" s="542"/>
      <c r="V52" s="550"/>
      <c r="W52" s="542"/>
      <c r="X52" s="550"/>
      <c r="Y52" s="542"/>
      <c r="Z52" s="550"/>
      <c r="AA52" s="528"/>
      <c r="AB52" s="528"/>
      <c r="AC52" s="528"/>
      <c r="AD52" s="528"/>
    </row>
    <row r="53" spans="1:30" ht="24" customHeight="1" x14ac:dyDescent="0.3">
      <c r="A53" s="528"/>
      <c r="B53" s="529"/>
      <c r="C53" s="531" t="s">
        <v>374</v>
      </c>
      <c r="D53" s="531" t="s">
        <v>576</v>
      </c>
      <c r="E53" s="532" t="s">
        <v>350</v>
      </c>
      <c r="F53" s="533"/>
      <c r="G53" s="534"/>
      <c r="H53" s="550"/>
      <c r="I53" s="4171">
        <f>I51*C71</f>
        <v>3711.5215358059577</v>
      </c>
      <c r="J53" s="602"/>
      <c r="K53" s="550"/>
      <c r="L53" s="550"/>
      <c r="M53" s="1098"/>
      <c r="N53" s="550"/>
      <c r="O53" s="550"/>
      <c r="P53" s="550"/>
      <c r="Q53" s="550"/>
      <c r="R53" s="550"/>
      <c r="S53" s="550"/>
      <c r="T53" s="550"/>
      <c r="U53" s="542"/>
      <c r="V53" s="550"/>
      <c r="W53" s="542"/>
      <c r="X53" s="550"/>
      <c r="Y53" s="542"/>
      <c r="Z53" s="550"/>
      <c r="AA53" s="528"/>
      <c r="AB53" s="528"/>
      <c r="AC53" s="528"/>
      <c r="AD53" s="528"/>
    </row>
    <row r="54" spans="1:30" ht="24" customHeight="1" x14ac:dyDescent="0.3">
      <c r="A54" s="528"/>
      <c r="B54" s="529"/>
      <c r="C54" s="531" t="s">
        <v>374</v>
      </c>
      <c r="D54" s="1099" t="s">
        <v>577</v>
      </c>
      <c r="E54" s="1100" t="s">
        <v>350</v>
      </c>
      <c r="F54" s="1107"/>
      <c r="G54" s="1108"/>
      <c r="H54" s="544"/>
      <c r="I54" s="1109">
        <f>I51*C72</f>
        <v>68819.417185209051</v>
      </c>
      <c r="J54" s="1109"/>
      <c r="K54" s="1110"/>
      <c r="L54" s="1110"/>
      <c r="M54" s="1110"/>
      <c r="N54" s="1110"/>
      <c r="O54" s="1110"/>
      <c r="P54" s="1110"/>
      <c r="Q54" s="1110"/>
      <c r="R54" s="1110"/>
      <c r="S54" s="1110"/>
      <c r="T54" s="1110"/>
      <c r="U54" s="1111"/>
      <c r="V54" s="1110"/>
      <c r="W54" s="1111"/>
      <c r="X54" s="1110"/>
      <c r="Y54" s="1111"/>
      <c r="Z54" s="1110"/>
      <c r="AA54" s="528"/>
      <c r="AB54" s="528"/>
      <c r="AC54" s="528"/>
      <c r="AD54" s="528"/>
    </row>
    <row r="55" spans="1:30" ht="30" customHeight="1" x14ac:dyDescent="0.3">
      <c r="A55" s="528"/>
      <c r="B55" s="529">
        <v>10</v>
      </c>
      <c r="C55" s="1101" t="s">
        <v>572</v>
      </c>
      <c r="D55" s="453" t="s">
        <v>573</v>
      </c>
      <c r="E55" s="543" t="s">
        <v>363</v>
      </c>
      <c r="F55" s="506" t="s">
        <v>1956</v>
      </c>
      <c r="G55" s="496"/>
      <c r="H55" s="544"/>
      <c r="I55" s="544">
        <v>816</v>
      </c>
      <c r="J55" s="544"/>
      <c r="K55" s="544"/>
      <c r="L55" s="544"/>
      <c r="M55" s="544"/>
      <c r="N55" s="544"/>
      <c r="O55" s="544"/>
      <c r="P55" s="544"/>
      <c r="Q55" s="544"/>
      <c r="R55" s="544"/>
      <c r="S55" s="544"/>
      <c r="T55" s="544"/>
      <c r="U55" s="548"/>
      <c r="V55" s="544"/>
      <c r="W55" s="548"/>
      <c r="X55" s="544"/>
      <c r="Y55" s="548"/>
      <c r="Z55" s="544"/>
      <c r="AA55" s="528"/>
      <c r="AB55" s="528"/>
      <c r="AC55" s="528"/>
      <c r="AD55" s="528"/>
    </row>
    <row r="56" spans="1:30" ht="30" customHeight="1" x14ac:dyDescent="0.3">
      <c r="A56" s="528"/>
      <c r="B56" s="529"/>
      <c r="C56" s="453" t="s">
        <v>374</v>
      </c>
      <c r="D56" s="453" t="s">
        <v>574</v>
      </c>
      <c r="E56" s="543" t="s">
        <v>453</v>
      </c>
      <c r="F56" s="506"/>
      <c r="G56" s="496"/>
      <c r="H56" s="544"/>
      <c r="I56" s="1104">
        <f>I55/I67</f>
        <v>2.5059060766748294E-2</v>
      </c>
      <c r="J56" s="545"/>
      <c r="K56" s="544"/>
      <c r="L56" s="544"/>
      <c r="M56" s="544"/>
      <c r="N56" s="544"/>
      <c r="O56" s="544"/>
      <c r="P56" s="544"/>
      <c r="Q56" s="544"/>
      <c r="R56" s="544"/>
      <c r="S56" s="544"/>
      <c r="T56" s="544"/>
      <c r="U56" s="548"/>
      <c r="V56" s="544"/>
      <c r="W56" s="548"/>
      <c r="X56" s="544"/>
      <c r="Y56" s="548"/>
      <c r="Z56" s="544"/>
      <c r="AA56" s="528"/>
      <c r="AB56" s="528"/>
      <c r="AC56" s="528"/>
      <c r="AD56" s="528"/>
    </row>
    <row r="57" spans="1:30" ht="30" customHeight="1" x14ac:dyDescent="0.3">
      <c r="A57" s="528"/>
      <c r="B57" s="529"/>
      <c r="C57" s="453" t="s">
        <v>374</v>
      </c>
      <c r="D57" s="453" t="s">
        <v>575</v>
      </c>
      <c r="E57" s="543" t="s">
        <v>350</v>
      </c>
      <c r="F57" s="506"/>
      <c r="G57" s="496"/>
      <c r="H57" s="544"/>
      <c r="I57" s="4172">
        <f>I56*C70</f>
        <v>156314.06078640244</v>
      </c>
      <c r="J57" s="545"/>
      <c r="K57" s="544"/>
      <c r="L57" s="544"/>
      <c r="M57" s="544"/>
      <c r="N57" s="544"/>
      <c r="O57" s="544"/>
      <c r="P57" s="544"/>
      <c r="Q57" s="544"/>
      <c r="R57" s="544"/>
      <c r="S57" s="544"/>
      <c r="T57" s="544"/>
      <c r="U57" s="548"/>
      <c r="V57" s="544"/>
      <c r="W57" s="548"/>
      <c r="X57" s="544"/>
      <c r="Y57" s="548"/>
      <c r="Z57" s="544"/>
      <c r="AA57" s="528"/>
      <c r="AB57" s="528"/>
      <c r="AC57" s="528"/>
      <c r="AD57" s="528"/>
    </row>
    <row r="58" spans="1:30" ht="30" customHeight="1" x14ac:dyDescent="0.3">
      <c r="A58" s="528"/>
      <c r="B58" s="529"/>
      <c r="C58" s="453" t="s">
        <v>374</v>
      </c>
      <c r="D58" s="453" t="s">
        <v>576</v>
      </c>
      <c r="E58" s="543" t="s">
        <v>350</v>
      </c>
      <c r="F58" s="506"/>
      <c r="G58" s="496"/>
      <c r="H58" s="544"/>
      <c r="I58" s="4172">
        <f>I56*C71</f>
        <v>3281.2584758587882</v>
      </c>
      <c r="J58" s="545"/>
      <c r="K58" s="544"/>
      <c r="L58" s="544"/>
      <c r="M58" s="544"/>
      <c r="N58" s="544"/>
      <c r="O58" s="544"/>
      <c r="P58" s="544"/>
      <c r="Q58" s="544"/>
      <c r="R58" s="544"/>
      <c r="S58" s="544"/>
      <c r="T58" s="544"/>
      <c r="U58" s="548"/>
      <c r="V58" s="544"/>
      <c r="W58" s="548"/>
      <c r="X58" s="544"/>
      <c r="Y58" s="548"/>
      <c r="Z58" s="544"/>
      <c r="AA58" s="528"/>
      <c r="AB58" s="528"/>
      <c r="AC58" s="528"/>
      <c r="AD58" s="528"/>
    </row>
    <row r="59" spans="1:30" ht="24" customHeight="1" x14ac:dyDescent="0.3">
      <c r="A59" s="528"/>
      <c r="B59" s="529"/>
      <c r="C59" s="453" t="s">
        <v>374</v>
      </c>
      <c r="D59" s="1105" t="s">
        <v>577</v>
      </c>
      <c r="E59" s="1106" t="s">
        <v>350</v>
      </c>
      <c r="F59" s="506"/>
      <c r="G59" s="496"/>
      <c r="H59" s="544"/>
      <c r="I59" s="545">
        <f>I56*C72</f>
        <v>60841.434911300748</v>
      </c>
      <c r="J59" s="544"/>
      <c r="K59" s="544"/>
      <c r="L59" s="544"/>
      <c r="M59" s="544"/>
      <c r="N59" s="544"/>
      <c r="O59" s="544"/>
      <c r="P59" s="544"/>
      <c r="Q59" s="544"/>
      <c r="R59" s="544"/>
      <c r="S59" s="544"/>
      <c r="T59" s="544"/>
      <c r="U59" s="548"/>
      <c r="V59" s="544"/>
      <c r="W59" s="548"/>
      <c r="X59" s="544"/>
      <c r="Y59" s="548"/>
      <c r="Z59" s="544"/>
      <c r="AA59" s="528"/>
      <c r="AB59" s="528"/>
      <c r="AC59" s="528"/>
      <c r="AD59" s="528"/>
    </row>
    <row r="60" spans="1:30" ht="24" customHeight="1" x14ac:dyDescent="0.3">
      <c r="A60" s="528"/>
      <c r="B60" s="529">
        <v>11</v>
      </c>
      <c r="C60" s="530" t="s">
        <v>572</v>
      </c>
      <c r="D60" s="531" t="s">
        <v>573</v>
      </c>
      <c r="E60" s="532" t="s">
        <v>363</v>
      </c>
      <c r="F60" s="1107" t="s">
        <v>197</v>
      </c>
      <c r="G60" s="1108"/>
      <c r="H60" s="544"/>
      <c r="I60" s="1110">
        <v>0</v>
      </c>
      <c r="J60" s="1110"/>
      <c r="K60" s="1110"/>
      <c r="L60" s="1110"/>
      <c r="M60" s="1110"/>
      <c r="N60" s="1110"/>
      <c r="O60" s="1110"/>
      <c r="P60" s="1110"/>
      <c r="Q60" s="1110"/>
      <c r="R60" s="1110"/>
      <c r="S60" s="1110"/>
      <c r="T60" s="1110"/>
      <c r="U60" s="1111"/>
      <c r="V60" s="1110"/>
      <c r="W60" s="1111"/>
      <c r="X60" s="1110"/>
      <c r="Y60" s="1111"/>
      <c r="Z60" s="1110"/>
      <c r="AA60" s="528"/>
      <c r="AB60" s="528"/>
      <c r="AC60" s="528"/>
      <c r="AD60" s="528"/>
    </row>
    <row r="61" spans="1:30" ht="24" customHeight="1" x14ac:dyDescent="0.3">
      <c r="A61" s="528"/>
      <c r="B61" s="529"/>
      <c r="C61" s="531" t="s">
        <v>374</v>
      </c>
      <c r="D61" s="531" t="s">
        <v>574</v>
      </c>
      <c r="E61" s="532" t="s">
        <v>453</v>
      </c>
      <c r="F61" s="533"/>
      <c r="G61" s="551"/>
      <c r="H61" s="550"/>
      <c r="I61" s="1097">
        <f>I60/I67</f>
        <v>0</v>
      </c>
      <c r="J61" s="550"/>
      <c r="K61" s="550"/>
      <c r="L61" s="550"/>
      <c r="M61" s="550"/>
      <c r="N61" s="550"/>
      <c r="O61" s="550"/>
      <c r="P61" s="550"/>
      <c r="Q61" s="550"/>
      <c r="R61" s="550"/>
      <c r="S61" s="550"/>
      <c r="T61" s="550"/>
      <c r="U61" s="542"/>
      <c r="V61" s="550"/>
      <c r="W61" s="542"/>
      <c r="X61" s="550"/>
      <c r="Y61" s="542"/>
      <c r="Z61" s="550"/>
      <c r="AA61" s="528"/>
      <c r="AB61" s="528"/>
      <c r="AC61" s="528"/>
      <c r="AD61" s="528"/>
    </row>
    <row r="62" spans="1:30" ht="24" customHeight="1" x14ac:dyDescent="0.3">
      <c r="A62" s="528"/>
      <c r="B62" s="529"/>
      <c r="C62" s="531" t="s">
        <v>374</v>
      </c>
      <c r="D62" s="531" t="s">
        <v>575</v>
      </c>
      <c r="E62" s="532" t="s">
        <v>350</v>
      </c>
      <c r="F62" s="533"/>
      <c r="G62" s="551"/>
      <c r="H62" s="550"/>
      <c r="I62" s="4171">
        <f>I61*C70</f>
        <v>0</v>
      </c>
      <c r="J62" s="550"/>
      <c r="K62" s="550"/>
      <c r="L62" s="550"/>
      <c r="M62" s="550"/>
      <c r="N62" s="550"/>
      <c r="O62" s="550"/>
      <c r="P62" s="550"/>
      <c r="Q62" s="550"/>
      <c r="R62" s="550"/>
      <c r="S62" s="550"/>
      <c r="T62" s="550"/>
      <c r="U62" s="542"/>
      <c r="V62" s="550"/>
      <c r="W62" s="542"/>
      <c r="X62" s="550"/>
      <c r="Y62" s="542"/>
      <c r="Z62" s="550"/>
      <c r="AA62" s="528"/>
      <c r="AB62" s="528"/>
      <c r="AC62" s="528"/>
      <c r="AD62" s="528"/>
    </row>
    <row r="63" spans="1:30" ht="24" customHeight="1" x14ac:dyDescent="0.3">
      <c r="A63" s="528"/>
      <c r="B63" s="529"/>
      <c r="C63" s="531" t="s">
        <v>374</v>
      </c>
      <c r="D63" s="531" t="s">
        <v>576</v>
      </c>
      <c r="E63" s="532" t="s">
        <v>350</v>
      </c>
      <c r="F63" s="533"/>
      <c r="G63" s="551"/>
      <c r="H63" s="550"/>
      <c r="I63" s="4171">
        <f>I61*C71</f>
        <v>0</v>
      </c>
      <c r="J63" s="550"/>
      <c r="K63" s="550"/>
      <c r="L63" s="550"/>
      <c r="M63" s="550"/>
      <c r="N63" s="550"/>
      <c r="O63" s="550"/>
      <c r="P63" s="550"/>
      <c r="Q63" s="550"/>
      <c r="R63" s="550"/>
      <c r="S63" s="550"/>
      <c r="T63" s="550"/>
      <c r="U63" s="542"/>
      <c r="V63" s="550"/>
      <c r="W63" s="542"/>
      <c r="X63" s="550"/>
      <c r="Y63" s="542"/>
      <c r="Z63" s="550"/>
      <c r="AA63" s="528"/>
      <c r="AB63" s="528"/>
      <c r="AC63" s="528"/>
      <c r="AD63" s="528"/>
    </row>
    <row r="64" spans="1:30" ht="24" customHeight="1" x14ac:dyDescent="0.3">
      <c r="A64" s="528"/>
      <c r="B64" s="552"/>
      <c r="C64" s="1099" t="s">
        <v>374</v>
      </c>
      <c r="D64" s="1099" t="s">
        <v>577</v>
      </c>
      <c r="E64" s="1100" t="s">
        <v>350</v>
      </c>
      <c r="F64" s="1112"/>
      <c r="G64" s="1113"/>
      <c r="H64" s="556"/>
      <c r="I64" s="1114">
        <f>I61*C72</f>
        <v>0</v>
      </c>
      <c r="J64" s="1115"/>
      <c r="K64" s="1115"/>
      <c r="L64" s="1115"/>
      <c r="M64" s="1115"/>
      <c r="N64" s="1115"/>
      <c r="O64" s="1115"/>
      <c r="P64" s="1115"/>
      <c r="Q64" s="1115"/>
      <c r="R64" s="1115"/>
      <c r="S64" s="1115"/>
      <c r="T64" s="1115"/>
      <c r="U64" s="1116"/>
      <c r="V64" s="1115"/>
      <c r="W64" s="1116"/>
      <c r="X64" s="1115"/>
      <c r="Y64" s="1116"/>
      <c r="Z64" s="1115"/>
      <c r="AA64" s="528"/>
      <c r="AB64" s="528"/>
      <c r="AC64" s="528"/>
      <c r="AD64" s="528"/>
    </row>
    <row r="65" spans="1:30" ht="15.75" customHeight="1" x14ac:dyDescent="0.3">
      <c r="A65" s="528"/>
      <c r="B65" s="558"/>
      <c r="C65" s="528"/>
      <c r="D65" s="528"/>
      <c r="E65" s="528"/>
      <c r="F65" s="528"/>
      <c r="G65" s="479"/>
      <c r="H65" s="479"/>
      <c r="I65" s="479"/>
      <c r="J65" s="479"/>
      <c r="K65" s="479"/>
      <c r="L65" s="479"/>
      <c r="M65" s="559"/>
      <c r="N65" s="559"/>
      <c r="O65" s="559"/>
      <c r="P65" s="559"/>
      <c r="Q65" s="559"/>
      <c r="R65" s="559"/>
      <c r="S65" s="559"/>
      <c r="T65" s="559"/>
      <c r="U65" s="559"/>
      <c r="V65" s="559"/>
      <c r="W65" s="559"/>
      <c r="X65" s="559"/>
      <c r="Y65" s="559"/>
      <c r="Z65" s="559"/>
      <c r="AA65" s="528"/>
      <c r="AB65" s="528"/>
      <c r="AC65" s="528"/>
      <c r="AD65" s="528"/>
    </row>
    <row r="66" spans="1:30" ht="15.75" customHeight="1" x14ac:dyDescent="0.3">
      <c r="A66" s="528"/>
      <c r="B66" s="560" t="s">
        <v>355</v>
      </c>
      <c r="C66" s="561" t="s">
        <v>356</v>
      </c>
      <c r="D66" s="528"/>
      <c r="E66" s="528"/>
      <c r="F66" s="528"/>
      <c r="G66" s="479"/>
      <c r="H66" s="479"/>
      <c r="I66" s="479"/>
      <c r="J66" s="479"/>
      <c r="K66" s="479"/>
      <c r="L66" s="479"/>
      <c r="M66" s="559"/>
      <c r="N66" s="559"/>
      <c r="O66" s="559"/>
      <c r="P66" s="559"/>
      <c r="Q66" s="559"/>
      <c r="R66" s="559"/>
      <c r="S66" s="559"/>
      <c r="T66" s="559"/>
      <c r="U66" s="559"/>
      <c r="V66" s="559"/>
      <c r="W66" s="559"/>
      <c r="X66" s="559"/>
      <c r="Y66" s="559"/>
      <c r="Z66" s="559"/>
      <c r="AA66" s="528"/>
      <c r="AB66" s="528"/>
      <c r="AC66" s="528"/>
      <c r="AD66" s="528"/>
    </row>
    <row r="67" spans="1:30" ht="15.75" customHeight="1" x14ac:dyDescent="0.3">
      <c r="A67" s="528"/>
      <c r="B67" s="558"/>
      <c r="C67" s="528"/>
      <c r="D67" s="528"/>
      <c r="E67" s="528"/>
      <c r="F67" s="528"/>
      <c r="G67" s="479" t="s">
        <v>578</v>
      </c>
      <c r="H67" s="479"/>
      <c r="I67" s="1117">
        <v>32563.072000000004</v>
      </c>
      <c r="J67" s="479"/>
      <c r="K67" s="479"/>
      <c r="L67" s="479"/>
      <c r="M67" s="559"/>
      <c r="N67" s="559"/>
      <c r="O67" s="559"/>
      <c r="P67" s="559"/>
      <c r="Q67" s="559"/>
      <c r="R67" s="559"/>
      <c r="S67" s="559"/>
      <c r="T67" s="559"/>
      <c r="U67" s="559"/>
      <c r="V67" s="559"/>
      <c r="W67" s="559"/>
      <c r="X67" s="559"/>
      <c r="Y67" s="559"/>
      <c r="Z67" s="559"/>
      <c r="AA67" s="528"/>
      <c r="AB67" s="528"/>
      <c r="AC67" s="528"/>
      <c r="AD67" s="528"/>
    </row>
    <row r="68" spans="1:30" ht="15.75" customHeight="1" x14ac:dyDescent="0.3">
      <c r="A68" s="528"/>
      <c r="B68" s="4383" t="s">
        <v>357</v>
      </c>
      <c r="C68" s="4384"/>
      <c r="D68" s="528"/>
      <c r="E68" s="528"/>
      <c r="F68" s="528"/>
      <c r="G68" s="479" t="s">
        <v>579</v>
      </c>
      <c r="H68" s="479"/>
      <c r="I68" s="1118">
        <f>I20</f>
        <v>3013.32</v>
      </c>
      <c r="J68" s="479"/>
      <c r="K68" s="479"/>
      <c r="L68" s="479"/>
      <c r="M68" s="559"/>
      <c r="N68" s="559"/>
      <c r="O68" s="559"/>
      <c r="P68" s="559"/>
      <c r="Q68" s="559"/>
      <c r="R68" s="559"/>
      <c r="S68" s="559"/>
      <c r="T68" s="559"/>
      <c r="U68" s="559"/>
      <c r="V68" s="559"/>
      <c r="W68" s="559"/>
      <c r="X68" s="559"/>
      <c r="Y68" s="559"/>
      <c r="Z68" s="559"/>
      <c r="AA68" s="528"/>
      <c r="AB68" s="528"/>
      <c r="AC68" s="528"/>
      <c r="AD68" s="528"/>
    </row>
    <row r="69" spans="1:30" ht="15.75" customHeight="1" x14ac:dyDescent="0.3">
      <c r="A69" s="528"/>
      <c r="B69" s="562" t="s">
        <v>580</v>
      </c>
      <c r="C69" s="528"/>
      <c r="D69" s="528"/>
      <c r="E69" s="528"/>
      <c r="F69" s="528"/>
      <c r="G69" s="479"/>
      <c r="H69" s="479"/>
      <c r="I69" s="479"/>
      <c r="J69" s="479"/>
      <c r="K69" s="479"/>
      <c r="L69" s="479"/>
      <c r="M69" s="559"/>
      <c r="N69" s="559"/>
      <c r="O69" s="559"/>
      <c r="P69" s="559"/>
      <c r="Q69" s="559"/>
      <c r="R69" s="559"/>
      <c r="S69" s="559"/>
      <c r="T69" s="559"/>
      <c r="U69" s="559"/>
      <c r="V69" s="559"/>
      <c r="W69" s="559"/>
      <c r="X69" s="559"/>
      <c r="Y69" s="559"/>
      <c r="Z69" s="559"/>
      <c r="AA69" s="528"/>
      <c r="AB69" s="528"/>
      <c r="AC69" s="528"/>
      <c r="AD69" s="528"/>
    </row>
    <row r="70" spans="1:30" ht="15.75" customHeight="1" x14ac:dyDescent="0.3">
      <c r="A70" s="528"/>
      <c r="B70" s="562"/>
      <c r="C70" s="447">
        <v>6237826</v>
      </c>
      <c r="D70" s="528" t="s">
        <v>581</v>
      </c>
      <c r="E70" s="528"/>
      <c r="F70" s="528"/>
      <c r="G70" s="479"/>
      <c r="H70" s="479"/>
      <c r="I70" s="479"/>
      <c r="J70" s="479"/>
      <c r="K70" s="479"/>
      <c r="L70" s="479"/>
      <c r="M70" s="559"/>
      <c r="N70" s="559"/>
      <c r="O70" s="559"/>
      <c r="P70" s="559"/>
      <c r="Q70" s="559"/>
      <c r="R70" s="559"/>
      <c r="S70" s="559"/>
      <c r="T70" s="559"/>
      <c r="U70" s="559"/>
      <c r="V70" s="559"/>
      <c r="W70" s="559"/>
      <c r="X70" s="559"/>
      <c r="Y70" s="559"/>
      <c r="Z70" s="559"/>
      <c r="AA70" s="528"/>
      <c r="AB70" s="528"/>
      <c r="AC70" s="528"/>
      <c r="AD70" s="528"/>
    </row>
    <row r="71" spans="1:30" ht="15.75" customHeight="1" x14ac:dyDescent="0.3">
      <c r="A71" s="528"/>
      <c r="B71" s="562"/>
      <c r="C71" s="447">
        <v>130941</v>
      </c>
      <c r="D71" s="528" t="s">
        <v>582</v>
      </c>
      <c r="E71" s="528"/>
      <c r="F71" s="528"/>
      <c r="G71" s="479"/>
      <c r="H71" s="479"/>
      <c r="I71" s="479"/>
      <c r="J71" s="479"/>
      <c r="K71" s="479"/>
      <c r="L71" s="479"/>
      <c r="M71" s="559"/>
      <c r="N71" s="559"/>
      <c r="O71" s="559"/>
      <c r="P71" s="559"/>
      <c r="Q71" s="559"/>
      <c r="R71" s="559"/>
      <c r="S71" s="559"/>
      <c r="T71" s="559"/>
      <c r="U71" s="559"/>
      <c r="V71" s="559"/>
      <c r="W71" s="559"/>
      <c r="X71" s="559"/>
      <c r="Y71" s="559"/>
      <c r="Z71" s="559"/>
      <c r="AA71" s="528"/>
      <c r="AB71" s="528"/>
      <c r="AC71" s="528"/>
      <c r="AD71" s="528"/>
    </row>
    <row r="72" spans="1:30" ht="15.75" customHeight="1" x14ac:dyDescent="0.3">
      <c r="A72" s="528"/>
      <c r="B72" s="562"/>
      <c r="C72" s="606">
        <v>2427921.6</v>
      </c>
      <c r="D72" s="528" t="s">
        <v>583</v>
      </c>
      <c r="E72" s="528"/>
      <c r="F72" s="528"/>
      <c r="G72" s="479"/>
      <c r="H72" s="479"/>
      <c r="I72" s="479"/>
      <c r="J72" s="479"/>
      <c r="K72" s="479"/>
      <c r="L72" s="479"/>
      <c r="M72" s="559"/>
      <c r="N72" s="559"/>
      <c r="O72" s="559"/>
      <c r="P72" s="559"/>
      <c r="Q72" s="559"/>
      <c r="R72" s="559"/>
      <c r="S72" s="559"/>
      <c r="T72" s="559"/>
      <c r="U72" s="559"/>
      <c r="V72" s="559"/>
      <c r="W72" s="559"/>
      <c r="X72" s="559"/>
      <c r="Y72" s="559"/>
      <c r="Z72" s="559"/>
      <c r="AA72" s="528"/>
      <c r="AB72" s="528"/>
      <c r="AC72" s="528"/>
      <c r="AD72" s="528"/>
    </row>
    <row r="73" spans="1:30" ht="15.75" customHeight="1" x14ac:dyDescent="0.3">
      <c r="A73" s="528"/>
      <c r="B73" s="562"/>
      <c r="C73" s="528"/>
      <c r="D73" s="528"/>
      <c r="E73" s="528"/>
      <c r="F73" s="528"/>
      <c r="G73" s="479"/>
      <c r="H73" s="479"/>
      <c r="I73" s="479"/>
      <c r="J73" s="479"/>
      <c r="K73" s="479"/>
      <c r="L73" s="479"/>
      <c r="M73" s="559"/>
      <c r="N73" s="559"/>
      <c r="O73" s="559"/>
      <c r="P73" s="559"/>
      <c r="Q73" s="559"/>
      <c r="R73" s="559"/>
      <c r="S73" s="559"/>
      <c r="T73" s="559"/>
      <c r="U73" s="559"/>
      <c r="V73" s="559"/>
      <c r="W73" s="559"/>
      <c r="X73" s="559"/>
      <c r="Y73" s="559"/>
      <c r="Z73" s="559"/>
      <c r="AA73" s="528"/>
      <c r="AB73" s="528"/>
      <c r="AC73" s="528"/>
      <c r="AD73" s="528"/>
    </row>
    <row r="74" spans="1:30" ht="15.75" customHeight="1" x14ac:dyDescent="0.3"/>
    <row r="75" spans="1:30" ht="15.75" customHeight="1" x14ac:dyDescent="0.3"/>
    <row r="76" spans="1:30" ht="21" customHeight="1" x14ac:dyDescent="0.3">
      <c r="B76" s="519" t="s">
        <v>409</v>
      </c>
    </row>
    <row r="77" spans="1:30" ht="9" customHeight="1" x14ac:dyDescent="0.3">
      <c r="B77" s="519"/>
    </row>
    <row r="78" spans="1:30" ht="21" customHeight="1" x14ac:dyDescent="0.3">
      <c r="B78" s="517" t="s">
        <v>410</v>
      </c>
      <c r="C78" s="518"/>
      <c r="D78" s="518"/>
    </row>
    <row r="79" spans="1:30" ht="12" customHeight="1" x14ac:dyDescent="0.3"/>
    <row r="80" spans="1:30" ht="15.75" customHeight="1" x14ac:dyDescent="0.3">
      <c r="B80" s="521" t="s">
        <v>301</v>
      </c>
      <c r="C80" s="522" t="s">
        <v>343</v>
      </c>
      <c r="D80" s="523" t="s">
        <v>344</v>
      </c>
      <c r="E80" s="523" t="s">
        <v>345</v>
      </c>
      <c r="F80" s="523" t="s">
        <v>346</v>
      </c>
      <c r="G80" s="524" t="s">
        <v>347</v>
      </c>
      <c r="H80" s="525">
        <v>2025</v>
      </c>
      <c r="I80" s="525">
        <v>2024</v>
      </c>
      <c r="J80" s="525">
        <v>2023</v>
      </c>
      <c r="K80" s="525">
        <v>2022</v>
      </c>
      <c r="L80" s="525">
        <v>2021</v>
      </c>
      <c r="M80" s="525">
        <v>2020</v>
      </c>
      <c r="N80" s="525">
        <v>2019</v>
      </c>
      <c r="O80" s="526">
        <v>2018</v>
      </c>
      <c r="P80" s="526">
        <v>2017</v>
      </c>
      <c r="Q80" s="526">
        <v>2016</v>
      </c>
      <c r="R80" s="526">
        <v>2015</v>
      </c>
      <c r="S80" s="526">
        <v>2014</v>
      </c>
      <c r="T80" s="526">
        <v>2013</v>
      </c>
      <c r="U80" s="526">
        <v>2012</v>
      </c>
      <c r="V80" s="526">
        <v>2011</v>
      </c>
      <c r="W80" s="526">
        <v>2010</v>
      </c>
      <c r="X80" s="526">
        <v>2009</v>
      </c>
      <c r="Y80" s="526">
        <v>2008</v>
      </c>
      <c r="Z80" s="527" t="s">
        <v>332</v>
      </c>
    </row>
    <row r="81" spans="2:26" ht="24" customHeight="1" x14ac:dyDescent="0.3">
      <c r="B81" s="529">
        <v>1</v>
      </c>
      <c r="C81" s="530" t="s">
        <v>348</v>
      </c>
      <c r="D81" s="531" t="s">
        <v>584</v>
      </c>
      <c r="E81" s="532" t="s">
        <v>363</v>
      </c>
      <c r="F81" s="531"/>
      <c r="G81" s="534">
        <v>2010</v>
      </c>
      <c r="H81" s="635"/>
      <c r="I81" s="536">
        <f>I67</f>
        <v>32563.072000000004</v>
      </c>
      <c r="J81" s="628">
        <v>53446</v>
      </c>
      <c r="K81" s="628">
        <v>31310</v>
      </c>
      <c r="L81" s="628">
        <v>33779</v>
      </c>
      <c r="M81" s="628">
        <v>31900</v>
      </c>
      <c r="N81" s="628">
        <v>45500</v>
      </c>
      <c r="O81" s="628">
        <v>27000</v>
      </c>
      <c r="P81" s="628">
        <v>17000</v>
      </c>
      <c r="Q81" s="628">
        <v>25000</v>
      </c>
      <c r="R81" s="535"/>
      <c r="S81" s="535"/>
      <c r="T81" s="535"/>
      <c r="U81" s="542"/>
      <c r="V81" s="535"/>
      <c r="W81" s="542"/>
      <c r="X81" s="535"/>
      <c r="Y81" s="542"/>
      <c r="Z81" s="535"/>
    </row>
    <row r="82" spans="2:26" ht="24" customHeight="1" x14ac:dyDescent="0.3">
      <c r="B82" s="529"/>
      <c r="C82" s="453"/>
      <c r="D82" s="453"/>
      <c r="E82" s="543"/>
      <c r="F82" s="453"/>
      <c r="G82" s="479"/>
      <c r="H82" s="638"/>
      <c r="I82" s="638"/>
      <c r="J82" s="545"/>
      <c r="K82" s="544"/>
      <c r="L82" s="544"/>
      <c r="M82" s="544"/>
      <c r="N82" s="544"/>
      <c r="O82" s="544"/>
      <c r="P82" s="544"/>
      <c r="Q82" s="544"/>
      <c r="R82" s="544"/>
      <c r="S82" s="544"/>
      <c r="T82" s="544"/>
      <c r="U82" s="548"/>
      <c r="V82" s="544"/>
      <c r="W82" s="548"/>
      <c r="X82" s="544"/>
      <c r="Y82" s="548"/>
      <c r="Z82" s="544"/>
    </row>
    <row r="83" spans="2:26" ht="24" customHeight="1" x14ac:dyDescent="0.3">
      <c r="B83" s="529"/>
      <c r="C83" s="531"/>
      <c r="D83" s="531"/>
      <c r="E83" s="532"/>
      <c r="F83" s="531"/>
      <c r="G83" s="641"/>
      <c r="H83" s="640"/>
      <c r="I83" s="640"/>
      <c r="J83" s="642"/>
      <c r="K83" s="642"/>
      <c r="L83" s="642"/>
      <c r="M83" s="642"/>
      <c r="N83" s="642"/>
      <c r="O83" s="642"/>
      <c r="P83" s="642"/>
      <c r="Q83" s="642"/>
      <c r="R83" s="642"/>
      <c r="S83" s="643"/>
      <c r="T83" s="643"/>
      <c r="U83" s="644"/>
      <c r="V83" s="643"/>
      <c r="W83" s="644"/>
      <c r="X83" s="643"/>
      <c r="Y83" s="644"/>
      <c r="Z83" s="550"/>
    </row>
    <row r="84" spans="2:26" ht="24" customHeight="1" x14ac:dyDescent="0.3">
      <c r="B84" s="552"/>
      <c r="C84" s="462"/>
      <c r="D84" s="462"/>
      <c r="E84" s="553"/>
      <c r="F84" s="462"/>
      <c r="G84" s="645"/>
      <c r="H84" s="646"/>
      <c r="I84" s="646"/>
      <c r="J84" s="556"/>
      <c r="K84" s="556"/>
      <c r="L84" s="556"/>
      <c r="M84" s="556"/>
      <c r="N84" s="556"/>
      <c r="O84" s="556"/>
      <c r="P84" s="556"/>
      <c r="Q84" s="556"/>
      <c r="R84" s="556"/>
      <c r="S84" s="556"/>
      <c r="T84" s="556"/>
      <c r="U84" s="557"/>
      <c r="V84" s="556"/>
      <c r="W84" s="557"/>
      <c r="X84" s="556"/>
      <c r="Y84" s="557"/>
      <c r="Z84" s="556"/>
    </row>
    <row r="85" spans="2:26" ht="15.75" customHeight="1" x14ac:dyDescent="0.3"/>
    <row r="86" spans="2:26" ht="15.75" customHeight="1" x14ac:dyDescent="0.3">
      <c r="B86" s="560" t="s">
        <v>355</v>
      </c>
      <c r="C86" s="561" t="s">
        <v>356</v>
      </c>
    </row>
    <row r="87" spans="2:26" ht="15.75" customHeight="1" x14ac:dyDescent="0.3"/>
    <row r="88" spans="2:26" ht="15.75" customHeight="1" x14ac:dyDescent="0.3">
      <c r="B88" s="4383" t="s">
        <v>357</v>
      </c>
      <c r="C88" s="4384"/>
    </row>
    <row r="89" spans="2:26" ht="15.75" customHeight="1" x14ac:dyDescent="0.3">
      <c r="B89" s="562" t="s">
        <v>365</v>
      </c>
      <c r="C89" s="428">
        <v>2.232048009359805E-2</v>
      </c>
      <c r="D89" s="428" t="s">
        <v>585</v>
      </c>
    </row>
    <row r="90" spans="2:26" ht="15.75" customHeight="1" x14ac:dyDescent="0.3">
      <c r="B90" s="562"/>
      <c r="D90" s="428" t="s">
        <v>586</v>
      </c>
    </row>
    <row r="91" spans="2:26" ht="15.75" customHeight="1" x14ac:dyDescent="0.3"/>
    <row r="92" spans="2:26" ht="15.75" customHeight="1" x14ac:dyDescent="0.3"/>
    <row r="93" spans="2:26" ht="15.75" customHeight="1" x14ac:dyDescent="0.3"/>
    <row r="94" spans="2:26" ht="15.75" customHeight="1" x14ac:dyDescent="0.3"/>
    <row r="95" spans="2:26" ht="15.75" customHeight="1" x14ac:dyDescent="0.3"/>
    <row r="96" spans="2:2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sheetData>
  <mergeCells count="2">
    <mergeCell ref="B68:C68"/>
    <mergeCell ref="B88:C88"/>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4E51A-652C-40A0-B260-DEE6B2ACEEA2}">
  <dimension ref="A1:Q986"/>
  <sheetViews>
    <sheetView workbookViewId="0">
      <selection activeCell="F38" sqref="F38"/>
    </sheetView>
  </sheetViews>
  <sheetFormatPr defaultColWidth="12.44140625" defaultRowHeight="15" customHeight="1" x14ac:dyDescent="0.3"/>
  <cols>
    <col min="1" max="1" width="2.6640625" style="428" customWidth="1"/>
    <col min="2" max="2" width="34" style="428" customWidth="1"/>
    <col min="3" max="3" width="16" style="428" customWidth="1"/>
    <col min="4" max="4" width="19" style="428" customWidth="1"/>
    <col min="5" max="6" width="16" style="428" customWidth="1"/>
    <col min="7" max="7" width="18" style="428" customWidth="1"/>
    <col min="8" max="8" width="19.109375" style="428" customWidth="1"/>
    <col min="9" max="9" width="18.6640625" style="428" customWidth="1"/>
    <col min="10" max="12" width="16" style="428" customWidth="1"/>
    <col min="13" max="13" width="18.33203125" style="428" customWidth="1"/>
    <col min="14" max="14" width="17.77734375" style="428" customWidth="1"/>
    <col min="15" max="15" width="1.5546875" style="428" customWidth="1"/>
    <col min="16" max="16" width="15.21875" style="428" customWidth="1"/>
    <col min="17" max="17" width="11.6640625" style="428" customWidth="1"/>
    <col min="18" max="16384" width="12.44140625" style="428"/>
  </cols>
  <sheetData>
    <row r="1" spans="1:17" ht="21.75" customHeight="1" x14ac:dyDescent="0.35">
      <c r="A1" s="424"/>
      <c r="B1" s="425" t="s">
        <v>549</v>
      </c>
      <c r="O1" s="427"/>
    </row>
    <row r="2" spans="1:17" ht="15.75" customHeight="1" x14ac:dyDescent="0.3">
      <c r="A2" s="424"/>
      <c r="B2" s="429" t="s">
        <v>299</v>
      </c>
      <c r="C2" s="430"/>
      <c r="D2" s="430"/>
      <c r="E2" s="430"/>
      <c r="F2" s="430"/>
      <c r="G2" s="430"/>
      <c r="H2" s="430"/>
      <c r="I2" s="430"/>
      <c r="J2" s="430"/>
      <c r="K2" s="430"/>
      <c r="L2" s="430"/>
      <c r="M2" s="430"/>
      <c r="N2" s="430"/>
      <c r="O2" s="430"/>
      <c r="P2" s="430"/>
    </row>
    <row r="3" spans="1:17" ht="9.75" customHeight="1" x14ac:dyDescent="0.3">
      <c r="A3" s="427"/>
      <c r="O3" s="427"/>
    </row>
    <row r="4" spans="1:17" ht="6" customHeight="1" x14ac:dyDescent="0.3">
      <c r="O4" s="427"/>
    </row>
    <row r="5" spans="1:17" ht="6" customHeight="1" x14ac:dyDescent="0.3">
      <c r="A5" s="431"/>
      <c r="O5" s="427"/>
    </row>
    <row r="6" spans="1:17" ht="15.75" customHeight="1" x14ac:dyDescent="0.3">
      <c r="O6" s="427"/>
    </row>
    <row r="7" spans="1:17" ht="37.200000000000003" customHeight="1" x14ac:dyDescent="0.3">
      <c r="A7" s="432"/>
      <c r="B7" s="433">
        <v>2024</v>
      </c>
      <c r="C7" s="4385" t="s">
        <v>23</v>
      </c>
      <c r="D7" s="4386"/>
      <c r="E7" s="4386"/>
      <c r="F7" s="4386"/>
      <c r="G7" s="4386"/>
      <c r="H7" s="4386"/>
      <c r="I7" s="4386"/>
      <c r="J7" s="4386"/>
      <c r="K7" s="4386"/>
      <c r="L7" s="4386"/>
      <c r="M7" s="4386"/>
      <c r="N7" s="4386"/>
      <c r="O7" s="609"/>
      <c r="P7" s="435" t="s">
        <v>300</v>
      </c>
      <c r="Q7" s="432"/>
    </row>
    <row r="8" spans="1:17" ht="18" customHeight="1" x14ac:dyDescent="0.35">
      <c r="B8" s="436" t="s">
        <v>301</v>
      </c>
      <c r="C8" s="648">
        <v>1</v>
      </c>
      <c r="D8" s="572">
        <v>2</v>
      </c>
      <c r="E8" s="1119">
        <v>3</v>
      </c>
      <c r="F8" s="1119">
        <v>4</v>
      </c>
      <c r="G8" s="1119">
        <v>5</v>
      </c>
      <c r="H8" s="1119">
        <v>6</v>
      </c>
      <c r="I8" s="1119">
        <v>7</v>
      </c>
      <c r="J8" s="1119">
        <v>8</v>
      </c>
      <c r="K8" s="1119">
        <v>9</v>
      </c>
      <c r="L8" s="1119">
        <v>10</v>
      </c>
      <c r="M8" s="1119">
        <v>11</v>
      </c>
      <c r="N8" s="1120">
        <v>12</v>
      </c>
      <c r="O8" s="610"/>
      <c r="P8" s="438"/>
    </row>
    <row r="9" spans="1:17" ht="46.5" customHeight="1" x14ac:dyDescent="0.3">
      <c r="B9" s="439" t="s">
        <v>302</v>
      </c>
      <c r="C9" s="573" t="s">
        <v>587</v>
      </c>
      <c r="D9" s="573" t="s">
        <v>588</v>
      </c>
      <c r="E9" s="440" t="s">
        <v>589</v>
      </c>
      <c r="F9" s="1121" t="s">
        <v>590</v>
      </c>
      <c r="G9" s="1121" t="s">
        <v>591</v>
      </c>
      <c r="H9" s="1121" t="s">
        <v>592</v>
      </c>
      <c r="I9" s="1121" t="s">
        <v>593</v>
      </c>
      <c r="J9" s="1121" t="s">
        <v>594</v>
      </c>
      <c r="K9" s="1121" t="s">
        <v>595</v>
      </c>
      <c r="L9" s="1121" t="s">
        <v>596</v>
      </c>
      <c r="M9" s="1121" t="s">
        <v>597</v>
      </c>
      <c r="N9" s="1122" t="s">
        <v>598</v>
      </c>
      <c r="O9" s="611"/>
      <c r="P9" s="442"/>
    </row>
    <row r="10" spans="1:17" ht="46.5" customHeight="1" x14ac:dyDescent="0.3">
      <c r="B10" s="444" t="s">
        <v>304</v>
      </c>
      <c r="C10" s="445" t="s">
        <v>599</v>
      </c>
      <c r="D10" s="445" t="s">
        <v>600</v>
      </c>
      <c r="E10" s="1123" t="s">
        <v>601</v>
      </c>
      <c r="F10" s="1124" t="s">
        <v>602</v>
      </c>
      <c r="G10" s="1124" t="s">
        <v>591</v>
      </c>
      <c r="H10" s="1124" t="s">
        <v>603</v>
      </c>
      <c r="I10" s="1124" t="s">
        <v>604</v>
      </c>
      <c r="J10" s="1124" t="s">
        <v>605</v>
      </c>
      <c r="K10" s="1124" t="s">
        <v>606</v>
      </c>
      <c r="L10" s="1124" t="s">
        <v>607</v>
      </c>
      <c r="M10" s="1124" t="s">
        <v>608</v>
      </c>
      <c r="N10" s="1125" t="s">
        <v>609</v>
      </c>
      <c r="O10" s="612"/>
      <c r="P10" s="446"/>
    </row>
    <row r="11" spans="1:17" ht="18.75" customHeight="1" x14ac:dyDescent="0.3">
      <c r="A11" s="447"/>
      <c r="B11" s="448" t="s">
        <v>306</v>
      </c>
      <c r="C11" s="1126">
        <f>(C17*C18)</f>
        <v>0</v>
      </c>
      <c r="D11" s="1126">
        <f t="shared" ref="D11:N11" si="0">(D17*D18)</f>
        <v>20000</v>
      </c>
      <c r="E11" s="1127">
        <f t="shared" si="0"/>
        <v>0</v>
      </c>
      <c r="F11" s="1127">
        <f t="shared" si="0"/>
        <v>0</v>
      </c>
      <c r="G11" s="1127">
        <f t="shared" si="0"/>
        <v>7053.7548889477512</v>
      </c>
      <c r="H11" s="1127">
        <f t="shared" si="0"/>
        <v>5352.5127695937927</v>
      </c>
      <c r="I11" s="1127">
        <f t="shared" si="0"/>
        <v>0</v>
      </c>
      <c r="J11" s="1127">
        <f t="shared" si="0"/>
        <v>0</v>
      </c>
      <c r="K11" s="1127">
        <f t="shared" si="0"/>
        <v>0</v>
      </c>
      <c r="L11" s="1127">
        <f t="shared" si="0"/>
        <v>0</v>
      </c>
      <c r="M11" s="1127">
        <f t="shared" si="0"/>
        <v>0</v>
      </c>
      <c r="N11" s="1089">
        <f t="shared" si="0"/>
        <v>642.38191382118066</v>
      </c>
      <c r="O11" s="614"/>
      <c r="P11" s="451">
        <f>SUM(C11:N11)</f>
        <v>33048.649572362723</v>
      </c>
      <c r="Q11" s="447"/>
    </row>
    <row r="12" spans="1:17" ht="18.75" customHeight="1" x14ac:dyDescent="0.3">
      <c r="A12" s="447"/>
      <c r="B12" s="453" t="s">
        <v>307</v>
      </c>
      <c r="C12" s="577">
        <f>(C22*C23)</f>
        <v>0</v>
      </c>
      <c r="D12" s="577">
        <f t="shared" ref="D12:N12" si="1">(D22*D23)</f>
        <v>0</v>
      </c>
      <c r="E12" s="454">
        <f t="shared" si="1"/>
        <v>0</v>
      </c>
      <c r="F12" s="1128">
        <f t="shared" si="1"/>
        <v>0</v>
      </c>
      <c r="G12" s="1128">
        <f t="shared" si="1"/>
        <v>0</v>
      </c>
      <c r="H12" s="1128">
        <f t="shared" si="1"/>
        <v>0</v>
      </c>
      <c r="I12" s="1128">
        <f t="shared" si="1"/>
        <v>0</v>
      </c>
      <c r="J12" s="1128">
        <f t="shared" si="1"/>
        <v>0</v>
      </c>
      <c r="K12" s="1128">
        <f t="shared" si="1"/>
        <v>0</v>
      </c>
      <c r="L12" s="1128">
        <f t="shared" si="1"/>
        <v>0</v>
      </c>
      <c r="M12" s="1128">
        <f t="shared" si="1"/>
        <v>0</v>
      </c>
      <c r="N12" s="1129">
        <f t="shared" si="1"/>
        <v>0</v>
      </c>
      <c r="O12" s="614"/>
      <c r="P12" s="456">
        <f>SUM(C12:N12)</f>
        <v>0</v>
      </c>
      <c r="Q12" s="447"/>
    </row>
    <row r="13" spans="1:17" ht="18.75" customHeight="1" x14ac:dyDescent="0.3">
      <c r="A13" s="447"/>
      <c r="B13" s="448" t="s">
        <v>308</v>
      </c>
      <c r="C13" s="654" t="s">
        <v>8</v>
      </c>
      <c r="D13" s="578" t="s">
        <v>8</v>
      </c>
      <c r="E13" s="1130" t="s">
        <v>8</v>
      </c>
      <c r="F13" s="1130" t="s">
        <v>8</v>
      </c>
      <c r="G13" s="1130" t="s">
        <v>8</v>
      </c>
      <c r="H13" s="1130" t="s">
        <v>8</v>
      </c>
      <c r="I13" s="1130" t="s">
        <v>8</v>
      </c>
      <c r="J13" s="1130" t="s">
        <v>8</v>
      </c>
      <c r="K13" s="1130" t="s">
        <v>8</v>
      </c>
      <c r="L13" s="1130" t="s">
        <v>8</v>
      </c>
      <c r="M13" s="1130" t="s">
        <v>8</v>
      </c>
      <c r="N13" s="1131" t="s">
        <v>8</v>
      </c>
      <c r="O13" s="615"/>
      <c r="P13" s="460"/>
      <c r="Q13" s="447"/>
    </row>
    <row r="14" spans="1:17" ht="18.75" customHeight="1" x14ac:dyDescent="0.3">
      <c r="A14" s="447"/>
      <c r="B14" s="462" t="s">
        <v>309</v>
      </c>
      <c r="C14" s="655">
        <f t="shared" ref="C14:N14" si="2">C11-C12</f>
        <v>0</v>
      </c>
      <c r="D14" s="579">
        <f t="shared" si="2"/>
        <v>20000</v>
      </c>
      <c r="E14" s="1132">
        <f t="shared" si="2"/>
        <v>0</v>
      </c>
      <c r="F14" s="1132">
        <f t="shared" si="2"/>
        <v>0</v>
      </c>
      <c r="G14" s="1132">
        <f t="shared" si="2"/>
        <v>7053.7548889477512</v>
      </c>
      <c r="H14" s="1132">
        <f t="shared" si="2"/>
        <v>5352.5127695937927</v>
      </c>
      <c r="I14" s="1132">
        <f t="shared" si="2"/>
        <v>0</v>
      </c>
      <c r="J14" s="1132">
        <f t="shared" si="2"/>
        <v>0</v>
      </c>
      <c r="K14" s="1132">
        <f t="shared" si="2"/>
        <v>0</v>
      </c>
      <c r="L14" s="1132">
        <f t="shared" si="2"/>
        <v>0</v>
      </c>
      <c r="M14" s="1132">
        <f t="shared" si="2"/>
        <v>0</v>
      </c>
      <c r="N14" s="655">
        <f t="shared" si="2"/>
        <v>642.38191382118066</v>
      </c>
      <c r="O14" s="614"/>
      <c r="P14" s="464">
        <f>SUM(C14:N14)</f>
        <v>33048.649572362723</v>
      </c>
      <c r="Q14" s="447"/>
    </row>
    <row r="15" spans="1:17" ht="19.5" customHeight="1" x14ac:dyDescent="0.4">
      <c r="B15" s="616" t="s">
        <v>395</v>
      </c>
      <c r="C15" s="659"/>
      <c r="D15" s="617"/>
      <c r="E15" s="1133"/>
      <c r="F15" s="1134"/>
      <c r="G15" s="1134"/>
      <c r="H15" s="1134"/>
      <c r="I15" s="1134"/>
      <c r="J15" s="1134"/>
      <c r="K15" s="1134"/>
      <c r="L15" s="1134"/>
      <c r="M15" s="1134"/>
      <c r="N15" s="1135"/>
      <c r="O15" s="618"/>
      <c r="P15" s="468"/>
      <c r="Q15" s="427"/>
    </row>
    <row r="16" spans="1:17" ht="35.4" customHeight="1" x14ac:dyDescent="0.3">
      <c r="A16" s="447"/>
      <c r="B16" s="469" t="s">
        <v>311</v>
      </c>
      <c r="C16" s="601" t="s">
        <v>496</v>
      </c>
      <c r="D16" s="601" t="s">
        <v>496</v>
      </c>
      <c r="E16" s="470" t="s">
        <v>496</v>
      </c>
      <c r="F16" s="1136" t="s">
        <v>496</v>
      </c>
      <c r="G16" s="1136" t="s">
        <v>496</v>
      </c>
      <c r="H16" s="1136" t="s">
        <v>496</v>
      </c>
      <c r="I16" s="1136" t="s">
        <v>496</v>
      </c>
      <c r="J16" s="1136" t="s">
        <v>496</v>
      </c>
      <c r="K16" s="1136" t="s">
        <v>496</v>
      </c>
      <c r="L16" s="1136" t="s">
        <v>496</v>
      </c>
      <c r="M16" s="1136" t="s">
        <v>496</v>
      </c>
      <c r="N16" s="1137" t="s">
        <v>496</v>
      </c>
      <c r="O16" s="619"/>
      <c r="P16" s="620"/>
      <c r="Q16" s="447"/>
    </row>
    <row r="17" spans="1:17" ht="21" customHeight="1" x14ac:dyDescent="0.3">
      <c r="A17" s="447"/>
      <c r="B17" s="472" t="s">
        <v>398</v>
      </c>
      <c r="C17" s="662">
        <v>0</v>
      </c>
      <c r="D17" s="662">
        <f>'CF-0207|GDS'!H14</f>
        <v>9592.6021851947771</v>
      </c>
      <c r="E17" s="1138">
        <v>0</v>
      </c>
      <c r="F17" s="1139">
        <v>0</v>
      </c>
      <c r="G17" s="1139">
        <f>'CF-0207|GDS'!H19</f>
        <v>9793.2900000000009</v>
      </c>
      <c r="H17" s="1139">
        <f>'CF-0207|GDS'!H20</f>
        <v>7431.32</v>
      </c>
      <c r="I17" s="1139">
        <v>0</v>
      </c>
      <c r="J17" s="1139">
        <v>0</v>
      </c>
      <c r="K17" s="1139">
        <v>0</v>
      </c>
      <c r="L17" s="1139">
        <v>0</v>
      </c>
      <c r="M17" s="1139">
        <v>0</v>
      </c>
      <c r="N17" s="621">
        <f>'CF-0207|GDS'!H26</f>
        <v>891.87</v>
      </c>
      <c r="O17" s="622"/>
      <c r="P17" s="623"/>
      <c r="Q17" s="447"/>
    </row>
    <row r="18" spans="1:17" ht="18.75" customHeight="1" x14ac:dyDescent="0.3">
      <c r="A18" s="447"/>
      <c r="B18" s="476" t="s">
        <v>314</v>
      </c>
      <c r="C18" s="584">
        <v>0</v>
      </c>
      <c r="D18" s="584">
        <v>2.08494</v>
      </c>
      <c r="E18" s="477">
        <v>0</v>
      </c>
      <c r="F18" s="1140">
        <v>0</v>
      </c>
      <c r="G18" s="1140">
        <v>0.7202640674326759</v>
      </c>
      <c r="H18" s="1140">
        <v>0.7202640674326759</v>
      </c>
      <c r="I18" s="1140">
        <v>0</v>
      </c>
      <c r="J18" s="1140">
        <v>0</v>
      </c>
      <c r="K18" s="1140">
        <v>0</v>
      </c>
      <c r="L18" s="1140">
        <v>0</v>
      </c>
      <c r="M18" s="1140">
        <v>0</v>
      </c>
      <c r="N18" s="1141">
        <v>0.7202640674326759</v>
      </c>
      <c r="O18" s="614"/>
      <c r="P18" s="491"/>
      <c r="Q18" s="447"/>
    </row>
    <row r="19" spans="1:17" ht="19.5" customHeight="1" x14ac:dyDescent="0.3">
      <c r="A19" s="447"/>
      <c r="B19" s="480" t="s">
        <v>315</v>
      </c>
      <c r="C19" s="664">
        <f>C17*C18</f>
        <v>0</v>
      </c>
      <c r="D19" s="663">
        <f>D17*D18</f>
        <v>20000</v>
      </c>
      <c r="E19" s="1142">
        <f>E17*E18</f>
        <v>0</v>
      </c>
      <c r="F19" s="1142">
        <v>0</v>
      </c>
      <c r="G19" s="1142">
        <v>0</v>
      </c>
      <c r="H19" s="1142">
        <v>0</v>
      </c>
      <c r="I19" s="1142">
        <v>0</v>
      </c>
      <c r="J19" s="1142">
        <v>0</v>
      </c>
      <c r="K19" s="1142">
        <v>0</v>
      </c>
      <c r="L19" s="1142">
        <v>0</v>
      </c>
      <c r="M19" s="1142">
        <v>0</v>
      </c>
      <c r="N19" s="664">
        <f>N17*N18</f>
        <v>642.38191382118066</v>
      </c>
      <c r="O19" s="614"/>
      <c r="P19" s="494"/>
      <c r="Q19" s="447"/>
    </row>
    <row r="20" spans="1:17" ht="21" customHeight="1" x14ac:dyDescent="0.4">
      <c r="B20" s="465" t="s">
        <v>316</v>
      </c>
      <c r="C20" s="665"/>
      <c r="D20" s="587"/>
      <c r="E20" s="1143"/>
      <c r="F20" s="1143"/>
      <c r="G20" s="1143"/>
      <c r="H20" s="1143"/>
      <c r="I20" s="1143"/>
      <c r="J20" s="1143"/>
      <c r="K20" s="1143"/>
      <c r="L20" s="1143"/>
      <c r="M20" s="1143"/>
      <c r="N20" s="1144"/>
      <c r="O20" s="618"/>
      <c r="P20" s="495"/>
    </row>
    <row r="21" spans="1:17" ht="32.4" customHeight="1" x14ac:dyDescent="0.3">
      <c r="A21" s="447"/>
      <c r="B21" s="469" t="s">
        <v>183</v>
      </c>
      <c r="C21" s="601" t="s">
        <v>263</v>
      </c>
      <c r="D21" s="601" t="s">
        <v>263</v>
      </c>
      <c r="E21" s="470" t="s">
        <v>263</v>
      </c>
      <c r="F21" s="1136" t="s">
        <v>263</v>
      </c>
      <c r="G21" s="1136" t="s">
        <v>263</v>
      </c>
      <c r="H21" s="1136" t="s">
        <v>263</v>
      </c>
      <c r="I21" s="1136" t="s">
        <v>263</v>
      </c>
      <c r="J21" s="1136" t="s">
        <v>263</v>
      </c>
      <c r="K21" s="1136" t="s">
        <v>263</v>
      </c>
      <c r="L21" s="1136" t="s">
        <v>263</v>
      </c>
      <c r="M21" s="1136" t="s">
        <v>263</v>
      </c>
      <c r="N21" s="1136" t="s">
        <v>263</v>
      </c>
      <c r="O21" s="614"/>
      <c r="P21" s="496"/>
      <c r="Q21" s="447"/>
    </row>
    <row r="22" spans="1:17" ht="21" customHeight="1" x14ac:dyDescent="0.3">
      <c r="A22" s="447"/>
      <c r="B22" s="486" t="s">
        <v>398</v>
      </c>
      <c r="C22" s="666">
        <f>C17</f>
        <v>0</v>
      </c>
      <c r="D22" s="589">
        <f>D17</f>
        <v>9592.6021851947771</v>
      </c>
      <c r="E22" s="1145">
        <f>E17</f>
        <v>0</v>
      </c>
      <c r="F22" s="1145">
        <v>0</v>
      </c>
      <c r="G22" s="1145">
        <f>G17</f>
        <v>9793.2900000000009</v>
      </c>
      <c r="H22" s="1145">
        <f>H17</f>
        <v>7431.32</v>
      </c>
      <c r="I22" s="1145">
        <v>0</v>
      </c>
      <c r="J22" s="1145">
        <v>0</v>
      </c>
      <c r="K22" s="1145">
        <v>0</v>
      </c>
      <c r="L22" s="1145">
        <v>0</v>
      </c>
      <c r="M22" s="1145">
        <v>0</v>
      </c>
      <c r="N22" s="1146">
        <f>N17</f>
        <v>891.87</v>
      </c>
      <c r="O22" s="622"/>
      <c r="P22" s="623"/>
      <c r="Q22" s="447"/>
    </row>
    <row r="23" spans="1:17" ht="21" customHeight="1" x14ac:dyDescent="0.3">
      <c r="A23" s="447"/>
      <c r="B23" s="489" t="s">
        <v>314</v>
      </c>
      <c r="C23" s="590">
        <v>0</v>
      </c>
      <c r="D23" s="590">
        <v>0</v>
      </c>
      <c r="E23" s="490">
        <v>0</v>
      </c>
      <c r="F23" s="1147">
        <v>0</v>
      </c>
      <c r="G23" s="1147">
        <v>0</v>
      </c>
      <c r="H23" s="1147">
        <v>0</v>
      </c>
      <c r="I23" s="1147">
        <v>0</v>
      </c>
      <c r="J23" s="1147">
        <v>0</v>
      </c>
      <c r="K23" s="1147">
        <v>0</v>
      </c>
      <c r="L23" s="1147">
        <v>0</v>
      </c>
      <c r="M23" s="1147">
        <v>0</v>
      </c>
      <c r="N23" s="1148">
        <v>0</v>
      </c>
      <c r="O23" s="614"/>
      <c r="P23" s="491"/>
      <c r="Q23" s="447"/>
    </row>
    <row r="24" spans="1:17" ht="21" customHeight="1" x14ac:dyDescent="0.3">
      <c r="A24" s="447"/>
      <c r="B24" s="492" t="s">
        <v>315</v>
      </c>
      <c r="C24" s="668">
        <f t="shared" ref="C24:N24" si="3">C22*C23</f>
        <v>0</v>
      </c>
      <c r="D24" s="591">
        <v>0</v>
      </c>
      <c r="E24" s="493">
        <f t="shared" si="3"/>
        <v>0</v>
      </c>
      <c r="F24" s="1149">
        <v>0</v>
      </c>
      <c r="G24" s="1149">
        <f>G22*G23</f>
        <v>0</v>
      </c>
      <c r="H24" s="1149">
        <f>H22*H23</f>
        <v>0</v>
      </c>
      <c r="I24" s="1149">
        <v>0</v>
      </c>
      <c r="J24" s="1149">
        <v>0</v>
      </c>
      <c r="K24" s="1149">
        <v>0</v>
      </c>
      <c r="L24" s="1149">
        <v>0</v>
      </c>
      <c r="M24" s="1149">
        <v>0</v>
      </c>
      <c r="N24" s="591">
        <f t="shared" si="3"/>
        <v>0</v>
      </c>
      <c r="O24" s="614"/>
      <c r="P24" s="494"/>
      <c r="Q24" s="447"/>
    </row>
    <row r="25" spans="1:17" ht="28.5" customHeight="1" x14ac:dyDescent="0.3">
      <c r="A25" s="447"/>
      <c r="B25" s="498" t="s">
        <v>320</v>
      </c>
      <c r="C25" s="626"/>
      <c r="D25" s="626" t="s">
        <v>610</v>
      </c>
      <c r="E25" s="4075"/>
      <c r="F25" s="4075"/>
      <c r="G25" s="1151" t="s">
        <v>401</v>
      </c>
      <c r="H25" s="1151" t="s">
        <v>401</v>
      </c>
      <c r="I25" s="4075"/>
      <c r="J25" s="4075"/>
      <c r="K25" s="4075"/>
      <c r="L25" s="4075"/>
      <c r="M25" s="4075"/>
      <c r="N25" s="4075" t="s">
        <v>401</v>
      </c>
      <c r="O25" s="614"/>
      <c r="P25" s="496"/>
      <c r="Q25" s="447"/>
    </row>
    <row r="26" spans="1:17" ht="24" customHeight="1" x14ac:dyDescent="0.3">
      <c r="B26" s="502" t="s">
        <v>322</v>
      </c>
      <c r="C26" s="674">
        <v>13</v>
      </c>
      <c r="D26" s="596">
        <v>13</v>
      </c>
      <c r="E26" s="1153">
        <v>13</v>
      </c>
      <c r="F26" s="1153">
        <v>13</v>
      </c>
      <c r="G26" s="1153">
        <v>13</v>
      </c>
      <c r="H26" s="1153">
        <v>13</v>
      </c>
      <c r="I26" s="1153">
        <v>13</v>
      </c>
      <c r="J26" s="1153">
        <v>13</v>
      </c>
      <c r="K26" s="1153">
        <v>13</v>
      </c>
      <c r="L26" s="1153">
        <v>13</v>
      </c>
      <c r="M26" s="1153">
        <v>13</v>
      </c>
      <c r="N26" s="1154">
        <v>13</v>
      </c>
      <c r="O26" s="618"/>
      <c r="P26" s="495"/>
    </row>
    <row r="27" spans="1:17" ht="33" customHeight="1" x14ac:dyDescent="0.3">
      <c r="A27" s="447"/>
      <c r="B27" s="506" t="s">
        <v>323</v>
      </c>
      <c r="C27" s="496" t="s">
        <v>324</v>
      </c>
      <c r="D27" s="595" t="s">
        <v>324</v>
      </c>
      <c r="E27" s="1155" t="s">
        <v>324</v>
      </c>
      <c r="F27" s="1155" t="s">
        <v>324</v>
      </c>
      <c r="G27" s="1155" t="s">
        <v>324</v>
      </c>
      <c r="H27" s="1155" t="s">
        <v>324</v>
      </c>
      <c r="I27" s="1155" t="s">
        <v>324</v>
      </c>
      <c r="J27" s="1155" t="s">
        <v>324</v>
      </c>
      <c r="K27" s="1155" t="s">
        <v>324</v>
      </c>
      <c r="L27" s="1155" t="s">
        <v>324</v>
      </c>
      <c r="M27" s="1155" t="s">
        <v>324</v>
      </c>
      <c r="N27" s="1156" t="s">
        <v>324</v>
      </c>
      <c r="O27" s="614"/>
      <c r="P27" s="496"/>
      <c r="Q27" s="447"/>
    </row>
    <row r="28" spans="1:17" ht="33" customHeight="1" x14ac:dyDescent="0.3">
      <c r="A28" s="447"/>
      <c r="B28" s="508" t="s">
        <v>325</v>
      </c>
      <c r="C28" s="674" t="s">
        <v>326</v>
      </c>
      <c r="D28" s="596" t="s">
        <v>326</v>
      </c>
      <c r="E28" s="1153" t="s">
        <v>326</v>
      </c>
      <c r="F28" s="1153" t="s">
        <v>326</v>
      </c>
      <c r="G28" s="1153" t="s">
        <v>326</v>
      </c>
      <c r="H28" s="1153" t="s">
        <v>326</v>
      </c>
      <c r="I28" s="1153" t="s">
        <v>326</v>
      </c>
      <c r="J28" s="1153" t="s">
        <v>326</v>
      </c>
      <c r="K28" s="1153" t="s">
        <v>326</v>
      </c>
      <c r="L28" s="1153" t="s">
        <v>326</v>
      </c>
      <c r="M28" s="1153" t="s">
        <v>326</v>
      </c>
      <c r="N28" s="1154" t="s">
        <v>326</v>
      </c>
      <c r="O28" s="614"/>
      <c r="P28" s="496"/>
      <c r="Q28" s="447"/>
    </row>
    <row r="29" spans="1:17" ht="33" customHeight="1" x14ac:dyDescent="0.3">
      <c r="A29" s="447"/>
      <c r="B29" s="506" t="s">
        <v>327</v>
      </c>
      <c r="C29" s="595" t="s">
        <v>402</v>
      </c>
      <c r="D29" s="595" t="s">
        <v>402</v>
      </c>
      <c r="E29" s="507" t="s">
        <v>402</v>
      </c>
      <c r="F29" s="1155" t="s">
        <v>402</v>
      </c>
      <c r="G29" s="1155" t="s">
        <v>402</v>
      </c>
      <c r="H29" s="1155" t="s">
        <v>402</v>
      </c>
      <c r="I29" s="1155" t="s">
        <v>402</v>
      </c>
      <c r="J29" s="1155" t="s">
        <v>402</v>
      </c>
      <c r="K29" s="1155" t="s">
        <v>402</v>
      </c>
      <c r="L29" s="1155" t="s">
        <v>402</v>
      </c>
      <c r="M29" s="1155" t="s">
        <v>402</v>
      </c>
      <c r="N29" s="1156" t="s">
        <v>402</v>
      </c>
      <c r="O29" s="614"/>
      <c r="P29" s="496"/>
      <c r="Q29" s="447"/>
    </row>
    <row r="30" spans="1:17" ht="21" customHeight="1" x14ac:dyDescent="0.3">
      <c r="B30" s="510" t="s">
        <v>329</v>
      </c>
      <c r="C30" s="596">
        <v>4</v>
      </c>
      <c r="D30" s="596">
        <v>4</v>
      </c>
      <c r="E30" s="509">
        <v>4</v>
      </c>
      <c r="F30" s="1153">
        <v>4</v>
      </c>
      <c r="G30" s="1153">
        <v>4</v>
      </c>
      <c r="H30" s="1153">
        <v>4</v>
      </c>
      <c r="I30" s="1153">
        <v>4</v>
      </c>
      <c r="J30" s="1153">
        <v>4</v>
      </c>
      <c r="K30" s="1153">
        <v>4</v>
      </c>
      <c r="L30" s="1153">
        <v>4</v>
      </c>
      <c r="M30" s="1153">
        <v>4</v>
      </c>
      <c r="N30" s="1154">
        <v>4</v>
      </c>
      <c r="O30" s="618"/>
      <c r="P30" s="467"/>
    </row>
    <row r="31" spans="1:17" ht="21" customHeight="1" x14ac:dyDescent="0.3">
      <c r="B31" s="453" t="s">
        <v>330</v>
      </c>
      <c r="C31" s="496" t="s">
        <v>324</v>
      </c>
      <c r="D31" s="595" t="s">
        <v>324</v>
      </c>
      <c r="E31" s="1155" t="s">
        <v>324</v>
      </c>
      <c r="F31" s="1155" t="s">
        <v>324</v>
      </c>
      <c r="G31" s="1155" t="s">
        <v>324</v>
      </c>
      <c r="H31" s="1155" t="s">
        <v>324</v>
      </c>
      <c r="I31" s="1155" t="s">
        <v>324</v>
      </c>
      <c r="J31" s="1155" t="s">
        <v>324</v>
      </c>
      <c r="K31" s="1155" t="s">
        <v>324</v>
      </c>
      <c r="L31" s="1155" t="s">
        <v>324</v>
      </c>
      <c r="M31" s="1155" t="s">
        <v>324</v>
      </c>
      <c r="N31" s="1156" t="s">
        <v>324</v>
      </c>
      <c r="O31" s="618"/>
      <c r="P31" s="495"/>
    </row>
    <row r="32" spans="1:17" ht="21" customHeight="1" x14ac:dyDescent="0.3">
      <c r="B32" s="510" t="s">
        <v>331</v>
      </c>
      <c r="C32" s="674" t="s">
        <v>324</v>
      </c>
      <c r="D32" s="596" t="s">
        <v>324</v>
      </c>
      <c r="E32" s="1153" t="s">
        <v>324</v>
      </c>
      <c r="F32" s="1153" t="s">
        <v>324</v>
      </c>
      <c r="G32" s="1153" t="s">
        <v>324</v>
      </c>
      <c r="H32" s="1153" t="s">
        <v>324</v>
      </c>
      <c r="I32" s="1153" t="s">
        <v>324</v>
      </c>
      <c r="J32" s="1153" t="s">
        <v>324</v>
      </c>
      <c r="K32" s="1153" t="s">
        <v>324</v>
      </c>
      <c r="L32" s="1153" t="s">
        <v>324</v>
      </c>
      <c r="M32" s="1153" t="s">
        <v>324</v>
      </c>
      <c r="N32" s="1154" t="s">
        <v>324</v>
      </c>
      <c r="O32" s="618"/>
      <c r="P32" s="495"/>
    </row>
    <row r="33" spans="2:16" ht="21" customHeight="1" x14ac:dyDescent="0.3">
      <c r="B33" s="462" t="s">
        <v>332</v>
      </c>
      <c r="C33" s="675" t="s">
        <v>333</v>
      </c>
      <c r="D33" s="555" t="s">
        <v>333</v>
      </c>
      <c r="E33" s="1157" t="s">
        <v>333</v>
      </c>
      <c r="F33" s="1157" t="s">
        <v>333</v>
      </c>
      <c r="G33" s="1157" t="s">
        <v>333</v>
      </c>
      <c r="H33" s="1157" t="s">
        <v>333</v>
      </c>
      <c r="I33" s="1157" t="s">
        <v>333</v>
      </c>
      <c r="J33" s="1157" t="s">
        <v>333</v>
      </c>
      <c r="K33" s="1157" t="s">
        <v>333</v>
      </c>
      <c r="L33" s="1157" t="s">
        <v>333</v>
      </c>
      <c r="M33" s="1157" t="s">
        <v>333</v>
      </c>
      <c r="N33" s="1158" t="s">
        <v>333</v>
      </c>
      <c r="O33" s="618"/>
      <c r="P33" s="495"/>
    </row>
    <row r="34" spans="2:16" ht="18" customHeight="1" x14ac:dyDescent="0.3">
      <c r="B34" s="427" t="s">
        <v>611</v>
      </c>
      <c r="D34" s="4166">
        <f>D14/D30</f>
        <v>5000</v>
      </c>
      <c r="E34" s="1159"/>
      <c r="F34" s="1159"/>
      <c r="G34" s="4165">
        <f t="shared" ref="G34" si="4">G14/G30</f>
        <v>1763.4387222369378</v>
      </c>
      <c r="H34" s="4165">
        <f>H14/H30</f>
        <v>1338.1281923984482</v>
      </c>
      <c r="N34" s="1160">
        <f>N14/N30</f>
        <v>160.59547845529517</v>
      </c>
      <c r="O34" s="427"/>
      <c r="P34" s="427"/>
    </row>
    <row r="35" spans="2:16" ht="15.75" customHeight="1" x14ac:dyDescent="0.3">
      <c r="B35" s="427" t="s">
        <v>612</v>
      </c>
      <c r="D35" s="1159">
        <f>4*5000</f>
        <v>20000</v>
      </c>
      <c r="E35" s="1159"/>
      <c r="F35" s="1159"/>
      <c r="G35" s="1159"/>
      <c r="H35" s="1159"/>
      <c r="O35" s="427"/>
      <c r="P35" s="427"/>
    </row>
    <row r="36" spans="2:16" ht="15.75" customHeight="1" x14ac:dyDescent="0.3">
      <c r="B36" s="428" t="s">
        <v>613</v>
      </c>
      <c r="D36" s="1159">
        <v>11514.8897206</v>
      </c>
      <c r="E36" s="1159"/>
      <c r="F36" s="1159"/>
      <c r="G36" s="1159"/>
      <c r="H36" s="1159"/>
      <c r="O36" s="427"/>
      <c r="P36" s="427"/>
    </row>
    <row r="37" spans="2:16" ht="15.75" customHeight="1" x14ac:dyDescent="0.3">
      <c r="D37" s="1159"/>
      <c r="E37" s="1159"/>
      <c r="F37" s="1159"/>
      <c r="G37" s="1159"/>
      <c r="H37" s="1159"/>
      <c r="O37" s="427"/>
      <c r="P37" s="427"/>
    </row>
    <row r="38" spans="2:16" ht="15.75" customHeight="1" x14ac:dyDescent="0.3">
      <c r="D38" s="1159"/>
      <c r="E38" s="1159"/>
      <c r="F38" s="1159"/>
      <c r="G38" s="1159"/>
      <c r="H38" s="1159"/>
      <c r="O38" s="427"/>
      <c r="P38" s="427"/>
    </row>
    <row r="39" spans="2:16" ht="15.75" customHeight="1" x14ac:dyDescent="0.3">
      <c r="O39" s="427"/>
      <c r="P39" s="427"/>
    </row>
    <row r="40" spans="2:16" ht="15.75" customHeight="1" x14ac:dyDescent="0.3">
      <c r="O40" s="427"/>
      <c r="P40" s="427"/>
    </row>
    <row r="41" spans="2:16" ht="15.75" customHeight="1" x14ac:dyDescent="0.3">
      <c r="O41" s="427"/>
      <c r="P41" s="427"/>
    </row>
    <row r="42" spans="2:16" ht="15.75" customHeight="1" x14ac:dyDescent="0.3">
      <c r="O42" s="427"/>
      <c r="P42" s="427"/>
    </row>
    <row r="43" spans="2:16" ht="15.75" customHeight="1" x14ac:dyDescent="0.3">
      <c r="O43" s="427"/>
      <c r="P43" s="427"/>
    </row>
    <row r="44" spans="2:16" ht="15.75" customHeight="1" x14ac:dyDescent="0.3">
      <c r="O44" s="427"/>
    </row>
    <row r="45" spans="2:16" ht="15.75" customHeight="1" x14ac:dyDescent="0.3">
      <c r="O45" s="427"/>
    </row>
    <row r="46" spans="2:16" ht="15.75" customHeight="1" x14ac:dyDescent="0.3">
      <c r="O46" s="427"/>
    </row>
    <row r="47" spans="2:16" ht="15.75" customHeight="1" x14ac:dyDescent="0.3">
      <c r="O47" s="427"/>
    </row>
    <row r="48" spans="2:16" ht="15.75" customHeight="1" x14ac:dyDescent="0.3">
      <c r="O48" s="427"/>
    </row>
    <row r="49" spans="15:15" ht="15.75" customHeight="1" x14ac:dyDescent="0.3">
      <c r="O49" s="427"/>
    </row>
    <row r="50" spans="15:15" ht="15.75" customHeight="1" x14ac:dyDescent="0.3">
      <c r="O50" s="427"/>
    </row>
    <row r="51" spans="15:15" ht="15.75" customHeight="1" x14ac:dyDescent="0.3">
      <c r="O51" s="427"/>
    </row>
    <row r="52" spans="15:15" ht="15.75" customHeight="1" x14ac:dyDescent="0.3">
      <c r="O52" s="427"/>
    </row>
    <row r="53" spans="15:15" ht="15.75" customHeight="1" x14ac:dyDescent="0.3">
      <c r="O53" s="427"/>
    </row>
    <row r="54" spans="15:15" ht="15.75" customHeight="1" x14ac:dyDescent="0.3">
      <c r="O54" s="427"/>
    </row>
    <row r="55" spans="15:15" ht="15.75" customHeight="1" x14ac:dyDescent="0.3">
      <c r="O55" s="427"/>
    </row>
    <row r="56" spans="15:15" ht="15.75" customHeight="1" x14ac:dyDescent="0.3">
      <c r="O56" s="427"/>
    </row>
    <row r="57" spans="15:15" ht="15.75" customHeight="1" x14ac:dyDescent="0.3">
      <c r="O57" s="427"/>
    </row>
    <row r="58" spans="15:15" ht="15.75" customHeight="1" x14ac:dyDescent="0.3">
      <c r="O58" s="427"/>
    </row>
    <row r="59" spans="15:15" ht="15.75" customHeight="1" x14ac:dyDescent="0.3">
      <c r="O59" s="427"/>
    </row>
    <row r="60" spans="15:15" ht="15.75" customHeight="1" x14ac:dyDescent="0.3">
      <c r="O60" s="427"/>
    </row>
    <row r="61" spans="15:15" ht="15.75" customHeight="1" x14ac:dyDescent="0.3">
      <c r="O61" s="427"/>
    </row>
    <row r="62" spans="15:15" ht="15.75" customHeight="1" x14ac:dyDescent="0.3">
      <c r="O62" s="427"/>
    </row>
    <row r="63" spans="15:15" ht="15.75" customHeight="1" x14ac:dyDescent="0.3">
      <c r="O63" s="427"/>
    </row>
    <row r="64" spans="15:15" ht="15.75" customHeight="1" x14ac:dyDescent="0.3">
      <c r="O64" s="427"/>
    </row>
    <row r="65" spans="15:15" ht="15.75" customHeight="1" x14ac:dyDescent="0.3">
      <c r="O65" s="427"/>
    </row>
    <row r="66" spans="15:15" ht="15.75" customHeight="1" x14ac:dyDescent="0.3">
      <c r="O66" s="427"/>
    </row>
    <row r="67" spans="15:15" ht="15.75" customHeight="1" x14ac:dyDescent="0.3">
      <c r="O67" s="427"/>
    </row>
    <row r="68" spans="15:15" ht="15.75" customHeight="1" x14ac:dyDescent="0.3">
      <c r="O68" s="427"/>
    </row>
    <row r="69" spans="15:15" ht="15.75" customHeight="1" x14ac:dyDescent="0.3">
      <c r="O69" s="427"/>
    </row>
    <row r="70" spans="15:15" ht="15.75" customHeight="1" x14ac:dyDescent="0.3">
      <c r="O70" s="427"/>
    </row>
    <row r="71" spans="15:15" ht="15.75" customHeight="1" x14ac:dyDescent="0.3">
      <c r="O71" s="427"/>
    </row>
    <row r="72" spans="15:15" ht="15.75" customHeight="1" x14ac:dyDescent="0.3">
      <c r="O72" s="427"/>
    </row>
    <row r="73" spans="15:15" ht="15.75" customHeight="1" x14ac:dyDescent="0.3">
      <c r="O73" s="427"/>
    </row>
    <row r="74" spans="15:15" ht="15.75" customHeight="1" x14ac:dyDescent="0.3">
      <c r="O74" s="427"/>
    </row>
    <row r="75" spans="15:15" ht="15.75" customHeight="1" x14ac:dyDescent="0.3">
      <c r="O75" s="427"/>
    </row>
    <row r="76" spans="15:15" ht="15.75" customHeight="1" x14ac:dyDescent="0.3">
      <c r="O76" s="427"/>
    </row>
    <row r="77" spans="15:15" ht="15.75" customHeight="1" x14ac:dyDescent="0.3">
      <c r="O77" s="427"/>
    </row>
    <row r="78" spans="15:15" ht="15.75" customHeight="1" x14ac:dyDescent="0.3">
      <c r="O78" s="427"/>
    </row>
    <row r="79" spans="15:15" ht="15.75" customHeight="1" x14ac:dyDescent="0.3">
      <c r="O79" s="427"/>
    </row>
    <row r="80" spans="15:15" ht="15.75" customHeight="1" x14ac:dyDescent="0.3">
      <c r="O80" s="427"/>
    </row>
    <row r="81" spans="15:15" ht="15.75" customHeight="1" x14ac:dyDescent="0.3">
      <c r="O81" s="427"/>
    </row>
    <row r="82" spans="15:15" ht="15.75" customHeight="1" x14ac:dyDescent="0.3">
      <c r="O82" s="427"/>
    </row>
    <row r="83" spans="15:15" ht="15.75" customHeight="1" x14ac:dyDescent="0.3">
      <c r="O83" s="427"/>
    </row>
    <row r="84" spans="15:15" ht="15.75" customHeight="1" x14ac:dyDescent="0.3">
      <c r="O84" s="427"/>
    </row>
    <row r="85" spans="15:15" ht="15.75" customHeight="1" x14ac:dyDescent="0.3">
      <c r="O85" s="427"/>
    </row>
    <row r="86" spans="15:15" ht="15.75" customHeight="1" x14ac:dyDescent="0.3">
      <c r="O86" s="427"/>
    </row>
    <row r="87" spans="15:15" ht="15.75" customHeight="1" x14ac:dyDescent="0.3">
      <c r="O87" s="427"/>
    </row>
    <row r="88" spans="15:15" ht="15.75" customHeight="1" x14ac:dyDescent="0.3">
      <c r="O88" s="427"/>
    </row>
    <row r="89" spans="15:15" ht="15.75" customHeight="1" x14ac:dyDescent="0.3">
      <c r="O89" s="427"/>
    </row>
    <row r="90" spans="15:15" ht="15.75" customHeight="1" x14ac:dyDescent="0.3">
      <c r="O90" s="427"/>
    </row>
    <row r="91" spans="15:15" ht="15.75" customHeight="1" x14ac:dyDescent="0.3">
      <c r="O91" s="427"/>
    </row>
    <row r="92" spans="15:15" ht="15.75" customHeight="1" x14ac:dyDescent="0.3">
      <c r="O92" s="427"/>
    </row>
    <row r="93" spans="15:15" ht="15.75" customHeight="1" x14ac:dyDescent="0.3">
      <c r="O93" s="427"/>
    </row>
    <row r="94" spans="15:15" ht="15.75" customHeight="1" x14ac:dyDescent="0.3">
      <c r="O94" s="427"/>
    </row>
    <row r="95" spans="15:15" ht="15.75" customHeight="1" x14ac:dyDescent="0.3">
      <c r="O95" s="427"/>
    </row>
    <row r="96" spans="15:15" ht="15.75" customHeight="1" x14ac:dyDescent="0.3">
      <c r="O96" s="427"/>
    </row>
    <row r="97" spans="15:15" ht="15.75" customHeight="1" x14ac:dyDescent="0.3">
      <c r="O97" s="427"/>
    </row>
    <row r="98" spans="15:15" ht="15.75" customHeight="1" x14ac:dyDescent="0.3">
      <c r="O98" s="427"/>
    </row>
    <row r="99" spans="15:15" ht="15.75" customHeight="1" x14ac:dyDescent="0.3">
      <c r="O99" s="427"/>
    </row>
    <row r="100" spans="15:15" ht="15.75" customHeight="1" x14ac:dyDescent="0.3">
      <c r="O100" s="427"/>
    </row>
    <row r="101" spans="15:15" ht="15.75" customHeight="1" x14ac:dyDescent="0.3">
      <c r="O101" s="427"/>
    </row>
    <row r="102" spans="15:15" ht="15.75" customHeight="1" x14ac:dyDescent="0.3">
      <c r="O102" s="427"/>
    </row>
    <row r="103" spans="15:15" ht="15.75" customHeight="1" x14ac:dyDescent="0.3">
      <c r="O103" s="427"/>
    </row>
    <row r="104" spans="15:15" ht="15.75" customHeight="1" x14ac:dyDescent="0.3">
      <c r="O104" s="427"/>
    </row>
    <row r="105" spans="15:15" ht="15.75" customHeight="1" x14ac:dyDescent="0.3">
      <c r="O105" s="427"/>
    </row>
    <row r="106" spans="15:15" ht="15.75" customHeight="1" x14ac:dyDescent="0.3">
      <c r="O106" s="427"/>
    </row>
    <row r="107" spans="15:15" ht="15.75" customHeight="1" x14ac:dyDescent="0.3">
      <c r="O107" s="427"/>
    </row>
    <row r="108" spans="15:15" ht="15.75" customHeight="1" x14ac:dyDescent="0.3">
      <c r="O108" s="427"/>
    </row>
    <row r="109" spans="15:15" ht="15.75" customHeight="1" x14ac:dyDescent="0.3">
      <c r="O109" s="427"/>
    </row>
    <row r="110" spans="15:15" ht="15.75" customHeight="1" x14ac:dyDescent="0.3">
      <c r="O110" s="427"/>
    </row>
    <row r="111" spans="15:15" ht="15.75" customHeight="1" x14ac:dyDescent="0.3">
      <c r="O111" s="427"/>
    </row>
    <row r="112" spans="15:15" ht="15.75" customHeight="1" x14ac:dyDescent="0.3">
      <c r="O112" s="427"/>
    </row>
    <row r="113" spans="15:15" ht="15.75" customHeight="1" x14ac:dyDescent="0.3">
      <c r="O113" s="427"/>
    </row>
    <row r="114" spans="15:15" ht="15.75" customHeight="1" x14ac:dyDescent="0.3">
      <c r="O114" s="427"/>
    </row>
    <row r="115" spans="15:15" ht="15.75" customHeight="1" x14ac:dyDescent="0.3">
      <c r="O115" s="427"/>
    </row>
    <row r="116" spans="15:15" ht="15.75" customHeight="1" x14ac:dyDescent="0.3">
      <c r="O116" s="427"/>
    </row>
    <row r="117" spans="15:15" ht="15.75" customHeight="1" x14ac:dyDescent="0.3">
      <c r="O117" s="427"/>
    </row>
    <row r="118" spans="15:15" ht="15.75" customHeight="1" x14ac:dyDescent="0.3">
      <c r="O118" s="427"/>
    </row>
    <row r="119" spans="15:15" ht="15.75" customHeight="1" x14ac:dyDescent="0.3">
      <c r="O119" s="427"/>
    </row>
    <row r="120" spans="15:15" ht="15.75" customHeight="1" x14ac:dyDescent="0.3">
      <c r="O120" s="427"/>
    </row>
    <row r="121" spans="15:15" ht="15.75" customHeight="1" x14ac:dyDescent="0.3">
      <c r="O121" s="427"/>
    </row>
    <row r="122" spans="15:15" ht="15.75" customHeight="1" x14ac:dyDescent="0.3">
      <c r="O122" s="427"/>
    </row>
    <row r="123" spans="15:15" ht="15.75" customHeight="1" x14ac:dyDescent="0.3">
      <c r="O123" s="427"/>
    </row>
    <row r="124" spans="15:15" ht="15.75" customHeight="1" x14ac:dyDescent="0.3">
      <c r="O124" s="427"/>
    </row>
    <row r="125" spans="15:15" ht="15.75" customHeight="1" x14ac:dyDescent="0.3">
      <c r="O125" s="427"/>
    </row>
    <row r="126" spans="15:15" ht="15.75" customHeight="1" x14ac:dyDescent="0.3">
      <c r="O126" s="427"/>
    </row>
    <row r="127" spans="15:15" ht="15.75" customHeight="1" x14ac:dyDescent="0.3">
      <c r="O127" s="427"/>
    </row>
    <row r="128" spans="15:15" ht="15.75" customHeight="1" x14ac:dyDescent="0.3">
      <c r="O128" s="427"/>
    </row>
    <row r="129" spans="15:15" ht="15.75" customHeight="1" x14ac:dyDescent="0.3">
      <c r="O129" s="427"/>
    </row>
    <row r="130" spans="15:15" ht="15.75" customHeight="1" x14ac:dyDescent="0.3">
      <c r="O130" s="427"/>
    </row>
    <row r="131" spans="15:15" ht="15.75" customHeight="1" x14ac:dyDescent="0.3">
      <c r="O131" s="427"/>
    </row>
    <row r="132" spans="15:15" ht="15.75" customHeight="1" x14ac:dyDescent="0.3">
      <c r="O132" s="427"/>
    </row>
    <row r="133" spans="15:15" ht="15.75" customHeight="1" x14ac:dyDescent="0.3">
      <c r="O133" s="427"/>
    </row>
    <row r="134" spans="15:15" ht="15.75" customHeight="1" x14ac:dyDescent="0.3">
      <c r="O134" s="427"/>
    </row>
    <row r="135" spans="15:15" ht="15.75" customHeight="1" x14ac:dyDescent="0.3">
      <c r="O135" s="427"/>
    </row>
    <row r="136" spans="15:15" ht="15.75" customHeight="1" x14ac:dyDescent="0.3">
      <c r="O136" s="427"/>
    </row>
    <row r="137" spans="15:15" ht="15.75" customHeight="1" x14ac:dyDescent="0.3">
      <c r="O137" s="427"/>
    </row>
    <row r="138" spans="15:15" ht="15.75" customHeight="1" x14ac:dyDescent="0.3">
      <c r="O138" s="427"/>
    </row>
    <row r="139" spans="15:15" ht="15.75" customHeight="1" x14ac:dyDescent="0.3">
      <c r="O139" s="427"/>
    </row>
    <row r="140" spans="15:15" ht="15.75" customHeight="1" x14ac:dyDescent="0.3">
      <c r="O140" s="427"/>
    </row>
    <row r="141" spans="15:15" ht="15.75" customHeight="1" x14ac:dyDescent="0.3">
      <c r="O141" s="427"/>
    </row>
    <row r="142" spans="15:15" ht="15.75" customHeight="1" x14ac:dyDescent="0.3">
      <c r="O142" s="427"/>
    </row>
    <row r="143" spans="15:15" ht="15.75" customHeight="1" x14ac:dyDescent="0.3">
      <c r="O143" s="427"/>
    </row>
    <row r="144" spans="15:15" ht="15.75" customHeight="1" x14ac:dyDescent="0.3">
      <c r="O144" s="427"/>
    </row>
    <row r="145" spans="15:15" ht="15.75" customHeight="1" x14ac:dyDescent="0.3">
      <c r="O145" s="427"/>
    </row>
    <row r="146" spans="15:15" ht="15.75" customHeight="1" x14ac:dyDescent="0.3">
      <c r="O146" s="427"/>
    </row>
    <row r="147" spans="15:15" ht="15.75" customHeight="1" x14ac:dyDescent="0.3">
      <c r="O147" s="427"/>
    </row>
    <row r="148" spans="15:15" ht="15.75" customHeight="1" x14ac:dyDescent="0.3">
      <c r="O148" s="427"/>
    </row>
    <row r="149" spans="15:15" ht="15.75" customHeight="1" x14ac:dyDescent="0.3">
      <c r="O149" s="427"/>
    </row>
    <row r="150" spans="15:15" ht="15.75" customHeight="1" x14ac:dyDescent="0.3">
      <c r="O150" s="427"/>
    </row>
    <row r="151" spans="15:15" ht="15.75" customHeight="1" x14ac:dyDescent="0.3">
      <c r="O151" s="427"/>
    </row>
    <row r="152" spans="15:15" ht="15.75" customHeight="1" x14ac:dyDescent="0.3">
      <c r="O152" s="427"/>
    </row>
    <row r="153" spans="15:15" ht="15.75" customHeight="1" x14ac:dyDescent="0.3">
      <c r="O153" s="427"/>
    </row>
    <row r="154" spans="15:15" ht="15.75" customHeight="1" x14ac:dyDescent="0.3">
      <c r="O154" s="427"/>
    </row>
    <row r="155" spans="15:15" ht="15.75" customHeight="1" x14ac:dyDescent="0.3">
      <c r="O155" s="427"/>
    </row>
    <row r="156" spans="15:15" ht="15.75" customHeight="1" x14ac:dyDescent="0.3">
      <c r="O156" s="427"/>
    </row>
    <row r="157" spans="15:15" ht="15.75" customHeight="1" x14ac:dyDescent="0.3">
      <c r="O157" s="427"/>
    </row>
    <row r="158" spans="15:15" ht="15.75" customHeight="1" x14ac:dyDescent="0.3">
      <c r="O158" s="427"/>
    </row>
    <row r="159" spans="15:15" ht="15.75" customHeight="1" x14ac:dyDescent="0.3">
      <c r="O159" s="427"/>
    </row>
    <row r="160" spans="15:15" ht="15.75" customHeight="1" x14ac:dyDescent="0.3">
      <c r="O160" s="427"/>
    </row>
    <row r="161" spans="15:15" ht="15.75" customHeight="1" x14ac:dyDescent="0.3">
      <c r="O161" s="427"/>
    </row>
    <row r="162" spans="15:15" ht="15.75" customHeight="1" x14ac:dyDescent="0.3">
      <c r="O162" s="427"/>
    </row>
    <row r="163" spans="15:15" ht="15.75" customHeight="1" x14ac:dyDescent="0.3">
      <c r="O163" s="427"/>
    </row>
    <row r="164" spans="15:15" ht="15.75" customHeight="1" x14ac:dyDescent="0.3">
      <c r="O164" s="427"/>
    </row>
    <row r="165" spans="15:15" ht="15.75" customHeight="1" x14ac:dyDescent="0.3">
      <c r="O165" s="427"/>
    </row>
    <row r="166" spans="15:15" ht="15.75" customHeight="1" x14ac:dyDescent="0.3">
      <c r="O166" s="427"/>
    </row>
    <row r="167" spans="15:15" ht="15.75" customHeight="1" x14ac:dyDescent="0.3">
      <c r="O167" s="427"/>
    </row>
    <row r="168" spans="15:15" ht="15.75" customHeight="1" x14ac:dyDescent="0.3">
      <c r="O168" s="427"/>
    </row>
    <row r="169" spans="15:15" ht="15.75" customHeight="1" x14ac:dyDescent="0.3">
      <c r="O169" s="427"/>
    </row>
    <row r="170" spans="15:15" ht="15.75" customHeight="1" x14ac:dyDescent="0.3">
      <c r="O170" s="427"/>
    </row>
    <row r="171" spans="15:15" ht="15.75" customHeight="1" x14ac:dyDescent="0.3">
      <c r="O171" s="427"/>
    </row>
    <row r="172" spans="15:15" ht="15.75" customHeight="1" x14ac:dyDescent="0.3">
      <c r="O172" s="427"/>
    </row>
    <row r="173" spans="15:15" ht="15.75" customHeight="1" x14ac:dyDescent="0.3">
      <c r="O173" s="427"/>
    </row>
    <row r="174" spans="15:15" ht="15.75" customHeight="1" x14ac:dyDescent="0.3">
      <c r="O174" s="427"/>
    </row>
    <row r="175" spans="15:15" ht="15.75" customHeight="1" x14ac:dyDescent="0.3">
      <c r="O175" s="427"/>
    </row>
    <row r="176" spans="15:15" ht="15.75" customHeight="1" x14ac:dyDescent="0.3">
      <c r="O176" s="427"/>
    </row>
    <row r="177" spans="15:15" ht="15.75" customHeight="1" x14ac:dyDescent="0.3">
      <c r="O177" s="427"/>
    </row>
    <row r="178" spans="15:15" ht="15.75" customHeight="1" x14ac:dyDescent="0.3">
      <c r="O178" s="427"/>
    </row>
    <row r="179" spans="15:15" ht="15.75" customHeight="1" x14ac:dyDescent="0.3">
      <c r="O179" s="427"/>
    </row>
    <row r="180" spans="15:15" ht="15.75" customHeight="1" x14ac:dyDescent="0.3">
      <c r="O180" s="427"/>
    </row>
    <row r="181" spans="15:15" ht="15.75" customHeight="1" x14ac:dyDescent="0.3">
      <c r="O181" s="427"/>
    </row>
    <row r="182" spans="15:15" ht="15.75" customHeight="1" x14ac:dyDescent="0.3">
      <c r="O182" s="427"/>
    </row>
    <row r="183" spans="15:15" ht="15.75" customHeight="1" x14ac:dyDescent="0.3">
      <c r="O183" s="427"/>
    </row>
    <row r="184" spans="15:15" ht="15.75" customHeight="1" x14ac:dyDescent="0.3">
      <c r="O184" s="427"/>
    </row>
    <row r="185" spans="15:15" ht="15.75" customHeight="1" x14ac:dyDescent="0.3">
      <c r="O185" s="427"/>
    </row>
    <row r="186" spans="15:15" ht="15.75" customHeight="1" x14ac:dyDescent="0.3">
      <c r="O186" s="427"/>
    </row>
    <row r="187" spans="15:15" ht="15.75" customHeight="1" x14ac:dyDescent="0.3">
      <c r="O187" s="427"/>
    </row>
    <row r="188" spans="15:15" ht="15.75" customHeight="1" x14ac:dyDescent="0.3">
      <c r="O188" s="427"/>
    </row>
    <row r="189" spans="15:15" ht="15.75" customHeight="1" x14ac:dyDescent="0.3">
      <c r="O189" s="427"/>
    </row>
    <row r="190" spans="15:15" ht="15.75" customHeight="1" x14ac:dyDescent="0.3">
      <c r="O190" s="427"/>
    </row>
    <row r="191" spans="15:15" ht="15.75" customHeight="1" x14ac:dyDescent="0.3">
      <c r="O191" s="427"/>
    </row>
    <row r="192" spans="15:15" ht="15.75" customHeight="1" x14ac:dyDescent="0.3">
      <c r="O192" s="427"/>
    </row>
    <row r="193" spans="15:15" ht="15.75" customHeight="1" x14ac:dyDescent="0.3">
      <c r="O193" s="427"/>
    </row>
    <row r="194" spans="15:15" ht="15.75" customHeight="1" x14ac:dyDescent="0.3">
      <c r="O194" s="427"/>
    </row>
    <row r="195" spans="15:15" ht="15.75" customHeight="1" x14ac:dyDescent="0.3">
      <c r="O195" s="427"/>
    </row>
    <row r="196" spans="15:15" ht="15.75" customHeight="1" x14ac:dyDescent="0.3">
      <c r="O196" s="427"/>
    </row>
    <row r="197" spans="15:15" ht="15.75" customHeight="1" x14ac:dyDescent="0.3">
      <c r="O197" s="427"/>
    </row>
    <row r="198" spans="15:15" ht="15.75" customHeight="1" x14ac:dyDescent="0.3">
      <c r="O198" s="427"/>
    </row>
    <row r="199" spans="15:15" ht="15.75" customHeight="1" x14ac:dyDescent="0.3">
      <c r="O199" s="427"/>
    </row>
    <row r="200" spans="15:15" ht="15.75" customHeight="1" x14ac:dyDescent="0.3">
      <c r="O200" s="427"/>
    </row>
    <row r="201" spans="15:15" ht="15.75" customHeight="1" x14ac:dyDescent="0.3">
      <c r="O201" s="427"/>
    </row>
    <row r="202" spans="15:15" ht="15.75" customHeight="1" x14ac:dyDescent="0.3">
      <c r="O202" s="427"/>
    </row>
    <row r="203" spans="15:15" ht="15.75" customHeight="1" x14ac:dyDescent="0.3">
      <c r="O203" s="427"/>
    </row>
    <row r="204" spans="15:15" ht="15.75" customHeight="1" x14ac:dyDescent="0.3">
      <c r="O204" s="427"/>
    </row>
    <row r="205" spans="15:15" ht="15.75" customHeight="1" x14ac:dyDescent="0.3">
      <c r="O205" s="427"/>
    </row>
    <row r="206" spans="15:15" ht="15.75" customHeight="1" x14ac:dyDescent="0.3">
      <c r="O206" s="427"/>
    </row>
    <row r="207" spans="15:15" ht="15.75" customHeight="1" x14ac:dyDescent="0.3">
      <c r="O207" s="427"/>
    </row>
    <row r="208" spans="15:15" ht="15.75" customHeight="1" x14ac:dyDescent="0.3">
      <c r="O208" s="427"/>
    </row>
    <row r="209" spans="15:15" ht="15.75" customHeight="1" x14ac:dyDescent="0.3">
      <c r="O209" s="427"/>
    </row>
    <row r="210" spans="15:15" ht="15.75" customHeight="1" x14ac:dyDescent="0.3">
      <c r="O210" s="427"/>
    </row>
    <row r="211" spans="15:15" ht="15.75" customHeight="1" x14ac:dyDescent="0.3">
      <c r="O211" s="427"/>
    </row>
    <row r="212" spans="15:15" ht="15.75" customHeight="1" x14ac:dyDescent="0.3">
      <c r="O212" s="427"/>
    </row>
    <row r="213" spans="15:15" ht="15.75" customHeight="1" x14ac:dyDescent="0.3">
      <c r="O213" s="427"/>
    </row>
    <row r="214" spans="15:15" ht="15.75" customHeight="1" x14ac:dyDescent="0.3">
      <c r="O214" s="427"/>
    </row>
    <row r="215" spans="15:15" ht="15.75" customHeight="1" x14ac:dyDescent="0.3">
      <c r="O215" s="427"/>
    </row>
    <row r="216" spans="15:15" ht="15.75" customHeight="1" x14ac:dyDescent="0.3">
      <c r="O216" s="427"/>
    </row>
    <row r="217" spans="15:15" ht="15.75" customHeight="1" x14ac:dyDescent="0.3">
      <c r="O217" s="427"/>
    </row>
    <row r="218" spans="15:15" ht="15.75" customHeight="1" x14ac:dyDescent="0.3">
      <c r="O218" s="427"/>
    </row>
    <row r="219" spans="15:15" ht="15.75" customHeight="1" x14ac:dyDescent="0.3">
      <c r="O219" s="427"/>
    </row>
    <row r="220" spans="15:15" ht="15.75" customHeight="1" x14ac:dyDescent="0.3">
      <c r="O220" s="427"/>
    </row>
    <row r="221" spans="15:15" ht="15.75" customHeight="1" x14ac:dyDescent="0.3">
      <c r="O221" s="427"/>
    </row>
    <row r="222" spans="15:15" ht="15.75" customHeight="1" x14ac:dyDescent="0.3">
      <c r="O222" s="427"/>
    </row>
    <row r="223" spans="15:15" ht="15.75" customHeight="1" x14ac:dyDescent="0.3">
      <c r="O223" s="427"/>
    </row>
    <row r="224" spans="15:15" ht="15.75" customHeight="1" x14ac:dyDescent="0.3">
      <c r="O224" s="427"/>
    </row>
    <row r="225" spans="15:15" ht="15.75" customHeight="1" x14ac:dyDescent="0.3">
      <c r="O225" s="427"/>
    </row>
    <row r="226" spans="15:15" ht="15.75" customHeight="1" x14ac:dyDescent="0.3">
      <c r="O226" s="427"/>
    </row>
    <row r="227" spans="15:15" ht="15.75" customHeight="1" x14ac:dyDescent="0.3">
      <c r="O227" s="427"/>
    </row>
    <row r="228" spans="15:15" ht="15.75" customHeight="1" x14ac:dyDescent="0.3">
      <c r="O228" s="427"/>
    </row>
    <row r="229" spans="15:15" ht="15.75" customHeight="1" x14ac:dyDescent="0.3">
      <c r="O229" s="427"/>
    </row>
    <row r="230" spans="15:15" ht="15.75" customHeight="1" x14ac:dyDescent="0.3">
      <c r="O230" s="427"/>
    </row>
    <row r="231" spans="15:15" ht="15.75" customHeight="1" x14ac:dyDescent="0.3">
      <c r="O231" s="427"/>
    </row>
    <row r="232" spans="15:15" ht="15.75" customHeight="1" x14ac:dyDescent="0.3">
      <c r="O232" s="427"/>
    </row>
    <row r="233" spans="15:15" ht="15.75" customHeight="1" x14ac:dyDescent="0.3">
      <c r="O233" s="427"/>
    </row>
    <row r="234" spans="15:15" ht="15.75" customHeight="1" x14ac:dyDescent="0.3">
      <c r="O234" s="427"/>
    </row>
    <row r="235" spans="15:15" ht="15.75" customHeight="1" x14ac:dyDescent="0.3">
      <c r="O235" s="427"/>
    </row>
    <row r="236" spans="15:15" ht="15.75" customHeight="1" x14ac:dyDescent="0.3">
      <c r="O236" s="427"/>
    </row>
    <row r="237" spans="15:15" ht="15.75" customHeight="1" x14ac:dyDescent="0.3">
      <c r="O237" s="427"/>
    </row>
    <row r="238" spans="15:15" ht="15.75" customHeight="1" x14ac:dyDescent="0.3">
      <c r="O238" s="427"/>
    </row>
    <row r="239" spans="15:15" ht="15.75" customHeight="1" x14ac:dyDescent="0.3">
      <c r="O239" s="427"/>
    </row>
    <row r="240" spans="15:15" ht="15.75" customHeight="1" x14ac:dyDescent="0.3">
      <c r="O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C7:N7"/>
  </mergeCells>
  <phoneticPr fontId="94" type="noConversion"/>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2C767-EE3A-4ED5-8EDA-8FDDDD93CEF5}">
  <dimension ref="A1:Y896"/>
  <sheetViews>
    <sheetView topLeftCell="A4" zoomScale="90" zoomScaleNormal="90" workbookViewId="0">
      <selection activeCell="AA11" sqref="AA11"/>
    </sheetView>
  </sheetViews>
  <sheetFormatPr defaultColWidth="12.44140625" defaultRowHeight="15" customHeight="1" x14ac:dyDescent="0.3"/>
  <cols>
    <col min="1" max="1" width="2.6640625" style="428" customWidth="1"/>
    <col min="2" max="2" width="5.109375" style="428" customWidth="1"/>
    <col min="3" max="3" width="30.44140625" style="428" customWidth="1"/>
    <col min="4" max="4" width="29.6640625" style="428" customWidth="1"/>
    <col min="5" max="5" width="10.33203125" style="428" customWidth="1"/>
    <col min="6" max="6" width="34.6640625" style="428" customWidth="1"/>
    <col min="7" max="8" width="12.77734375" style="428" customWidth="1"/>
    <col min="9" max="11" width="12.77734375" style="428" hidden="1" customWidth="1"/>
    <col min="12" max="24" width="11.5546875" style="428" hidden="1" customWidth="1"/>
    <col min="25" max="25" width="11.5546875" style="428" customWidth="1"/>
    <col min="26" max="29" width="11.6640625" style="428" customWidth="1"/>
    <col min="30" max="16384" width="12.44140625" style="428"/>
  </cols>
  <sheetData>
    <row r="1" spans="1:25" ht="23.25" customHeight="1" x14ac:dyDescent="0.35">
      <c r="A1" s="513"/>
      <c r="B1" s="514" t="s">
        <v>2333</v>
      </c>
    </row>
    <row r="2" spans="1:25"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row>
    <row r="3" spans="1:25" ht="15.75" customHeight="1" x14ac:dyDescent="0.3">
      <c r="B3" s="516"/>
    </row>
    <row r="4" spans="1:25" ht="15.75" customHeight="1" x14ac:dyDescent="0.3"/>
    <row r="5" spans="1:25" ht="15.75" customHeight="1" x14ac:dyDescent="0.3"/>
    <row r="6" spans="1:25" ht="21" customHeight="1" x14ac:dyDescent="0.3">
      <c r="B6" s="519" t="s">
        <v>409</v>
      </c>
    </row>
    <row r="7" spans="1:25" ht="9" customHeight="1" x14ac:dyDescent="0.3">
      <c r="B7" s="519"/>
    </row>
    <row r="8" spans="1:25" ht="21" customHeight="1" x14ac:dyDescent="0.3">
      <c r="B8" s="517" t="s">
        <v>410</v>
      </c>
      <c r="C8" s="518"/>
      <c r="D8" s="518"/>
    </row>
    <row r="9" spans="1:25" ht="12" customHeight="1" x14ac:dyDescent="0.3"/>
    <row r="10" spans="1:25" ht="15.75" customHeight="1" x14ac:dyDescent="0.3">
      <c r="B10" s="521" t="s">
        <v>301</v>
      </c>
      <c r="C10" s="522" t="s">
        <v>343</v>
      </c>
      <c r="D10" s="523" t="s">
        <v>344</v>
      </c>
      <c r="E10" s="523" t="s">
        <v>345</v>
      </c>
      <c r="F10" s="523" t="s">
        <v>346</v>
      </c>
      <c r="G10" s="524" t="s">
        <v>347</v>
      </c>
      <c r="H10" s="525">
        <v>2024</v>
      </c>
      <c r="I10" s="525">
        <v>2023</v>
      </c>
      <c r="J10" s="525">
        <v>2022</v>
      </c>
      <c r="K10" s="525">
        <v>2021</v>
      </c>
      <c r="L10" s="525">
        <v>2020</v>
      </c>
      <c r="M10" s="525">
        <v>2019</v>
      </c>
      <c r="N10" s="526">
        <v>2018</v>
      </c>
      <c r="O10" s="526">
        <v>2017</v>
      </c>
      <c r="P10" s="526">
        <v>2016</v>
      </c>
      <c r="Q10" s="526">
        <v>2015</v>
      </c>
      <c r="R10" s="526">
        <v>2014</v>
      </c>
      <c r="S10" s="526">
        <v>2013</v>
      </c>
      <c r="T10" s="526">
        <v>2012</v>
      </c>
      <c r="U10" s="526">
        <v>2011</v>
      </c>
      <c r="V10" s="526">
        <v>2010</v>
      </c>
      <c r="W10" s="526">
        <v>2009</v>
      </c>
      <c r="X10" s="526">
        <v>2008</v>
      </c>
      <c r="Y10" s="527" t="s">
        <v>332</v>
      </c>
    </row>
    <row r="11" spans="1:25" ht="24" customHeight="1" x14ac:dyDescent="0.3">
      <c r="B11" s="529">
        <v>1</v>
      </c>
      <c r="C11" s="530" t="s">
        <v>348</v>
      </c>
      <c r="D11" s="531" t="s">
        <v>614</v>
      </c>
      <c r="E11" s="1161" t="s">
        <v>363</v>
      </c>
      <c r="F11" s="531" t="s">
        <v>615</v>
      </c>
      <c r="G11" s="534">
        <v>2007</v>
      </c>
      <c r="H11" s="4173">
        <v>0</v>
      </c>
      <c r="I11" s="636">
        <v>0</v>
      </c>
      <c r="J11" s="597">
        <v>0</v>
      </c>
      <c r="K11" s="597">
        <v>2160.94</v>
      </c>
      <c r="L11" s="597">
        <v>16353.15</v>
      </c>
      <c r="M11" s="597">
        <v>14231.26</v>
      </c>
      <c r="N11" s="597">
        <v>11757.69</v>
      </c>
      <c r="O11" s="597">
        <v>8914.17</v>
      </c>
      <c r="P11" s="597">
        <v>9635.52</v>
      </c>
      <c r="Q11" s="535"/>
      <c r="R11" s="535"/>
      <c r="S11" s="535"/>
      <c r="T11" s="542"/>
      <c r="U11" s="535"/>
      <c r="V11" s="542"/>
      <c r="W11" s="535"/>
      <c r="X11" s="542"/>
      <c r="Y11" s="535"/>
    </row>
    <row r="12" spans="1:25" ht="24" customHeight="1" x14ac:dyDescent="0.3">
      <c r="B12" s="529">
        <v>2</v>
      </c>
      <c r="C12" s="453" t="s">
        <v>348</v>
      </c>
      <c r="D12" s="453" t="s">
        <v>614</v>
      </c>
      <c r="E12" s="543" t="s">
        <v>363</v>
      </c>
      <c r="F12" s="453" t="s">
        <v>616</v>
      </c>
      <c r="G12" s="1162">
        <v>2007</v>
      </c>
      <c r="H12" s="638">
        <v>15115.49</v>
      </c>
      <c r="I12" s="1163">
        <v>15914.44</v>
      </c>
      <c r="J12" s="1164" t="s">
        <v>617</v>
      </c>
      <c r="K12" s="1164">
        <v>20330.5</v>
      </c>
      <c r="L12" s="1164">
        <v>10029.030000000001</v>
      </c>
      <c r="M12" s="1164">
        <v>10133.5</v>
      </c>
      <c r="N12" s="1164">
        <v>11740.98</v>
      </c>
      <c r="O12" s="1164">
        <v>9208.1200000000008</v>
      </c>
      <c r="P12" s="1164">
        <v>7763.53</v>
      </c>
      <c r="Q12" s="638"/>
      <c r="R12" s="638"/>
      <c r="S12" s="638"/>
      <c r="T12" s="559"/>
      <c r="U12" s="638"/>
      <c r="V12" s="559"/>
      <c r="W12" s="638"/>
      <c r="X12" s="559"/>
      <c r="Y12" s="638"/>
    </row>
    <row r="13" spans="1:25" ht="24" customHeight="1" x14ac:dyDescent="0.3">
      <c r="B13" s="529"/>
      <c r="C13" s="453"/>
      <c r="D13" s="453"/>
      <c r="E13" s="543" t="s">
        <v>618</v>
      </c>
      <c r="F13" s="453"/>
      <c r="G13" s="1162"/>
      <c r="H13" s="638">
        <v>31514.8897206</v>
      </c>
      <c r="I13" s="1163"/>
      <c r="J13" s="1164"/>
      <c r="K13" s="1164"/>
      <c r="L13" s="1164"/>
      <c r="M13" s="1164"/>
      <c r="N13" s="1164"/>
      <c r="O13" s="1164"/>
      <c r="P13" s="1164"/>
      <c r="Q13" s="638"/>
      <c r="R13" s="638"/>
      <c r="S13" s="638"/>
      <c r="T13" s="559"/>
      <c r="U13" s="638"/>
      <c r="V13" s="559"/>
      <c r="W13" s="638"/>
      <c r="X13" s="559"/>
      <c r="Y13" s="638"/>
    </row>
    <row r="14" spans="1:25" ht="24" customHeight="1" x14ac:dyDescent="0.3">
      <c r="B14" s="529"/>
      <c r="C14" s="453"/>
      <c r="D14" s="453"/>
      <c r="E14" s="543" t="s">
        <v>363</v>
      </c>
      <c r="F14" s="453" t="s">
        <v>619</v>
      </c>
      <c r="G14" s="1162"/>
      <c r="H14" s="1165">
        <f>20000*H12/H13</f>
        <v>9592.6021851947771</v>
      </c>
      <c r="I14" s="1163"/>
      <c r="J14" s="1164"/>
      <c r="K14" s="1164"/>
      <c r="L14" s="1164"/>
      <c r="M14" s="1164"/>
      <c r="N14" s="1164"/>
      <c r="O14" s="1164"/>
      <c r="P14" s="1164"/>
      <c r="Q14" s="638"/>
      <c r="R14" s="638"/>
      <c r="S14" s="638"/>
      <c r="T14" s="559"/>
      <c r="U14" s="638"/>
      <c r="V14" s="559"/>
      <c r="W14" s="638"/>
      <c r="X14" s="559"/>
      <c r="Y14" s="638"/>
    </row>
    <row r="15" spans="1:25" ht="24" customHeight="1" x14ac:dyDescent="0.3">
      <c r="B15" s="529"/>
      <c r="C15" s="453"/>
      <c r="D15" s="453"/>
      <c r="E15" s="543" t="s">
        <v>363</v>
      </c>
      <c r="F15" s="453" t="s">
        <v>620</v>
      </c>
      <c r="G15" s="1162"/>
      <c r="H15" s="638">
        <f>H12-H14</f>
        <v>5522.8878148052227</v>
      </c>
      <c r="I15" s="1163"/>
      <c r="J15" s="1164"/>
      <c r="K15" s="1164"/>
      <c r="L15" s="1164"/>
      <c r="M15" s="1164"/>
      <c r="N15" s="1164"/>
      <c r="O15" s="1164"/>
      <c r="P15" s="1164"/>
      <c r="Q15" s="638"/>
      <c r="R15" s="638"/>
      <c r="S15" s="638"/>
      <c r="T15" s="559"/>
      <c r="U15" s="638"/>
      <c r="V15" s="559"/>
      <c r="W15" s="638"/>
      <c r="X15" s="559"/>
      <c r="Y15" s="638"/>
    </row>
    <row r="16" spans="1:25" ht="24" customHeight="1" x14ac:dyDescent="0.3">
      <c r="B16" s="529"/>
      <c r="C16" s="453"/>
      <c r="D16" s="453"/>
      <c r="E16" s="543" t="s">
        <v>618</v>
      </c>
      <c r="F16" s="453" t="s">
        <v>620</v>
      </c>
      <c r="G16" s="1162"/>
      <c r="H16" s="638">
        <f>'CF-0207|2024'!D36</f>
        <v>11514.8897206</v>
      </c>
      <c r="I16" s="1163"/>
      <c r="J16" s="1164"/>
      <c r="K16" s="1164"/>
      <c r="L16" s="1164"/>
      <c r="M16" s="1164"/>
      <c r="N16" s="1164"/>
      <c r="O16" s="1164"/>
      <c r="P16" s="1164"/>
      <c r="Q16" s="638"/>
      <c r="R16" s="638"/>
      <c r="S16" s="638"/>
      <c r="T16" s="559"/>
      <c r="U16" s="638"/>
      <c r="V16" s="559"/>
      <c r="W16" s="638"/>
      <c r="X16" s="559"/>
      <c r="Y16" s="638"/>
    </row>
    <row r="17" spans="2:25" ht="24" customHeight="1" x14ac:dyDescent="0.3">
      <c r="B17" s="529">
        <v>3</v>
      </c>
      <c r="C17" s="531" t="s">
        <v>348</v>
      </c>
      <c r="D17" s="531" t="s">
        <v>614</v>
      </c>
      <c r="E17" s="532" t="s">
        <v>363</v>
      </c>
      <c r="F17" s="531" t="s">
        <v>621</v>
      </c>
      <c r="G17" s="1166">
        <v>2007</v>
      </c>
      <c r="H17" s="640">
        <v>0</v>
      </c>
      <c r="I17" s="1167">
        <v>201.47</v>
      </c>
      <c r="J17" s="1168">
        <v>0</v>
      </c>
      <c r="K17" s="1168">
        <v>0</v>
      </c>
      <c r="L17" s="1168">
        <v>0</v>
      </c>
      <c r="M17" s="1168">
        <v>0</v>
      </c>
      <c r="N17" s="1168">
        <v>0</v>
      </c>
      <c r="O17" s="1168">
        <v>0</v>
      </c>
      <c r="P17" s="1168">
        <v>0</v>
      </c>
      <c r="Q17" s="640"/>
      <c r="R17" s="640"/>
      <c r="S17" s="640"/>
      <c r="T17" s="681"/>
      <c r="U17" s="640"/>
      <c r="V17" s="681"/>
      <c r="W17" s="640"/>
      <c r="X17" s="681"/>
      <c r="Y17" s="640"/>
    </row>
    <row r="18" spans="2:25" ht="24" customHeight="1" x14ac:dyDescent="0.3">
      <c r="B18" s="529">
        <v>4</v>
      </c>
      <c r="C18" s="453" t="s">
        <v>348</v>
      </c>
      <c r="D18" s="453" t="s">
        <v>614</v>
      </c>
      <c r="E18" s="543" t="s">
        <v>363</v>
      </c>
      <c r="F18" s="453" t="s">
        <v>590</v>
      </c>
      <c r="G18" s="1162">
        <v>2007</v>
      </c>
      <c r="H18" s="638">
        <v>0</v>
      </c>
      <c r="I18" s="1163">
        <v>402.37</v>
      </c>
      <c r="J18" s="1164" t="s">
        <v>622</v>
      </c>
      <c r="K18" s="1164">
        <v>386.73</v>
      </c>
      <c r="L18" s="1164">
        <v>279.33</v>
      </c>
      <c r="M18" s="1164">
        <v>397.14</v>
      </c>
      <c r="N18" s="1164">
        <v>217.81</v>
      </c>
      <c r="O18" s="1164">
        <v>177.47</v>
      </c>
      <c r="P18" s="1164">
        <v>82.41</v>
      </c>
      <c r="Q18" s="638"/>
      <c r="R18" s="638"/>
      <c r="S18" s="638"/>
      <c r="T18" s="559"/>
      <c r="U18" s="638"/>
      <c r="V18" s="559"/>
      <c r="W18" s="638"/>
      <c r="X18" s="559"/>
      <c r="Y18" s="638"/>
    </row>
    <row r="19" spans="2:25" ht="24" customHeight="1" x14ac:dyDescent="0.3">
      <c r="B19" s="529">
        <v>5</v>
      </c>
      <c r="C19" s="1169" t="s">
        <v>348</v>
      </c>
      <c r="D19" s="1169" t="s">
        <v>614</v>
      </c>
      <c r="E19" s="1170" t="s">
        <v>363</v>
      </c>
      <c r="F19" s="1169" t="s">
        <v>623</v>
      </c>
      <c r="G19" s="1171">
        <v>2007</v>
      </c>
      <c r="H19" s="1172">
        <v>9793.2900000000009</v>
      </c>
      <c r="I19" s="1173">
        <v>8560.98</v>
      </c>
      <c r="J19" s="1174" t="s">
        <v>624</v>
      </c>
      <c r="K19" s="1174">
        <v>658.51</v>
      </c>
      <c r="L19" s="1174">
        <v>535.79</v>
      </c>
      <c r="M19" s="1174">
        <v>753.37</v>
      </c>
      <c r="N19" s="1174">
        <v>1094.3800000000001</v>
      </c>
      <c r="O19" s="1174">
        <v>493.81</v>
      </c>
      <c r="P19" s="1174">
        <v>150</v>
      </c>
      <c r="Q19" s="640"/>
      <c r="R19" s="640"/>
      <c r="S19" s="640"/>
      <c r="T19" s="681"/>
      <c r="U19" s="640"/>
      <c r="V19" s="681"/>
      <c r="W19" s="640"/>
      <c r="X19" s="681"/>
      <c r="Y19" s="640"/>
    </row>
    <row r="20" spans="2:25" ht="24" customHeight="1" x14ac:dyDescent="0.3">
      <c r="B20" s="529">
        <v>6</v>
      </c>
      <c r="C20" s="453" t="s">
        <v>348</v>
      </c>
      <c r="D20" s="453" t="s">
        <v>614</v>
      </c>
      <c r="E20" s="543" t="s">
        <v>363</v>
      </c>
      <c r="F20" s="453" t="s">
        <v>592</v>
      </c>
      <c r="G20" s="1162">
        <v>2007</v>
      </c>
      <c r="H20" s="1165">
        <v>7431.32</v>
      </c>
      <c r="I20" s="1163">
        <v>2879.08</v>
      </c>
      <c r="J20" s="1164" t="s">
        <v>625</v>
      </c>
      <c r="K20" s="1164">
        <v>14605.3</v>
      </c>
      <c r="L20" s="1164">
        <v>1448.52</v>
      </c>
      <c r="M20" s="1164">
        <v>136.63</v>
      </c>
      <c r="N20" s="1164">
        <v>4302.37</v>
      </c>
      <c r="O20" s="1164">
        <v>3235.47</v>
      </c>
      <c r="P20" s="1164">
        <v>4840.84</v>
      </c>
      <c r="Q20" s="638"/>
      <c r="R20" s="638"/>
      <c r="S20" s="638"/>
      <c r="T20" s="559"/>
      <c r="U20" s="638"/>
      <c r="V20" s="559"/>
      <c r="W20" s="638"/>
      <c r="X20" s="559"/>
      <c r="Y20" s="638"/>
    </row>
    <row r="21" spans="2:25" ht="24" customHeight="1" x14ac:dyDescent="0.3">
      <c r="B21" s="529">
        <v>7</v>
      </c>
      <c r="C21" s="1169" t="s">
        <v>348</v>
      </c>
      <c r="D21" s="1169" t="s">
        <v>614</v>
      </c>
      <c r="E21" s="1170" t="s">
        <v>363</v>
      </c>
      <c r="F21" s="1169" t="s">
        <v>626</v>
      </c>
      <c r="G21" s="1171">
        <v>2007</v>
      </c>
      <c r="H21" s="1175">
        <v>0</v>
      </c>
      <c r="I21" s="1176">
        <v>0</v>
      </c>
      <c r="J21" s="1174">
        <v>0</v>
      </c>
      <c r="K21" s="1174">
        <v>0</v>
      </c>
      <c r="L21" s="1174">
        <v>0</v>
      </c>
      <c r="M21" s="1174">
        <v>0</v>
      </c>
      <c r="N21" s="1174">
        <v>0</v>
      </c>
      <c r="O21" s="1174">
        <v>0</v>
      </c>
      <c r="P21" s="1174">
        <v>0</v>
      </c>
      <c r="Q21" s="640"/>
      <c r="R21" s="640"/>
      <c r="S21" s="640"/>
      <c r="T21" s="681"/>
      <c r="U21" s="640"/>
      <c r="V21" s="681"/>
      <c r="W21" s="640"/>
      <c r="X21" s="681"/>
      <c r="Y21" s="640"/>
    </row>
    <row r="22" spans="2:25" ht="24" customHeight="1" x14ac:dyDescent="0.3">
      <c r="B22" s="529">
        <v>8</v>
      </c>
      <c r="C22" s="453" t="s">
        <v>348</v>
      </c>
      <c r="D22" s="453" t="s">
        <v>614</v>
      </c>
      <c r="E22" s="543" t="s">
        <v>363</v>
      </c>
      <c r="F22" s="453" t="s">
        <v>594</v>
      </c>
      <c r="G22" s="1162">
        <v>2007</v>
      </c>
      <c r="H22" s="638">
        <v>0</v>
      </c>
      <c r="I22" s="1177">
        <v>0</v>
      </c>
      <c r="J22" s="1164">
        <v>0</v>
      </c>
      <c r="K22" s="1164">
        <v>0</v>
      </c>
      <c r="L22" s="1164">
        <v>0</v>
      </c>
      <c r="M22" s="1164">
        <v>0</v>
      </c>
      <c r="N22" s="1164">
        <v>0</v>
      </c>
      <c r="O22" s="1164">
        <v>0</v>
      </c>
      <c r="P22" s="1164">
        <v>0</v>
      </c>
      <c r="Q22" s="638"/>
      <c r="R22" s="638"/>
      <c r="S22" s="638"/>
      <c r="T22" s="559"/>
      <c r="U22" s="638"/>
      <c r="V22" s="559"/>
      <c r="W22" s="638"/>
      <c r="X22" s="559"/>
      <c r="Y22" s="638"/>
    </row>
    <row r="23" spans="2:25" ht="24" customHeight="1" x14ac:dyDescent="0.3">
      <c r="B23" s="529">
        <v>9</v>
      </c>
      <c r="C23" s="531" t="s">
        <v>348</v>
      </c>
      <c r="D23" s="531" t="s">
        <v>614</v>
      </c>
      <c r="E23" s="532" t="s">
        <v>363</v>
      </c>
      <c r="F23" s="531" t="s">
        <v>595</v>
      </c>
      <c r="G23" s="1166">
        <v>2007</v>
      </c>
      <c r="H23" s="640">
        <v>0</v>
      </c>
      <c r="I23" s="1178">
        <v>0</v>
      </c>
      <c r="J23" s="1168">
        <v>0</v>
      </c>
      <c r="K23" s="1168">
        <v>47.88</v>
      </c>
      <c r="L23" s="1168">
        <v>59.53</v>
      </c>
      <c r="M23" s="1168">
        <v>136.52000000000001</v>
      </c>
      <c r="N23" s="1168">
        <v>323.22000000000003</v>
      </c>
      <c r="O23" s="1168">
        <v>131.68</v>
      </c>
      <c r="P23" s="1168">
        <v>426.83</v>
      </c>
      <c r="Q23" s="640"/>
      <c r="R23" s="640"/>
      <c r="S23" s="640"/>
      <c r="T23" s="681"/>
      <c r="U23" s="640"/>
      <c r="V23" s="681"/>
      <c r="W23" s="640"/>
      <c r="X23" s="681"/>
      <c r="Y23" s="640"/>
    </row>
    <row r="24" spans="2:25" ht="24" customHeight="1" x14ac:dyDescent="0.3">
      <c r="B24" s="529">
        <v>10</v>
      </c>
      <c r="C24" s="453" t="s">
        <v>348</v>
      </c>
      <c r="D24" s="453" t="s">
        <v>614</v>
      </c>
      <c r="E24" s="543" t="s">
        <v>363</v>
      </c>
      <c r="F24" s="453" t="s">
        <v>627</v>
      </c>
      <c r="G24" s="1162">
        <v>2007</v>
      </c>
      <c r="H24" s="638">
        <v>0</v>
      </c>
      <c r="I24" s="1177">
        <v>0</v>
      </c>
      <c r="J24" s="1164">
        <v>0</v>
      </c>
      <c r="K24" s="1164">
        <v>0</v>
      </c>
      <c r="L24" s="1164">
        <v>0</v>
      </c>
      <c r="M24" s="1164">
        <v>0</v>
      </c>
      <c r="N24" s="1164">
        <v>278.92</v>
      </c>
      <c r="O24" s="1164">
        <v>224.88</v>
      </c>
      <c r="P24" s="1164">
        <v>116.8</v>
      </c>
      <c r="Q24" s="638"/>
      <c r="R24" s="638"/>
      <c r="S24" s="638"/>
      <c r="T24" s="559"/>
      <c r="U24" s="638"/>
      <c r="V24" s="559"/>
      <c r="W24" s="638"/>
      <c r="X24" s="559"/>
      <c r="Y24" s="638"/>
    </row>
    <row r="25" spans="2:25" ht="24" customHeight="1" x14ac:dyDescent="0.3">
      <c r="B25" s="552">
        <v>11</v>
      </c>
      <c r="C25" s="1179" t="s">
        <v>348</v>
      </c>
      <c r="D25" s="1179" t="s">
        <v>614</v>
      </c>
      <c r="E25" s="1180" t="s">
        <v>363</v>
      </c>
      <c r="F25" s="1179" t="s">
        <v>628</v>
      </c>
      <c r="G25" s="1180">
        <v>2007</v>
      </c>
      <c r="H25" s="1181">
        <v>0</v>
      </c>
      <c r="I25" s="1182">
        <v>0</v>
      </c>
      <c r="J25" s="1183">
        <v>0</v>
      </c>
      <c r="K25" s="1183">
        <v>0</v>
      </c>
      <c r="L25" s="1183">
        <v>0</v>
      </c>
      <c r="M25" s="1183">
        <v>0</v>
      </c>
      <c r="N25" s="1183">
        <v>0</v>
      </c>
      <c r="O25" s="1183">
        <v>2852.31</v>
      </c>
      <c r="P25" s="1183">
        <v>1.67</v>
      </c>
      <c r="Q25" s="1181"/>
      <c r="R25" s="1181"/>
      <c r="S25" s="1181"/>
      <c r="T25" s="1184"/>
      <c r="U25" s="1181"/>
      <c r="V25" s="1184"/>
      <c r="W25" s="1181"/>
      <c r="X25" s="1184"/>
      <c r="Y25" s="1181"/>
    </row>
    <row r="26" spans="2:25" ht="24" customHeight="1" x14ac:dyDescent="0.3">
      <c r="B26" s="552">
        <v>12</v>
      </c>
      <c r="C26" s="462" t="s">
        <v>348</v>
      </c>
      <c r="D26" s="462" t="s">
        <v>614</v>
      </c>
      <c r="E26" s="553" t="s">
        <v>363</v>
      </c>
      <c r="F26" s="462" t="s">
        <v>598</v>
      </c>
      <c r="G26" s="553">
        <v>2007</v>
      </c>
      <c r="H26" s="1185">
        <v>891.87</v>
      </c>
      <c r="I26" s="1186">
        <v>2185.19</v>
      </c>
      <c r="J26" s="1187">
        <v>27.79</v>
      </c>
      <c r="K26" s="1187">
        <v>0</v>
      </c>
      <c r="L26" s="1187">
        <v>0</v>
      </c>
      <c r="M26" s="1187">
        <v>0</v>
      </c>
      <c r="N26" s="1187">
        <v>0</v>
      </c>
      <c r="O26" s="1187">
        <v>0</v>
      </c>
      <c r="P26" s="1187">
        <v>0</v>
      </c>
      <c r="Q26" s="646"/>
      <c r="R26" s="646"/>
      <c r="S26" s="646"/>
      <c r="T26" s="1188"/>
      <c r="U26" s="646"/>
      <c r="V26" s="1188"/>
      <c r="W26" s="646"/>
      <c r="X26" s="1188"/>
      <c r="Y26" s="646"/>
    </row>
    <row r="27" spans="2:25" ht="15.75" customHeight="1" x14ac:dyDescent="0.3"/>
    <row r="28" spans="2:25" ht="15.75" customHeight="1" x14ac:dyDescent="0.3">
      <c r="B28" s="560" t="s">
        <v>355</v>
      </c>
      <c r="C28" s="561" t="s">
        <v>356</v>
      </c>
    </row>
    <row r="29" spans="2:25" ht="15.75" customHeight="1" x14ac:dyDescent="0.3"/>
    <row r="30" spans="2:25" ht="15.75" customHeight="1" x14ac:dyDescent="0.3">
      <c r="B30" s="4383" t="s">
        <v>357</v>
      </c>
      <c r="C30" s="4383"/>
    </row>
    <row r="31" spans="2:25" ht="15.75" customHeight="1" x14ac:dyDescent="0.3">
      <c r="B31" s="562" t="s">
        <v>301</v>
      </c>
    </row>
    <row r="32" spans="2:25" ht="15.75" customHeight="1" x14ac:dyDescent="0.3">
      <c r="B32" s="562" t="s">
        <v>301</v>
      </c>
      <c r="C32" s="1287" t="s">
        <v>2326</v>
      </c>
      <c r="E32" s="4167">
        <f>ROUNDDOWN(H16,0)</f>
        <v>11514</v>
      </c>
    </row>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sheetData>
  <mergeCells count="1">
    <mergeCell ref="B30:C30"/>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BA7C-AF73-4475-89A9-390AC0CCC91E}">
  <dimension ref="A1:M986"/>
  <sheetViews>
    <sheetView topLeftCell="A7" workbookViewId="0">
      <selection activeCell="L16" sqref="L16"/>
    </sheetView>
  </sheetViews>
  <sheetFormatPr defaultColWidth="12.44140625" defaultRowHeight="15" customHeight="1" x14ac:dyDescent="0.3"/>
  <cols>
    <col min="1" max="1" width="2.6640625" style="428" customWidth="1"/>
    <col min="2" max="2" width="35.109375" style="428" customWidth="1"/>
    <col min="3" max="3" width="23" style="428" customWidth="1"/>
    <col min="4" max="4" width="22.88671875" style="428" customWidth="1"/>
    <col min="5" max="5" width="1.5546875" style="428" customWidth="1"/>
    <col min="6" max="6" width="14.6640625" style="428" customWidth="1"/>
    <col min="7" max="7" width="7.33203125" style="428" customWidth="1"/>
    <col min="8" max="8" width="34" style="428" customWidth="1"/>
    <col min="9" max="10" width="19.5546875" style="428" bestFit="1" customWidth="1"/>
    <col min="11" max="11" width="1.5546875" style="428" customWidth="1"/>
    <col min="12" max="12" width="15.21875" style="428" customWidth="1"/>
    <col min="13" max="13" width="11.6640625" style="428" customWidth="1"/>
    <col min="14" max="16384" width="12.44140625" style="428"/>
  </cols>
  <sheetData>
    <row r="1" spans="1:13" ht="21.75" customHeight="1" x14ac:dyDescent="0.35">
      <c r="A1" s="424"/>
      <c r="B1" s="425" t="s">
        <v>549</v>
      </c>
      <c r="C1" s="426"/>
      <c r="E1" s="427"/>
      <c r="G1" s="427"/>
      <c r="K1" s="427"/>
    </row>
    <row r="2" spans="1:13" ht="15.75" customHeight="1" x14ac:dyDescent="0.3">
      <c r="A2" s="424"/>
      <c r="B2" s="429" t="s">
        <v>299</v>
      </c>
      <c r="C2" s="430"/>
      <c r="D2" s="430"/>
      <c r="E2" s="430"/>
      <c r="F2" s="430"/>
      <c r="G2" s="430"/>
      <c r="H2" s="430"/>
      <c r="I2" s="430"/>
      <c r="J2" s="430"/>
      <c r="K2" s="430"/>
      <c r="L2" s="430"/>
    </row>
    <row r="3" spans="1:13" ht="9.75" customHeight="1" x14ac:dyDescent="0.3">
      <c r="A3" s="427"/>
      <c r="B3" s="431"/>
      <c r="E3" s="427"/>
      <c r="G3" s="427"/>
      <c r="K3" s="427"/>
    </row>
    <row r="4" spans="1:13" ht="6" customHeight="1" x14ac:dyDescent="0.3">
      <c r="B4" s="427"/>
      <c r="E4" s="427"/>
      <c r="G4" s="427"/>
      <c r="K4" s="427"/>
    </row>
    <row r="5" spans="1:13" ht="6" customHeight="1" x14ac:dyDescent="0.3">
      <c r="A5" s="431"/>
      <c r="E5" s="427"/>
      <c r="G5" s="427"/>
      <c r="K5" s="427"/>
    </row>
    <row r="6" spans="1:13" ht="15.75" customHeight="1" x14ac:dyDescent="0.3">
      <c r="C6" s="428">
        <v>1000000</v>
      </c>
      <c r="E6" s="427"/>
      <c r="F6" s="427"/>
      <c r="G6" s="427"/>
      <c r="K6" s="427"/>
    </row>
    <row r="7" spans="1:13" ht="37.200000000000003" customHeight="1" x14ac:dyDescent="0.3">
      <c r="A7" s="432"/>
      <c r="B7" s="1256">
        <v>2024</v>
      </c>
      <c r="C7" s="4395" t="s">
        <v>22</v>
      </c>
      <c r="D7" s="4396"/>
      <c r="E7" s="432"/>
      <c r="F7" s="435" t="s">
        <v>300</v>
      </c>
      <c r="G7" s="432"/>
      <c r="H7" s="433">
        <v>2024</v>
      </c>
      <c r="I7" s="4385" t="s">
        <v>23</v>
      </c>
      <c r="J7" s="4394"/>
      <c r="K7" s="609"/>
      <c r="L7" s="435" t="s">
        <v>300</v>
      </c>
      <c r="M7" s="432"/>
    </row>
    <row r="8" spans="1:13" ht="18" customHeight="1" x14ac:dyDescent="0.35">
      <c r="B8" s="436" t="s">
        <v>301</v>
      </c>
      <c r="C8" s="1257">
        <v>1</v>
      </c>
      <c r="D8" s="1258">
        <v>2</v>
      </c>
      <c r="E8" s="427"/>
      <c r="F8" s="438"/>
      <c r="G8" s="427"/>
      <c r="H8" s="436" t="s">
        <v>301</v>
      </c>
      <c r="I8" s="648">
        <v>1</v>
      </c>
      <c r="J8" s="572">
        <v>2</v>
      </c>
      <c r="K8" s="610"/>
      <c r="L8" s="438"/>
    </row>
    <row r="9" spans="1:13" ht="46.5" customHeight="1" x14ac:dyDescent="0.3">
      <c r="B9" s="439" t="s">
        <v>302</v>
      </c>
      <c r="C9" s="573" t="s">
        <v>719</v>
      </c>
      <c r="D9" s="573" t="s">
        <v>720</v>
      </c>
      <c r="E9" s="574"/>
      <c r="F9" s="442"/>
      <c r="G9" s="443"/>
      <c r="H9" s="439" t="s">
        <v>302</v>
      </c>
      <c r="I9" s="573" t="s">
        <v>721</v>
      </c>
      <c r="J9" s="573" t="s">
        <v>722</v>
      </c>
      <c r="K9" s="611"/>
      <c r="L9" s="442"/>
    </row>
    <row r="10" spans="1:13" ht="46.5" customHeight="1" x14ac:dyDescent="0.3">
      <c r="B10" s="444" t="s">
        <v>304</v>
      </c>
      <c r="C10" s="445" t="s">
        <v>723</v>
      </c>
      <c r="D10" s="445" t="s">
        <v>724</v>
      </c>
      <c r="E10" s="574"/>
      <c r="F10" s="446"/>
      <c r="G10" s="443"/>
      <c r="H10" s="444" t="s">
        <v>304</v>
      </c>
      <c r="I10" s="445" t="s">
        <v>779</v>
      </c>
      <c r="J10" s="445" t="s">
        <v>2415</v>
      </c>
      <c r="K10" s="612"/>
      <c r="L10" s="446"/>
    </row>
    <row r="11" spans="1:13" ht="18.75" customHeight="1" x14ac:dyDescent="0.3">
      <c r="A11" s="447"/>
      <c r="B11" s="448" t="s">
        <v>306</v>
      </c>
      <c r="C11" s="575">
        <f>(C17*C18)</f>
        <v>1099.5660915401418</v>
      </c>
      <c r="D11" s="575">
        <f>(D17*D18)</f>
        <v>701.59926386109873</v>
      </c>
      <c r="E11" s="576"/>
      <c r="F11" s="451">
        <f>SUM(C11:D11)</f>
        <v>1801.1653554012405</v>
      </c>
      <c r="G11" s="452"/>
      <c r="H11" s="448" t="s">
        <v>306</v>
      </c>
      <c r="I11" s="449">
        <f>(I17*I18)</f>
        <v>2.485602209215747</v>
      </c>
      <c r="J11" s="1089">
        <f>(J17*J18)</f>
        <v>15020.587297482964</v>
      </c>
      <c r="K11" s="614"/>
      <c r="L11" s="451">
        <f>SUM(I11:J11)</f>
        <v>15023.072899692179</v>
      </c>
      <c r="M11" s="447"/>
    </row>
    <row r="12" spans="1:13" ht="18.75" customHeight="1" x14ac:dyDescent="0.3">
      <c r="A12" s="447"/>
      <c r="B12" s="453" t="s">
        <v>307</v>
      </c>
      <c r="C12" s="577">
        <f>(C22*C23)</f>
        <v>243.28869753635999</v>
      </c>
      <c r="D12" s="577">
        <f>(D22*D23)</f>
        <v>0.96856115389726904</v>
      </c>
      <c r="E12" s="455"/>
      <c r="F12" s="456">
        <f>SUM(C12:D12)</f>
        <v>244.25725869025726</v>
      </c>
      <c r="G12" s="457"/>
      <c r="H12" s="453" t="s">
        <v>307</v>
      </c>
      <c r="I12" s="577">
        <f>(I22*I23)</f>
        <v>0</v>
      </c>
      <c r="J12" s="577">
        <f>(J22*J23)</f>
        <v>0</v>
      </c>
      <c r="K12" s="614"/>
      <c r="L12" s="456">
        <f>SUM(I12:J12)</f>
        <v>0</v>
      </c>
      <c r="M12" s="447"/>
    </row>
    <row r="13" spans="1:13" ht="18.75" customHeight="1" x14ac:dyDescent="0.3">
      <c r="A13" s="447"/>
      <c r="B13" s="448" t="s">
        <v>308</v>
      </c>
      <c r="C13" s="654" t="s">
        <v>8</v>
      </c>
      <c r="D13" s="578" t="s">
        <v>8</v>
      </c>
      <c r="E13" s="459"/>
      <c r="F13" s="460"/>
      <c r="G13" s="461"/>
      <c r="H13" s="448" t="s">
        <v>308</v>
      </c>
      <c r="I13" s="654" t="s">
        <v>8</v>
      </c>
      <c r="J13" s="578" t="s">
        <v>8</v>
      </c>
      <c r="K13" s="615"/>
      <c r="L13" s="460"/>
      <c r="M13" s="447"/>
    </row>
    <row r="14" spans="1:13" ht="18.75" customHeight="1" x14ac:dyDescent="0.3">
      <c r="A14" s="447"/>
      <c r="B14" s="462" t="s">
        <v>309</v>
      </c>
      <c r="C14" s="655">
        <f t="shared" ref="C14:D14" si="0">C11-C12</f>
        <v>856.27739400378175</v>
      </c>
      <c r="D14" s="579">
        <f t="shared" si="0"/>
        <v>700.63070270720152</v>
      </c>
      <c r="E14" s="455"/>
      <c r="F14" s="464">
        <f>SUM(C14:D14)</f>
        <v>1556.9080967109833</v>
      </c>
      <c r="G14" s="457"/>
      <c r="H14" s="462" t="s">
        <v>309</v>
      </c>
      <c r="I14" s="655">
        <f t="shared" ref="I14:J14" si="1">I11-I12</f>
        <v>2.485602209215747</v>
      </c>
      <c r="J14" s="579">
        <f t="shared" si="1"/>
        <v>15020.587297482964</v>
      </c>
      <c r="K14" s="614"/>
      <c r="L14" s="464">
        <f>SUM(I14:J14)</f>
        <v>15023.072899692179</v>
      </c>
      <c r="M14" s="447"/>
    </row>
    <row r="15" spans="1:13" ht="19.5" customHeight="1" x14ac:dyDescent="0.4">
      <c r="B15" s="465" t="s">
        <v>310</v>
      </c>
      <c r="C15" s="1259"/>
      <c r="D15" s="580"/>
      <c r="E15" s="467"/>
      <c r="F15" s="468"/>
      <c r="G15" s="467"/>
      <c r="H15" s="616" t="s">
        <v>395</v>
      </c>
      <c r="I15" s="659"/>
      <c r="J15" s="617"/>
      <c r="K15" s="618"/>
      <c r="L15" s="468"/>
      <c r="M15" s="427"/>
    </row>
    <row r="16" spans="1:13" ht="35.4" customHeight="1" x14ac:dyDescent="0.3">
      <c r="A16" s="447"/>
      <c r="B16" s="469" t="s">
        <v>311</v>
      </c>
      <c r="C16" s="601" t="s">
        <v>725</v>
      </c>
      <c r="D16" s="1137" t="s">
        <v>726</v>
      </c>
      <c r="E16" s="581"/>
      <c r="F16" s="471"/>
      <c r="G16" s="457"/>
      <c r="H16" s="469" t="s">
        <v>311</v>
      </c>
      <c r="I16" s="601" t="s">
        <v>727</v>
      </c>
      <c r="J16" s="601" t="s">
        <v>727</v>
      </c>
      <c r="K16" s="619"/>
      <c r="L16" s="620"/>
      <c r="M16" s="447"/>
    </row>
    <row r="17" spans="1:13" ht="21" customHeight="1" x14ac:dyDescent="0.3">
      <c r="A17" s="447"/>
      <c r="B17" s="472" t="s">
        <v>313</v>
      </c>
      <c r="C17" s="473">
        <f>'CF-0211|GDS'!I16</f>
        <v>349895.46456455882</v>
      </c>
      <c r="D17" s="582">
        <f>'CF-0211|GDS'!I22</f>
        <v>455793.48418695014</v>
      </c>
      <c r="E17" s="583"/>
      <c r="G17" s="475"/>
      <c r="H17" s="472" t="s">
        <v>398</v>
      </c>
      <c r="I17" s="662">
        <f>'CF-0211|GDS'!I39</f>
        <v>0.68</v>
      </c>
      <c r="J17" s="621">
        <f>'CF-0211|GDS'!I40</f>
        <v>18515.199999999997</v>
      </c>
      <c r="K17" s="622"/>
      <c r="L17" s="623"/>
      <c r="M17" s="447"/>
    </row>
    <row r="18" spans="1:13" ht="18.75" customHeight="1" x14ac:dyDescent="0.3">
      <c r="A18" s="447"/>
      <c r="B18" s="476" t="s">
        <v>314</v>
      </c>
      <c r="C18" s="477">
        <v>3.1425559999999999E-3</v>
      </c>
      <c r="D18" s="1141">
        <v>1.5392919999999998E-3</v>
      </c>
      <c r="E18" s="478"/>
      <c r="G18" s="479"/>
      <c r="H18" s="476" t="s">
        <v>314</v>
      </c>
      <c r="I18" s="584">
        <v>3.6552973664937451</v>
      </c>
      <c r="J18" s="584">
        <v>0.81125709133484736</v>
      </c>
      <c r="K18" s="614"/>
      <c r="L18" s="491"/>
      <c r="M18" s="447"/>
    </row>
    <row r="19" spans="1:13" ht="19.5" customHeight="1" x14ac:dyDescent="0.3">
      <c r="A19" s="447"/>
      <c r="B19" s="480" t="s">
        <v>315</v>
      </c>
      <c r="C19" s="481" t="s">
        <v>478</v>
      </c>
      <c r="D19" s="664">
        <f>D17*D18</f>
        <v>701.59926386109873</v>
      </c>
      <c r="E19" s="586"/>
      <c r="G19" s="479"/>
      <c r="H19" s="480" t="s">
        <v>315</v>
      </c>
      <c r="I19" s="664">
        <f>I17*I18</f>
        <v>2.485602209215747</v>
      </c>
      <c r="J19" s="585">
        <f>J17*J18</f>
        <v>15020.587297482964</v>
      </c>
      <c r="K19" s="614"/>
      <c r="L19" s="494"/>
      <c r="M19" s="447"/>
    </row>
    <row r="20" spans="1:13" ht="21" customHeight="1" x14ac:dyDescent="0.4">
      <c r="B20" s="465" t="s">
        <v>316</v>
      </c>
      <c r="C20" s="665"/>
      <c r="D20" s="587"/>
      <c r="E20" s="483"/>
      <c r="F20" s="484"/>
      <c r="G20" s="483"/>
      <c r="H20" s="465" t="s">
        <v>316</v>
      </c>
      <c r="I20" s="665"/>
      <c r="J20" s="587"/>
      <c r="K20" s="618"/>
      <c r="L20" s="495"/>
    </row>
    <row r="21" spans="1:13" ht="32.4" customHeight="1" x14ac:dyDescent="0.3">
      <c r="A21" s="447"/>
      <c r="B21" s="469" t="s">
        <v>183</v>
      </c>
      <c r="C21" s="601" t="s">
        <v>405</v>
      </c>
      <c r="D21" s="601" t="s">
        <v>728</v>
      </c>
      <c r="E21" s="588"/>
      <c r="F21" s="485"/>
      <c r="G21" s="479"/>
      <c r="H21" s="469" t="s">
        <v>183</v>
      </c>
      <c r="I21" s="601" t="s">
        <v>2413</v>
      </c>
      <c r="J21" s="601" t="s">
        <v>2413</v>
      </c>
      <c r="K21" s="614"/>
      <c r="L21" s="496"/>
      <c r="M21" s="447"/>
    </row>
    <row r="22" spans="1:13" ht="21" customHeight="1" x14ac:dyDescent="0.3">
      <c r="A22" s="447"/>
      <c r="B22" s="486" t="s">
        <v>319</v>
      </c>
      <c r="C22" s="666">
        <f>'CF-0211|GDS'!I13</f>
        <v>6659422.919999999</v>
      </c>
      <c r="D22" s="589">
        <f>'CF-0211|GDS'!I21</f>
        <v>569741.85523368767</v>
      </c>
      <c r="E22" s="479"/>
      <c r="F22" s="488"/>
      <c r="G22" s="479"/>
      <c r="H22" s="486" t="s">
        <v>398</v>
      </c>
      <c r="I22" s="666">
        <f>I17</f>
        <v>0.68</v>
      </c>
      <c r="J22" s="589">
        <f>J17</f>
        <v>18515.199999999997</v>
      </c>
      <c r="K22" s="622"/>
      <c r="L22" s="623"/>
      <c r="M22" s="447"/>
    </row>
    <row r="23" spans="1:13" ht="21" customHeight="1" x14ac:dyDescent="0.3">
      <c r="A23" s="447"/>
      <c r="B23" s="489" t="s">
        <v>314</v>
      </c>
      <c r="C23" s="590">
        <v>3.6533000000000004E-5</v>
      </c>
      <c r="D23" s="590">
        <v>1.7E-6</v>
      </c>
      <c r="E23" s="588"/>
      <c r="F23" s="491"/>
      <c r="G23" s="479"/>
      <c r="H23" s="489" t="s">
        <v>314</v>
      </c>
      <c r="I23" s="590">
        <v>0</v>
      </c>
      <c r="J23" s="590">
        <v>0</v>
      </c>
      <c r="K23" s="614"/>
      <c r="L23" s="491"/>
      <c r="M23" s="447"/>
    </row>
    <row r="24" spans="1:13" ht="21" customHeight="1" x14ac:dyDescent="0.3">
      <c r="A24" s="447"/>
      <c r="B24" s="492" t="s">
        <v>315</v>
      </c>
      <c r="C24" s="668">
        <f t="shared" ref="C24:D24" si="2">C22*C23</f>
        <v>243.28869753635999</v>
      </c>
      <c r="D24" s="591">
        <f t="shared" si="2"/>
        <v>0.96856115389726904</v>
      </c>
      <c r="E24" s="588"/>
      <c r="F24" s="494"/>
      <c r="G24" s="479"/>
      <c r="H24" s="492" t="s">
        <v>315</v>
      </c>
      <c r="I24" s="668">
        <f t="shared" ref="I24:J24" si="3">I22*I23</f>
        <v>0</v>
      </c>
      <c r="J24" s="624">
        <f t="shared" si="3"/>
        <v>0</v>
      </c>
      <c r="K24" s="614"/>
      <c r="L24" s="494"/>
      <c r="M24" s="447"/>
    </row>
    <row r="25" spans="1:13" ht="28.5" customHeight="1" x14ac:dyDescent="0.3">
      <c r="A25" s="447"/>
      <c r="B25" s="498" t="s">
        <v>320</v>
      </c>
      <c r="C25" s="592" t="s">
        <v>321</v>
      </c>
      <c r="D25" s="592" t="s">
        <v>499</v>
      </c>
      <c r="E25" s="593"/>
      <c r="F25" s="501"/>
      <c r="G25" s="500"/>
      <c r="H25" s="498" t="s">
        <v>320</v>
      </c>
      <c r="I25" s="626" t="s">
        <v>401</v>
      </c>
      <c r="J25" s="626" t="s">
        <v>401</v>
      </c>
      <c r="K25" s="614"/>
      <c r="L25" s="496"/>
      <c r="M25" s="447"/>
    </row>
    <row r="26" spans="1:13" ht="24" customHeight="1" x14ac:dyDescent="0.3">
      <c r="B26" s="502" t="s">
        <v>322</v>
      </c>
      <c r="C26" s="673">
        <v>3</v>
      </c>
      <c r="D26" s="594">
        <v>3</v>
      </c>
      <c r="E26" s="504"/>
      <c r="F26" s="505"/>
      <c r="G26" s="504"/>
      <c r="H26" s="502" t="s">
        <v>322</v>
      </c>
      <c r="I26" s="674">
        <v>13</v>
      </c>
      <c r="J26" s="596">
        <v>13</v>
      </c>
      <c r="K26" s="618"/>
      <c r="L26" s="495"/>
    </row>
    <row r="27" spans="1:13" ht="33" customHeight="1" x14ac:dyDescent="0.3">
      <c r="A27" s="447"/>
      <c r="B27" s="506" t="s">
        <v>323</v>
      </c>
      <c r="C27" s="496" t="s">
        <v>324</v>
      </c>
      <c r="D27" s="595" t="s">
        <v>324</v>
      </c>
      <c r="E27" s="479"/>
      <c r="F27" s="496"/>
      <c r="G27" s="479"/>
      <c r="H27" s="506" t="s">
        <v>323</v>
      </c>
      <c r="I27" s="496" t="s">
        <v>324</v>
      </c>
      <c r="J27" s="595" t="s">
        <v>324</v>
      </c>
      <c r="K27" s="614"/>
      <c r="L27" s="496"/>
      <c r="M27" s="447"/>
    </row>
    <row r="28" spans="1:13" ht="33" customHeight="1" x14ac:dyDescent="0.3">
      <c r="A28" s="447"/>
      <c r="B28" s="508" t="s">
        <v>325</v>
      </c>
      <c r="C28" s="674" t="s">
        <v>326</v>
      </c>
      <c r="D28" s="596" t="s">
        <v>326</v>
      </c>
      <c r="E28" s="479"/>
      <c r="F28" s="496"/>
      <c r="G28" s="479"/>
      <c r="H28" s="508" t="s">
        <v>325</v>
      </c>
      <c r="I28" s="674" t="s">
        <v>326</v>
      </c>
      <c r="J28" s="627" t="s">
        <v>326</v>
      </c>
      <c r="K28" s="614"/>
      <c r="L28" s="496"/>
      <c r="M28" s="447"/>
    </row>
    <row r="29" spans="1:13" ht="33" customHeight="1" x14ac:dyDescent="0.3">
      <c r="A29" s="447"/>
      <c r="B29" s="506" t="s">
        <v>327</v>
      </c>
      <c r="C29" s="595" t="s">
        <v>729</v>
      </c>
      <c r="D29" s="595" t="s">
        <v>433</v>
      </c>
      <c r="E29" s="479"/>
      <c r="F29" s="496"/>
      <c r="G29" s="479"/>
      <c r="H29" s="506" t="s">
        <v>327</v>
      </c>
      <c r="I29" s="595" t="s">
        <v>402</v>
      </c>
      <c r="J29" s="595" t="s">
        <v>402</v>
      </c>
      <c r="K29" s="614"/>
      <c r="L29" s="496"/>
      <c r="M29" s="447"/>
    </row>
    <row r="30" spans="1:13" ht="21" customHeight="1" x14ac:dyDescent="0.3">
      <c r="B30" s="510" t="s">
        <v>329</v>
      </c>
      <c r="C30" s="596">
        <v>1</v>
      </c>
      <c r="D30" s="596">
        <v>1</v>
      </c>
      <c r="E30" s="467"/>
      <c r="F30" s="467"/>
      <c r="G30" s="467"/>
      <c r="H30" s="510" t="s">
        <v>329</v>
      </c>
      <c r="I30" s="596">
        <v>1</v>
      </c>
      <c r="J30" s="596">
        <v>81</v>
      </c>
      <c r="K30" s="618"/>
      <c r="L30" s="467"/>
    </row>
    <row r="31" spans="1:13" ht="21" customHeight="1" x14ac:dyDescent="0.3">
      <c r="B31" s="453" t="s">
        <v>330</v>
      </c>
      <c r="C31" s="496" t="s">
        <v>324</v>
      </c>
      <c r="D31" s="595" t="s">
        <v>324</v>
      </c>
      <c r="E31" s="483"/>
      <c r="F31" s="495"/>
      <c r="G31" s="483"/>
      <c r="H31" s="453" t="s">
        <v>330</v>
      </c>
      <c r="I31" s="496" t="s">
        <v>324</v>
      </c>
      <c r="J31" s="595" t="s">
        <v>324</v>
      </c>
      <c r="K31" s="618"/>
      <c r="L31" s="495"/>
    </row>
    <row r="32" spans="1:13" ht="21" customHeight="1" x14ac:dyDescent="0.3">
      <c r="B32" s="510" t="s">
        <v>331</v>
      </c>
      <c r="C32" s="674" t="s">
        <v>324</v>
      </c>
      <c r="D32" s="596" t="s">
        <v>324</v>
      </c>
      <c r="E32" s="483"/>
      <c r="F32" s="495"/>
      <c r="G32" s="483"/>
      <c r="H32" s="510" t="s">
        <v>331</v>
      </c>
      <c r="I32" s="674" t="s">
        <v>324</v>
      </c>
      <c r="J32" s="596" t="s">
        <v>324</v>
      </c>
      <c r="K32" s="618"/>
      <c r="L32" s="495"/>
    </row>
    <row r="33" spans="2:12" ht="21" customHeight="1" x14ac:dyDescent="0.3">
      <c r="B33" s="462" t="s">
        <v>332</v>
      </c>
      <c r="C33" s="675" t="s">
        <v>333</v>
      </c>
      <c r="D33" s="555" t="s">
        <v>333</v>
      </c>
      <c r="E33" s="483"/>
      <c r="F33" s="495"/>
      <c r="G33" s="483"/>
      <c r="H33" s="462" t="s">
        <v>332</v>
      </c>
      <c r="I33" s="675" t="s">
        <v>333</v>
      </c>
      <c r="J33" s="555" t="s">
        <v>333</v>
      </c>
      <c r="K33" s="618"/>
      <c r="L33" s="495"/>
    </row>
    <row r="34" spans="2:12" ht="15.75" customHeight="1" x14ac:dyDescent="0.3">
      <c r="B34" s="427"/>
      <c r="C34" s="427"/>
      <c r="D34" s="427"/>
      <c r="E34" s="483"/>
      <c r="F34" s="483"/>
      <c r="G34" s="483"/>
      <c r="H34" s="427"/>
      <c r="K34" s="427"/>
      <c r="L34" s="427"/>
    </row>
    <row r="35" spans="2:12" ht="15.75" customHeight="1" x14ac:dyDescent="0.3">
      <c r="B35" s="512" t="s">
        <v>334</v>
      </c>
      <c r="C35" s="427"/>
      <c r="D35" s="427"/>
      <c r="E35" s="483"/>
      <c r="F35" s="483"/>
      <c r="G35" s="483"/>
      <c r="K35" s="427"/>
      <c r="L35" s="427"/>
    </row>
    <row r="36" spans="2:12" ht="15.75" customHeight="1" x14ac:dyDescent="0.3">
      <c r="B36" s="512" t="s">
        <v>335</v>
      </c>
      <c r="C36" s="427"/>
      <c r="D36" s="427"/>
      <c r="E36" s="483"/>
      <c r="F36" s="483"/>
      <c r="G36" s="483"/>
      <c r="K36" s="427"/>
      <c r="L36" s="427"/>
    </row>
    <row r="37" spans="2:12" ht="15.75" customHeight="1" x14ac:dyDescent="0.3">
      <c r="B37" s="512" t="s">
        <v>336</v>
      </c>
      <c r="C37" s="427"/>
      <c r="D37" s="427"/>
      <c r="E37" s="483"/>
      <c r="F37" s="483"/>
      <c r="G37" s="483"/>
      <c r="K37" s="427"/>
      <c r="L37" s="427"/>
    </row>
    <row r="38" spans="2:12" ht="15.75" customHeight="1" x14ac:dyDescent="0.3">
      <c r="B38" s="512" t="s">
        <v>337</v>
      </c>
      <c r="C38" s="427"/>
      <c r="D38" s="427"/>
      <c r="E38" s="483"/>
      <c r="F38" s="483"/>
      <c r="G38" s="483"/>
      <c r="K38" s="427"/>
      <c r="L38" s="427"/>
    </row>
    <row r="39" spans="2:12" ht="15.75" customHeight="1" x14ac:dyDescent="0.3">
      <c r="B39" s="512" t="s">
        <v>338</v>
      </c>
      <c r="E39" s="427"/>
      <c r="G39" s="427"/>
      <c r="K39" s="427"/>
      <c r="L39" s="427"/>
    </row>
    <row r="40" spans="2:12" ht="15.75" customHeight="1" x14ac:dyDescent="0.3">
      <c r="B40" s="512" t="s">
        <v>339</v>
      </c>
      <c r="E40" s="427"/>
      <c r="G40" s="427"/>
      <c r="K40" s="427"/>
      <c r="L40" s="427"/>
    </row>
    <row r="41" spans="2:12" ht="15.75" customHeight="1" x14ac:dyDescent="0.3">
      <c r="E41" s="427"/>
      <c r="G41" s="427"/>
      <c r="K41" s="427"/>
      <c r="L41" s="427"/>
    </row>
    <row r="42" spans="2:12" ht="15.75" customHeight="1" x14ac:dyDescent="0.3">
      <c r="E42" s="427"/>
      <c r="G42" s="427"/>
      <c r="K42" s="427"/>
      <c r="L42" s="427"/>
    </row>
    <row r="43" spans="2:12" ht="15.75" customHeight="1" x14ac:dyDescent="0.3">
      <c r="E43" s="427"/>
      <c r="G43" s="427"/>
      <c r="K43" s="427"/>
      <c r="L43" s="427"/>
    </row>
    <row r="44" spans="2:12" ht="15.75" customHeight="1" x14ac:dyDescent="0.3">
      <c r="E44" s="427"/>
      <c r="G44" s="427"/>
      <c r="K44" s="427"/>
    </row>
    <row r="45" spans="2:12" ht="15.75" customHeight="1" x14ac:dyDescent="0.3">
      <c r="E45" s="427"/>
      <c r="G45" s="427"/>
      <c r="K45" s="427"/>
    </row>
    <row r="46" spans="2:12" ht="15.75" customHeight="1" x14ac:dyDescent="0.3">
      <c r="E46" s="427"/>
      <c r="G46" s="427"/>
      <c r="K46" s="427"/>
    </row>
    <row r="47" spans="2:12" ht="15.75" customHeight="1" x14ac:dyDescent="0.3">
      <c r="E47" s="427"/>
      <c r="G47" s="427"/>
      <c r="K47" s="427"/>
    </row>
    <row r="48" spans="2:12" ht="15.75" customHeight="1" x14ac:dyDescent="0.3">
      <c r="E48" s="427"/>
      <c r="G48" s="427"/>
      <c r="K48" s="427"/>
    </row>
    <row r="49" spans="5:11" ht="15.75" customHeight="1" x14ac:dyDescent="0.3">
      <c r="E49" s="427"/>
      <c r="G49" s="427"/>
      <c r="K49" s="427"/>
    </row>
    <row r="50" spans="5:11" ht="15.75" customHeight="1" x14ac:dyDescent="0.3">
      <c r="E50" s="427"/>
      <c r="G50" s="427"/>
      <c r="K50" s="427"/>
    </row>
    <row r="51" spans="5:11" ht="15.75" customHeight="1" x14ac:dyDescent="0.3">
      <c r="E51" s="427"/>
      <c r="G51" s="427"/>
      <c r="K51" s="427"/>
    </row>
    <row r="52" spans="5:11" ht="15.75" customHeight="1" x14ac:dyDescent="0.3">
      <c r="E52" s="427"/>
      <c r="G52" s="427"/>
      <c r="K52" s="427"/>
    </row>
    <row r="53" spans="5:11" ht="15.75" customHeight="1" x14ac:dyDescent="0.3">
      <c r="E53" s="427"/>
      <c r="G53" s="427"/>
      <c r="K53" s="427"/>
    </row>
    <row r="54" spans="5:11" ht="15.75" customHeight="1" x14ac:dyDescent="0.3">
      <c r="E54" s="427"/>
      <c r="G54" s="427"/>
      <c r="K54" s="427"/>
    </row>
    <row r="55" spans="5:11" ht="15.75" customHeight="1" x14ac:dyDescent="0.3">
      <c r="E55" s="427"/>
      <c r="G55" s="427"/>
      <c r="K55" s="427"/>
    </row>
    <row r="56" spans="5:11" ht="15.75" customHeight="1" x14ac:dyDescent="0.3">
      <c r="E56" s="427"/>
      <c r="G56" s="427"/>
      <c r="K56" s="427"/>
    </row>
    <row r="57" spans="5:11" ht="15.75" customHeight="1" x14ac:dyDescent="0.3">
      <c r="E57" s="427"/>
      <c r="G57" s="427"/>
      <c r="K57" s="427"/>
    </row>
    <row r="58" spans="5:11" ht="15.75" customHeight="1" x14ac:dyDescent="0.3">
      <c r="E58" s="427"/>
      <c r="G58" s="427"/>
      <c r="K58" s="427"/>
    </row>
    <row r="59" spans="5:11" ht="15.75" customHeight="1" x14ac:dyDescent="0.3">
      <c r="E59" s="427"/>
      <c r="G59" s="427"/>
      <c r="K59" s="427"/>
    </row>
    <row r="60" spans="5:11" ht="15.75" customHeight="1" x14ac:dyDescent="0.3">
      <c r="E60" s="427"/>
      <c r="G60" s="427"/>
      <c r="K60" s="427"/>
    </row>
    <row r="61" spans="5:11" ht="15.75" customHeight="1" x14ac:dyDescent="0.3">
      <c r="E61" s="427"/>
      <c r="G61" s="427"/>
      <c r="K61" s="427"/>
    </row>
    <row r="62" spans="5:11" ht="15.75" customHeight="1" x14ac:dyDescent="0.3">
      <c r="E62" s="427"/>
      <c r="G62" s="427"/>
      <c r="K62" s="427"/>
    </row>
    <row r="63" spans="5:11" ht="15.75" customHeight="1" x14ac:dyDescent="0.3">
      <c r="E63" s="427"/>
      <c r="G63" s="427"/>
      <c r="K63" s="427"/>
    </row>
    <row r="64" spans="5:11" ht="15.75" customHeight="1" x14ac:dyDescent="0.3">
      <c r="E64" s="427"/>
      <c r="G64" s="427"/>
      <c r="K64" s="427"/>
    </row>
    <row r="65" spans="5:11" ht="15.75" customHeight="1" x14ac:dyDescent="0.3">
      <c r="E65" s="427"/>
      <c r="G65" s="427"/>
      <c r="K65" s="427"/>
    </row>
    <row r="66" spans="5:11" ht="15.75" customHeight="1" x14ac:dyDescent="0.3">
      <c r="E66" s="427"/>
      <c r="G66" s="427"/>
      <c r="K66" s="427"/>
    </row>
    <row r="67" spans="5:11" ht="15.75" customHeight="1" x14ac:dyDescent="0.3">
      <c r="E67" s="427"/>
      <c r="G67" s="427"/>
      <c r="K67" s="427"/>
    </row>
    <row r="68" spans="5:11" ht="15.75" customHeight="1" x14ac:dyDescent="0.3">
      <c r="E68" s="427"/>
      <c r="G68" s="427"/>
      <c r="K68" s="427"/>
    </row>
    <row r="69" spans="5:11" ht="15.75" customHeight="1" x14ac:dyDescent="0.3">
      <c r="E69" s="427"/>
      <c r="G69" s="427"/>
      <c r="K69" s="427"/>
    </row>
    <row r="70" spans="5:11" ht="15.75" customHeight="1" x14ac:dyDescent="0.3">
      <c r="E70" s="427"/>
      <c r="G70" s="427"/>
      <c r="K70" s="427"/>
    </row>
    <row r="71" spans="5:11" ht="15.75" customHeight="1" x14ac:dyDescent="0.3">
      <c r="E71" s="427"/>
      <c r="G71" s="427"/>
      <c r="K71" s="427"/>
    </row>
    <row r="72" spans="5:11" ht="15.75" customHeight="1" x14ac:dyDescent="0.3">
      <c r="E72" s="427"/>
      <c r="G72" s="427"/>
      <c r="K72" s="427"/>
    </row>
    <row r="73" spans="5:11" ht="15.75" customHeight="1" x14ac:dyDescent="0.3">
      <c r="E73" s="427"/>
      <c r="G73" s="427"/>
      <c r="K73" s="427"/>
    </row>
    <row r="74" spans="5:11" ht="15.75" customHeight="1" x14ac:dyDescent="0.3">
      <c r="E74" s="427"/>
      <c r="G74" s="427"/>
      <c r="K74" s="427"/>
    </row>
    <row r="75" spans="5:11" ht="15.75" customHeight="1" x14ac:dyDescent="0.3">
      <c r="E75" s="427"/>
      <c r="G75" s="427"/>
      <c r="K75" s="427"/>
    </row>
    <row r="76" spans="5:11" ht="15.75" customHeight="1" x14ac:dyDescent="0.3">
      <c r="E76" s="427"/>
      <c r="G76" s="427"/>
      <c r="K76" s="427"/>
    </row>
    <row r="77" spans="5:11" ht="15.75" customHeight="1" x14ac:dyDescent="0.3">
      <c r="E77" s="427"/>
      <c r="G77" s="427"/>
      <c r="K77" s="427"/>
    </row>
    <row r="78" spans="5:11" ht="15.75" customHeight="1" x14ac:dyDescent="0.3">
      <c r="E78" s="427"/>
      <c r="G78" s="427"/>
      <c r="K78" s="427"/>
    </row>
    <row r="79" spans="5:11" ht="15.75" customHeight="1" x14ac:dyDescent="0.3">
      <c r="E79" s="427"/>
      <c r="G79" s="427"/>
      <c r="K79" s="427"/>
    </row>
    <row r="80" spans="5:11" ht="15.75" customHeight="1" x14ac:dyDescent="0.3">
      <c r="E80" s="427"/>
      <c r="G80" s="427"/>
      <c r="K80" s="427"/>
    </row>
    <row r="81" spans="5:11" ht="15.75" customHeight="1" x14ac:dyDescent="0.3">
      <c r="E81" s="427"/>
      <c r="G81" s="427"/>
      <c r="K81" s="427"/>
    </row>
    <row r="82" spans="5:11" ht="15.75" customHeight="1" x14ac:dyDescent="0.3">
      <c r="E82" s="427"/>
      <c r="G82" s="427"/>
      <c r="K82" s="427"/>
    </row>
    <row r="83" spans="5:11" ht="15.75" customHeight="1" x14ac:dyDescent="0.3">
      <c r="E83" s="427"/>
      <c r="G83" s="427"/>
      <c r="K83" s="427"/>
    </row>
    <row r="84" spans="5:11" ht="15.75" customHeight="1" x14ac:dyDescent="0.3">
      <c r="E84" s="427"/>
      <c r="G84" s="427"/>
      <c r="K84" s="427"/>
    </row>
    <row r="85" spans="5:11" ht="15.75" customHeight="1" x14ac:dyDescent="0.3">
      <c r="E85" s="427"/>
      <c r="G85" s="427"/>
      <c r="K85" s="427"/>
    </row>
    <row r="86" spans="5:11" ht="15.75" customHeight="1" x14ac:dyDescent="0.3">
      <c r="E86" s="427"/>
      <c r="G86" s="427"/>
      <c r="K86" s="427"/>
    </row>
    <row r="87" spans="5:11" ht="15.75" customHeight="1" x14ac:dyDescent="0.3">
      <c r="E87" s="427"/>
      <c r="G87" s="427"/>
      <c r="K87" s="427"/>
    </row>
    <row r="88" spans="5:11" ht="15.75" customHeight="1" x14ac:dyDescent="0.3">
      <c r="E88" s="427"/>
      <c r="G88" s="427"/>
      <c r="K88" s="427"/>
    </row>
    <row r="89" spans="5:11" ht="15.75" customHeight="1" x14ac:dyDescent="0.3">
      <c r="E89" s="427"/>
      <c r="G89" s="427"/>
      <c r="K89" s="427"/>
    </row>
    <row r="90" spans="5:11" ht="15.75" customHeight="1" x14ac:dyDescent="0.3">
      <c r="E90" s="427"/>
      <c r="G90" s="427"/>
      <c r="K90" s="427"/>
    </row>
    <row r="91" spans="5:11" ht="15.75" customHeight="1" x14ac:dyDescent="0.3">
      <c r="E91" s="427"/>
      <c r="G91" s="427"/>
      <c r="K91" s="427"/>
    </row>
    <row r="92" spans="5:11" ht="15.75" customHeight="1" x14ac:dyDescent="0.3">
      <c r="E92" s="427"/>
      <c r="G92" s="427"/>
      <c r="K92" s="427"/>
    </row>
    <row r="93" spans="5:11" ht="15.75" customHeight="1" x14ac:dyDescent="0.3">
      <c r="E93" s="427"/>
      <c r="G93" s="427"/>
      <c r="K93" s="427"/>
    </row>
    <row r="94" spans="5:11" ht="15.75" customHeight="1" x14ac:dyDescent="0.3">
      <c r="E94" s="427"/>
      <c r="G94" s="427"/>
      <c r="K94" s="427"/>
    </row>
    <row r="95" spans="5:11" ht="15.75" customHeight="1" x14ac:dyDescent="0.3">
      <c r="E95" s="427"/>
      <c r="G95" s="427"/>
      <c r="K95" s="427"/>
    </row>
    <row r="96" spans="5:11" ht="15.75" customHeight="1" x14ac:dyDescent="0.3">
      <c r="E96" s="427"/>
      <c r="G96" s="427"/>
      <c r="K96" s="427"/>
    </row>
    <row r="97" spans="5:11" ht="15.75" customHeight="1" x14ac:dyDescent="0.3">
      <c r="E97" s="427"/>
      <c r="G97" s="427"/>
      <c r="K97" s="427"/>
    </row>
    <row r="98" spans="5:11" ht="15.75" customHeight="1" x14ac:dyDescent="0.3">
      <c r="E98" s="427"/>
      <c r="G98" s="427"/>
      <c r="K98" s="427"/>
    </row>
    <row r="99" spans="5:11" ht="15.75" customHeight="1" x14ac:dyDescent="0.3">
      <c r="E99" s="427"/>
      <c r="G99" s="427"/>
      <c r="K99" s="427"/>
    </row>
    <row r="100" spans="5:11" ht="15.75" customHeight="1" x14ac:dyDescent="0.3">
      <c r="E100" s="427"/>
      <c r="G100" s="427"/>
      <c r="K100" s="427"/>
    </row>
    <row r="101" spans="5:11" ht="15.75" customHeight="1" x14ac:dyDescent="0.3">
      <c r="E101" s="427"/>
      <c r="G101" s="427"/>
      <c r="K101" s="427"/>
    </row>
    <row r="102" spans="5:11" ht="15.75" customHeight="1" x14ac:dyDescent="0.3">
      <c r="E102" s="427"/>
      <c r="G102" s="427"/>
      <c r="K102" s="427"/>
    </row>
    <row r="103" spans="5:11" ht="15.75" customHeight="1" x14ac:dyDescent="0.3">
      <c r="E103" s="427"/>
      <c r="G103" s="427"/>
      <c r="K103" s="427"/>
    </row>
    <row r="104" spans="5:11" ht="15.75" customHeight="1" x14ac:dyDescent="0.3">
      <c r="E104" s="427"/>
      <c r="G104" s="427"/>
      <c r="K104" s="427"/>
    </row>
    <row r="105" spans="5:11" ht="15.75" customHeight="1" x14ac:dyDescent="0.3">
      <c r="E105" s="427"/>
      <c r="G105" s="427"/>
      <c r="K105" s="427"/>
    </row>
    <row r="106" spans="5:11" ht="15.75" customHeight="1" x14ac:dyDescent="0.3">
      <c r="E106" s="427"/>
      <c r="G106" s="427"/>
      <c r="K106" s="427"/>
    </row>
    <row r="107" spans="5:11" ht="15.75" customHeight="1" x14ac:dyDescent="0.3">
      <c r="E107" s="427"/>
      <c r="G107" s="427"/>
      <c r="K107" s="427"/>
    </row>
    <row r="108" spans="5:11" ht="15.75" customHeight="1" x14ac:dyDescent="0.3">
      <c r="E108" s="427"/>
      <c r="G108" s="427"/>
      <c r="K108" s="427"/>
    </row>
    <row r="109" spans="5:11" ht="15.75" customHeight="1" x14ac:dyDescent="0.3">
      <c r="E109" s="427"/>
      <c r="G109" s="427"/>
      <c r="K109" s="427"/>
    </row>
    <row r="110" spans="5:11" ht="15.75" customHeight="1" x14ac:dyDescent="0.3">
      <c r="E110" s="427"/>
      <c r="G110" s="427"/>
      <c r="K110" s="427"/>
    </row>
    <row r="111" spans="5:11" ht="15.75" customHeight="1" x14ac:dyDescent="0.3">
      <c r="E111" s="427"/>
      <c r="G111" s="427"/>
      <c r="K111" s="427"/>
    </row>
    <row r="112" spans="5:11" ht="15.75" customHeight="1" x14ac:dyDescent="0.3">
      <c r="E112" s="427"/>
      <c r="G112" s="427"/>
      <c r="K112" s="427"/>
    </row>
    <row r="113" spans="5:11" ht="15.75" customHeight="1" x14ac:dyDescent="0.3">
      <c r="E113" s="427"/>
      <c r="G113" s="427"/>
      <c r="K113" s="427"/>
    </row>
    <row r="114" spans="5:11" ht="15.75" customHeight="1" x14ac:dyDescent="0.3">
      <c r="E114" s="427"/>
      <c r="G114" s="427"/>
      <c r="K114" s="427"/>
    </row>
    <row r="115" spans="5:11" ht="15.75" customHeight="1" x14ac:dyDescent="0.3">
      <c r="E115" s="427"/>
      <c r="G115" s="427"/>
      <c r="K115" s="427"/>
    </row>
    <row r="116" spans="5:11" ht="15.75" customHeight="1" x14ac:dyDescent="0.3">
      <c r="E116" s="427"/>
      <c r="G116" s="427"/>
      <c r="K116" s="427"/>
    </row>
    <row r="117" spans="5:11" ht="15.75" customHeight="1" x14ac:dyDescent="0.3">
      <c r="E117" s="427"/>
      <c r="G117" s="427"/>
      <c r="K117" s="427"/>
    </row>
    <row r="118" spans="5:11" ht="15.75" customHeight="1" x14ac:dyDescent="0.3">
      <c r="E118" s="427"/>
      <c r="G118" s="427"/>
      <c r="K118" s="427"/>
    </row>
    <row r="119" spans="5:11" ht="15.75" customHeight="1" x14ac:dyDescent="0.3">
      <c r="E119" s="427"/>
      <c r="G119" s="427"/>
      <c r="K119" s="427"/>
    </row>
    <row r="120" spans="5:11" ht="15.75" customHeight="1" x14ac:dyDescent="0.3">
      <c r="E120" s="427"/>
      <c r="G120" s="427"/>
      <c r="K120" s="427"/>
    </row>
    <row r="121" spans="5:11" ht="15.75" customHeight="1" x14ac:dyDescent="0.3">
      <c r="E121" s="427"/>
      <c r="G121" s="427"/>
      <c r="K121" s="427"/>
    </row>
    <row r="122" spans="5:11" ht="15.75" customHeight="1" x14ac:dyDescent="0.3">
      <c r="E122" s="427"/>
      <c r="G122" s="427"/>
      <c r="K122" s="427"/>
    </row>
    <row r="123" spans="5:11" ht="15.75" customHeight="1" x14ac:dyDescent="0.3">
      <c r="E123" s="427"/>
      <c r="G123" s="427"/>
      <c r="K123" s="427"/>
    </row>
    <row r="124" spans="5:11" ht="15.75" customHeight="1" x14ac:dyDescent="0.3">
      <c r="E124" s="427"/>
      <c r="G124" s="427"/>
      <c r="K124" s="427"/>
    </row>
    <row r="125" spans="5:11" ht="15.75" customHeight="1" x14ac:dyDescent="0.3">
      <c r="E125" s="427"/>
      <c r="G125" s="427"/>
      <c r="K125" s="427"/>
    </row>
    <row r="126" spans="5:11" ht="15.75" customHeight="1" x14ac:dyDescent="0.3">
      <c r="E126" s="427"/>
      <c r="G126" s="427"/>
      <c r="K126" s="427"/>
    </row>
    <row r="127" spans="5:11" ht="15.75" customHeight="1" x14ac:dyDescent="0.3">
      <c r="E127" s="427"/>
      <c r="G127" s="427"/>
      <c r="K127" s="427"/>
    </row>
    <row r="128" spans="5:11" ht="15.75" customHeight="1" x14ac:dyDescent="0.3">
      <c r="E128" s="427"/>
      <c r="G128" s="427"/>
      <c r="K128" s="427"/>
    </row>
    <row r="129" spans="5:11" ht="15.75" customHeight="1" x14ac:dyDescent="0.3">
      <c r="E129" s="427"/>
      <c r="G129" s="427"/>
      <c r="K129" s="427"/>
    </row>
    <row r="130" spans="5:11" ht="15.75" customHeight="1" x14ac:dyDescent="0.3">
      <c r="E130" s="427"/>
      <c r="G130" s="427"/>
      <c r="K130" s="427"/>
    </row>
    <row r="131" spans="5:11" ht="15.75" customHeight="1" x14ac:dyDescent="0.3">
      <c r="E131" s="427"/>
      <c r="G131" s="427"/>
      <c r="K131" s="427"/>
    </row>
    <row r="132" spans="5:11" ht="15.75" customHeight="1" x14ac:dyDescent="0.3">
      <c r="E132" s="427"/>
      <c r="G132" s="427"/>
      <c r="K132" s="427"/>
    </row>
    <row r="133" spans="5:11" ht="15.75" customHeight="1" x14ac:dyDescent="0.3">
      <c r="E133" s="427"/>
      <c r="G133" s="427"/>
      <c r="K133" s="427"/>
    </row>
    <row r="134" spans="5:11" ht="15.75" customHeight="1" x14ac:dyDescent="0.3">
      <c r="E134" s="427"/>
      <c r="G134" s="427"/>
      <c r="K134" s="427"/>
    </row>
    <row r="135" spans="5:11" ht="15.75" customHeight="1" x14ac:dyDescent="0.3">
      <c r="E135" s="427"/>
      <c r="G135" s="427"/>
      <c r="K135" s="427"/>
    </row>
    <row r="136" spans="5:11" ht="15.75" customHeight="1" x14ac:dyDescent="0.3">
      <c r="E136" s="427"/>
      <c r="G136" s="427"/>
      <c r="K136" s="427"/>
    </row>
    <row r="137" spans="5:11" ht="15.75" customHeight="1" x14ac:dyDescent="0.3">
      <c r="E137" s="427"/>
      <c r="G137" s="427"/>
      <c r="K137" s="427"/>
    </row>
    <row r="138" spans="5:11" ht="15.75" customHeight="1" x14ac:dyDescent="0.3">
      <c r="E138" s="427"/>
      <c r="G138" s="427"/>
      <c r="K138" s="427"/>
    </row>
    <row r="139" spans="5:11" ht="15.75" customHeight="1" x14ac:dyDescent="0.3">
      <c r="E139" s="427"/>
      <c r="G139" s="427"/>
      <c r="K139" s="427"/>
    </row>
    <row r="140" spans="5:11" ht="15.75" customHeight="1" x14ac:dyDescent="0.3">
      <c r="E140" s="427"/>
      <c r="G140" s="427"/>
      <c r="K140" s="427"/>
    </row>
    <row r="141" spans="5:11" ht="15.75" customHeight="1" x14ac:dyDescent="0.3">
      <c r="E141" s="427"/>
      <c r="G141" s="427"/>
      <c r="K141" s="427"/>
    </row>
    <row r="142" spans="5:11" ht="15.75" customHeight="1" x14ac:dyDescent="0.3">
      <c r="E142" s="427"/>
      <c r="G142" s="427"/>
      <c r="K142" s="427"/>
    </row>
    <row r="143" spans="5:11" ht="15.75" customHeight="1" x14ac:dyDescent="0.3">
      <c r="E143" s="427"/>
      <c r="G143" s="427"/>
      <c r="K143" s="427"/>
    </row>
    <row r="144" spans="5:11" ht="15.75" customHeight="1" x14ac:dyDescent="0.3">
      <c r="E144" s="427"/>
      <c r="G144" s="427"/>
      <c r="K144" s="427"/>
    </row>
    <row r="145" spans="5:11" ht="15.75" customHeight="1" x14ac:dyDescent="0.3">
      <c r="E145" s="427"/>
      <c r="G145" s="427"/>
      <c r="K145" s="427"/>
    </row>
    <row r="146" spans="5:11" ht="15.75" customHeight="1" x14ac:dyDescent="0.3">
      <c r="E146" s="427"/>
      <c r="G146" s="427"/>
      <c r="K146" s="427"/>
    </row>
    <row r="147" spans="5:11" ht="15.75" customHeight="1" x14ac:dyDescent="0.3">
      <c r="E147" s="427"/>
      <c r="G147" s="427"/>
      <c r="K147" s="427"/>
    </row>
    <row r="148" spans="5:11" ht="15.75" customHeight="1" x14ac:dyDescent="0.3">
      <c r="E148" s="427"/>
      <c r="G148" s="427"/>
      <c r="K148" s="427"/>
    </row>
    <row r="149" spans="5:11" ht="15.75" customHeight="1" x14ac:dyDescent="0.3">
      <c r="E149" s="427"/>
      <c r="G149" s="427"/>
      <c r="K149" s="427"/>
    </row>
    <row r="150" spans="5:11" ht="15.75" customHeight="1" x14ac:dyDescent="0.3">
      <c r="E150" s="427"/>
      <c r="G150" s="427"/>
      <c r="K150" s="427"/>
    </row>
    <row r="151" spans="5:11" ht="15.75" customHeight="1" x14ac:dyDescent="0.3">
      <c r="E151" s="427"/>
      <c r="G151" s="427"/>
      <c r="K151" s="427"/>
    </row>
    <row r="152" spans="5:11" ht="15.75" customHeight="1" x14ac:dyDescent="0.3">
      <c r="E152" s="427"/>
      <c r="G152" s="427"/>
      <c r="K152" s="427"/>
    </row>
    <row r="153" spans="5:11" ht="15.75" customHeight="1" x14ac:dyDescent="0.3">
      <c r="E153" s="427"/>
      <c r="G153" s="427"/>
      <c r="K153" s="427"/>
    </row>
    <row r="154" spans="5:11" ht="15.75" customHeight="1" x14ac:dyDescent="0.3">
      <c r="E154" s="427"/>
      <c r="G154" s="427"/>
      <c r="K154" s="427"/>
    </row>
    <row r="155" spans="5:11" ht="15.75" customHeight="1" x14ac:dyDescent="0.3">
      <c r="E155" s="427"/>
      <c r="G155" s="427"/>
      <c r="K155" s="427"/>
    </row>
    <row r="156" spans="5:11" ht="15.75" customHeight="1" x14ac:dyDescent="0.3">
      <c r="E156" s="427"/>
      <c r="G156" s="427"/>
      <c r="K156" s="427"/>
    </row>
    <row r="157" spans="5:11" ht="15.75" customHeight="1" x14ac:dyDescent="0.3">
      <c r="E157" s="427"/>
      <c r="G157" s="427"/>
      <c r="K157" s="427"/>
    </row>
    <row r="158" spans="5:11" ht="15.75" customHeight="1" x14ac:dyDescent="0.3">
      <c r="E158" s="427"/>
      <c r="G158" s="427"/>
      <c r="K158" s="427"/>
    </row>
    <row r="159" spans="5:11" ht="15.75" customHeight="1" x14ac:dyDescent="0.3">
      <c r="E159" s="427"/>
      <c r="G159" s="427"/>
      <c r="K159" s="427"/>
    </row>
    <row r="160" spans="5:11" ht="15.75" customHeight="1" x14ac:dyDescent="0.3">
      <c r="E160" s="427"/>
      <c r="G160" s="427"/>
      <c r="K160" s="427"/>
    </row>
    <row r="161" spans="5:11" ht="15.75" customHeight="1" x14ac:dyDescent="0.3">
      <c r="E161" s="427"/>
      <c r="G161" s="427"/>
      <c r="K161" s="427"/>
    </row>
    <row r="162" spans="5:11" ht="15.75" customHeight="1" x14ac:dyDescent="0.3">
      <c r="E162" s="427"/>
      <c r="G162" s="427"/>
      <c r="K162" s="427"/>
    </row>
    <row r="163" spans="5:11" ht="15.75" customHeight="1" x14ac:dyDescent="0.3">
      <c r="E163" s="427"/>
      <c r="G163" s="427"/>
      <c r="K163" s="427"/>
    </row>
    <row r="164" spans="5:11" ht="15.75" customHeight="1" x14ac:dyDescent="0.3">
      <c r="E164" s="427"/>
      <c r="G164" s="427"/>
      <c r="K164" s="427"/>
    </row>
    <row r="165" spans="5:11" ht="15.75" customHeight="1" x14ac:dyDescent="0.3">
      <c r="E165" s="427"/>
      <c r="G165" s="427"/>
      <c r="K165" s="427"/>
    </row>
    <row r="166" spans="5:11" ht="15.75" customHeight="1" x14ac:dyDescent="0.3">
      <c r="E166" s="427"/>
      <c r="G166" s="427"/>
      <c r="K166" s="427"/>
    </row>
    <row r="167" spans="5:11" ht="15.75" customHeight="1" x14ac:dyDescent="0.3">
      <c r="E167" s="427"/>
      <c r="G167" s="427"/>
      <c r="K167" s="427"/>
    </row>
    <row r="168" spans="5:11" ht="15.75" customHeight="1" x14ac:dyDescent="0.3">
      <c r="E168" s="427"/>
      <c r="G168" s="427"/>
      <c r="K168" s="427"/>
    </row>
    <row r="169" spans="5:11" ht="15.75" customHeight="1" x14ac:dyDescent="0.3">
      <c r="E169" s="427"/>
      <c r="G169" s="427"/>
      <c r="K169" s="427"/>
    </row>
    <row r="170" spans="5:11" ht="15.75" customHeight="1" x14ac:dyDescent="0.3">
      <c r="E170" s="427"/>
      <c r="G170" s="427"/>
      <c r="K170" s="427"/>
    </row>
    <row r="171" spans="5:11" ht="15.75" customHeight="1" x14ac:dyDescent="0.3">
      <c r="E171" s="427"/>
      <c r="G171" s="427"/>
      <c r="K171" s="427"/>
    </row>
    <row r="172" spans="5:11" ht="15.75" customHeight="1" x14ac:dyDescent="0.3">
      <c r="E172" s="427"/>
      <c r="G172" s="427"/>
      <c r="K172" s="427"/>
    </row>
    <row r="173" spans="5:11" ht="15.75" customHeight="1" x14ac:dyDescent="0.3">
      <c r="E173" s="427"/>
      <c r="G173" s="427"/>
      <c r="K173" s="427"/>
    </row>
    <row r="174" spans="5:11" ht="15.75" customHeight="1" x14ac:dyDescent="0.3">
      <c r="E174" s="427"/>
      <c r="G174" s="427"/>
      <c r="K174" s="427"/>
    </row>
    <row r="175" spans="5:11" ht="15.75" customHeight="1" x14ac:dyDescent="0.3">
      <c r="E175" s="427"/>
      <c r="G175" s="427"/>
      <c r="K175" s="427"/>
    </row>
    <row r="176" spans="5:11" ht="15.75" customHeight="1" x14ac:dyDescent="0.3">
      <c r="E176" s="427"/>
      <c r="G176" s="427"/>
      <c r="K176" s="427"/>
    </row>
    <row r="177" spans="5:11" ht="15.75" customHeight="1" x14ac:dyDescent="0.3">
      <c r="E177" s="427"/>
      <c r="G177" s="427"/>
      <c r="K177" s="427"/>
    </row>
    <row r="178" spans="5:11" ht="15.75" customHeight="1" x14ac:dyDescent="0.3">
      <c r="E178" s="427"/>
      <c r="G178" s="427"/>
      <c r="K178" s="427"/>
    </row>
    <row r="179" spans="5:11" ht="15.75" customHeight="1" x14ac:dyDescent="0.3">
      <c r="E179" s="427"/>
      <c r="G179" s="427"/>
      <c r="K179" s="427"/>
    </row>
    <row r="180" spans="5:11" ht="15.75" customHeight="1" x14ac:dyDescent="0.3">
      <c r="E180" s="427"/>
      <c r="G180" s="427"/>
      <c r="K180" s="427"/>
    </row>
    <row r="181" spans="5:11" ht="15.75" customHeight="1" x14ac:dyDescent="0.3">
      <c r="E181" s="427"/>
      <c r="G181" s="427"/>
      <c r="K181" s="427"/>
    </row>
    <row r="182" spans="5:11" ht="15.75" customHeight="1" x14ac:dyDescent="0.3">
      <c r="E182" s="427"/>
      <c r="G182" s="427"/>
      <c r="K182" s="427"/>
    </row>
    <row r="183" spans="5:11" ht="15.75" customHeight="1" x14ac:dyDescent="0.3">
      <c r="E183" s="427"/>
      <c r="G183" s="427"/>
      <c r="K183" s="427"/>
    </row>
    <row r="184" spans="5:11" ht="15.75" customHeight="1" x14ac:dyDescent="0.3">
      <c r="E184" s="427"/>
      <c r="G184" s="427"/>
      <c r="K184" s="427"/>
    </row>
    <row r="185" spans="5:11" ht="15.75" customHeight="1" x14ac:dyDescent="0.3">
      <c r="E185" s="427"/>
      <c r="G185" s="427"/>
      <c r="K185" s="427"/>
    </row>
    <row r="186" spans="5:11" ht="15.75" customHeight="1" x14ac:dyDescent="0.3">
      <c r="E186" s="427"/>
      <c r="G186" s="427"/>
      <c r="K186" s="427"/>
    </row>
    <row r="187" spans="5:11" ht="15.75" customHeight="1" x14ac:dyDescent="0.3">
      <c r="E187" s="427"/>
      <c r="G187" s="427"/>
      <c r="K187" s="427"/>
    </row>
    <row r="188" spans="5:11" ht="15.75" customHeight="1" x14ac:dyDescent="0.3">
      <c r="E188" s="427"/>
      <c r="G188" s="427"/>
      <c r="K188" s="427"/>
    </row>
    <row r="189" spans="5:11" ht="15.75" customHeight="1" x14ac:dyDescent="0.3">
      <c r="E189" s="427"/>
      <c r="G189" s="427"/>
      <c r="K189" s="427"/>
    </row>
    <row r="190" spans="5:11" ht="15.75" customHeight="1" x14ac:dyDescent="0.3">
      <c r="E190" s="427"/>
      <c r="G190" s="427"/>
      <c r="K190" s="427"/>
    </row>
    <row r="191" spans="5:11" ht="15.75" customHeight="1" x14ac:dyDescent="0.3">
      <c r="E191" s="427"/>
      <c r="G191" s="427"/>
      <c r="K191" s="427"/>
    </row>
    <row r="192" spans="5:11" ht="15.75" customHeight="1" x14ac:dyDescent="0.3">
      <c r="E192" s="427"/>
      <c r="G192" s="427"/>
      <c r="K192" s="427"/>
    </row>
    <row r="193" spans="5:11" ht="15.75" customHeight="1" x14ac:dyDescent="0.3">
      <c r="E193" s="427"/>
      <c r="G193" s="427"/>
      <c r="K193" s="427"/>
    </row>
    <row r="194" spans="5:11" ht="15.75" customHeight="1" x14ac:dyDescent="0.3">
      <c r="E194" s="427"/>
      <c r="G194" s="427"/>
      <c r="K194" s="427"/>
    </row>
    <row r="195" spans="5:11" ht="15.75" customHeight="1" x14ac:dyDescent="0.3">
      <c r="E195" s="427"/>
      <c r="G195" s="427"/>
      <c r="K195" s="427"/>
    </row>
    <row r="196" spans="5:11" ht="15.75" customHeight="1" x14ac:dyDescent="0.3">
      <c r="E196" s="427"/>
      <c r="G196" s="427"/>
      <c r="K196" s="427"/>
    </row>
    <row r="197" spans="5:11" ht="15.75" customHeight="1" x14ac:dyDescent="0.3">
      <c r="E197" s="427"/>
      <c r="G197" s="427"/>
      <c r="K197" s="427"/>
    </row>
    <row r="198" spans="5:11" ht="15.75" customHeight="1" x14ac:dyDescent="0.3">
      <c r="E198" s="427"/>
      <c r="G198" s="427"/>
      <c r="K198" s="427"/>
    </row>
    <row r="199" spans="5:11" ht="15.75" customHeight="1" x14ac:dyDescent="0.3">
      <c r="E199" s="427"/>
      <c r="G199" s="427"/>
      <c r="K199" s="427"/>
    </row>
    <row r="200" spans="5:11" ht="15.75" customHeight="1" x14ac:dyDescent="0.3">
      <c r="E200" s="427"/>
      <c r="G200" s="427"/>
      <c r="K200" s="427"/>
    </row>
    <row r="201" spans="5:11" ht="15.75" customHeight="1" x14ac:dyDescent="0.3">
      <c r="E201" s="427"/>
      <c r="G201" s="427"/>
      <c r="K201" s="427"/>
    </row>
    <row r="202" spans="5:11" ht="15.75" customHeight="1" x14ac:dyDescent="0.3">
      <c r="E202" s="427"/>
      <c r="G202" s="427"/>
      <c r="K202" s="427"/>
    </row>
    <row r="203" spans="5:11" ht="15.75" customHeight="1" x14ac:dyDescent="0.3">
      <c r="E203" s="427"/>
      <c r="G203" s="427"/>
      <c r="K203" s="427"/>
    </row>
    <row r="204" spans="5:11" ht="15.75" customHeight="1" x14ac:dyDescent="0.3">
      <c r="E204" s="427"/>
      <c r="G204" s="427"/>
      <c r="K204" s="427"/>
    </row>
    <row r="205" spans="5:11" ht="15.75" customHeight="1" x14ac:dyDescent="0.3">
      <c r="E205" s="427"/>
      <c r="G205" s="427"/>
      <c r="K205" s="427"/>
    </row>
    <row r="206" spans="5:11" ht="15.75" customHeight="1" x14ac:dyDescent="0.3">
      <c r="E206" s="427"/>
      <c r="G206" s="427"/>
      <c r="K206" s="427"/>
    </row>
    <row r="207" spans="5:11" ht="15.75" customHeight="1" x14ac:dyDescent="0.3">
      <c r="E207" s="427"/>
      <c r="G207" s="427"/>
      <c r="K207" s="427"/>
    </row>
    <row r="208" spans="5:11" ht="15.75" customHeight="1" x14ac:dyDescent="0.3">
      <c r="E208" s="427"/>
      <c r="G208" s="427"/>
      <c r="K208" s="427"/>
    </row>
    <row r="209" spans="5:11" ht="15.75" customHeight="1" x14ac:dyDescent="0.3">
      <c r="E209" s="427"/>
      <c r="G209" s="427"/>
      <c r="K209" s="427"/>
    </row>
    <row r="210" spans="5:11" ht="15.75" customHeight="1" x14ac:dyDescent="0.3">
      <c r="E210" s="427"/>
      <c r="G210" s="427"/>
      <c r="K210" s="427"/>
    </row>
    <row r="211" spans="5:11" ht="15.75" customHeight="1" x14ac:dyDescent="0.3">
      <c r="E211" s="427"/>
      <c r="G211" s="427"/>
      <c r="K211" s="427"/>
    </row>
    <row r="212" spans="5:11" ht="15.75" customHeight="1" x14ac:dyDescent="0.3">
      <c r="E212" s="427"/>
      <c r="G212" s="427"/>
      <c r="K212" s="427"/>
    </row>
    <row r="213" spans="5:11" ht="15.75" customHeight="1" x14ac:dyDescent="0.3">
      <c r="E213" s="427"/>
      <c r="G213" s="427"/>
      <c r="K213" s="427"/>
    </row>
    <row r="214" spans="5:11" ht="15.75" customHeight="1" x14ac:dyDescent="0.3">
      <c r="E214" s="427"/>
      <c r="G214" s="427"/>
      <c r="K214" s="427"/>
    </row>
    <row r="215" spans="5:11" ht="15.75" customHeight="1" x14ac:dyDescent="0.3">
      <c r="E215" s="427"/>
      <c r="G215" s="427"/>
      <c r="K215" s="427"/>
    </row>
    <row r="216" spans="5:11" ht="15.75" customHeight="1" x14ac:dyDescent="0.3">
      <c r="E216" s="427"/>
      <c r="G216" s="427"/>
      <c r="K216" s="427"/>
    </row>
    <row r="217" spans="5:11" ht="15.75" customHeight="1" x14ac:dyDescent="0.3">
      <c r="E217" s="427"/>
      <c r="G217" s="427"/>
      <c r="K217" s="427"/>
    </row>
    <row r="218" spans="5:11" ht="15.75" customHeight="1" x14ac:dyDescent="0.3">
      <c r="E218" s="427"/>
      <c r="G218" s="427"/>
      <c r="K218" s="427"/>
    </row>
    <row r="219" spans="5:11" ht="15.75" customHeight="1" x14ac:dyDescent="0.3">
      <c r="E219" s="427"/>
      <c r="G219" s="427"/>
      <c r="K219" s="427"/>
    </row>
    <row r="220" spans="5:11" ht="15.75" customHeight="1" x14ac:dyDescent="0.3">
      <c r="E220" s="427"/>
      <c r="G220" s="427"/>
      <c r="K220" s="427"/>
    </row>
    <row r="221" spans="5:11" ht="15.75" customHeight="1" x14ac:dyDescent="0.3">
      <c r="E221" s="427"/>
      <c r="G221" s="427"/>
      <c r="K221" s="427"/>
    </row>
    <row r="222" spans="5:11" ht="15.75" customHeight="1" x14ac:dyDescent="0.3">
      <c r="E222" s="427"/>
      <c r="G222" s="427"/>
      <c r="K222" s="427"/>
    </row>
    <row r="223" spans="5:11" ht="15.75" customHeight="1" x14ac:dyDescent="0.3">
      <c r="E223" s="427"/>
      <c r="G223" s="427"/>
      <c r="K223" s="427"/>
    </row>
    <row r="224" spans="5:11" ht="15.75" customHeight="1" x14ac:dyDescent="0.3">
      <c r="E224" s="427"/>
      <c r="G224" s="427"/>
      <c r="K224" s="427"/>
    </row>
    <row r="225" spans="5:11" ht="15.75" customHeight="1" x14ac:dyDescent="0.3">
      <c r="E225" s="427"/>
      <c r="G225" s="427"/>
      <c r="K225" s="427"/>
    </row>
    <row r="226" spans="5:11" ht="15.75" customHeight="1" x14ac:dyDescent="0.3">
      <c r="E226" s="427"/>
      <c r="G226" s="427"/>
      <c r="K226" s="427"/>
    </row>
    <row r="227" spans="5:11" ht="15.75" customHeight="1" x14ac:dyDescent="0.3">
      <c r="E227" s="427"/>
      <c r="G227" s="427"/>
      <c r="K227" s="427"/>
    </row>
    <row r="228" spans="5:11" ht="15.75" customHeight="1" x14ac:dyDescent="0.3">
      <c r="E228" s="427"/>
      <c r="G228" s="427"/>
      <c r="K228" s="427"/>
    </row>
    <row r="229" spans="5:11" ht="15.75" customHeight="1" x14ac:dyDescent="0.3">
      <c r="E229" s="427"/>
      <c r="G229" s="427"/>
      <c r="K229" s="427"/>
    </row>
    <row r="230" spans="5:11" ht="15.75" customHeight="1" x14ac:dyDescent="0.3">
      <c r="E230" s="427"/>
      <c r="G230" s="427"/>
      <c r="K230" s="427"/>
    </row>
    <row r="231" spans="5:11" ht="15.75" customHeight="1" x14ac:dyDescent="0.3">
      <c r="E231" s="427"/>
      <c r="G231" s="427"/>
      <c r="K231" s="427"/>
    </row>
    <row r="232" spans="5:11" ht="15.75" customHeight="1" x14ac:dyDescent="0.3">
      <c r="E232" s="427"/>
      <c r="G232" s="427"/>
      <c r="K232" s="427"/>
    </row>
    <row r="233" spans="5:11" ht="15.75" customHeight="1" x14ac:dyDescent="0.3">
      <c r="E233" s="427"/>
      <c r="G233" s="427"/>
      <c r="K233" s="427"/>
    </row>
    <row r="234" spans="5:11" ht="15.75" customHeight="1" x14ac:dyDescent="0.3">
      <c r="E234" s="427"/>
      <c r="G234" s="427"/>
      <c r="K234" s="427"/>
    </row>
    <row r="235" spans="5:11" ht="15.75" customHeight="1" x14ac:dyDescent="0.3">
      <c r="E235" s="427"/>
      <c r="G235" s="427"/>
      <c r="K235" s="427"/>
    </row>
    <row r="236" spans="5:11" ht="15.75" customHeight="1" x14ac:dyDescent="0.3">
      <c r="E236" s="427"/>
      <c r="G236" s="427"/>
      <c r="K236" s="427"/>
    </row>
    <row r="237" spans="5:11" ht="15.75" customHeight="1" x14ac:dyDescent="0.3">
      <c r="E237" s="427"/>
      <c r="G237" s="427"/>
      <c r="K237" s="427"/>
    </row>
    <row r="238" spans="5:11" ht="15.75" customHeight="1" x14ac:dyDescent="0.3">
      <c r="E238" s="427"/>
      <c r="G238" s="427"/>
      <c r="K238" s="427"/>
    </row>
    <row r="239" spans="5:11" ht="15.75" customHeight="1" x14ac:dyDescent="0.3">
      <c r="E239" s="427"/>
      <c r="G239" s="427"/>
      <c r="K239" s="427"/>
    </row>
    <row r="240" spans="5:11" ht="15.75" customHeight="1" x14ac:dyDescent="0.3">
      <c r="E240" s="427"/>
      <c r="G240" s="427"/>
      <c r="K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2">
    <mergeCell ref="C7:D7"/>
    <mergeCell ref="I7:J7"/>
  </mergeCells>
  <dataValidations count="1">
    <dataValidation type="list" allowBlank="1" showErrorMessage="1" sqref="B17 B22" xr:uid="{ACCF3523-34AF-4D5B-8673-6DFCDC4A7A4F}">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0823-4F42-43BA-965C-1548CB565263}">
  <dimension ref="A1:AD914"/>
  <sheetViews>
    <sheetView topLeftCell="A14" workbookViewId="0">
      <selection activeCell="R6" sqref="R1:Y1048576"/>
    </sheetView>
  </sheetViews>
  <sheetFormatPr defaultColWidth="12.44140625" defaultRowHeight="15" customHeight="1" x14ac:dyDescent="0.3"/>
  <cols>
    <col min="1" max="1" width="2.6640625" style="428" customWidth="1"/>
    <col min="2" max="2" width="5.109375" style="428" customWidth="1"/>
    <col min="3" max="3" width="32.21875" style="428" customWidth="1"/>
    <col min="4" max="4" width="38.88671875" style="428" customWidth="1"/>
    <col min="5" max="5" width="8.88671875" style="428" customWidth="1"/>
    <col min="6" max="6" width="32.44140625" style="428" customWidth="1"/>
    <col min="7" max="7" width="12.77734375" style="428" customWidth="1"/>
    <col min="8" max="8" width="12.77734375" style="428" hidden="1" customWidth="1"/>
    <col min="9" max="9" width="15.21875" style="428" customWidth="1"/>
    <col min="10" max="16" width="15.21875" style="428" hidden="1" customWidth="1"/>
    <col min="17" max="17" width="17.77734375" style="428" customWidth="1"/>
    <col min="18" max="18" width="15.21875" style="428" hidden="1" customWidth="1"/>
    <col min="19"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2362</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1026</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474</v>
      </c>
      <c r="D10" s="531" t="s">
        <v>730</v>
      </c>
      <c r="E10" s="532" t="s">
        <v>350</v>
      </c>
      <c r="F10" s="533" t="s">
        <v>731</v>
      </c>
      <c r="G10" s="534">
        <v>2016</v>
      </c>
      <c r="H10" s="535"/>
      <c r="I10" s="535">
        <v>0</v>
      </c>
      <c r="J10" s="537">
        <v>0</v>
      </c>
      <c r="K10" s="628">
        <v>0</v>
      </c>
      <c r="L10" s="628">
        <v>0</v>
      </c>
      <c r="M10" s="540">
        <v>0</v>
      </c>
      <c r="N10" s="597">
        <v>0</v>
      </c>
      <c r="O10" s="597">
        <v>0</v>
      </c>
      <c r="P10" s="597">
        <v>379975</v>
      </c>
      <c r="Q10" s="677">
        <v>1012674</v>
      </c>
      <c r="R10" s="597">
        <v>941464</v>
      </c>
      <c r="S10" s="597">
        <v>726707</v>
      </c>
      <c r="T10" s="535"/>
      <c r="U10" s="542"/>
      <c r="V10" s="535"/>
      <c r="W10" s="542"/>
      <c r="X10" s="535"/>
      <c r="Y10" s="542"/>
      <c r="Z10" s="535"/>
      <c r="AA10" s="528"/>
      <c r="AB10" s="528"/>
      <c r="AC10" s="528"/>
      <c r="AD10" s="528"/>
    </row>
    <row r="11" spans="1:30" ht="24" customHeight="1" x14ac:dyDescent="0.3">
      <c r="A11" s="528"/>
      <c r="B11" s="529"/>
      <c r="C11" s="453" t="s">
        <v>474</v>
      </c>
      <c r="D11" s="453" t="s">
        <v>732</v>
      </c>
      <c r="E11" s="543" t="s">
        <v>363</v>
      </c>
      <c r="F11" s="506" t="s">
        <v>733</v>
      </c>
      <c r="G11" s="496"/>
      <c r="H11" s="544"/>
      <c r="I11" s="544">
        <v>10954.8</v>
      </c>
      <c r="J11" s="546">
        <v>21603</v>
      </c>
      <c r="K11" s="630">
        <v>12097</v>
      </c>
      <c r="L11" s="630">
        <v>11169</v>
      </c>
      <c r="M11" s="599">
        <v>11640</v>
      </c>
      <c r="N11" s="599">
        <v>11631</v>
      </c>
      <c r="O11" s="599">
        <v>11826</v>
      </c>
      <c r="P11" s="599">
        <v>16195.74</v>
      </c>
      <c r="Q11" s="599">
        <v>0</v>
      </c>
      <c r="R11" s="599">
        <v>0</v>
      </c>
      <c r="S11" s="599">
        <v>0</v>
      </c>
      <c r="T11" s="544"/>
      <c r="U11" s="548"/>
      <c r="V11" s="544"/>
      <c r="W11" s="548"/>
      <c r="X11" s="544"/>
      <c r="Y11" s="548"/>
      <c r="Z11" s="544"/>
      <c r="AA11" s="528"/>
      <c r="AB11" s="528"/>
      <c r="AC11" s="528"/>
      <c r="AD11" s="528"/>
    </row>
    <row r="12" spans="1:30" ht="24" customHeight="1" x14ac:dyDescent="0.3">
      <c r="A12" s="528"/>
      <c r="B12" s="529"/>
      <c r="C12" s="453"/>
      <c r="D12" s="453"/>
      <c r="E12" s="543"/>
      <c r="F12" s="506" t="s">
        <v>734</v>
      </c>
      <c r="G12" s="496"/>
      <c r="H12" s="544"/>
      <c r="I12" s="544">
        <f>I11*D31</f>
        <v>6659.4229199999991</v>
      </c>
      <c r="J12" s="546"/>
      <c r="K12" s="630"/>
      <c r="L12" s="630"/>
      <c r="M12" s="599"/>
      <c r="N12" s="599"/>
      <c r="O12" s="599"/>
      <c r="P12" s="599"/>
      <c r="Q12" s="599"/>
      <c r="R12" s="599"/>
      <c r="S12" s="599"/>
      <c r="T12" s="544"/>
      <c r="U12" s="548"/>
      <c r="V12" s="544"/>
      <c r="W12" s="548"/>
      <c r="X12" s="544"/>
      <c r="Y12" s="548"/>
      <c r="Z12" s="544"/>
      <c r="AA12" s="528"/>
      <c r="AB12" s="528"/>
      <c r="AC12" s="528"/>
      <c r="AD12" s="528"/>
    </row>
    <row r="13" spans="1:30" ht="24" customHeight="1" x14ac:dyDescent="0.3">
      <c r="A13" s="528"/>
      <c r="B13" s="529"/>
      <c r="C13" s="453" t="s">
        <v>478</v>
      </c>
      <c r="D13" s="453"/>
      <c r="E13" s="543" t="s">
        <v>385</v>
      </c>
      <c r="F13" s="506" t="s">
        <v>735</v>
      </c>
      <c r="G13" s="496"/>
      <c r="H13" s="544"/>
      <c r="I13" s="545">
        <f>I12*1000</f>
        <v>6659422.919999999</v>
      </c>
      <c r="J13" s="546"/>
      <c r="K13" s="630"/>
      <c r="L13" s="630"/>
      <c r="M13" s="599"/>
      <c r="N13" s="599"/>
      <c r="O13" s="599"/>
      <c r="P13" s="599"/>
      <c r="Q13" s="1260"/>
      <c r="R13" s="599"/>
      <c r="S13" s="599"/>
      <c r="T13" s="544"/>
      <c r="U13" s="548"/>
      <c r="V13" s="544"/>
      <c r="W13" s="548"/>
      <c r="X13" s="544"/>
      <c r="Y13" s="548"/>
      <c r="Z13" s="544"/>
      <c r="AA13" s="528"/>
      <c r="AB13" s="528"/>
      <c r="AC13" s="528"/>
      <c r="AD13" s="528"/>
    </row>
    <row r="14" spans="1:30" ht="30" customHeight="1" x14ac:dyDescent="0.3">
      <c r="A14" s="528"/>
      <c r="B14" s="529"/>
      <c r="C14" s="531" t="s">
        <v>474</v>
      </c>
      <c r="D14" s="531" t="s">
        <v>736</v>
      </c>
      <c r="E14" s="532" t="s">
        <v>737</v>
      </c>
      <c r="F14" s="533" t="s">
        <v>738</v>
      </c>
      <c r="G14" s="549"/>
      <c r="H14" s="550"/>
      <c r="I14" s="550">
        <v>41394049</v>
      </c>
      <c r="J14" s="631">
        <v>101913130</v>
      </c>
      <c r="K14" s="631">
        <v>112348548</v>
      </c>
      <c r="L14" s="631">
        <f>141769.73*1000</f>
        <v>141769730</v>
      </c>
      <c r="M14" s="603">
        <f>101567*1000</f>
        <v>101567000</v>
      </c>
      <c r="N14" s="603">
        <f>107683*1000</f>
        <v>107683000</v>
      </c>
      <c r="O14" s="603">
        <f>108617.34*1000</f>
        <v>108617340</v>
      </c>
      <c r="P14" s="1261" t="s">
        <v>739</v>
      </c>
      <c r="Q14" s="1262">
        <f>(R14/R10)*Q10</f>
        <v>119803431.08817756</v>
      </c>
      <c r="R14" s="683">
        <f>111379*1000</f>
        <v>111379000</v>
      </c>
      <c r="S14" s="603"/>
      <c r="T14" s="550"/>
      <c r="U14" s="542"/>
      <c r="V14" s="550"/>
      <c r="W14" s="542"/>
      <c r="X14" s="550"/>
      <c r="Y14" s="542"/>
      <c r="Z14" s="550"/>
      <c r="AA14" s="528"/>
      <c r="AB14" s="528"/>
      <c r="AC14" s="528"/>
      <c r="AD14" s="528"/>
    </row>
    <row r="15" spans="1:30" ht="30" customHeight="1" x14ac:dyDescent="0.3">
      <c r="A15" s="528"/>
      <c r="B15" s="529"/>
      <c r="C15" s="1263" t="s">
        <v>478</v>
      </c>
      <c r="D15" s="1264" t="s">
        <v>740</v>
      </c>
      <c r="E15" s="1265" t="s">
        <v>453</v>
      </c>
      <c r="F15" s="1266" t="s">
        <v>741</v>
      </c>
      <c r="G15" s="1267"/>
      <c r="H15" s="548"/>
      <c r="I15" s="1241">
        <f>I14/$Q$14</f>
        <v>0.3455163898397301</v>
      </c>
      <c r="J15" s="4175">
        <f t="shared" ref="J15:O15" si="0">J14/$Q$14</f>
        <v>0.85066954322026078</v>
      </c>
      <c r="K15" s="4175">
        <f t="shared" si="0"/>
        <v>0.93777404352726235</v>
      </c>
      <c r="L15" s="4175">
        <f t="shared" si="0"/>
        <v>1.1833528364947647</v>
      </c>
      <c r="M15" s="4175">
        <f t="shared" si="0"/>
        <v>0.84778039391246474</v>
      </c>
      <c r="N15" s="4175">
        <f t="shared" si="0"/>
        <v>0.89883068474677741</v>
      </c>
      <c r="O15" s="4175">
        <f t="shared" si="0"/>
        <v>0.90662962665948699</v>
      </c>
      <c r="P15" s="4175" t="s">
        <v>739</v>
      </c>
      <c r="Q15" s="4175">
        <f>Q14/$Q$14</f>
        <v>1</v>
      </c>
      <c r="R15" s="544"/>
      <c r="S15" s="544"/>
      <c r="T15" s="544"/>
      <c r="U15" s="548"/>
      <c r="V15" s="544"/>
      <c r="W15" s="548"/>
      <c r="X15" s="544"/>
      <c r="Y15" s="548"/>
      <c r="Z15" s="544"/>
      <c r="AA15" s="528"/>
      <c r="AB15" s="528"/>
      <c r="AC15" s="528"/>
      <c r="AD15" s="528"/>
    </row>
    <row r="16" spans="1:30" ht="24" customHeight="1" x14ac:dyDescent="0.3">
      <c r="A16" s="528"/>
      <c r="B16" s="529"/>
      <c r="C16" s="531" t="s">
        <v>478</v>
      </c>
      <c r="D16" s="531" t="s">
        <v>742</v>
      </c>
      <c r="E16" s="532" t="s">
        <v>350</v>
      </c>
      <c r="F16" s="533"/>
      <c r="G16" s="549"/>
      <c r="H16" s="550"/>
      <c r="I16" s="678">
        <f>Q10*I15</f>
        <v>349895.46456455882</v>
      </c>
      <c r="J16" s="631"/>
      <c r="K16" s="631"/>
      <c r="L16" s="631"/>
      <c r="M16" s="550"/>
      <c r="N16" s="550"/>
      <c r="O16" s="550"/>
      <c r="P16" s="550"/>
      <c r="Q16" s="550"/>
      <c r="R16" s="550"/>
      <c r="S16" s="550"/>
      <c r="T16" s="550"/>
      <c r="U16" s="542"/>
      <c r="V16" s="550"/>
      <c r="W16" s="542"/>
      <c r="X16" s="550"/>
      <c r="Y16" s="542"/>
      <c r="Z16" s="550"/>
      <c r="AA16" s="528"/>
      <c r="AB16" s="528"/>
      <c r="AC16" s="528"/>
      <c r="AD16" s="528"/>
    </row>
    <row r="17" spans="1:30" ht="24" customHeight="1" x14ac:dyDescent="0.3">
      <c r="A17" s="528"/>
      <c r="B17" s="529"/>
      <c r="C17" s="453"/>
      <c r="D17" s="453"/>
      <c r="E17" s="543"/>
      <c r="F17" s="506"/>
      <c r="G17" s="496"/>
      <c r="H17" s="544"/>
      <c r="I17" s="1047"/>
      <c r="J17" s="630"/>
      <c r="K17" s="630"/>
      <c r="L17" s="630"/>
      <c r="M17" s="544"/>
      <c r="N17" s="544"/>
      <c r="O17" s="544"/>
      <c r="P17" s="544"/>
      <c r="Q17" s="544"/>
      <c r="R17" s="544"/>
      <c r="S17" s="544"/>
      <c r="T17" s="544"/>
      <c r="U17" s="548"/>
      <c r="V17" s="544"/>
      <c r="W17" s="548"/>
      <c r="X17" s="544"/>
      <c r="Y17" s="548"/>
      <c r="Z17" s="544"/>
      <c r="AA17" s="528"/>
      <c r="AB17" s="528"/>
      <c r="AC17" s="528"/>
      <c r="AD17" s="528"/>
    </row>
    <row r="18" spans="1:30" ht="24" customHeight="1" x14ac:dyDescent="0.3">
      <c r="A18" s="528"/>
      <c r="B18" s="1268">
        <v>2</v>
      </c>
      <c r="C18" s="1269" t="s">
        <v>474</v>
      </c>
      <c r="D18" s="1269" t="s">
        <v>743</v>
      </c>
      <c r="E18" s="1270" t="s">
        <v>353</v>
      </c>
      <c r="F18" s="1271"/>
      <c r="G18" s="1272" t="s">
        <v>744</v>
      </c>
      <c r="H18" s="1273"/>
      <c r="I18" s="1274">
        <v>9662208</v>
      </c>
      <c r="J18" s="4176">
        <v>20892288</v>
      </c>
      <c r="K18" s="4176">
        <v>22497024</v>
      </c>
      <c r="L18" s="4176">
        <v>13844064</v>
      </c>
      <c r="M18" s="4176">
        <v>10563000</v>
      </c>
      <c r="N18" s="1273"/>
      <c r="O18" s="1273"/>
      <c r="P18" s="1273"/>
      <c r="Q18" s="1273"/>
      <c r="R18" s="1273"/>
      <c r="S18" s="1273"/>
      <c r="T18" s="1273"/>
      <c r="U18" s="1275"/>
      <c r="V18" s="1273"/>
      <c r="W18" s="1275"/>
      <c r="X18" s="1273"/>
      <c r="Y18" s="1275"/>
      <c r="Z18" s="1273"/>
      <c r="AA18" s="528"/>
      <c r="AB18" s="528"/>
      <c r="AC18" s="528"/>
      <c r="AD18" s="528"/>
    </row>
    <row r="19" spans="1:30" ht="24" customHeight="1" x14ac:dyDescent="0.3">
      <c r="A19" s="528"/>
      <c r="B19" s="529"/>
      <c r="C19" s="453" t="s">
        <v>478</v>
      </c>
      <c r="D19" s="453" t="s">
        <v>745</v>
      </c>
      <c r="E19" s="543" t="s">
        <v>453</v>
      </c>
      <c r="F19" s="506"/>
      <c r="G19" s="496"/>
      <c r="H19" s="544"/>
      <c r="I19" s="1276">
        <f>J19</f>
        <v>0.41456381075114646</v>
      </c>
      <c r="J19" s="4177">
        <f>K19</f>
        <v>0.41456381075114646</v>
      </c>
      <c r="K19" s="4177">
        <f>K20/K18</f>
        <v>0.41456381075114646</v>
      </c>
      <c r="L19" s="630"/>
      <c r="M19" s="544"/>
      <c r="N19" s="544"/>
      <c r="O19" s="544"/>
      <c r="P19" s="544"/>
      <c r="Q19" s="544"/>
      <c r="R19" s="544"/>
      <c r="S19" s="544"/>
      <c r="T19" s="544"/>
      <c r="U19" s="548"/>
      <c r="V19" s="544"/>
      <c r="W19" s="548"/>
      <c r="X19" s="544"/>
      <c r="Y19" s="548"/>
      <c r="Z19" s="544"/>
      <c r="AA19" s="528"/>
      <c r="AB19" s="528"/>
      <c r="AC19" s="528"/>
      <c r="AD19" s="528"/>
    </row>
    <row r="20" spans="1:30" ht="31.2" customHeight="1" x14ac:dyDescent="0.3">
      <c r="A20" s="528"/>
      <c r="B20" s="529"/>
      <c r="C20" s="453" t="s">
        <v>474</v>
      </c>
      <c r="D20" s="453" t="s">
        <v>746</v>
      </c>
      <c r="E20" s="543" t="s">
        <v>353</v>
      </c>
      <c r="F20" s="506" t="s">
        <v>747</v>
      </c>
      <c r="G20" s="496"/>
      <c r="H20" s="544"/>
      <c r="I20" s="1277">
        <f>I18*$K$19</f>
        <v>4005601.7687502131</v>
      </c>
      <c r="J20" s="4178">
        <f>J18*$K$19</f>
        <v>8661186.5285904482</v>
      </c>
      <c r="K20" s="4178">
        <v>9326452</v>
      </c>
      <c r="L20" s="630"/>
      <c r="M20" s="544"/>
      <c r="N20" s="544"/>
      <c r="O20" s="544"/>
      <c r="P20" s="544"/>
      <c r="Q20" s="544"/>
      <c r="R20" s="544"/>
      <c r="S20" s="544"/>
      <c r="T20" s="544"/>
      <c r="U20" s="548"/>
      <c r="V20" s="544"/>
      <c r="W20" s="548"/>
      <c r="X20" s="544"/>
      <c r="Y20" s="548"/>
      <c r="Z20" s="544"/>
      <c r="AA20" s="528"/>
      <c r="AB20" s="528"/>
      <c r="AC20" s="528"/>
      <c r="AD20" s="528"/>
    </row>
    <row r="21" spans="1:30" ht="31.2" customHeight="1" x14ac:dyDescent="0.3">
      <c r="A21" s="528"/>
      <c r="B21" s="529"/>
      <c r="C21" s="531" t="s">
        <v>478</v>
      </c>
      <c r="D21" s="531" t="s">
        <v>748</v>
      </c>
      <c r="E21" s="532" t="s">
        <v>749</v>
      </c>
      <c r="F21" s="533" t="s">
        <v>750</v>
      </c>
      <c r="G21" s="551"/>
      <c r="H21" s="1278"/>
      <c r="I21" s="1279">
        <v>569741.85523368767</v>
      </c>
      <c r="J21" s="631">
        <v>1231934.8667712919</v>
      </c>
      <c r="K21" s="631">
        <v>1326559.7460742719</v>
      </c>
      <c r="L21" s="631"/>
      <c r="M21" s="550"/>
      <c r="N21" s="550"/>
      <c r="O21" s="550"/>
      <c r="P21" s="550"/>
      <c r="Q21" s="550"/>
      <c r="R21" s="550"/>
      <c r="S21" s="550"/>
      <c r="T21" s="550"/>
      <c r="U21" s="550"/>
      <c r="V21" s="550"/>
      <c r="W21" s="542"/>
      <c r="X21" s="550"/>
      <c r="Y21" s="550"/>
      <c r="Z21" s="550"/>
      <c r="AA21" s="528"/>
      <c r="AB21" s="528"/>
      <c r="AC21" s="528"/>
      <c r="AD21" s="528"/>
    </row>
    <row r="22" spans="1:30" ht="31.2" customHeight="1" x14ac:dyDescent="0.3">
      <c r="A22" s="528"/>
      <c r="B22" s="1280"/>
      <c r="C22" s="1099" t="s">
        <v>478</v>
      </c>
      <c r="D22" s="1281" t="s">
        <v>751</v>
      </c>
      <c r="E22" s="1100" t="s">
        <v>350</v>
      </c>
      <c r="F22" s="1281" t="s">
        <v>1727</v>
      </c>
      <c r="G22" s="1282"/>
      <c r="H22" s="1278"/>
      <c r="I22" s="4174">
        <f t="shared" ref="I22:J22" si="1">I21*$E$32</f>
        <v>455793.48418695014</v>
      </c>
      <c r="J22" s="4179">
        <f t="shared" si="1"/>
        <v>985547.8934170336</v>
      </c>
      <c r="K22" s="4179">
        <f>K21*$E$32</f>
        <v>1061247.7968594176</v>
      </c>
      <c r="L22" s="4180"/>
      <c r="M22" s="1278"/>
      <c r="N22" s="1278"/>
      <c r="O22" s="1278"/>
      <c r="P22" s="1278"/>
      <c r="Q22" s="1278"/>
      <c r="R22" s="1278"/>
      <c r="S22" s="1278"/>
      <c r="T22" s="1278"/>
      <c r="U22" s="1283"/>
      <c r="V22" s="1278"/>
      <c r="W22" s="1278"/>
      <c r="X22" s="1278"/>
      <c r="Y22" s="1278"/>
      <c r="Z22" s="1278"/>
      <c r="AA22" s="528"/>
      <c r="AB22" s="528"/>
      <c r="AC22" s="528"/>
      <c r="AD22" s="528"/>
    </row>
    <row r="23" spans="1:30" ht="15.75" customHeight="1" x14ac:dyDescent="0.3">
      <c r="A23" s="528"/>
      <c r="B23" s="558"/>
      <c r="C23" s="528"/>
      <c r="D23" s="528"/>
      <c r="E23" s="528"/>
      <c r="F23" s="528"/>
      <c r="G23" s="479"/>
      <c r="H23" s="479"/>
      <c r="I23" s="479"/>
      <c r="J23" s="479"/>
      <c r="K23" s="479"/>
      <c r="L23" s="479"/>
      <c r="M23" s="559"/>
      <c r="N23" s="559"/>
      <c r="O23" s="559"/>
      <c r="P23" s="559"/>
      <c r="Q23" s="559"/>
      <c r="R23" s="559"/>
      <c r="S23" s="559"/>
      <c r="T23" s="559"/>
      <c r="U23" s="559"/>
      <c r="V23" s="559"/>
      <c r="W23" s="559"/>
      <c r="X23" s="559"/>
      <c r="Y23" s="559"/>
      <c r="Z23" s="559"/>
      <c r="AA23" s="528"/>
      <c r="AB23" s="528"/>
      <c r="AC23" s="528"/>
      <c r="AD23" s="528"/>
    </row>
    <row r="24" spans="1:30" ht="15.75" customHeight="1" x14ac:dyDescent="0.3">
      <c r="A24" s="528"/>
      <c r="B24" s="560" t="s">
        <v>355</v>
      </c>
      <c r="C24" s="561" t="s">
        <v>356</v>
      </c>
      <c r="D24" s="528"/>
      <c r="E24" s="528"/>
      <c r="F24" s="528"/>
      <c r="G24" s="479"/>
      <c r="H24" s="479"/>
      <c r="I24" s="479"/>
      <c r="J24" s="479"/>
      <c r="K24" s="479"/>
      <c r="L24" s="479"/>
      <c r="M24" s="559"/>
      <c r="N24" s="559"/>
      <c r="O24" s="559"/>
      <c r="P24" s="559"/>
      <c r="Q24" s="559"/>
      <c r="R24" s="559"/>
      <c r="S24" s="559"/>
      <c r="T24" s="559"/>
      <c r="U24" s="559"/>
      <c r="V24" s="559"/>
      <c r="W24" s="559"/>
      <c r="X24" s="559"/>
      <c r="Y24" s="559"/>
      <c r="Z24" s="559"/>
      <c r="AA24" s="528"/>
      <c r="AB24" s="528"/>
      <c r="AC24" s="528"/>
      <c r="AD24" s="528"/>
    </row>
    <row r="25" spans="1:30" ht="15.75" customHeight="1" x14ac:dyDescent="0.3">
      <c r="A25" s="528"/>
      <c r="B25" s="558"/>
      <c r="C25" s="528"/>
      <c r="D25" s="528"/>
      <c r="E25" s="528"/>
      <c r="F25" s="528"/>
      <c r="G25" s="479"/>
      <c r="H25" s="479"/>
      <c r="I25" s="479"/>
      <c r="J25" s="479"/>
      <c r="K25" s="479"/>
      <c r="L25" s="479"/>
      <c r="M25" s="559"/>
      <c r="N25" s="559"/>
      <c r="O25" s="559"/>
      <c r="P25" s="559"/>
      <c r="Q25" s="559"/>
      <c r="R25" s="559"/>
      <c r="S25" s="559"/>
      <c r="T25" s="559"/>
      <c r="U25" s="559"/>
      <c r="V25" s="559"/>
      <c r="W25" s="559"/>
      <c r="X25" s="559"/>
      <c r="Y25" s="559"/>
      <c r="Z25" s="559"/>
      <c r="AA25" s="528"/>
      <c r="AB25" s="528"/>
      <c r="AC25" s="528"/>
      <c r="AD25" s="528"/>
    </row>
    <row r="26" spans="1:30" ht="15.75" customHeight="1" x14ac:dyDescent="0.3">
      <c r="A26" s="528"/>
      <c r="B26" s="4383" t="s">
        <v>357</v>
      </c>
      <c r="C26" s="4384"/>
      <c r="D26" s="528"/>
      <c r="E26" s="528"/>
      <c r="F26" s="528"/>
      <c r="G26" s="479"/>
      <c r="H26" s="479"/>
      <c r="I26" s="479"/>
      <c r="J26" s="479"/>
      <c r="K26" s="479"/>
      <c r="L26" s="479"/>
      <c r="M26" s="559"/>
      <c r="N26" s="559"/>
      <c r="O26" s="559"/>
      <c r="P26" s="559"/>
      <c r="Q26" s="559"/>
      <c r="R26" s="559"/>
      <c r="S26" s="559"/>
      <c r="T26" s="559"/>
      <c r="U26" s="559"/>
      <c r="V26" s="559"/>
      <c r="W26" s="559"/>
      <c r="X26" s="559"/>
      <c r="Y26" s="559"/>
      <c r="Z26" s="559"/>
      <c r="AA26" s="528"/>
      <c r="AB26" s="528"/>
      <c r="AC26" s="528"/>
      <c r="AD26" s="528"/>
    </row>
    <row r="27" spans="1:30" ht="15.75" customHeight="1" x14ac:dyDescent="0.3">
      <c r="A27" s="528"/>
      <c r="B27" s="562" t="s">
        <v>365</v>
      </c>
      <c r="C27" s="1286" t="s">
        <v>752</v>
      </c>
      <c r="D27" s="1287"/>
      <c r="E27" s="1287"/>
      <c r="F27" s="1287"/>
      <c r="G27" s="479"/>
      <c r="H27" s="479"/>
      <c r="I27" s="479"/>
      <c r="J27" s="479"/>
      <c r="K27" s="479"/>
      <c r="L27" s="479"/>
      <c r="M27" s="559"/>
      <c r="N27" s="559"/>
      <c r="O27" s="559"/>
      <c r="P27" s="559"/>
      <c r="Q27" s="559"/>
      <c r="R27" s="559"/>
      <c r="S27" s="559"/>
      <c r="T27" s="559"/>
      <c r="U27" s="559"/>
      <c r="V27" s="559"/>
      <c r="W27" s="559"/>
      <c r="X27" s="559"/>
      <c r="Y27" s="559"/>
      <c r="Z27" s="559"/>
      <c r="AA27" s="528"/>
      <c r="AB27" s="528"/>
      <c r="AC27" s="528"/>
      <c r="AD27" s="528"/>
    </row>
    <row r="28" spans="1:30" ht="15.75" customHeight="1" x14ac:dyDescent="0.3">
      <c r="A28" s="528"/>
      <c r="B28" s="562"/>
      <c r="C28" s="1286" t="s">
        <v>753</v>
      </c>
      <c r="D28" s="1287"/>
      <c r="E28" s="1287"/>
      <c r="F28" s="1287"/>
      <c r="G28" s="479"/>
      <c r="H28" s="479"/>
      <c r="I28" s="479"/>
      <c r="J28" s="479"/>
      <c r="K28" s="479"/>
      <c r="L28" s="479"/>
      <c r="M28" s="559"/>
      <c r="N28" s="559"/>
      <c r="O28" s="559"/>
      <c r="P28" s="559"/>
      <c r="Q28" s="559"/>
      <c r="R28" s="559"/>
      <c r="S28" s="559"/>
      <c r="T28" s="559"/>
      <c r="U28" s="559"/>
      <c r="V28" s="559"/>
      <c r="W28" s="559"/>
      <c r="X28" s="559"/>
      <c r="Y28" s="559"/>
      <c r="Z28" s="559"/>
      <c r="AA28" s="528"/>
      <c r="AB28" s="528"/>
      <c r="AC28" s="528"/>
      <c r="AD28" s="528"/>
    </row>
    <row r="29" spans="1:30" ht="15.75" customHeight="1" x14ac:dyDescent="0.3">
      <c r="C29" s="1288" t="s">
        <v>754</v>
      </c>
      <c r="D29" s="1289"/>
      <c r="E29" s="1288"/>
      <c r="F29" s="1288"/>
    </row>
    <row r="30" spans="1:30" ht="15.75" customHeight="1" x14ac:dyDescent="0.3">
      <c r="C30" s="1290" t="s">
        <v>755</v>
      </c>
      <c r="D30" s="1291"/>
      <c r="E30" s="1290"/>
      <c r="F30" s="1290"/>
    </row>
    <row r="31" spans="1:30" ht="15.75" customHeight="1" x14ac:dyDescent="0.3">
      <c r="C31" s="1290" t="s">
        <v>756</v>
      </c>
      <c r="D31" s="1292">
        <v>0.6079</v>
      </c>
      <c r="E31" s="1290"/>
      <c r="F31" s="1290"/>
    </row>
    <row r="32" spans="1:30" ht="15.75" customHeight="1" x14ac:dyDescent="0.3">
      <c r="B32" s="562" t="s">
        <v>546</v>
      </c>
      <c r="C32" s="1290" t="s">
        <v>757</v>
      </c>
      <c r="D32" s="1291"/>
      <c r="E32" s="1291">
        <v>0.8</v>
      </c>
      <c r="F32" s="1290" t="s">
        <v>758</v>
      </c>
    </row>
    <row r="33" spans="2:26" ht="15.75" customHeight="1" x14ac:dyDescent="0.3"/>
    <row r="34" spans="2:26" ht="21" customHeight="1" x14ac:dyDescent="0.3">
      <c r="B34" s="519" t="s">
        <v>409</v>
      </c>
    </row>
    <row r="35" spans="2:26" ht="9" customHeight="1" x14ac:dyDescent="0.3">
      <c r="B35" s="519"/>
    </row>
    <row r="36" spans="2:26" ht="21" customHeight="1" x14ac:dyDescent="0.3">
      <c r="B36" s="517" t="s">
        <v>410</v>
      </c>
      <c r="C36" s="518"/>
      <c r="D36" s="518"/>
    </row>
    <row r="37" spans="2:26" ht="12" customHeight="1" x14ac:dyDescent="0.3"/>
    <row r="38" spans="2:26" ht="15.75" customHeight="1" x14ac:dyDescent="0.3">
      <c r="B38" s="521" t="s">
        <v>301</v>
      </c>
      <c r="C38" s="522" t="s">
        <v>343</v>
      </c>
      <c r="D38" s="523" t="s">
        <v>344</v>
      </c>
      <c r="E38" s="523" t="s">
        <v>345</v>
      </c>
      <c r="F38" s="523" t="s">
        <v>346</v>
      </c>
      <c r="G38" s="524" t="s">
        <v>347</v>
      </c>
      <c r="H38" s="525">
        <v>2025</v>
      </c>
      <c r="I38" s="525">
        <v>2024</v>
      </c>
      <c r="J38" s="525">
        <v>2023</v>
      </c>
      <c r="K38" s="525">
        <v>2022</v>
      </c>
      <c r="L38" s="525">
        <v>2021</v>
      </c>
      <c r="M38" s="525">
        <v>2020</v>
      </c>
      <c r="N38" s="525">
        <v>2019</v>
      </c>
      <c r="O38" s="526">
        <v>2018</v>
      </c>
      <c r="P38" s="526">
        <v>2017</v>
      </c>
      <c r="Q38" s="526">
        <v>2016</v>
      </c>
      <c r="R38" s="526">
        <v>2015</v>
      </c>
      <c r="S38" s="526">
        <v>2014</v>
      </c>
      <c r="T38" s="526">
        <v>2013</v>
      </c>
      <c r="U38" s="526">
        <v>2012</v>
      </c>
      <c r="V38" s="526">
        <v>2011</v>
      </c>
      <c r="W38" s="526">
        <v>2010</v>
      </c>
      <c r="X38" s="526">
        <v>2009</v>
      </c>
      <c r="Y38" s="526">
        <v>2008</v>
      </c>
      <c r="Z38" s="527" t="s">
        <v>332</v>
      </c>
    </row>
    <row r="39" spans="2:26" ht="24" customHeight="1" x14ac:dyDescent="0.3">
      <c r="B39" s="529">
        <v>1</v>
      </c>
      <c r="C39" s="530" t="s">
        <v>474</v>
      </c>
      <c r="D39" s="531" t="s">
        <v>759</v>
      </c>
      <c r="E39" s="532" t="s">
        <v>363</v>
      </c>
      <c r="F39" s="531"/>
      <c r="G39" s="534">
        <v>2017</v>
      </c>
      <c r="H39" s="635"/>
      <c r="I39" s="1284">
        <v>0.68</v>
      </c>
      <c r="J39" s="540">
        <v>3.0150000000000001</v>
      </c>
      <c r="K39" s="597">
        <v>4</v>
      </c>
      <c r="L39" s="597">
        <v>4.5</v>
      </c>
      <c r="M39" s="597">
        <v>3.57</v>
      </c>
      <c r="N39" s="597">
        <v>2.76</v>
      </c>
      <c r="O39" s="597">
        <v>2.5499999999999998</v>
      </c>
      <c r="P39" s="597">
        <v>0</v>
      </c>
      <c r="Q39" s="597"/>
      <c r="R39" s="597"/>
      <c r="S39" s="597"/>
      <c r="T39" s="597"/>
      <c r="U39" s="598"/>
      <c r="V39" s="597"/>
      <c r="W39" s="598"/>
      <c r="X39" s="535"/>
      <c r="Y39" s="542"/>
      <c r="Z39" s="535"/>
    </row>
    <row r="40" spans="2:26" ht="24" customHeight="1" x14ac:dyDescent="0.3">
      <c r="B40" s="529">
        <v>2</v>
      </c>
      <c r="C40" s="453" t="s">
        <v>474</v>
      </c>
      <c r="D40" s="453" t="s">
        <v>760</v>
      </c>
      <c r="E40" s="543" t="s">
        <v>363</v>
      </c>
      <c r="F40" s="453"/>
      <c r="G40" s="479">
        <v>2017</v>
      </c>
      <c r="H40" s="638"/>
      <c r="I40" s="1285">
        <f>I11+7560.4</f>
        <v>18515.199999999997</v>
      </c>
      <c r="J40" s="547">
        <v>77371</v>
      </c>
      <c r="K40" s="599">
        <v>43944</v>
      </c>
      <c r="L40" s="599">
        <v>0</v>
      </c>
      <c r="M40" s="599">
        <v>34950</v>
      </c>
      <c r="N40" s="599">
        <v>29233</v>
      </c>
      <c r="O40" s="599">
        <v>40074</v>
      </c>
      <c r="P40" s="599">
        <v>45174.63</v>
      </c>
      <c r="Q40" s="599">
        <v>69270.3</v>
      </c>
      <c r="R40" s="599">
        <v>68827.929999999993</v>
      </c>
      <c r="S40" s="599">
        <v>76382.67</v>
      </c>
      <c r="T40" s="599">
        <v>78254.11</v>
      </c>
      <c r="U40" s="600">
        <v>27862.92</v>
      </c>
      <c r="V40" s="599">
        <v>65959.13</v>
      </c>
      <c r="W40" s="600">
        <v>63492.33</v>
      </c>
      <c r="X40" s="544"/>
      <c r="Y40" s="548"/>
      <c r="Z40" s="544"/>
    </row>
    <row r="41" spans="2:26" ht="24" customHeight="1" x14ac:dyDescent="0.3">
      <c r="B41" s="529"/>
      <c r="C41" s="531" t="s">
        <v>474</v>
      </c>
      <c r="D41" s="531" t="s">
        <v>761</v>
      </c>
      <c r="E41" s="532" t="s">
        <v>363</v>
      </c>
      <c r="F41" s="531"/>
      <c r="G41" s="639">
        <v>2017</v>
      </c>
      <c r="H41" s="640"/>
      <c r="I41" s="640"/>
      <c r="J41" s="603"/>
      <c r="K41" s="603"/>
      <c r="L41" s="603"/>
      <c r="M41" s="603"/>
      <c r="N41" s="603">
        <v>2019</v>
      </c>
      <c r="O41" s="603"/>
      <c r="P41" s="603"/>
      <c r="Q41" s="603"/>
      <c r="R41" s="603"/>
      <c r="S41" s="603"/>
      <c r="T41" s="603"/>
      <c r="U41" s="598"/>
      <c r="V41" s="603"/>
      <c r="W41" s="598"/>
      <c r="X41" s="550"/>
      <c r="Y41" s="542"/>
      <c r="Z41" s="550"/>
    </row>
    <row r="42" spans="2:26" ht="24" customHeight="1" x14ac:dyDescent="0.3">
      <c r="B42" s="529"/>
      <c r="C42" s="453"/>
      <c r="D42" s="453"/>
      <c r="E42" s="543"/>
      <c r="F42" s="453"/>
      <c r="G42" s="479"/>
      <c r="H42" s="638"/>
      <c r="I42" s="638"/>
      <c r="J42" s="544"/>
      <c r="K42" s="544"/>
      <c r="L42" s="544"/>
      <c r="M42" s="544"/>
      <c r="N42" s="544"/>
      <c r="O42" s="544"/>
      <c r="P42" s="544"/>
      <c r="Q42" s="544"/>
      <c r="R42" s="544"/>
      <c r="S42" s="544"/>
      <c r="T42" s="544"/>
      <c r="U42" s="548"/>
      <c r="V42" s="544"/>
      <c r="W42" s="548"/>
      <c r="X42" s="544"/>
      <c r="Y42" s="548"/>
      <c r="Z42" s="544"/>
    </row>
    <row r="43" spans="2:26" ht="24" customHeight="1" x14ac:dyDescent="0.3">
      <c r="B43" s="529"/>
      <c r="C43" s="531"/>
      <c r="D43" s="531"/>
      <c r="E43" s="532"/>
      <c r="F43" s="531"/>
      <c r="G43" s="641"/>
      <c r="H43" s="640"/>
      <c r="I43" s="640"/>
      <c r="J43" s="642"/>
      <c r="K43" s="642"/>
      <c r="L43" s="642"/>
      <c r="M43" s="642"/>
      <c r="N43" s="642"/>
      <c r="O43" s="642"/>
      <c r="P43" s="642"/>
      <c r="Q43" s="642"/>
      <c r="R43" s="642"/>
      <c r="S43" s="643"/>
      <c r="T43" s="643"/>
      <c r="U43" s="644"/>
      <c r="V43" s="643"/>
      <c r="W43" s="644"/>
      <c r="X43" s="643"/>
      <c r="Y43" s="644"/>
      <c r="Z43" s="550"/>
    </row>
    <row r="44" spans="2:26" ht="24" customHeight="1" x14ac:dyDescent="0.3">
      <c r="B44" s="552"/>
      <c r="C44" s="462"/>
      <c r="D44" s="462"/>
      <c r="E44" s="553"/>
      <c r="F44" s="462"/>
      <c r="G44" s="645"/>
      <c r="H44" s="646"/>
      <c r="I44" s="646"/>
      <c r="J44" s="556"/>
      <c r="K44" s="556"/>
      <c r="L44" s="556"/>
      <c r="M44" s="556"/>
      <c r="N44" s="556"/>
      <c r="O44" s="556"/>
      <c r="P44" s="556"/>
      <c r="Q44" s="556"/>
      <c r="R44" s="556"/>
      <c r="S44" s="556"/>
      <c r="T44" s="556"/>
      <c r="U44" s="557"/>
      <c r="V44" s="556"/>
      <c r="W44" s="557"/>
      <c r="X44" s="556"/>
      <c r="Y44" s="557"/>
      <c r="Z44" s="556"/>
    </row>
    <row r="45" spans="2:26" ht="15.75" customHeight="1" x14ac:dyDescent="0.3"/>
    <row r="46" spans="2:26" ht="15.75" customHeight="1" x14ac:dyDescent="0.3">
      <c r="B46" s="560" t="s">
        <v>355</v>
      </c>
      <c r="C46" s="561" t="s">
        <v>356</v>
      </c>
    </row>
    <row r="47" spans="2:26" ht="15.75" customHeight="1" x14ac:dyDescent="0.3"/>
    <row r="48" spans="2:26" ht="15.75" customHeight="1" x14ac:dyDescent="0.3">
      <c r="B48" s="4383" t="s">
        <v>357</v>
      </c>
      <c r="C48" s="4384"/>
    </row>
    <row r="49" spans="2:3" ht="15.75" customHeight="1" x14ac:dyDescent="0.3">
      <c r="B49" s="562" t="s">
        <v>365</v>
      </c>
      <c r="C49" s="428" t="s">
        <v>762</v>
      </c>
    </row>
    <row r="50" spans="2:3" ht="15.75" customHeight="1" x14ac:dyDescent="0.3">
      <c r="B50" s="562" t="s">
        <v>546</v>
      </c>
      <c r="C50" s="428" t="s">
        <v>763</v>
      </c>
    </row>
    <row r="51" spans="2:3" ht="15.75" customHeight="1" x14ac:dyDescent="0.3"/>
    <row r="52" spans="2:3" ht="15.75" customHeight="1" x14ac:dyDescent="0.3"/>
    <row r="53" spans="2:3" ht="15.75" customHeight="1" x14ac:dyDescent="0.3"/>
    <row r="54" spans="2:3" ht="15.75" customHeight="1" x14ac:dyDescent="0.3"/>
    <row r="55" spans="2:3" ht="15.75" customHeight="1" x14ac:dyDescent="0.3"/>
    <row r="56" spans="2:3" ht="15.75" customHeight="1" x14ac:dyDescent="0.3"/>
    <row r="57" spans="2:3" ht="15.75" customHeight="1" x14ac:dyDescent="0.3"/>
    <row r="58" spans="2:3" ht="15.75" customHeight="1" x14ac:dyDescent="0.3"/>
    <row r="59" spans="2:3" ht="15.75" customHeight="1" x14ac:dyDescent="0.3"/>
    <row r="60" spans="2:3" ht="15.75" customHeight="1" x14ac:dyDescent="0.3"/>
    <row r="61" spans="2:3" ht="15.75" customHeight="1" x14ac:dyDescent="0.3"/>
    <row r="62" spans="2:3" ht="15.75" customHeight="1" x14ac:dyDescent="0.3"/>
    <row r="63" spans="2:3" ht="15.75" customHeight="1" x14ac:dyDescent="0.3"/>
    <row r="64" spans="2:3"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sheetData>
  <mergeCells count="2">
    <mergeCell ref="B26:C26"/>
    <mergeCell ref="B48:C48"/>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0430-B2D8-41E7-8777-0C28EC7348E0}">
  <dimension ref="A1:K981"/>
  <sheetViews>
    <sheetView topLeftCell="A15" workbookViewId="0">
      <selection activeCell="C25" sqref="C25"/>
    </sheetView>
  </sheetViews>
  <sheetFormatPr defaultColWidth="12.44140625" defaultRowHeight="15" customHeight="1" x14ac:dyDescent="0.3"/>
  <cols>
    <col min="1" max="1" width="2.6640625" style="691" customWidth="1"/>
    <col min="2" max="2" width="35.109375" style="691" customWidth="1"/>
    <col min="3" max="3" width="20.21875" style="691" customWidth="1"/>
    <col min="4" max="4" width="1.5546875" style="691" customWidth="1"/>
    <col min="5" max="5" width="14.6640625" style="691" customWidth="1"/>
    <col min="6" max="6" width="7.33203125" style="691" customWidth="1"/>
    <col min="7" max="7" width="34" style="691" customWidth="1"/>
    <col min="8" max="8" width="21.109375" style="691" customWidth="1"/>
    <col min="9" max="9" width="1.5546875" style="691" customWidth="1"/>
    <col min="10" max="10" width="15.21875" style="691" customWidth="1"/>
    <col min="11" max="11" width="11.6640625" style="691" customWidth="1"/>
    <col min="12" max="16384" width="12.44140625" style="691"/>
  </cols>
  <sheetData>
    <row r="1" spans="1:11" ht="21.75" customHeight="1" x14ac:dyDescent="0.35">
      <c r="A1" s="687"/>
      <c r="B1" s="688" t="s">
        <v>549</v>
      </c>
      <c r="D1" s="690"/>
      <c r="F1" s="690"/>
      <c r="I1" s="690"/>
    </row>
    <row r="2" spans="1:11" ht="15.75" customHeight="1" x14ac:dyDescent="0.3">
      <c r="A2" s="687"/>
      <c r="B2" s="692" t="s">
        <v>299</v>
      </c>
      <c r="C2" s="693"/>
      <c r="D2" s="693"/>
      <c r="E2" s="693"/>
      <c r="F2" s="693"/>
      <c r="G2" s="693"/>
      <c r="H2" s="693"/>
      <c r="I2" s="693"/>
      <c r="J2" s="693"/>
    </row>
    <row r="3" spans="1:11" ht="9.75" customHeight="1" x14ac:dyDescent="0.3">
      <c r="A3" s="690"/>
      <c r="B3" s="694"/>
      <c r="D3" s="690"/>
      <c r="F3" s="690"/>
      <c r="I3" s="690"/>
    </row>
    <row r="4" spans="1:11" ht="6" customHeight="1" x14ac:dyDescent="0.3">
      <c r="B4" s="690"/>
      <c r="D4" s="690"/>
      <c r="F4" s="690"/>
      <c r="I4" s="690"/>
    </row>
    <row r="5" spans="1:11" ht="6" customHeight="1" x14ac:dyDescent="0.3">
      <c r="A5" s="694"/>
      <c r="D5" s="690"/>
      <c r="F5" s="690"/>
      <c r="I5" s="690"/>
    </row>
    <row r="6" spans="1:11" ht="15.75" customHeight="1" x14ac:dyDescent="0.3">
      <c r="C6" s="691">
        <v>1000000</v>
      </c>
      <c r="D6" s="690"/>
      <c r="E6" s="690"/>
      <c r="F6" s="690"/>
      <c r="I6" s="690"/>
    </row>
    <row r="7" spans="1:11" ht="37.200000000000003" customHeight="1" x14ac:dyDescent="0.3">
      <c r="A7" s="695"/>
      <c r="B7" s="696">
        <v>2024</v>
      </c>
      <c r="C7" s="1189"/>
      <c r="D7" s="695"/>
      <c r="E7" s="698" t="s">
        <v>300</v>
      </c>
      <c r="F7" s="695"/>
      <c r="G7" s="696">
        <v>2024</v>
      </c>
      <c r="H7" s="1190" t="s">
        <v>23</v>
      </c>
      <c r="I7" s="1191"/>
      <c r="J7" s="698" t="s">
        <v>300</v>
      </c>
      <c r="K7" s="695"/>
    </row>
    <row r="8" spans="1:11" ht="18" customHeight="1" x14ac:dyDescent="0.35">
      <c r="B8" s="699" t="s">
        <v>301</v>
      </c>
      <c r="C8" s="1052">
        <v>1</v>
      </c>
      <c r="D8" s="690"/>
      <c r="E8" s="701"/>
      <c r="F8" s="690"/>
      <c r="G8" s="699" t="s">
        <v>301</v>
      </c>
      <c r="H8" s="1052">
        <v>1</v>
      </c>
      <c r="I8" s="1192"/>
      <c r="J8" s="701"/>
    </row>
    <row r="9" spans="1:11" ht="46.5" customHeight="1" x14ac:dyDescent="0.3">
      <c r="B9" s="702" t="s">
        <v>302</v>
      </c>
      <c r="C9" s="1053" t="s">
        <v>629</v>
      </c>
      <c r="D9" s="1054"/>
      <c r="E9" s="705"/>
      <c r="F9" s="706"/>
      <c r="G9" s="702" t="s">
        <v>302</v>
      </c>
      <c r="H9" s="1053" t="s">
        <v>630</v>
      </c>
      <c r="I9" s="1193"/>
      <c r="J9" s="705"/>
    </row>
    <row r="10" spans="1:11" ht="46.5" customHeight="1" x14ac:dyDescent="0.3">
      <c r="B10" s="707" t="s">
        <v>455</v>
      </c>
      <c r="C10" s="1055" t="s">
        <v>631</v>
      </c>
      <c r="D10" s="1054"/>
      <c r="E10" s="709"/>
      <c r="F10" s="706"/>
      <c r="G10" s="707" t="s">
        <v>455</v>
      </c>
      <c r="H10" s="1055" t="s">
        <v>632</v>
      </c>
      <c r="I10" s="1194"/>
      <c r="J10" s="709"/>
    </row>
    <row r="11" spans="1:11" ht="18.75" customHeight="1" x14ac:dyDescent="0.3">
      <c r="A11" s="710"/>
      <c r="B11" s="711" t="s">
        <v>456</v>
      </c>
      <c r="C11" s="1056">
        <f>C17*C18</f>
        <v>8.073766389197587</v>
      </c>
      <c r="D11" s="1057"/>
      <c r="E11" s="714">
        <f>SUM(C11:C11)</f>
        <v>8.073766389197587</v>
      </c>
      <c r="F11" s="715"/>
      <c r="G11" s="711" t="s">
        <v>456</v>
      </c>
      <c r="H11" s="1195">
        <f>H17*H18</f>
        <v>106.90871970467843</v>
      </c>
      <c r="I11" s="1196"/>
      <c r="J11" s="714">
        <f>SUM(H11:H11)</f>
        <v>106.90871970467843</v>
      </c>
      <c r="K11" s="710"/>
    </row>
    <row r="12" spans="1:11" ht="18.75" customHeight="1" x14ac:dyDescent="0.3">
      <c r="A12" s="710"/>
      <c r="B12" s="716" t="s">
        <v>457</v>
      </c>
      <c r="C12" s="1058">
        <f>C22*C23</f>
        <v>0</v>
      </c>
      <c r="D12" s="718"/>
      <c r="E12" s="719">
        <f>SUM(C12:C12)</f>
        <v>0</v>
      </c>
      <c r="F12" s="720"/>
      <c r="G12" s="716" t="s">
        <v>457</v>
      </c>
      <c r="H12" s="1058">
        <f>(H22*H23)</f>
        <v>0</v>
      </c>
      <c r="I12" s="1196"/>
      <c r="J12" s="719">
        <f>SUM(H12:H12)</f>
        <v>0</v>
      </c>
      <c r="K12" s="710"/>
    </row>
    <row r="13" spans="1:11" ht="18.75" customHeight="1" x14ac:dyDescent="0.3">
      <c r="A13" s="710"/>
      <c r="B13" s="711" t="s">
        <v>458</v>
      </c>
      <c r="C13" s="1059" t="s">
        <v>8</v>
      </c>
      <c r="D13" s="722"/>
      <c r="E13" s="723"/>
      <c r="F13" s="724"/>
      <c r="G13" s="711" t="s">
        <v>458</v>
      </c>
      <c r="H13" s="1059" t="s">
        <v>8</v>
      </c>
      <c r="I13" s="1197"/>
      <c r="J13" s="723"/>
      <c r="K13" s="710"/>
    </row>
    <row r="14" spans="1:11" ht="18.75" customHeight="1" x14ac:dyDescent="0.3">
      <c r="A14" s="710"/>
      <c r="B14" s="725" t="s">
        <v>459</v>
      </c>
      <c r="C14" s="1060">
        <f t="shared" ref="C14" si="0">C11-C12</f>
        <v>8.073766389197587</v>
      </c>
      <c r="D14" s="718"/>
      <c r="E14" s="727">
        <f>SUM(C14:C14)</f>
        <v>8.073766389197587</v>
      </c>
      <c r="F14" s="720"/>
      <c r="G14" s="725" t="s">
        <v>459</v>
      </c>
      <c r="H14" s="1060">
        <f t="shared" ref="H14" si="1">H11-H12</f>
        <v>106.90871970467843</v>
      </c>
      <c r="I14" s="1196"/>
      <c r="J14" s="727">
        <f>SUM(H14:H14)</f>
        <v>106.90871970467843</v>
      </c>
      <c r="K14" s="710"/>
    </row>
    <row r="15" spans="1:11" ht="19.5" customHeight="1" x14ac:dyDescent="0.4">
      <c r="B15" s="728" t="s">
        <v>460</v>
      </c>
      <c r="C15" s="1061"/>
      <c r="D15" s="730"/>
      <c r="E15" s="731"/>
      <c r="F15" s="730"/>
      <c r="G15" s="1198" t="s">
        <v>633</v>
      </c>
      <c r="H15" s="1199"/>
      <c r="I15" s="1200"/>
      <c r="J15" s="731"/>
      <c r="K15" s="690"/>
    </row>
    <row r="16" spans="1:11" ht="35.4" customHeight="1" x14ac:dyDescent="0.3">
      <c r="A16" s="710"/>
      <c r="B16" s="732" t="s">
        <v>311</v>
      </c>
      <c r="C16" s="1201" t="s">
        <v>634</v>
      </c>
      <c r="D16" s="1062"/>
      <c r="E16" s="734"/>
      <c r="F16" s="720"/>
      <c r="G16" s="732" t="s">
        <v>311</v>
      </c>
      <c r="H16" s="907" t="s">
        <v>635</v>
      </c>
      <c r="I16" s="1202"/>
      <c r="J16" s="1203"/>
      <c r="K16" s="710"/>
    </row>
    <row r="17" spans="1:11" ht="21" customHeight="1" x14ac:dyDescent="0.3">
      <c r="A17" s="710"/>
      <c r="B17" s="735" t="s">
        <v>636</v>
      </c>
      <c r="C17" s="1063">
        <f>'CF-0213|GDS'!I13</f>
        <v>4169.6640618152696</v>
      </c>
      <c r="D17" s="1064"/>
      <c r="F17" s="738"/>
      <c r="G17" s="735" t="s">
        <v>398</v>
      </c>
      <c r="H17" s="1204">
        <f>'CF-0213|GDS'!I33</f>
        <v>29.247612159999999</v>
      </c>
      <c r="I17" s="1205"/>
      <c r="J17" s="1206"/>
      <c r="K17" s="1231"/>
    </row>
    <row r="18" spans="1:11" ht="18.75" customHeight="1" x14ac:dyDescent="0.3">
      <c r="A18" s="710"/>
      <c r="B18" s="739" t="s">
        <v>461</v>
      </c>
      <c r="C18" s="1065">
        <v>1.9363110000000002E-3</v>
      </c>
      <c r="D18" s="741"/>
      <c r="F18" s="742"/>
      <c r="G18" s="739" t="s">
        <v>461</v>
      </c>
      <c r="H18" s="1065">
        <v>3.6552973664937451</v>
      </c>
      <c r="I18" s="1196"/>
      <c r="J18" s="754"/>
      <c r="K18" s="710"/>
    </row>
    <row r="19" spans="1:11" ht="19.5" customHeight="1" x14ac:dyDescent="0.3">
      <c r="A19" s="710"/>
      <c r="B19" s="743" t="s">
        <v>462</v>
      </c>
      <c r="C19" s="1066">
        <f>C17*C18</f>
        <v>8.073766389197587</v>
      </c>
      <c r="D19" s="1067"/>
      <c r="F19" s="742"/>
      <c r="G19" s="743" t="s">
        <v>462</v>
      </c>
      <c r="H19" s="1066">
        <f>H17*H18</f>
        <v>106.90871970467843</v>
      </c>
      <c r="I19" s="1196"/>
      <c r="J19" s="757"/>
      <c r="K19" s="710"/>
    </row>
    <row r="20" spans="1:11" ht="21" customHeight="1" x14ac:dyDescent="0.4">
      <c r="B20" s="728" t="s">
        <v>463</v>
      </c>
      <c r="C20" s="1068"/>
      <c r="D20" s="746"/>
      <c r="E20" s="747"/>
      <c r="F20" s="746"/>
      <c r="G20" s="728" t="s">
        <v>463</v>
      </c>
      <c r="H20" s="1068"/>
      <c r="I20" s="1200"/>
      <c r="J20" s="758"/>
    </row>
    <row r="21" spans="1:11" ht="32.4" customHeight="1" x14ac:dyDescent="0.3">
      <c r="A21" s="710"/>
      <c r="B21" s="732" t="s">
        <v>183</v>
      </c>
      <c r="C21" s="1201" t="s">
        <v>637</v>
      </c>
      <c r="D21" s="1069"/>
      <c r="E21" s="748"/>
      <c r="F21" s="742"/>
      <c r="G21" s="732" t="s">
        <v>183</v>
      </c>
      <c r="H21" s="907" t="s">
        <v>638</v>
      </c>
      <c r="I21" s="1196"/>
      <c r="J21" s="759"/>
      <c r="K21" s="710"/>
    </row>
    <row r="22" spans="1:11" ht="21" customHeight="1" x14ac:dyDescent="0.3">
      <c r="A22" s="710"/>
      <c r="B22" s="749" t="s">
        <v>636</v>
      </c>
      <c r="C22" s="1070">
        <v>0</v>
      </c>
      <c r="D22" s="742"/>
      <c r="E22" s="751"/>
      <c r="F22" s="742"/>
      <c r="G22" s="749" t="s">
        <v>398</v>
      </c>
      <c r="H22" s="1070">
        <f>H17</f>
        <v>29.247612159999999</v>
      </c>
      <c r="I22" s="1205"/>
      <c r="J22" s="1206"/>
      <c r="K22" s="710"/>
    </row>
    <row r="23" spans="1:11" ht="21" customHeight="1" x14ac:dyDescent="0.3">
      <c r="A23" s="710"/>
      <c r="B23" s="752" t="s">
        <v>461</v>
      </c>
      <c r="C23" s="1071">
        <v>1.9363110000000002E-3</v>
      </c>
      <c r="D23" s="1069"/>
      <c r="E23" s="754"/>
      <c r="F23" s="742"/>
      <c r="G23" s="752" t="s">
        <v>461</v>
      </c>
      <c r="H23" s="1071">
        <v>0</v>
      </c>
      <c r="I23" s="1196"/>
      <c r="J23" s="754"/>
      <c r="K23" s="710"/>
    </row>
    <row r="24" spans="1:11" ht="21" customHeight="1" x14ac:dyDescent="0.3">
      <c r="A24" s="710"/>
      <c r="B24" s="755" t="s">
        <v>462</v>
      </c>
      <c r="C24" s="1072">
        <f t="shared" ref="C24" si="2">C22*C23</f>
        <v>0</v>
      </c>
      <c r="D24" s="1069"/>
      <c r="E24" s="757"/>
      <c r="F24" s="742"/>
      <c r="G24" s="755" t="s">
        <v>462</v>
      </c>
      <c r="H24" s="1207">
        <f t="shared" ref="H24" si="3">H22*H23</f>
        <v>0</v>
      </c>
      <c r="I24" s="1196"/>
      <c r="J24" s="757"/>
      <c r="K24" s="710"/>
    </row>
    <row r="25" spans="1:11" ht="21" customHeight="1" x14ac:dyDescent="0.3">
      <c r="B25" s="760" t="s">
        <v>320</v>
      </c>
      <c r="C25" s="1073" t="s">
        <v>639</v>
      </c>
      <c r="D25" s="1074"/>
      <c r="E25" s="763"/>
      <c r="F25" s="762"/>
      <c r="G25" s="760" t="s">
        <v>320</v>
      </c>
      <c r="H25" s="1208" t="s">
        <v>401</v>
      </c>
      <c r="I25" s="1200"/>
      <c r="J25" s="730"/>
    </row>
    <row r="26" spans="1:11" ht="21" customHeight="1" x14ac:dyDescent="0.3">
      <c r="B26" s="764" t="s">
        <v>322</v>
      </c>
      <c r="C26" s="1075">
        <v>3</v>
      </c>
      <c r="D26" s="766"/>
      <c r="E26" s="767"/>
      <c r="F26" s="766"/>
      <c r="G26" s="764" t="s">
        <v>322</v>
      </c>
      <c r="H26" s="1077">
        <v>13</v>
      </c>
      <c r="I26" s="1200"/>
      <c r="J26" s="758"/>
    </row>
    <row r="27" spans="1:11" ht="31.2" customHeight="1" x14ac:dyDescent="0.3">
      <c r="B27" s="768" t="s">
        <v>464</v>
      </c>
      <c r="C27" s="1076" t="s">
        <v>324</v>
      </c>
      <c r="D27" s="742"/>
      <c r="E27" s="759"/>
      <c r="F27" s="742"/>
      <c r="G27" s="768" t="s">
        <v>464</v>
      </c>
      <c r="H27" s="1076" t="s">
        <v>324</v>
      </c>
      <c r="I27" s="1200"/>
      <c r="J27" s="758"/>
    </row>
    <row r="28" spans="1:11" ht="31.2" customHeight="1" x14ac:dyDescent="0.3">
      <c r="B28" s="770" t="s">
        <v>465</v>
      </c>
      <c r="C28" s="1077" t="s">
        <v>326</v>
      </c>
      <c r="D28" s="742"/>
      <c r="E28" s="759"/>
      <c r="F28" s="742"/>
      <c r="G28" s="770" t="s">
        <v>465</v>
      </c>
      <c r="H28" s="1209" t="s">
        <v>326</v>
      </c>
      <c r="I28" s="1200"/>
      <c r="J28" s="758"/>
    </row>
    <row r="29" spans="1:11" ht="31.2" customHeight="1" x14ac:dyDescent="0.3">
      <c r="B29" s="768" t="s">
        <v>466</v>
      </c>
      <c r="C29" s="1076" t="s">
        <v>433</v>
      </c>
      <c r="D29" s="742"/>
      <c r="E29" s="759"/>
      <c r="F29" s="742"/>
      <c r="G29" s="768" t="s">
        <v>466</v>
      </c>
      <c r="H29" s="1076" t="s">
        <v>402</v>
      </c>
      <c r="I29" s="690"/>
      <c r="J29" s="690"/>
    </row>
    <row r="30" spans="1:11" ht="15.75" customHeight="1" x14ac:dyDescent="0.3">
      <c r="B30" s="772" t="s">
        <v>329</v>
      </c>
      <c r="C30" s="1077">
        <v>1</v>
      </c>
      <c r="D30" s="730"/>
      <c r="E30" s="730"/>
      <c r="F30" s="730"/>
      <c r="G30" s="772" t="s">
        <v>329</v>
      </c>
      <c r="H30" s="1077">
        <v>1</v>
      </c>
      <c r="I30" s="690"/>
      <c r="J30" s="690"/>
    </row>
    <row r="31" spans="1:11" ht="15.75" customHeight="1" x14ac:dyDescent="0.3">
      <c r="B31" s="716" t="s">
        <v>330</v>
      </c>
      <c r="C31" s="1076" t="s">
        <v>324</v>
      </c>
      <c r="D31" s="746"/>
      <c r="E31" s="758"/>
      <c r="F31" s="746"/>
      <c r="G31" s="716" t="s">
        <v>330</v>
      </c>
      <c r="H31" s="1076" t="s">
        <v>324</v>
      </c>
      <c r="I31" s="690"/>
      <c r="J31" s="690"/>
    </row>
    <row r="32" spans="1:11" ht="15.75" customHeight="1" x14ac:dyDescent="0.3">
      <c r="B32" s="772" t="s">
        <v>331</v>
      </c>
      <c r="C32" s="1077" t="s">
        <v>324</v>
      </c>
      <c r="D32" s="746"/>
      <c r="E32" s="758"/>
      <c r="F32" s="746"/>
      <c r="G32" s="772" t="s">
        <v>331</v>
      </c>
      <c r="H32" s="1077" t="s">
        <v>324</v>
      </c>
      <c r="I32" s="690"/>
      <c r="J32" s="690"/>
    </row>
    <row r="33" spans="2:10" ht="15.75" customHeight="1" x14ac:dyDescent="0.3">
      <c r="B33" s="725" t="s">
        <v>332</v>
      </c>
      <c r="C33" s="822" t="s">
        <v>333</v>
      </c>
      <c r="D33" s="746"/>
      <c r="E33" s="758"/>
      <c r="F33" s="746"/>
      <c r="G33" s="725" t="s">
        <v>332</v>
      </c>
      <c r="H33" s="822" t="s">
        <v>333</v>
      </c>
      <c r="I33" s="690"/>
      <c r="J33" s="690"/>
    </row>
    <row r="34" spans="2:10" ht="15.75" customHeight="1" x14ac:dyDescent="0.3">
      <c r="B34" s="690"/>
      <c r="C34" s="690"/>
      <c r="D34" s="746"/>
      <c r="E34" s="746"/>
      <c r="F34" s="746"/>
      <c r="G34" s="690"/>
      <c r="I34" s="690"/>
      <c r="J34" s="690"/>
    </row>
    <row r="35" spans="2:10" ht="15.75" customHeight="1" x14ac:dyDescent="0.3">
      <c r="B35" s="774" t="s">
        <v>467</v>
      </c>
      <c r="C35" s="690"/>
      <c r="D35" s="746"/>
      <c r="E35" s="746"/>
      <c r="F35" s="746"/>
      <c r="I35" s="690"/>
      <c r="J35" s="690"/>
    </row>
    <row r="36" spans="2:10" ht="15.75" customHeight="1" x14ac:dyDescent="0.3">
      <c r="B36" s="774" t="s">
        <v>468</v>
      </c>
      <c r="C36" s="690"/>
      <c r="D36" s="746"/>
      <c r="E36" s="746"/>
      <c r="F36" s="746"/>
      <c r="I36" s="690"/>
      <c r="J36" s="690"/>
    </row>
    <row r="37" spans="2:10" ht="15.75" customHeight="1" x14ac:dyDescent="0.3">
      <c r="B37" s="774" t="s">
        <v>469</v>
      </c>
      <c r="C37" s="690"/>
      <c r="D37" s="746"/>
      <c r="E37" s="746"/>
      <c r="F37" s="746"/>
      <c r="I37" s="690"/>
      <c r="J37" s="690"/>
    </row>
    <row r="38" spans="2:10" ht="15.75" customHeight="1" x14ac:dyDescent="0.3">
      <c r="B38" s="774" t="s">
        <v>470</v>
      </c>
      <c r="C38" s="690"/>
      <c r="D38" s="746"/>
      <c r="E38" s="746"/>
      <c r="F38" s="746"/>
      <c r="I38" s="690"/>
      <c r="J38" s="690"/>
    </row>
    <row r="39" spans="2:10" ht="15.75" customHeight="1" x14ac:dyDescent="0.3">
      <c r="B39" s="774" t="s">
        <v>471</v>
      </c>
      <c r="D39" s="690"/>
      <c r="F39" s="690"/>
      <c r="I39" s="690"/>
    </row>
    <row r="40" spans="2:10" ht="15.75" customHeight="1" x14ac:dyDescent="0.3">
      <c r="B40" s="774" t="s">
        <v>472</v>
      </c>
      <c r="D40" s="690"/>
      <c r="F40" s="690"/>
      <c r="I40" s="690"/>
    </row>
    <row r="41" spans="2:10" ht="15.75" customHeight="1" x14ac:dyDescent="0.3">
      <c r="D41" s="690"/>
      <c r="F41" s="690"/>
      <c r="I41" s="690"/>
    </row>
    <row r="42" spans="2:10" ht="15.75" customHeight="1" x14ac:dyDescent="0.3">
      <c r="D42" s="690"/>
      <c r="F42" s="690"/>
      <c r="I42" s="690"/>
    </row>
    <row r="43" spans="2:10" ht="15.75" customHeight="1" x14ac:dyDescent="0.3">
      <c r="D43" s="690"/>
      <c r="F43" s="690"/>
      <c r="I43" s="690"/>
    </row>
    <row r="44" spans="2:10" ht="15.75" customHeight="1" x14ac:dyDescent="0.3">
      <c r="D44" s="690"/>
      <c r="F44" s="690"/>
      <c r="I44" s="690"/>
    </row>
    <row r="45" spans="2:10" ht="15.75" customHeight="1" x14ac:dyDescent="0.3">
      <c r="D45" s="690"/>
      <c r="F45" s="690"/>
      <c r="I45" s="690"/>
    </row>
    <row r="46" spans="2:10" ht="15.75" customHeight="1" x14ac:dyDescent="0.3">
      <c r="D46" s="690"/>
      <c r="F46" s="690"/>
      <c r="I46" s="690"/>
    </row>
    <row r="47" spans="2:10" ht="15.75" customHeight="1" x14ac:dyDescent="0.3">
      <c r="D47" s="690"/>
      <c r="F47" s="690"/>
      <c r="I47" s="690"/>
    </row>
    <row r="48" spans="2:10" ht="15.75" customHeight="1" x14ac:dyDescent="0.3">
      <c r="D48" s="690"/>
      <c r="F48" s="690"/>
      <c r="I48" s="690"/>
    </row>
    <row r="49" spans="4:9" ht="15.75" customHeight="1" x14ac:dyDescent="0.3">
      <c r="D49" s="690"/>
      <c r="F49" s="690"/>
      <c r="I49" s="690"/>
    </row>
    <row r="50" spans="4:9" ht="15.75" customHeight="1" x14ac:dyDescent="0.3">
      <c r="D50" s="690"/>
      <c r="F50" s="690"/>
      <c r="I50" s="690"/>
    </row>
    <row r="51" spans="4:9" ht="15.75" customHeight="1" x14ac:dyDescent="0.3">
      <c r="D51" s="690"/>
      <c r="F51" s="690"/>
      <c r="I51" s="690"/>
    </row>
    <row r="52" spans="4:9" ht="15.75" customHeight="1" x14ac:dyDescent="0.3">
      <c r="D52" s="690"/>
      <c r="F52" s="690"/>
      <c r="I52" s="690"/>
    </row>
    <row r="53" spans="4:9" ht="15.75" customHeight="1" x14ac:dyDescent="0.3">
      <c r="D53" s="690"/>
      <c r="F53" s="690"/>
      <c r="I53" s="690"/>
    </row>
    <row r="54" spans="4:9" ht="15.75" customHeight="1" x14ac:dyDescent="0.3">
      <c r="D54" s="690"/>
      <c r="F54" s="690"/>
      <c r="I54" s="690"/>
    </row>
    <row r="55" spans="4:9" ht="15.75" customHeight="1" x14ac:dyDescent="0.3">
      <c r="D55" s="690"/>
      <c r="F55" s="690"/>
      <c r="I55" s="690"/>
    </row>
    <row r="56" spans="4:9" ht="15.75" customHeight="1" x14ac:dyDescent="0.3">
      <c r="D56" s="690"/>
      <c r="F56" s="690"/>
      <c r="I56" s="690"/>
    </row>
    <row r="57" spans="4:9" ht="15.75" customHeight="1" x14ac:dyDescent="0.3">
      <c r="D57" s="690"/>
      <c r="F57" s="690"/>
      <c r="I57" s="690"/>
    </row>
    <row r="58" spans="4:9" ht="15.75" customHeight="1" x14ac:dyDescent="0.3">
      <c r="D58" s="690"/>
      <c r="F58" s="690"/>
      <c r="I58" s="690"/>
    </row>
    <row r="59" spans="4:9" ht="15.75" customHeight="1" x14ac:dyDescent="0.3">
      <c r="D59" s="690"/>
      <c r="F59" s="690"/>
      <c r="I59" s="690"/>
    </row>
    <row r="60" spans="4:9" ht="15.75" customHeight="1" x14ac:dyDescent="0.3">
      <c r="D60" s="690"/>
      <c r="F60" s="690"/>
      <c r="I60" s="690"/>
    </row>
    <row r="61" spans="4:9" ht="15.75" customHeight="1" x14ac:dyDescent="0.3">
      <c r="D61" s="690"/>
      <c r="F61" s="690"/>
      <c r="I61" s="690"/>
    </row>
    <row r="62" spans="4:9" ht="15.75" customHeight="1" x14ac:dyDescent="0.3">
      <c r="D62" s="690"/>
      <c r="F62" s="690"/>
      <c r="I62" s="690"/>
    </row>
    <row r="63" spans="4:9" ht="15.75" customHeight="1" x14ac:dyDescent="0.3">
      <c r="D63" s="690"/>
      <c r="F63" s="690"/>
      <c r="I63" s="690"/>
    </row>
    <row r="64" spans="4:9" ht="15.75" customHeight="1" x14ac:dyDescent="0.3">
      <c r="D64" s="690"/>
      <c r="F64" s="690"/>
      <c r="I64" s="690"/>
    </row>
    <row r="65" spans="4:9" ht="15.75" customHeight="1" x14ac:dyDescent="0.3">
      <c r="D65" s="690"/>
      <c r="F65" s="690"/>
      <c r="I65" s="690"/>
    </row>
    <row r="66" spans="4:9" ht="15.75" customHeight="1" x14ac:dyDescent="0.3">
      <c r="D66" s="690"/>
      <c r="F66" s="690"/>
      <c r="I66" s="690"/>
    </row>
    <row r="67" spans="4:9" ht="15.75" customHeight="1" x14ac:dyDescent="0.3">
      <c r="D67" s="690"/>
      <c r="F67" s="690"/>
      <c r="I67" s="690"/>
    </row>
    <row r="68" spans="4:9" ht="15.75" customHeight="1" x14ac:dyDescent="0.3">
      <c r="D68" s="690"/>
      <c r="F68" s="690"/>
      <c r="I68" s="690"/>
    </row>
    <row r="69" spans="4:9" ht="15.75" customHeight="1" x14ac:dyDescent="0.3">
      <c r="D69" s="690"/>
      <c r="F69" s="690"/>
      <c r="I69" s="690"/>
    </row>
    <row r="70" spans="4:9" ht="15.75" customHeight="1" x14ac:dyDescent="0.3">
      <c r="D70" s="690"/>
      <c r="F70" s="690"/>
      <c r="I70" s="690"/>
    </row>
    <row r="71" spans="4:9" ht="15.75" customHeight="1" x14ac:dyDescent="0.3">
      <c r="D71" s="690"/>
      <c r="F71" s="690"/>
      <c r="I71" s="690"/>
    </row>
    <row r="72" spans="4:9" ht="15.75" customHeight="1" x14ac:dyDescent="0.3">
      <c r="D72" s="690"/>
      <c r="F72" s="690"/>
      <c r="I72" s="690"/>
    </row>
    <row r="73" spans="4:9" ht="15.75" customHeight="1" x14ac:dyDescent="0.3">
      <c r="D73" s="690"/>
      <c r="F73" s="690"/>
      <c r="I73" s="690"/>
    </row>
    <row r="74" spans="4:9" ht="15.75" customHeight="1" x14ac:dyDescent="0.3">
      <c r="D74" s="690"/>
      <c r="F74" s="690"/>
      <c r="I74" s="690"/>
    </row>
    <row r="75" spans="4:9" ht="15.75" customHeight="1" x14ac:dyDescent="0.3">
      <c r="D75" s="690"/>
      <c r="F75" s="690"/>
      <c r="I75" s="690"/>
    </row>
    <row r="76" spans="4:9" ht="15.75" customHeight="1" x14ac:dyDescent="0.3">
      <c r="D76" s="690"/>
      <c r="F76" s="690"/>
      <c r="I76" s="690"/>
    </row>
    <row r="77" spans="4:9" ht="15.75" customHeight="1" x14ac:dyDescent="0.3">
      <c r="D77" s="690"/>
      <c r="F77" s="690"/>
      <c r="I77" s="690"/>
    </row>
    <row r="78" spans="4:9" ht="15.75" customHeight="1" x14ac:dyDescent="0.3">
      <c r="D78" s="690"/>
      <c r="F78" s="690"/>
      <c r="I78" s="690"/>
    </row>
    <row r="79" spans="4:9" ht="15.75" customHeight="1" x14ac:dyDescent="0.3">
      <c r="D79" s="690"/>
      <c r="F79" s="690"/>
      <c r="I79" s="690"/>
    </row>
    <row r="80" spans="4:9" ht="15.75" customHeight="1" x14ac:dyDescent="0.3">
      <c r="D80" s="690"/>
      <c r="F80" s="690"/>
      <c r="I80" s="690"/>
    </row>
    <row r="81" spans="4:9" ht="15.75" customHeight="1" x14ac:dyDescent="0.3">
      <c r="D81" s="690"/>
      <c r="F81" s="690"/>
      <c r="I81" s="690"/>
    </row>
    <row r="82" spans="4:9" ht="15.75" customHeight="1" x14ac:dyDescent="0.3">
      <c r="D82" s="690"/>
      <c r="F82" s="690"/>
      <c r="I82" s="690"/>
    </row>
    <row r="83" spans="4:9" ht="15.75" customHeight="1" x14ac:dyDescent="0.3">
      <c r="D83" s="690"/>
      <c r="F83" s="690"/>
      <c r="I83" s="690"/>
    </row>
    <row r="84" spans="4:9" ht="15.75" customHeight="1" x14ac:dyDescent="0.3">
      <c r="D84" s="690"/>
      <c r="F84" s="690"/>
      <c r="I84" s="690"/>
    </row>
    <row r="85" spans="4:9" ht="15.75" customHeight="1" x14ac:dyDescent="0.3">
      <c r="D85" s="690"/>
      <c r="F85" s="690"/>
      <c r="I85" s="690"/>
    </row>
    <row r="86" spans="4:9" ht="15.75" customHeight="1" x14ac:dyDescent="0.3">
      <c r="D86" s="690"/>
      <c r="F86" s="690"/>
      <c r="I86" s="690"/>
    </row>
    <row r="87" spans="4:9" ht="15.75" customHeight="1" x14ac:dyDescent="0.3">
      <c r="D87" s="690"/>
      <c r="F87" s="690"/>
      <c r="I87" s="690"/>
    </row>
    <row r="88" spans="4:9" ht="15.75" customHeight="1" x14ac:dyDescent="0.3">
      <c r="D88" s="690"/>
      <c r="F88" s="690"/>
      <c r="I88" s="690"/>
    </row>
    <row r="89" spans="4:9" ht="15.75" customHeight="1" x14ac:dyDescent="0.3">
      <c r="D89" s="690"/>
      <c r="F89" s="690"/>
      <c r="I89" s="690"/>
    </row>
    <row r="90" spans="4:9" ht="15.75" customHeight="1" x14ac:dyDescent="0.3">
      <c r="D90" s="690"/>
      <c r="F90" s="690"/>
      <c r="I90" s="690"/>
    </row>
    <row r="91" spans="4:9" ht="15.75" customHeight="1" x14ac:dyDescent="0.3">
      <c r="D91" s="690"/>
      <c r="F91" s="690"/>
      <c r="I91" s="690"/>
    </row>
    <row r="92" spans="4:9" ht="15.75" customHeight="1" x14ac:dyDescent="0.3">
      <c r="D92" s="690"/>
      <c r="F92" s="690"/>
      <c r="I92" s="690"/>
    </row>
    <row r="93" spans="4:9" ht="15.75" customHeight="1" x14ac:dyDescent="0.3">
      <c r="D93" s="690"/>
      <c r="F93" s="690"/>
      <c r="I93" s="690"/>
    </row>
    <row r="94" spans="4:9" ht="15.75" customHeight="1" x14ac:dyDescent="0.3">
      <c r="D94" s="690"/>
      <c r="F94" s="690"/>
      <c r="I94" s="690"/>
    </row>
    <row r="95" spans="4:9" ht="15.75" customHeight="1" x14ac:dyDescent="0.3">
      <c r="D95" s="690"/>
      <c r="F95" s="690"/>
      <c r="I95" s="690"/>
    </row>
    <row r="96" spans="4:9" ht="15.75" customHeight="1" x14ac:dyDescent="0.3">
      <c r="D96" s="690"/>
      <c r="F96" s="690"/>
      <c r="I96" s="690"/>
    </row>
    <row r="97" spans="4:9" ht="15.75" customHeight="1" x14ac:dyDescent="0.3">
      <c r="D97" s="690"/>
      <c r="F97" s="690"/>
      <c r="I97" s="690"/>
    </row>
    <row r="98" spans="4:9" ht="15.75" customHeight="1" x14ac:dyDescent="0.3">
      <c r="D98" s="690"/>
      <c r="F98" s="690"/>
      <c r="I98" s="690"/>
    </row>
    <row r="99" spans="4:9" ht="15.75" customHeight="1" x14ac:dyDescent="0.3">
      <c r="D99" s="690"/>
      <c r="F99" s="690"/>
      <c r="I99" s="690"/>
    </row>
    <row r="100" spans="4:9" ht="15.75" customHeight="1" x14ac:dyDescent="0.3">
      <c r="D100" s="690"/>
      <c r="F100" s="690"/>
      <c r="I100" s="690"/>
    </row>
    <row r="101" spans="4:9" ht="15.75" customHeight="1" x14ac:dyDescent="0.3">
      <c r="D101" s="690"/>
      <c r="F101" s="690"/>
      <c r="I101" s="690"/>
    </row>
    <row r="102" spans="4:9" ht="15.75" customHeight="1" x14ac:dyDescent="0.3">
      <c r="D102" s="690"/>
      <c r="F102" s="690"/>
      <c r="I102" s="690"/>
    </row>
    <row r="103" spans="4:9" ht="15.75" customHeight="1" x14ac:dyDescent="0.3">
      <c r="D103" s="690"/>
      <c r="F103" s="690"/>
      <c r="I103" s="690"/>
    </row>
    <row r="104" spans="4:9" ht="15.75" customHeight="1" x14ac:dyDescent="0.3">
      <c r="D104" s="690"/>
      <c r="F104" s="690"/>
      <c r="I104" s="690"/>
    </row>
    <row r="105" spans="4:9" ht="15.75" customHeight="1" x14ac:dyDescent="0.3">
      <c r="D105" s="690"/>
      <c r="F105" s="690"/>
      <c r="I105" s="690"/>
    </row>
    <row r="106" spans="4:9" ht="15.75" customHeight="1" x14ac:dyDescent="0.3">
      <c r="D106" s="690"/>
      <c r="F106" s="690"/>
      <c r="I106" s="690"/>
    </row>
    <row r="107" spans="4:9" ht="15.75" customHeight="1" x14ac:dyDescent="0.3">
      <c r="D107" s="690"/>
      <c r="F107" s="690"/>
      <c r="I107" s="690"/>
    </row>
    <row r="108" spans="4:9" ht="15.75" customHeight="1" x14ac:dyDescent="0.3">
      <c r="D108" s="690"/>
      <c r="F108" s="690"/>
      <c r="I108" s="690"/>
    </row>
    <row r="109" spans="4:9" ht="15.75" customHeight="1" x14ac:dyDescent="0.3">
      <c r="D109" s="690"/>
      <c r="F109" s="690"/>
      <c r="I109" s="690"/>
    </row>
    <row r="110" spans="4:9" ht="15.75" customHeight="1" x14ac:dyDescent="0.3">
      <c r="D110" s="690"/>
      <c r="F110" s="690"/>
      <c r="I110" s="690"/>
    </row>
    <row r="111" spans="4:9" ht="15.75" customHeight="1" x14ac:dyDescent="0.3">
      <c r="D111" s="690"/>
      <c r="F111" s="690"/>
      <c r="I111" s="690"/>
    </row>
    <row r="112" spans="4:9" ht="15.75" customHeight="1" x14ac:dyDescent="0.3">
      <c r="D112" s="690"/>
      <c r="F112" s="690"/>
      <c r="I112" s="690"/>
    </row>
    <row r="113" spans="4:9" ht="15.75" customHeight="1" x14ac:dyDescent="0.3">
      <c r="D113" s="690"/>
      <c r="F113" s="690"/>
      <c r="I113" s="690"/>
    </row>
    <row r="114" spans="4:9" ht="15.75" customHeight="1" x14ac:dyDescent="0.3">
      <c r="D114" s="690"/>
      <c r="F114" s="690"/>
      <c r="I114" s="690"/>
    </row>
    <row r="115" spans="4:9" ht="15.75" customHeight="1" x14ac:dyDescent="0.3">
      <c r="D115" s="690"/>
      <c r="F115" s="690"/>
      <c r="I115" s="690"/>
    </row>
    <row r="116" spans="4:9" ht="15.75" customHeight="1" x14ac:dyDescent="0.3">
      <c r="D116" s="690"/>
      <c r="F116" s="690"/>
      <c r="I116" s="690"/>
    </row>
    <row r="117" spans="4:9" ht="15.75" customHeight="1" x14ac:dyDescent="0.3">
      <c r="D117" s="690"/>
      <c r="F117" s="690"/>
      <c r="I117" s="690"/>
    </row>
    <row r="118" spans="4:9" ht="15.75" customHeight="1" x14ac:dyDescent="0.3">
      <c r="D118" s="690"/>
      <c r="F118" s="690"/>
      <c r="I118" s="690"/>
    </row>
    <row r="119" spans="4:9" ht="15.75" customHeight="1" x14ac:dyDescent="0.3">
      <c r="D119" s="690"/>
      <c r="F119" s="690"/>
      <c r="I119" s="690"/>
    </row>
    <row r="120" spans="4:9" ht="15.75" customHeight="1" x14ac:dyDescent="0.3">
      <c r="D120" s="690"/>
      <c r="F120" s="690"/>
      <c r="I120" s="690"/>
    </row>
    <row r="121" spans="4:9" ht="15.75" customHeight="1" x14ac:dyDescent="0.3">
      <c r="D121" s="690"/>
      <c r="F121" s="690"/>
      <c r="I121" s="690"/>
    </row>
    <row r="122" spans="4:9" ht="15.75" customHeight="1" x14ac:dyDescent="0.3">
      <c r="D122" s="690"/>
      <c r="F122" s="690"/>
      <c r="I122" s="690"/>
    </row>
    <row r="123" spans="4:9" ht="15.75" customHeight="1" x14ac:dyDescent="0.3">
      <c r="D123" s="690"/>
      <c r="F123" s="690"/>
      <c r="I123" s="690"/>
    </row>
    <row r="124" spans="4:9" ht="15.75" customHeight="1" x14ac:dyDescent="0.3">
      <c r="D124" s="690"/>
      <c r="F124" s="690"/>
      <c r="I124" s="690"/>
    </row>
    <row r="125" spans="4:9" ht="15.75" customHeight="1" x14ac:dyDescent="0.3">
      <c r="D125" s="690"/>
      <c r="F125" s="690"/>
      <c r="I125" s="690"/>
    </row>
    <row r="126" spans="4:9" ht="15.75" customHeight="1" x14ac:dyDescent="0.3">
      <c r="D126" s="690"/>
      <c r="F126" s="690"/>
      <c r="I126" s="690"/>
    </row>
    <row r="127" spans="4:9" ht="15.75" customHeight="1" x14ac:dyDescent="0.3">
      <c r="D127" s="690"/>
      <c r="F127" s="690"/>
      <c r="I127" s="690"/>
    </row>
    <row r="128" spans="4:9" ht="15.75" customHeight="1" x14ac:dyDescent="0.3">
      <c r="D128" s="690"/>
      <c r="F128" s="690"/>
      <c r="I128" s="690"/>
    </row>
    <row r="129" spans="4:9" ht="15.75" customHeight="1" x14ac:dyDescent="0.3">
      <c r="D129" s="690"/>
      <c r="F129" s="690"/>
      <c r="I129" s="690"/>
    </row>
    <row r="130" spans="4:9" ht="15.75" customHeight="1" x14ac:dyDescent="0.3">
      <c r="D130" s="690"/>
      <c r="F130" s="690"/>
      <c r="I130" s="690"/>
    </row>
    <row r="131" spans="4:9" ht="15.75" customHeight="1" x14ac:dyDescent="0.3">
      <c r="D131" s="690"/>
      <c r="F131" s="690"/>
      <c r="I131" s="690"/>
    </row>
    <row r="132" spans="4:9" ht="15.75" customHeight="1" x14ac:dyDescent="0.3">
      <c r="D132" s="690"/>
      <c r="F132" s="690"/>
      <c r="I132" s="690"/>
    </row>
    <row r="133" spans="4:9" ht="15.75" customHeight="1" x14ac:dyDescent="0.3">
      <c r="D133" s="690"/>
      <c r="F133" s="690"/>
      <c r="I133" s="690"/>
    </row>
    <row r="134" spans="4:9" ht="15.75" customHeight="1" x14ac:dyDescent="0.3">
      <c r="D134" s="690"/>
      <c r="F134" s="690"/>
      <c r="I134" s="690"/>
    </row>
    <row r="135" spans="4:9" ht="15.75" customHeight="1" x14ac:dyDescent="0.3">
      <c r="D135" s="690"/>
      <c r="F135" s="690"/>
      <c r="I135" s="690"/>
    </row>
    <row r="136" spans="4:9" ht="15.75" customHeight="1" x14ac:dyDescent="0.3">
      <c r="D136" s="690"/>
      <c r="F136" s="690"/>
      <c r="I136" s="690"/>
    </row>
    <row r="137" spans="4:9" ht="15.75" customHeight="1" x14ac:dyDescent="0.3">
      <c r="D137" s="690"/>
      <c r="F137" s="690"/>
      <c r="I137" s="690"/>
    </row>
    <row r="138" spans="4:9" ht="15.75" customHeight="1" x14ac:dyDescent="0.3">
      <c r="D138" s="690"/>
      <c r="F138" s="690"/>
      <c r="I138" s="690"/>
    </row>
    <row r="139" spans="4:9" ht="15.75" customHeight="1" x14ac:dyDescent="0.3">
      <c r="D139" s="690"/>
      <c r="F139" s="690"/>
      <c r="I139" s="690"/>
    </row>
    <row r="140" spans="4:9" ht="15.75" customHeight="1" x14ac:dyDescent="0.3">
      <c r="D140" s="690"/>
      <c r="F140" s="690"/>
      <c r="I140" s="690"/>
    </row>
    <row r="141" spans="4:9" ht="15.75" customHeight="1" x14ac:dyDescent="0.3">
      <c r="D141" s="690"/>
      <c r="F141" s="690"/>
      <c r="I141" s="690"/>
    </row>
    <row r="142" spans="4:9" ht="15.75" customHeight="1" x14ac:dyDescent="0.3">
      <c r="D142" s="690"/>
      <c r="F142" s="690"/>
      <c r="I142" s="690"/>
    </row>
    <row r="143" spans="4:9" ht="15.75" customHeight="1" x14ac:dyDescent="0.3">
      <c r="D143" s="690"/>
      <c r="F143" s="690"/>
      <c r="I143" s="690"/>
    </row>
    <row r="144" spans="4:9" ht="15.75" customHeight="1" x14ac:dyDescent="0.3">
      <c r="D144" s="690"/>
      <c r="F144" s="690"/>
      <c r="I144" s="690"/>
    </row>
    <row r="145" spans="4:9" ht="15.75" customHeight="1" x14ac:dyDescent="0.3">
      <c r="D145" s="690"/>
      <c r="F145" s="690"/>
      <c r="I145" s="690"/>
    </row>
    <row r="146" spans="4:9" ht="15.75" customHeight="1" x14ac:dyDescent="0.3">
      <c r="D146" s="690"/>
      <c r="F146" s="690"/>
      <c r="I146" s="690"/>
    </row>
    <row r="147" spans="4:9" ht="15.75" customHeight="1" x14ac:dyDescent="0.3">
      <c r="D147" s="690"/>
      <c r="F147" s="690"/>
      <c r="I147" s="690"/>
    </row>
    <row r="148" spans="4:9" ht="15.75" customHeight="1" x14ac:dyDescent="0.3">
      <c r="D148" s="690"/>
      <c r="F148" s="690"/>
      <c r="I148" s="690"/>
    </row>
    <row r="149" spans="4:9" ht="15.75" customHeight="1" x14ac:dyDescent="0.3">
      <c r="D149" s="690"/>
      <c r="F149" s="690"/>
      <c r="I149" s="690"/>
    </row>
    <row r="150" spans="4:9" ht="15.75" customHeight="1" x14ac:dyDescent="0.3">
      <c r="D150" s="690"/>
      <c r="F150" s="690"/>
      <c r="I150" s="690"/>
    </row>
    <row r="151" spans="4:9" ht="15.75" customHeight="1" x14ac:dyDescent="0.3">
      <c r="D151" s="690"/>
      <c r="F151" s="690"/>
      <c r="I151" s="690"/>
    </row>
    <row r="152" spans="4:9" ht="15.75" customHeight="1" x14ac:dyDescent="0.3">
      <c r="D152" s="690"/>
      <c r="F152" s="690"/>
      <c r="I152" s="690"/>
    </row>
    <row r="153" spans="4:9" ht="15.75" customHeight="1" x14ac:dyDescent="0.3">
      <c r="D153" s="690"/>
      <c r="F153" s="690"/>
      <c r="I153" s="690"/>
    </row>
    <row r="154" spans="4:9" ht="15.75" customHeight="1" x14ac:dyDescent="0.3">
      <c r="D154" s="690"/>
      <c r="F154" s="690"/>
      <c r="I154" s="690"/>
    </row>
    <row r="155" spans="4:9" ht="15.75" customHeight="1" x14ac:dyDescent="0.3">
      <c r="D155" s="690"/>
      <c r="F155" s="690"/>
      <c r="I155" s="690"/>
    </row>
    <row r="156" spans="4:9" ht="15.75" customHeight="1" x14ac:dyDescent="0.3">
      <c r="D156" s="690"/>
      <c r="F156" s="690"/>
      <c r="I156" s="690"/>
    </row>
    <row r="157" spans="4:9" ht="15.75" customHeight="1" x14ac:dyDescent="0.3">
      <c r="D157" s="690"/>
      <c r="F157" s="690"/>
      <c r="I157" s="690"/>
    </row>
    <row r="158" spans="4:9" ht="15.75" customHeight="1" x14ac:dyDescent="0.3">
      <c r="D158" s="690"/>
      <c r="F158" s="690"/>
      <c r="I158" s="690"/>
    </row>
    <row r="159" spans="4:9" ht="15.75" customHeight="1" x14ac:dyDescent="0.3">
      <c r="D159" s="690"/>
      <c r="F159" s="690"/>
      <c r="I159" s="690"/>
    </row>
    <row r="160" spans="4:9" ht="15.75" customHeight="1" x14ac:dyDescent="0.3">
      <c r="D160" s="690"/>
      <c r="F160" s="690"/>
      <c r="I160" s="690"/>
    </row>
    <row r="161" spans="4:9" ht="15.75" customHeight="1" x14ac:dyDescent="0.3">
      <c r="D161" s="690"/>
      <c r="F161" s="690"/>
      <c r="I161" s="690"/>
    </row>
    <row r="162" spans="4:9" ht="15.75" customHeight="1" x14ac:dyDescent="0.3">
      <c r="D162" s="690"/>
      <c r="F162" s="690"/>
      <c r="I162" s="690"/>
    </row>
    <row r="163" spans="4:9" ht="15.75" customHeight="1" x14ac:dyDescent="0.3">
      <c r="D163" s="690"/>
      <c r="F163" s="690"/>
      <c r="I163" s="690"/>
    </row>
    <row r="164" spans="4:9" ht="15.75" customHeight="1" x14ac:dyDescent="0.3">
      <c r="D164" s="690"/>
      <c r="F164" s="690"/>
      <c r="I164" s="690"/>
    </row>
    <row r="165" spans="4:9" ht="15.75" customHeight="1" x14ac:dyDescent="0.3">
      <c r="D165" s="690"/>
      <c r="F165" s="690"/>
      <c r="I165" s="690"/>
    </row>
    <row r="166" spans="4:9" ht="15.75" customHeight="1" x14ac:dyDescent="0.3">
      <c r="D166" s="690"/>
      <c r="F166" s="690"/>
      <c r="I166" s="690"/>
    </row>
    <row r="167" spans="4:9" ht="15.75" customHeight="1" x14ac:dyDescent="0.3">
      <c r="D167" s="690"/>
      <c r="F167" s="690"/>
      <c r="I167" s="690"/>
    </row>
    <row r="168" spans="4:9" ht="15.75" customHeight="1" x14ac:dyDescent="0.3">
      <c r="D168" s="690"/>
      <c r="F168" s="690"/>
      <c r="I168" s="690"/>
    </row>
    <row r="169" spans="4:9" ht="15.75" customHeight="1" x14ac:dyDescent="0.3">
      <c r="D169" s="690"/>
      <c r="F169" s="690"/>
      <c r="I169" s="690"/>
    </row>
    <row r="170" spans="4:9" ht="15.75" customHeight="1" x14ac:dyDescent="0.3">
      <c r="D170" s="690"/>
      <c r="F170" s="690"/>
      <c r="I170" s="690"/>
    </row>
    <row r="171" spans="4:9" ht="15.75" customHeight="1" x14ac:dyDescent="0.3">
      <c r="D171" s="690"/>
      <c r="F171" s="690"/>
      <c r="I171" s="690"/>
    </row>
    <row r="172" spans="4:9" ht="15.75" customHeight="1" x14ac:dyDescent="0.3">
      <c r="D172" s="690"/>
      <c r="F172" s="690"/>
      <c r="I172" s="690"/>
    </row>
    <row r="173" spans="4:9" ht="15.75" customHeight="1" x14ac:dyDescent="0.3">
      <c r="D173" s="690"/>
      <c r="F173" s="690"/>
      <c r="I173" s="690"/>
    </row>
    <row r="174" spans="4:9" ht="15.75" customHeight="1" x14ac:dyDescent="0.3">
      <c r="D174" s="690"/>
      <c r="F174" s="690"/>
      <c r="I174" s="690"/>
    </row>
    <row r="175" spans="4:9" ht="15.75" customHeight="1" x14ac:dyDescent="0.3">
      <c r="D175" s="690"/>
      <c r="F175" s="690"/>
      <c r="I175" s="690"/>
    </row>
    <row r="176" spans="4:9" ht="15.75" customHeight="1" x14ac:dyDescent="0.3">
      <c r="D176" s="690"/>
      <c r="F176" s="690"/>
      <c r="I176" s="690"/>
    </row>
    <row r="177" spans="4:9" ht="15.75" customHeight="1" x14ac:dyDescent="0.3">
      <c r="D177" s="690"/>
      <c r="F177" s="690"/>
      <c r="I177" s="690"/>
    </row>
    <row r="178" spans="4:9" ht="15.75" customHeight="1" x14ac:dyDescent="0.3">
      <c r="D178" s="690"/>
      <c r="F178" s="690"/>
      <c r="I178" s="690"/>
    </row>
    <row r="179" spans="4:9" ht="15.75" customHeight="1" x14ac:dyDescent="0.3">
      <c r="D179" s="690"/>
      <c r="F179" s="690"/>
      <c r="I179" s="690"/>
    </row>
    <row r="180" spans="4:9" ht="15.75" customHeight="1" x14ac:dyDescent="0.3">
      <c r="D180" s="690"/>
      <c r="F180" s="690"/>
      <c r="I180" s="690"/>
    </row>
    <row r="181" spans="4:9" ht="15.75" customHeight="1" x14ac:dyDescent="0.3">
      <c r="D181" s="690"/>
      <c r="F181" s="690"/>
      <c r="I181" s="690"/>
    </row>
    <row r="182" spans="4:9" ht="15.75" customHeight="1" x14ac:dyDescent="0.3">
      <c r="D182" s="690"/>
      <c r="F182" s="690"/>
      <c r="I182" s="690"/>
    </row>
    <row r="183" spans="4:9" ht="15.75" customHeight="1" x14ac:dyDescent="0.3">
      <c r="D183" s="690"/>
      <c r="F183" s="690"/>
      <c r="I183" s="690"/>
    </row>
    <row r="184" spans="4:9" ht="15.75" customHeight="1" x14ac:dyDescent="0.3">
      <c r="D184" s="690"/>
      <c r="F184" s="690"/>
      <c r="I184" s="690"/>
    </row>
    <row r="185" spans="4:9" ht="15.75" customHeight="1" x14ac:dyDescent="0.3">
      <c r="D185" s="690"/>
      <c r="F185" s="690"/>
      <c r="I185" s="690"/>
    </row>
    <row r="186" spans="4:9" ht="15.75" customHeight="1" x14ac:dyDescent="0.3">
      <c r="D186" s="690"/>
      <c r="F186" s="690"/>
      <c r="I186" s="690"/>
    </row>
    <row r="187" spans="4:9" ht="15.75" customHeight="1" x14ac:dyDescent="0.3">
      <c r="D187" s="690"/>
      <c r="F187" s="690"/>
      <c r="I187" s="690"/>
    </row>
    <row r="188" spans="4:9" ht="15.75" customHeight="1" x14ac:dyDescent="0.3">
      <c r="D188" s="690"/>
      <c r="F188" s="690"/>
      <c r="I188" s="690"/>
    </row>
    <row r="189" spans="4:9" ht="15.75" customHeight="1" x14ac:dyDescent="0.3">
      <c r="D189" s="690"/>
      <c r="F189" s="690"/>
      <c r="I189" s="690"/>
    </row>
    <row r="190" spans="4:9" ht="15.75" customHeight="1" x14ac:dyDescent="0.3">
      <c r="D190" s="690"/>
      <c r="F190" s="690"/>
      <c r="I190" s="690"/>
    </row>
    <row r="191" spans="4:9" ht="15.75" customHeight="1" x14ac:dyDescent="0.3">
      <c r="D191" s="690"/>
      <c r="F191" s="690"/>
      <c r="I191" s="690"/>
    </row>
    <row r="192" spans="4:9" ht="15.75" customHeight="1" x14ac:dyDescent="0.3">
      <c r="D192" s="690"/>
      <c r="F192" s="690"/>
      <c r="I192" s="690"/>
    </row>
    <row r="193" spans="4:9" ht="15.75" customHeight="1" x14ac:dyDescent="0.3">
      <c r="D193" s="690"/>
      <c r="F193" s="690"/>
      <c r="I193" s="690"/>
    </row>
    <row r="194" spans="4:9" ht="15.75" customHeight="1" x14ac:dyDescent="0.3">
      <c r="D194" s="690"/>
      <c r="F194" s="690"/>
      <c r="I194" s="690"/>
    </row>
    <row r="195" spans="4:9" ht="15.75" customHeight="1" x14ac:dyDescent="0.3">
      <c r="D195" s="690"/>
      <c r="F195" s="690"/>
      <c r="I195" s="690"/>
    </row>
    <row r="196" spans="4:9" ht="15.75" customHeight="1" x14ac:dyDescent="0.3">
      <c r="D196" s="690"/>
      <c r="F196" s="690"/>
      <c r="I196" s="690"/>
    </row>
    <row r="197" spans="4:9" ht="15.75" customHeight="1" x14ac:dyDescent="0.3">
      <c r="D197" s="690"/>
      <c r="F197" s="690"/>
      <c r="I197" s="690"/>
    </row>
    <row r="198" spans="4:9" ht="15.75" customHeight="1" x14ac:dyDescent="0.3">
      <c r="D198" s="690"/>
      <c r="F198" s="690"/>
      <c r="I198" s="690"/>
    </row>
    <row r="199" spans="4:9" ht="15.75" customHeight="1" x14ac:dyDescent="0.3">
      <c r="D199" s="690"/>
      <c r="F199" s="690"/>
      <c r="I199" s="690"/>
    </row>
    <row r="200" spans="4:9" ht="15.75" customHeight="1" x14ac:dyDescent="0.3">
      <c r="D200" s="690"/>
      <c r="F200" s="690"/>
      <c r="I200" s="690"/>
    </row>
    <row r="201" spans="4:9" ht="15.75" customHeight="1" x14ac:dyDescent="0.3">
      <c r="D201" s="690"/>
      <c r="F201" s="690"/>
      <c r="I201" s="690"/>
    </row>
    <row r="202" spans="4:9" ht="15.75" customHeight="1" x14ac:dyDescent="0.3">
      <c r="D202" s="690"/>
      <c r="F202" s="690"/>
      <c r="I202" s="690"/>
    </row>
    <row r="203" spans="4:9" ht="15.75" customHeight="1" x14ac:dyDescent="0.3">
      <c r="D203" s="690"/>
      <c r="F203" s="690"/>
      <c r="I203" s="690"/>
    </row>
    <row r="204" spans="4:9" ht="15.75" customHeight="1" x14ac:dyDescent="0.3">
      <c r="D204" s="690"/>
      <c r="F204" s="690"/>
      <c r="I204" s="690"/>
    </row>
    <row r="205" spans="4:9" ht="15.75" customHeight="1" x14ac:dyDescent="0.3">
      <c r="D205" s="690"/>
      <c r="F205" s="690"/>
      <c r="I205" s="690"/>
    </row>
    <row r="206" spans="4:9" ht="15.75" customHeight="1" x14ac:dyDescent="0.3">
      <c r="D206" s="690"/>
      <c r="F206" s="690"/>
      <c r="I206" s="690"/>
    </row>
    <row r="207" spans="4:9" ht="15.75" customHeight="1" x14ac:dyDescent="0.3">
      <c r="D207" s="690"/>
      <c r="F207" s="690"/>
      <c r="I207" s="690"/>
    </row>
    <row r="208" spans="4:9" ht="15.75" customHeight="1" x14ac:dyDescent="0.3">
      <c r="D208" s="690"/>
      <c r="F208" s="690"/>
      <c r="I208" s="690"/>
    </row>
    <row r="209" spans="4:9" ht="15.75" customHeight="1" x14ac:dyDescent="0.3">
      <c r="D209" s="690"/>
      <c r="F209" s="690"/>
      <c r="I209" s="690"/>
    </row>
    <row r="210" spans="4:9" ht="15.75" customHeight="1" x14ac:dyDescent="0.3">
      <c r="D210" s="690"/>
      <c r="F210" s="690"/>
      <c r="I210" s="690"/>
    </row>
    <row r="211" spans="4:9" ht="15.75" customHeight="1" x14ac:dyDescent="0.3">
      <c r="D211" s="690"/>
      <c r="F211" s="690"/>
      <c r="I211" s="690"/>
    </row>
    <row r="212" spans="4:9" ht="15.75" customHeight="1" x14ac:dyDescent="0.3">
      <c r="D212" s="690"/>
      <c r="F212" s="690"/>
      <c r="I212" s="690"/>
    </row>
    <row r="213" spans="4:9" ht="15.75" customHeight="1" x14ac:dyDescent="0.3">
      <c r="D213" s="690"/>
      <c r="F213" s="690"/>
      <c r="I213" s="690"/>
    </row>
    <row r="214" spans="4:9" ht="15.75" customHeight="1" x14ac:dyDescent="0.3">
      <c r="D214" s="690"/>
      <c r="F214" s="690"/>
      <c r="I214" s="690"/>
    </row>
    <row r="215" spans="4:9" ht="15.75" customHeight="1" x14ac:dyDescent="0.3">
      <c r="D215" s="690"/>
      <c r="F215" s="690"/>
      <c r="I215" s="690"/>
    </row>
    <row r="216" spans="4:9" ht="15.75" customHeight="1" x14ac:dyDescent="0.3">
      <c r="D216" s="690"/>
      <c r="F216" s="690"/>
      <c r="I216" s="690"/>
    </row>
    <row r="217" spans="4:9" ht="15.75" customHeight="1" x14ac:dyDescent="0.3">
      <c r="D217" s="690"/>
      <c r="F217" s="690"/>
      <c r="I217" s="690"/>
    </row>
    <row r="218" spans="4:9" ht="15.75" customHeight="1" x14ac:dyDescent="0.3">
      <c r="D218" s="690"/>
      <c r="F218" s="690"/>
      <c r="I218" s="690"/>
    </row>
    <row r="219" spans="4:9" ht="15.75" customHeight="1" x14ac:dyDescent="0.3">
      <c r="D219" s="690"/>
      <c r="F219" s="690"/>
      <c r="I219" s="690"/>
    </row>
    <row r="220" spans="4:9" ht="15.75" customHeight="1" x14ac:dyDescent="0.3">
      <c r="D220" s="690"/>
      <c r="F220" s="690"/>
      <c r="I220" s="690"/>
    </row>
    <row r="221" spans="4:9" ht="15.75" customHeight="1" x14ac:dyDescent="0.3">
      <c r="D221" s="690"/>
      <c r="F221" s="690"/>
      <c r="I221" s="690"/>
    </row>
    <row r="222" spans="4:9" ht="15.75" customHeight="1" x14ac:dyDescent="0.3">
      <c r="D222" s="690"/>
      <c r="F222" s="690"/>
      <c r="I222" s="690"/>
    </row>
    <row r="223" spans="4:9" ht="15.75" customHeight="1" x14ac:dyDescent="0.3">
      <c r="D223" s="690"/>
      <c r="F223" s="690"/>
      <c r="I223" s="690"/>
    </row>
    <row r="224" spans="4:9" ht="15.75" customHeight="1" x14ac:dyDescent="0.3">
      <c r="D224" s="690"/>
      <c r="F224" s="690"/>
      <c r="I224" s="690"/>
    </row>
    <row r="225" spans="4:9" ht="15.75" customHeight="1" x14ac:dyDescent="0.3">
      <c r="D225" s="690"/>
      <c r="F225" s="690"/>
      <c r="I225" s="690"/>
    </row>
    <row r="226" spans="4:9" ht="15.75" customHeight="1" x14ac:dyDescent="0.3">
      <c r="D226" s="690"/>
      <c r="F226" s="690"/>
      <c r="I226" s="690"/>
    </row>
    <row r="227" spans="4:9" ht="15.75" customHeight="1" x14ac:dyDescent="0.3">
      <c r="D227" s="690"/>
      <c r="F227" s="690"/>
      <c r="I227" s="690"/>
    </row>
    <row r="228" spans="4:9" ht="15.75" customHeight="1" x14ac:dyDescent="0.3">
      <c r="D228" s="690"/>
      <c r="F228" s="690"/>
      <c r="I228" s="690"/>
    </row>
    <row r="229" spans="4:9" ht="15.75" customHeight="1" x14ac:dyDescent="0.3">
      <c r="D229" s="690"/>
      <c r="F229" s="690"/>
      <c r="I229" s="690"/>
    </row>
    <row r="230" spans="4:9" ht="15.75" customHeight="1" x14ac:dyDescent="0.3">
      <c r="D230" s="690"/>
      <c r="F230" s="690"/>
      <c r="I230" s="690"/>
    </row>
    <row r="231" spans="4:9" ht="15.75" customHeight="1" x14ac:dyDescent="0.3">
      <c r="D231" s="690"/>
      <c r="F231" s="690"/>
      <c r="I231" s="690"/>
    </row>
    <row r="232" spans="4:9" ht="15.75" customHeight="1" x14ac:dyDescent="0.3">
      <c r="D232" s="690"/>
      <c r="F232" s="690"/>
      <c r="I232" s="690"/>
    </row>
    <row r="233" spans="4:9" ht="15.75" customHeight="1" x14ac:dyDescent="0.3">
      <c r="D233" s="690"/>
      <c r="F233" s="690"/>
      <c r="I233" s="690"/>
    </row>
    <row r="234" spans="4:9" ht="15.75" customHeight="1" x14ac:dyDescent="0.3">
      <c r="D234" s="690"/>
      <c r="F234" s="690"/>
      <c r="I234" s="690"/>
    </row>
    <row r="235" spans="4:9" ht="15.75" customHeight="1" x14ac:dyDescent="0.3">
      <c r="D235" s="690"/>
      <c r="F235" s="690"/>
      <c r="I235" s="690"/>
    </row>
    <row r="236" spans="4:9" ht="15.75" customHeight="1" x14ac:dyDescent="0.3">
      <c r="D236" s="690"/>
      <c r="F236" s="690"/>
    </row>
    <row r="237" spans="4:9" ht="15.75" customHeight="1" x14ac:dyDescent="0.3">
      <c r="D237" s="690"/>
      <c r="F237" s="690"/>
    </row>
    <row r="238" spans="4:9" ht="15.75" customHeight="1" x14ac:dyDescent="0.3">
      <c r="D238" s="690"/>
      <c r="F238" s="690"/>
    </row>
    <row r="239" spans="4:9" ht="15.75" customHeight="1" x14ac:dyDescent="0.3">
      <c r="D239" s="690"/>
      <c r="F239" s="690"/>
    </row>
    <row r="240" spans="4:9" ht="15.75" customHeight="1" x14ac:dyDescent="0.3">
      <c r="D240" s="690"/>
      <c r="F240" s="690"/>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sheetData>
  <dataValidations count="1">
    <dataValidation type="list" allowBlank="1" showErrorMessage="1" sqref="B17 B22" xr:uid="{22F9992D-DEBF-4664-93D3-578ADE02E472}">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75633-82A2-4DDE-A5C1-24A7D727C771}">
  <sheetPr codeName="Sheet5">
    <tabColor rgb="FF92D050"/>
  </sheetPr>
  <dimension ref="A1:AJ147"/>
  <sheetViews>
    <sheetView zoomScale="80" zoomScaleNormal="80" workbookViewId="0">
      <selection activeCell="G117" sqref="G117"/>
    </sheetView>
  </sheetViews>
  <sheetFormatPr defaultColWidth="11.44140625" defaultRowHeight="15.6" x14ac:dyDescent="0.3"/>
  <cols>
    <col min="1" max="1" width="5.88671875" style="105" customWidth="1"/>
    <col min="2" max="2" width="19" style="61" customWidth="1"/>
    <col min="3" max="3" width="26.44140625" customWidth="1"/>
    <col min="4" max="4" width="17.44140625" customWidth="1"/>
    <col min="5" max="5" width="13.6640625" customWidth="1"/>
    <col min="6" max="7" width="15.6640625" style="61" customWidth="1"/>
    <col min="8" max="8" width="13.5546875" style="61" hidden="1" customWidth="1"/>
    <col min="9" max="9" width="17" style="61" customWidth="1"/>
    <col min="10" max="10" width="3.21875" style="61" customWidth="1"/>
    <col min="11" max="11" width="17.21875" style="61" customWidth="1"/>
    <col min="12" max="12" width="13" style="61" customWidth="1"/>
    <col min="13" max="13" width="14.44140625" style="61" customWidth="1"/>
    <col min="14" max="14" width="15.77734375" style="61" customWidth="1"/>
    <col min="15" max="15" width="15.77734375" style="61" hidden="1" customWidth="1"/>
    <col min="16" max="16" width="17" style="61" customWidth="1"/>
    <col min="17" max="17" width="3.21875" style="61" customWidth="1"/>
    <col min="18" max="18" width="17" style="61" customWidth="1"/>
    <col min="19" max="19" width="3" style="61" customWidth="1"/>
    <col min="20" max="20" width="11.33203125" customWidth="1"/>
    <col min="21" max="23" width="12.33203125" customWidth="1"/>
    <col min="24" max="24" width="11.88671875" customWidth="1"/>
    <col min="25" max="25" width="12" customWidth="1"/>
    <col min="26" max="31" width="11.33203125" customWidth="1"/>
    <col min="32" max="32" width="11" customWidth="1"/>
    <col min="33" max="33" width="11.33203125" style="108" customWidth="1"/>
    <col min="34" max="34" width="40.33203125" hidden="1" customWidth="1"/>
    <col min="35" max="35" width="13.5546875" style="61" customWidth="1"/>
    <col min="36" max="36" width="20.6640625" style="61" customWidth="1"/>
  </cols>
  <sheetData>
    <row r="1" spans="1:36" ht="23.4" x14ac:dyDescent="0.35">
      <c r="B1" s="106" t="s">
        <v>0</v>
      </c>
      <c r="D1" s="107"/>
      <c r="AD1" s="108"/>
      <c r="AG1"/>
      <c r="AI1"/>
    </row>
    <row r="2" spans="1:36" ht="17.399999999999999" customHeight="1" x14ac:dyDescent="0.3">
      <c r="B2" s="109" t="s">
        <v>12</v>
      </c>
      <c r="AD2" s="108"/>
      <c r="AG2"/>
    </row>
    <row r="3" spans="1:36" ht="18.600000000000001" customHeight="1" x14ac:dyDescent="0.45">
      <c r="B3" s="110" t="s">
        <v>2</v>
      </c>
      <c r="C3" s="1"/>
      <c r="G3" s="111"/>
      <c r="AD3" s="108"/>
      <c r="AG3"/>
    </row>
    <row r="4" spans="1:36" ht="23.4" x14ac:dyDescent="0.45">
      <c r="B4" s="112" t="str">
        <f>'ER 2024 consolidated'!B4</f>
        <v>The 9th Monitoring Report to be submitted to the VCS program covering the period of 01-January-2024 to 31-December-2024</v>
      </c>
      <c r="D4" s="3"/>
      <c r="E4" s="4"/>
      <c r="G4" s="111"/>
    </row>
    <row r="5" spans="1:36" ht="19.8" customHeight="1" x14ac:dyDescent="0.3">
      <c r="B5" t="str">
        <f>'Annex B - Summary'!B7</f>
        <v>Last revised version: October 10, 2025</v>
      </c>
      <c r="D5" s="3"/>
      <c r="E5" s="4"/>
    </row>
    <row r="6" spans="1:36" x14ac:dyDescent="0.3">
      <c r="A6" s="112"/>
      <c r="D6" s="3"/>
      <c r="E6" s="4"/>
    </row>
    <row r="7" spans="1:36" x14ac:dyDescent="0.3">
      <c r="A7" s="112"/>
      <c r="B7" s="113"/>
      <c r="D7" s="3"/>
      <c r="E7" s="4"/>
    </row>
    <row r="8" spans="1:36" ht="20.399999999999999" customHeight="1" x14ac:dyDescent="0.3">
      <c r="A8" s="114"/>
      <c r="B8" s="115" t="s">
        <v>57</v>
      </c>
      <c r="D8" s="4341" t="s">
        <v>58</v>
      </c>
      <c r="E8" s="4341"/>
      <c r="F8" s="4341"/>
      <c r="G8" s="4341"/>
      <c r="H8" s="4341"/>
      <c r="I8" s="4341"/>
      <c r="J8" s="116"/>
      <c r="K8" s="4341" t="s">
        <v>59</v>
      </c>
      <c r="L8" s="4341"/>
      <c r="M8" s="4341"/>
      <c r="N8" s="4341"/>
      <c r="O8" s="4341"/>
      <c r="P8" s="4341"/>
      <c r="Q8" s="116"/>
      <c r="R8" s="116"/>
      <c r="S8" s="116"/>
    </row>
    <row r="9" spans="1:36" s="12" customFormat="1" ht="19.2" customHeight="1" x14ac:dyDescent="0.3">
      <c r="B9" s="4342" t="s">
        <v>60</v>
      </c>
      <c r="C9" s="4342"/>
      <c r="F9" s="105"/>
      <c r="G9" s="118"/>
      <c r="H9" s="105"/>
      <c r="I9" s="105"/>
      <c r="J9" s="105"/>
      <c r="K9" s="105"/>
      <c r="L9" s="105"/>
      <c r="M9" s="105"/>
      <c r="N9" s="105"/>
      <c r="O9" s="105"/>
      <c r="P9" s="105"/>
      <c r="Q9" s="105"/>
      <c r="R9" s="105"/>
      <c r="S9" s="105"/>
      <c r="T9"/>
      <c r="U9"/>
      <c r="V9"/>
      <c r="W9"/>
      <c r="X9"/>
      <c r="Y9"/>
      <c r="Z9"/>
      <c r="AA9"/>
      <c r="AB9"/>
      <c r="AC9"/>
      <c r="AD9"/>
      <c r="AE9"/>
      <c r="AF9"/>
      <c r="AG9" s="108"/>
      <c r="AH9"/>
      <c r="AI9" s="61"/>
      <c r="AJ9" s="61"/>
    </row>
    <row r="10" spans="1:36" ht="25.8" customHeight="1" x14ac:dyDescent="0.35">
      <c r="A10" s="117"/>
      <c r="B10" s="4343" t="s">
        <v>295</v>
      </c>
      <c r="C10" s="4343"/>
      <c r="D10" s="4345">
        <f>'Annex B - Summary'!B9</f>
        <v>2024</v>
      </c>
      <c r="E10" s="4346"/>
      <c r="F10" s="4346"/>
      <c r="G10" s="4346"/>
      <c r="H10" s="4346"/>
      <c r="I10" s="4347"/>
      <c r="J10" s="394"/>
      <c r="K10" s="4345">
        <f>'Annex B - Summary'!B9</f>
        <v>2024</v>
      </c>
      <c r="L10" s="4346"/>
      <c r="M10" s="4346"/>
      <c r="N10" s="4346"/>
      <c r="O10" s="4346"/>
      <c r="P10" s="4347"/>
      <c r="Q10" s="264"/>
      <c r="R10" s="395">
        <f>'Annex B - Summary'!B9</f>
        <v>2024</v>
      </c>
      <c r="S10" s="107"/>
    </row>
    <row r="11" spans="1:36" ht="24" customHeight="1" x14ac:dyDescent="0.3">
      <c r="A11" s="117"/>
      <c r="B11" s="4344"/>
      <c r="C11" s="4344"/>
      <c r="F11" s="4348" t="s">
        <v>61</v>
      </c>
      <c r="G11" s="4348"/>
      <c r="H11" s="4348"/>
      <c r="I11" s="4348"/>
      <c r="J11" s="119"/>
      <c r="K11" s="119"/>
      <c r="L11" s="119"/>
      <c r="M11" s="4348" t="s">
        <v>61</v>
      </c>
      <c r="N11" s="4348"/>
      <c r="O11" s="4348"/>
      <c r="P11" s="4348"/>
      <c r="Q11" s="119"/>
      <c r="R11" s="120" t="s">
        <v>62</v>
      </c>
      <c r="S11" s="119"/>
      <c r="T11" s="121" t="s">
        <v>63</v>
      </c>
      <c r="U11" s="4349" t="s">
        <v>64</v>
      </c>
      <c r="V11" s="4350"/>
      <c r="W11" s="4351"/>
      <c r="X11" s="122" t="s">
        <v>65</v>
      </c>
      <c r="Y11" s="123" t="s">
        <v>66</v>
      </c>
      <c r="Z11" s="124" t="s">
        <v>67</v>
      </c>
      <c r="AA11" s="124" t="s">
        <v>68</v>
      </c>
      <c r="AB11" s="125" t="s">
        <v>69</v>
      </c>
      <c r="AC11" s="125" t="s">
        <v>70</v>
      </c>
      <c r="AD11" s="126" t="s">
        <v>71</v>
      </c>
      <c r="AE11" s="124" t="s">
        <v>72</v>
      </c>
      <c r="AF11" s="124" t="s">
        <v>259</v>
      </c>
      <c r="AG11" s="4352" t="s">
        <v>17</v>
      </c>
      <c r="AH11" s="4354" t="s">
        <v>294</v>
      </c>
      <c r="AI11" s="4356" t="s">
        <v>73</v>
      </c>
      <c r="AJ11" s="4339" t="s">
        <v>74</v>
      </c>
    </row>
    <row r="12" spans="1:36" s="12" customFormat="1" ht="53.4" customHeight="1" x14ac:dyDescent="0.3">
      <c r="A12" s="105"/>
      <c r="B12" s="127" t="s">
        <v>75</v>
      </c>
      <c r="C12" s="128" t="s">
        <v>76</v>
      </c>
      <c r="D12" s="129" t="s">
        <v>77</v>
      </c>
      <c r="E12" s="130" t="s">
        <v>78</v>
      </c>
      <c r="F12" s="129" t="s">
        <v>79</v>
      </c>
      <c r="G12" s="129" t="s">
        <v>80</v>
      </c>
      <c r="H12" s="129" t="s">
        <v>81</v>
      </c>
      <c r="I12" s="129" t="s">
        <v>82</v>
      </c>
      <c r="J12" s="131"/>
      <c r="K12" s="129" t="s">
        <v>83</v>
      </c>
      <c r="L12" s="130" t="s">
        <v>78</v>
      </c>
      <c r="M12" s="129" t="s">
        <v>79</v>
      </c>
      <c r="N12" s="129" t="s">
        <v>80</v>
      </c>
      <c r="O12" s="129" t="s">
        <v>81</v>
      </c>
      <c r="P12" s="129" t="s">
        <v>82</v>
      </c>
      <c r="Q12" s="132"/>
      <c r="R12" s="129" t="s">
        <v>82</v>
      </c>
      <c r="S12" s="132"/>
      <c r="T12" s="133" t="s">
        <v>84</v>
      </c>
      <c r="U12" s="134" t="s">
        <v>293</v>
      </c>
      <c r="V12" s="135" t="s">
        <v>263</v>
      </c>
      <c r="W12" s="135" t="s">
        <v>265</v>
      </c>
      <c r="X12" s="136" t="s">
        <v>85</v>
      </c>
      <c r="Y12" s="137" t="s">
        <v>86</v>
      </c>
      <c r="Z12" s="138" t="s">
        <v>87</v>
      </c>
      <c r="AA12" s="139" t="s">
        <v>88</v>
      </c>
      <c r="AB12" s="140" t="s">
        <v>89</v>
      </c>
      <c r="AC12" s="140" t="s">
        <v>90</v>
      </c>
      <c r="AD12" s="141" t="s">
        <v>91</v>
      </c>
      <c r="AE12" s="138" t="s">
        <v>92</v>
      </c>
      <c r="AF12" s="138" t="s">
        <v>260</v>
      </c>
      <c r="AG12" s="4353"/>
      <c r="AH12" s="4355"/>
      <c r="AI12" s="4357"/>
      <c r="AJ12" s="4340"/>
    </row>
    <row r="13" spans="1:36" ht="21.75" customHeight="1" x14ac:dyDescent="0.3">
      <c r="B13" s="142" t="s">
        <v>93</v>
      </c>
      <c r="C13" s="143" t="s">
        <v>28</v>
      </c>
      <c r="D13" s="144">
        <v>1</v>
      </c>
      <c r="E13" s="145">
        <v>0</v>
      </c>
      <c r="F13" s="146">
        <f>ROUNDDOWN('CF-0101|2024'!E11,0)</f>
        <v>332</v>
      </c>
      <c r="G13" s="146">
        <f>ROUNDDOWN('CF-0101|2024'!E12,0)</f>
        <v>58</v>
      </c>
      <c r="H13" s="148"/>
      <c r="I13" s="149">
        <f>F13-G13</f>
        <v>274</v>
      </c>
      <c r="J13" s="150"/>
      <c r="K13" s="151">
        <v>0</v>
      </c>
      <c r="L13" s="151">
        <v>0</v>
      </c>
      <c r="M13" s="152">
        <v>0</v>
      </c>
      <c r="N13" s="152">
        <v>0</v>
      </c>
      <c r="O13" s="152">
        <v>0</v>
      </c>
      <c r="P13" s="152">
        <f>M13-N13</f>
        <v>0</v>
      </c>
      <c r="Q13" s="63"/>
      <c r="R13" s="149">
        <f>I13+P13</f>
        <v>274</v>
      </c>
      <c r="S13" s="62"/>
      <c r="T13" s="563"/>
      <c r="U13" s="564"/>
      <c r="V13" s="564"/>
      <c r="W13" s="564"/>
      <c r="X13" s="564"/>
      <c r="Y13" s="564"/>
      <c r="Z13" s="564"/>
      <c r="AA13" s="564"/>
      <c r="AB13" s="392">
        <v>1</v>
      </c>
      <c r="AC13" s="564"/>
      <c r="AD13" s="564"/>
      <c r="AE13" s="564"/>
      <c r="AF13" s="564"/>
      <c r="AG13" s="153">
        <f>SUM(T13:AE13)</f>
        <v>1</v>
      </c>
      <c r="AH13" s="154"/>
      <c r="AI13" s="4132">
        <v>1</v>
      </c>
      <c r="AJ13" s="4133">
        <f t="shared" ref="AJ13:AJ32" si="0">IF(R13&gt;0,1,0)</f>
        <v>1</v>
      </c>
    </row>
    <row r="14" spans="1:36" ht="21.75" customHeight="1" x14ac:dyDescent="0.3">
      <c r="B14" s="155" t="s">
        <v>94</v>
      </c>
      <c r="C14" s="156" t="s">
        <v>28</v>
      </c>
      <c r="D14" s="157">
        <v>1</v>
      </c>
      <c r="E14" s="158">
        <v>0</v>
      </c>
      <c r="F14" s="159">
        <f>ROUNDDOWN('CF-0102|2024'!E11,0)</f>
        <v>636</v>
      </c>
      <c r="G14" s="159">
        <f>ROUNDDOWN('CF-0102|2024'!E12,0)</f>
        <v>74</v>
      </c>
      <c r="H14" s="148"/>
      <c r="I14" s="152">
        <f>F14-G14</f>
        <v>562</v>
      </c>
      <c r="J14" s="150"/>
      <c r="K14" s="151">
        <v>0</v>
      </c>
      <c r="L14" s="151">
        <v>0</v>
      </c>
      <c r="M14" s="152">
        <v>0</v>
      </c>
      <c r="N14" s="152">
        <v>0</v>
      </c>
      <c r="O14" s="152">
        <v>0</v>
      </c>
      <c r="P14" s="152">
        <f>M14-N14</f>
        <v>0</v>
      </c>
      <c r="Q14" s="63"/>
      <c r="R14" s="152">
        <f>I14+P14</f>
        <v>562</v>
      </c>
      <c r="S14" s="62"/>
      <c r="T14" s="393">
        <v>1</v>
      </c>
      <c r="U14" s="564"/>
      <c r="V14" s="564"/>
      <c r="W14" s="564"/>
      <c r="X14" s="564"/>
      <c r="Y14" s="564"/>
      <c r="Z14" s="564"/>
      <c r="AA14" s="564"/>
      <c r="AB14" s="564"/>
      <c r="AC14" s="564"/>
      <c r="AD14" s="564"/>
      <c r="AE14" s="564"/>
      <c r="AF14" s="564"/>
      <c r="AG14" s="153">
        <f t="shared" ref="AG14:AG32" si="1">SUM(T14:AE14)</f>
        <v>1</v>
      </c>
      <c r="AH14" s="154"/>
      <c r="AI14" s="4134">
        <v>2</v>
      </c>
      <c r="AJ14" s="4135">
        <f t="shared" si="0"/>
        <v>1</v>
      </c>
    </row>
    <row r="15" spans="1:36" ht="21.75" customHeight="1" x14ac:dyDescent="0.3">
      <c r="B15" s="155" t="s">
        <v>95</v>
      </c>
      <c r="C15" s="156" t="s">
        <v>28</v>
      </c>
      <c r="D15" s="157">
        <v>1</v>
      </c>
      <c r="E15" s="158">
        <v>0</v>
      </c>
      <c r="F15" s="159">
        <f>ROUNDDOWN('CF-0103|2024'!E11,0)</f>
        <v>278</v>
      </c>
      <c r="G15" s="159">
        <f>ROUNDDOWN('CF-0103|2024'!E12,0)</f>
        <v>63</v>
      </c>
      <c r="H15" s="148"/>
      <c r="I15" s="152">
        <f>F15-G15</f>
        <v>215</v>
      </c>
      <c r="J15" s="150"/>
      <c r="K15" s="151">
        <v>0</v>
      </c>
      <c r="L15" s="151">
        <v>0</v>
      </c>
      <c r="M15" s="152">
        <v>0</v>
      </c>
      <c r="N15" s="152">
        <v>0</v>
      </c>
      <c r="O15" s="152">
        <v>0</v>
      </c>
      <c r="P15" s="152">
        <f>M15-N15</f>
        <v>0</v>
      </c>
      <c r="Q15" s="63"/>
      <c r="R15" s="152">
        <f>I15+P15</f>
        <v>215</v>
      </c>
      <c r="S15" s="62"/>
      <c r="T15" s="393">
        <v>1</v>
      </c>
      <c r="U15" s="564"/>
      <c r="V15" s="564"/>
      <c r="W15" s="564"/>
      <c r="X15" s="564"/>
      <c r="Y15" s="564"/>
      <c r="Z15" s="564"/>
      <c r="AA15" s="564"/>
      <c r="AB15" s="564"/>
      <c r="AC15" s="564"/>
      <c r="AD15" s="564"/>
      <c r="AE15" s="564"/>
      <c r="AF15" s="564"/>
      <c r="AG15" s="153">
        <f t="shared" si="1"/>
        <v>1</v>
      </c>
      <c r="AH15" s="154"/>
      <c r="AI15" s="4134">
        <v>7</v>
      </c>
      <c r="AJ15" s="4135">
        <f t="shared" si="0"/>
        <v>1</v>
      </c>
    </row>
    <row r="16" spans="1:36" ht="21.75" customHeight="1" x14ac:dyDescent="0.3">
      <c r="B16" s="4122" t="s">
        <v>96</v>
      </c>
      <c r="C16" s="156" t="s">
        <v>28</v>
      </c>
      <c r="D16" s="160">
        <v>0</v>
      </c>
      <c r="E16" s="158">
        <v>0</v>
      </c>
      <c r="F16" s="159">
        <v>0</v>
      </c>
      <c r="G16" s="147">
        <v>0</v>
      </c>
      <c r="H16" s="148"/>
      <c r="I16" s="152">
        <f t="shared" ref="I16:I31" si="2">F16-G16</f>
        <v>0</v>
      </c>
      <c r="J16" s="150"/>
      <c r="K16" s="151">
        <v>0</v>
      </c>
      <c r="L16" s="151">
        <v>0</v>
      </c>
      <c r="M16" s="152">
        <v>0</v>
      </c>
      <c r="N16" s="152">
        <v>0</v>
      </c>
      <c r="O16" s="152">
        <v>0</v>
      </c>
      <c r="P16" s="152">
        <f t="shared" ref="P16:P31" si="3">M16-N16</f>
        <v>0</v>
      </c>
      <c r="Q16" s="63"/>
      <c r="R16" s="152">
        <f t="shared" ref="R16:R31" si="4">I16+P16</f>
        <v>0</v>
      </c>
      <c r="S16" s="62"/>
      <c r="T16" s="563"/>
      <c r="U16" s="563"/>
      <c r="V16" s="564"/>
      <c r="W16" s="564"/>
      <c r="X16" s="564"/>
      <c r="Y16" s="564"/>
      <c r="Z16" s="564"/>
      <c r="AA16" s="564"/>
      <c r="AB16" s="564"/>
      <c r="AC16" s="564"/>
      <c r="AD16" s="564"/>
      <c r="AE16" s="564"/>
      <c r="AF16" s="564"/>
      <c r="AG16" s="153">
        <f t="shared" si="1"/>
        <v>0</v>
      </c>
      <c r="AH16" s="154"/>
      <c r="AI16" s="4136">
        <v>0</v>
      </c>
      <c r="AJ16" s="4068">
        <f t="shared" si="0"/>
        <v>0</v>
      </c>
    </row>
    <row r="17" spans="1:36" ht="21.75" customHeight="1" x14ac:dyDescent="0.3">
      <c r="A17" s="161"/>
      <c r="B17" s="162" t="s">
        <v>97</v>
      </c>
      <c r="C17" s="156" t="s">
        <v>28</v>
      </c>
      <c r="D17" s="157">
        <v>1</v>
      </c>
      <c r="E17" s="158">
        <v>0</v>
      </c>
      <c r="F17" s="159">
        <f>ROUNDDOWN('CF-0105|2024'!E11,0)</f>
        <v>271</v>
      </c>
      <c r="G17" s="159">
        <f>ROUNDDOWN('CF-0105|2024'!E12,0)</f>
        <v>218</v>
      </c>
      <c r="H17" s="148"/>
      <c r="I17" s="152">
        <f t="shared" si="2"/>
        <v>53</v>
      </c>
      <c r="J17" s="150"/>
      <c r="K17" s="151">
        <v>1</v>
      </c>
      <c r="L17" s="151">
        <v>0</v>
      </c>
      <c r="M17" s="152">
        <f>ROUNDDOWN('CF-0105|2024'!J11,0)</f>
        <v>97</v>
      </c>
      <c r="N17" s="152">
        <v>0</v>
      </c>
      <c r="O17" s="152">
        <v>0</v>
      </c>
      <c r="P17" s="152">
        <f t="shared" si="3"/>
        <v>97</v>
      </c>
      <c r="Q17" s="63"/>
      <c r="R17" s="152">
        <f t="shared" si="4"/>
        <v>150</v>
      </c>
      <c r="S17" s="62"/>
      <c r="T17" s="393">
        <v>1</v>
      </c>
      <c r="U17" s="393">
        <v>1</v>
      </c>
      <c r="V17" s="564"/>
      <c r="W17" s="564"/>
      <c r="X17" s="564"/>
      <c r="Y17" s="564"/>
      <c r="Z17" s="564"/>
      <c r="AA17" s="564"/>
      <c r="AB17" s="564"/>
      <c r="AC17" s="564"/>
      <c r="AD17" s="564"/>
      <c r="AE17" s="564"/>
      <c r="AF17" s="564"/>
      <c r="AG17" s="153">
        <f t="shared" si="1"/>
        <v>2</v>
      </c>
      <c r="AH17" s="154"/>
      <c r="AI17" s="4134">
        <v>10</v>
      </c>
      <c r="AJ17" s="4135">
        <f t="shared" si="0"/>
        <v>1</v>
      </c>
    </row>
    <row r="18" spans="1:36" ht="21.75" customHeight="1" x14ac:dyDescent="0.3">
      <c r="A18" s="161"/>
      <c r="B18" s="4123" t="s">
        <v>98</v>
      </c>
      <c r="C18" s="156" t="s">
        <v>28</v>
      </c>
      <c r="D18" s="160">
        <v>0</v>
      </c>
      <c r="E18" s="158">
        <v>0</v>
      </c>
      <c r="F18" s="159">
        <v>0</v>
      </c>
      <c r="G18" s="147">
        <v>0</v>
      </c>
      <c r="H18" s="148"/>
      <c r="I18" s="152">
        <f t="shared" si="2"/>
        <v>0</v>
      </c>
      <c r="J18" s="63"/>
      <c r="K18" s="151">
        <v>0</v>
      </c>
      <c r="L18" s="151">
        <v>0</v>
      </c>
      <c r="M18" s="152">
        <v>0</v>
      </c>
      <c r="N18" s="152">
        <v>0</v>
      </c>
      <c r="O18" s="152">
        <v>0</v>
      </c>
      <c r="P18" s="152">
        <f t="shared" si="3"/>
        <v>0</v>
      </c>
      <c r="Q18" s="63"/>
      <c r="R18" s="152">
        <f t="shared" si="4"/>
        <v>0</v>
      </c>
      <c r="S18" s="62"/>
      <c r="T18" s="684">
        <v>0</v>
      </c>
      <c r="U18" s="684">
        <v>0</v>
      </c>
      <c r="V18" s="564"/>
      <c r="W18" s="564"/>
      <c r="X18" s="564"/>
      <c r="Y18" s="564"/>
      <c r="Z18" s="564"/>
      <c r="AA18" s="564"/>
      <c r="AB18" s="564"/>
      <c r="AC18" s="564">
        <v>0</v>
      </c>
      <c r="AD18" s="564">
        <v>0</v>
      </c>
      <c r="AE18" s="564"/>
      <c r="AF18" s="564"/>
      <c r="AG18" s="153">
        <f>SUM(T18:AE18)</f>
        <v>0</v>
      </c>
      <c r="AH18" s="154"/>
      <c r="AI18" s="4136">
        <v>0</v>
      </c>
      <c r="AJ18" s="4068">
        <f t="shared" si="0"/>
        <v>0</v>
      </c>
    </row>
    <row r="19" spans="1:36" ht="21.75" customHeight="1" x14ac:dyDescent="0.3">
      <c r="A19" s="161"/>
      <c r="B19" s="4124" t="s">
        <v>99</v>
      </c>
      <c r="C19" s="156" t="s">
        <v>28</v>
      </c>
      <c r="D19" s="157">
        <v>0</v>
      </c>
      <c r="E19" s="158">
        <v>0</v>
      </c>
      <c r="F19" s="159">
        <v>0</v>
      </c>
      <c r="G19" s="147">
        <v>0</v>
      </c>
      <c r="H19" s="148"/>
      <c r="I19" s="152">
        <v>0</v>
      </c>
      <c r="J19" s="63"/>
      <c r="K19" s="151">
        <v>0</v>
      </c>
      <c r="L19" s="151">
        <v>0</v>
      </c>
      <c r="M19" s="152">
        <v>0</v>
      </c>
      <c r="N19" s="152">
        <v>0</v>
      </c>
      <c r="O19" s="152">
        <v>0</v>
      </c>
      <c r="P19" s="152">
        <f t="shared" si="3"/>
        <v>0</v>
      </c>
      <c r="Q19" s="63"/>
      <c r="R19" s="152">
        <f t="shared" si="4"/>
        <v>0</v>
      </c>
      <c r="S19" s="62"/>
      <c r="T19" s="564"/>
      <c r="U19" s="564"/>
      <c r="V19" s="564"/>
      <c r="W19" s="564"/>
      <c r="X19" s="564"/>
      <c r="Y19" s="564"/>
      <c r="Z19" s="564"/>
      <c r="AA19" s="564"/>
      <c r="AB19" s="564"/>
      <c r="AC19" s="564"/>
      <c r="AD19" s="564"/>
      <c r="AE19" s="564"/>
      <c r="AF19" s="564"/>
      <c r="AG19" s="153">
        <f t="shared" si="1"/>
        <v>0</v>
      </c>
      <c r="AH19" s="154"/>
      <c r="AI19" s="4137">
        <v>0</v>
      </c>
      <c r="AJ19" s="4068">
        <f t="shared" si="0"/>
        <v>0</v>
      </c>
    </row>
    <row r="20" spans="1:36" ht="21.75" customHeight="1" x14ac:dyDescent="0.3">
      <c r="A20" s="161"/>
      <c r="B20" s="12" t="s">
        <v>100</v>
      </c>
      <c r="C20" s="156" t="s">
        <v>28</v>
      </c>
      <c r="D20" s="157">
        <v>4</v>
      </c>
      <c r="E20" s="158">
        <v>0</v>
      </c>
      <c r="F20" s="159">
        <f>ROUNDDOWN('CF-0108|2024'!H11,0)</f>
        <v>504</v>
      </c>
      <c r="G20" s="159">
        <f>ROUNDDOWN('CF-0108|2024'!H12,0)</f>
        <v>27</v>
      </c>
      <c r="H20" s="148"/>
      <c r="I20" s="152">
        <f t="shared" si="2"/>
        <v>477</v>
      </c>
      <c r="J20" s="63"/>
      <c r="K20" s="151">
        <v>2</v>
      </c>
      <c r="L20" s="151">
        <v>0</v>
      </c>
      <c r="M20" s="152">
        <f>ROUNDDOWN('CF-0108|2024'!O11,0)</f>
        <v>2014</v>
      </c>
      <c r="N20" s="152">
        <v>0</v>
      </c>
      <c r="O20" s="152">
        <v>0</v>
      </c>
      <c r="P20" s="152">
        <f t="shared" si="3"/>
        <v>2014</v>
      </c>
      <c r="Q20" s="63"/>
      <c r="R20" s="152">
        <f t="shared" si="4"/>
        <v>2491</v>
      </c>
      <c r="S20" s="62"/>
      <c r="T20" s="564"/>
      <c r="U20" s="564"/>
      <c r="V20" s="392">
        <v>1</v>
      </c>
      <c r="W20" s="392">
        <v>1</v>
      </c>
      <c r="X20" s="564"/>
      <c r="Y20" s="564"/>
      <c r="Z20" s="564"/>
      <c r="AA20" s="564"/>
      <c r="AB20" s="564"/>
      <c r="AC20" s="392">
        <v>3</v>
      </c>
      <c r="AD20" s="564"/>
      <c r="AE20" s="392">
        <v>1</v>
      </c>
      <c r="AF20" s="564"/>
      <c r="AG20" s="153">
        <f t="shared" si="1"/>
        <v>6</v>
      </c>
      <c r="AH20" s="154"/>
      <c r="AI20" s="4134">
        <v>4</v>
      </c>
      <c r="AJ20" s="4135">
        <f t="shared" si="0"/>
        <v>1</v>
      </c>
    </row>
    <row r="21" spans="1:36" ht="21.75" customHeight="1" x14ac:dyDescent="0.3">
      <c r="A21" s="161"/>
      <c r="B21" s="4124" t="s">
        <v>101</v>
      </c>
      <c r="C21" s="156" t="s">
        <v>28</v>
      </c>
      <c r="D21" s="157">
        <v>0</v>
      </c>
      <c r="E21" s="158">
        <v>0</v>
      </c>
      <c r="F21" s="159">
        <v>0</v>
      </c>
      <c r="G21" s="147">
        <v>0</v>
      </c>
      <c r="H21" s="148"/>
      <c r="I21" s="152">
        <f t="shared" si="2"/>
        <v>0</v>
      </c>
      <c r="J21" s="63"/>
      <c r="K21" s="151">
        <v>0</v>
      </c>
      <c r="L21" s="151">
        <v>0</v>
      </c>
      <c r="M21" s="152">
        <v>0</v>
      </c>
      <c r="N21" s="152">
        <v>0</v>
      </c>
      <c r="O21" s="152"/>
      <c r="P21" s="152">
        <f t="shared" si="3"/>
        <v>0</v>
      </c>
      <c r="Q21" s="63"/>
      <c r="R21" s="152">
        <f t="shared" si="4"/>
        <v>0</v>
      </c>
      <c r="S21" s="62"/>
      <c r="T21" s="564"/>
      <c r="U21" s="564"/>
      <c r="V21" s="564"/>
      <c r="W21" s="564"/>
      <c r="X21" s="564"/>
      <c r="Y21" s="564"/>
      <c r="Z21" s="564"/>
      <c r="AA21" s="564"/>
      <c r="AB21" s="564"/>
      <c r="AC21" s="564"/>
      <c r="AD21" s="564"/>
      <c r="AE21" s="564"/>
      <c r="AF21" s="564"/>
      <c r="AG21" s="153">
        <f t="shared" si="1"/>
        <v>0</v>
      </c>
      <c r="AH21" s="154"/>
      <c r="AI21" s="4137">
        <v>0</v>
      </c>
      <c r="AJ21" s="4068">
        <f t="shared" si="0"/>
        <v>0</v>
      </c>
    </row>
    <row r="22" spans="1:36" ht="21.75" customHeight="1" x14ac:dyDescent="0.3">
      <c r="A22" s="161"/>
      <c r="B22" s="12" t="s">
        <v>102</v>
      </c>
      <c r="C22" s="156" t="s">
        <v>28</v>
      </c>
      <c r="D22" s="157">
        <v>1</v>
      </c>
      <c r="E22" s="158">
        <v>0</v>
      </c>
      <c r="F22" s="159">
        <f>ROUNDDOWN('CF-0112|2024'!E11,0)</f>
        <v>716</v>
      </c>
      <c r="G22" s="159">
        <f>ROUNDDOWN('CF-0112|2024'!E12,0)</f>
        <v>38</v>
      </c>
      <c r="H22" s="148"/>
      <c r="I22" s="152">
        <f t="shared" si="2"/>
        <v>678</v>
      </c>
      <c r="J22" s="63"/>
      <c r="K22" s="151">
        <v>0</v>
      </c>
      <c r="L22" s="151">
        <v>0</v>
      </c>
      <c r="M22" s="152">
        <v>0</v>
      </c>
      <c r="N22" s="152">
        <v>0</v>
      </c>
      <c r="O22" s="152"/>
      <c r="P22" s="152">
        <f t="shared" si="3"/>
        <v>0</v>
      </c>
      <c r="Q22" s="63"/>
      <c r="R22" s="152">
        <f t="shared" si="4"/>
        <v>678</v>
      </c>
      <c r="S22" s="62"/>
      <c r="T22" s="392">
        <v>1</v>
      </c>
      <c r="U22" s="564"/>
      <c r="V22" s="564"/>
      <c r="W22" s="564"/>
      <c r="X22" s="564"/>
      <c r="Y22" s="564"/>
      <c r="Z22" s="564"/>
      <c r="AA22" s="564"/>
      <c r="AB22" s="564"/>
      <c r="AC22" s="564"/>
      <c r="AD22" s="564"/>
      <c r="AE22" s="564"/>
      <c r="AF22" s="564"/>
      <c r="AG22" s="153">
        <f t="shared" si="1"/>
        <v>1</v>
      </c>
      <c r="AH22" s="154"/>
      <c r="AI22" s="4134">
        <v>5</v>
      </c>
      <c r="AJ22" s="4135">
        <f t="shared" si="0"/>
        <v>1</v>
      </c>
    </row>
    <row r="23" spans="1:36" ht="21.75" customHeight="1" x14ac:dyDescent="0.3">
      <c r="A23" s="161"/>
      <c r="B23" s="4124" t="s">
        <v>103</v>
      </c>
      <c r="C23" s="156" t="s">
        <v>28</v>
      </c>
      <c r="D23" s="160">
        <v>0</v>
      </c>
      <c r="E23" s="158">
        <v>0</v>
      </c>
      <c r="F23" s="159">
        <v>0</v>
      </c>
      <c r="G23" s="147">
        <v>0</v>
      </c>
      <c r="H23" s="148"/>
      <c r="I23" s="152">
        <f t="shared" si="2"/>
        <v>0</v>
      </c>
      <c r="J23" s="63"/>
      <c r="K23" s="151">
        <v>0</v>
      </c>
      <c r="L23" s="151">
        <v>0</v>
      </c>
      <c r="M23" s="152">
        <v>0</v>
      </c>
      <c r="N23" s="152">
        <v>0</v>
      </c>
      <c r="O23" s="152"/>
      <c r="P23" s="152">
        <f t="shared" si="3"/>
        <v>0</v>
      </c>
      <c r="Q23" s="63"/>
      <c r="R23" s="152">
        <f t="shared" si="4"/>
        <v>0</v>
      </c>
      <c r="S23" s="62"/>
      <c r="T23" s="684">
        <v>0</v>
      </c>
      <c r="U23" s="564"/>
      <c r="V23" s="564"/>
      <c r="W23" s="564"/>
      <c r="X23" s="564"/>
      <c r="Y23" s="564"/>
      <c r="Z23" s="564"/>
      <c r="AA23" s="564"/>
      <c r="AB23" s="684">
        <v>0</v>
      </c>
      <c r="AC23" s="2602">
        <v>0</v>
      </c>
      <c r="AD23" s="564"/>
      <c r="AE23" s="564"/>
      <c r="AF23" s="564"/>
      <c r="AG23" s="153">
        <f t="shared" si="1"/>
        <v>0</v>
      </c>
      <c r="AH23" s="154"/>
      <c r="AI23" s="4137">
        <v>0</v>
      </c>
      <c r="AJ23" s="4068">
        <f t="shared" si="0"/>
        <v>0</v>
      </c>
    </row>
    <row r="24" spans="1:36" ht="21.75" customHeight="1" x14ac:dyDescent="0.3">
      <c r="A24" s="161"/>
      <c r="B24" s="12" t="s">
        <v>104</v>
      </c>
      <c r="C24" s="156" t="s">
        <v>28</v>
      </c>
      <c r="D24" s="163">
        <v>1</v>
      </c>
      <c r="E24" s="158">
        <v>0</v>
      </c>
      <c r="F24" s="159">
        <f>ROUNDDOWN('CF-0114|2024'!E11,0)</f>
        <v>36</v>
      </c>
      <c r="G24" s="159">
        <f>ROUNDDOWN('CF-0114|2024'!E12,0)</f>
        <v>0</v>
      </c>
      <c r="H24" s="148"/>
      <c r="I24" s="152">
        <f t="shared" si="2"/>
        <v>36</v>
      </c>
      <c r="J24" s="63"/>
      <c r="K24" s="164">
        <v>19</v>
      </c>
      <c r="L24" s="151">
        <v>0</v>
      </c>
      <c r="M24" s="152">
        <f>ROUNDDOWN('CF-0114|2024'!Q11,0)</f>
        <v>3292</v>
      </c>
      <c r="N24" s="152">
        <v>0</v>
      </c>
      <c r="O24" s="152"/>
      <c r="P24" s="152">
        <f t="shared" si="3"/>
        <v>3292</v>
      </c>
      <c r="Q24" s="63"/>
      <c r="R24" s="152">
        <f t="shared" si="4"/>
        <v>3328</v>
      </c>
      <c r="S24" s="62"/>
      <c r="T24" s="564"/>
      <c r="U24" s="392">
        <v>3</v>
      </c>
      <c r="V24" s="392">
        <v>16</v>
      </c>
      <c r="W24" s="564"/>
      <c r="X24" s="564"/>
      <c r="Y24" s="564"/>
      <c r="Z24" s="564"/>
      <c r="AA24" s="564"/>
      <c r="AB24" s="564"/>
      <c r="AC24" s="392">
        <v>1</v>
      </c>
      <c r="AD24" s="564"/>
      <c r="AE24" s="564"/>
      <c r="AF24" s="564"/>
      <c r="AG24" s="153">
        <f t="shared" si="1"/>
        <v>20</v>
      </c>
      <c r="AH24" s="154"/>
      <c r="AI24" s="4134">
        <v>20</v>
      </c>
      <c r="AJ24" s="4135">
        <f t="shared" si="0"/>
        <v>1</v>
      </c>
    </row>
    <row r="25" spans="1:36" ht="21.75" customHeight="1" x14ac:dyDescent="0.3">
      <c r="A25" s="161"/>
      <c r="B25" s="12" t="s">
        <v>105</v>
      </c>
      <c r="C25" s="156" t="s">
        <v>28</v>
      </c>
      <c r="D25" s="160">
        <v>1</v>
      </c>
      <c r="E25" s="158">
        <v>0</v>
      </c>
      <c r="F25" s="159">
        <f>ROUNDDOWN('CF-0115|2024'!E11,0)</f>
        <v>18</v>
      </c>
      <c r="G25" s="147">
        <f>ROUNDDOWN('CF-0115|2024'!E12,0)</f>
        <v>15</v>
      </c>
      <c r="H25" s="148"/>
      <c r="I25" s="152">
        <f t="shared" si="2"/>
        <v>3</v>
      </c>
      <c r="J25" s="63"/>
      <c r="K25" s="151">
        <v>0</v>
      </c>
      <c r="L25" s="151">
        <v>0</v>
      </c>
      <c r="M25" s="152">
        <v>0</v>
      </c>
      <c r="N25" s="152">
        <v>0</v>
      </c>
      <c r="O25" s="152"/>
      <c r="P25" s="152">
        <f t="shared" si="3"/>
        <v>0</v>
      </c>
      <c r="Q25" s="63"/>
      <c r="R25" s="152">
        <f t="shared" si="4"/>
        <v>3</v>
      </c>
      <c r="S25" s="62"/>
      <c r="T25" s="392">
        <v>1</v>
      </c>
      <c r="U25" s="564"/>
      <c r="V25" s="564"/>
      <c r="W25" s="564"/>
      <c r="X25" s="564"/>
      <c r="Y25" s="564"/>
      <c r="Z25" s="564"/>
      <c r="AA25" s="564"/>
      <c r="AB25" s="564"/>
      <c r="AC25" s="564"/>
      <c r="AD25" s="564"/>
      <c r="AE25" s="564"/>
      <c r="AF25" s="564"/>
      <c r="AG25" s="153">
        <f t="shared" si="1"/>
        <v>1</v>
      </c>
      <c r="AH25" s="154"/>
      <c r="AI25" s="4134">
        <v>2</v>
      </c>
      <c r="AJ25" s="4135">
        <f t="shared" si="0"/>
        <v>1</v>
      </c>
    </row>
    <row r="26" spans="1:36" ht="21.75" customHeight="1" x14ac:dyDescent="0.3">
      <c r="A26" s="161"/>
      <c r="B26" s="4124" t="s">
        <v>106</v>
      </c>
      <c r="C26" s="156" t="s">
        <v>28</v>
      </c>
      <c r="D26" s="157">
        <v>0</v>
      </c>
      <c r="E26" s="158">
        <v>0</v>
      </c>
      <c r="F26" s="159">
        <v>0</v>
      </c>
      <c r="G26" s="147">
        <v>0</v>
      </c>
      <c r="H26" s="148"/>
      <c r="I26" s="152">
        <f t="shared" si="2"/>
        <v>0</v>
      </c>
      <c r="J26" s="63"/>
      <c r="K26" s="151">
        <v>0</v>
      </c>
      <c r="L26" s="151">
        <v>0</v>
      </c>
      <c r="M26" s="152">
        <v>0</v>
      </c>
      <c r="N26" s="152">
        <v>0</v>
      </c>
      <c r="O26" s="152"/>
      <c r="P26" s="152">
        <f t="shared" si="3"/>
        <v>0</v>
      </c>
      <c r="Q26" s="63"/>
      <c r="R26" s="152">
        <f t="shared" si="4"/>
        <v>0</v>
      </c>
      <c r="S26" s="62"/>
      <c r="T26" s="564"/>
      <c r="U26" s="564"/>
      <c r="V26" s="564"/>
      <c r="W26" s="564"/>
      <c r="X26" s="564"/>
      <c r="Y26" s="564"/>
      <c r="Z26" s="564"/>
      <c r="AA26" s="564"/>
      <c r="AB26" s="564"/>
      <c r="AC26" s="564"/>
      <c r="AD26" s="564"/>
      <c r="AE26" s="564"/>
      <c r="AF26" s="564"/>
      <c r="AG26" s="153">
        <f t="shared" si="1"/>
        <v>0</v>
      </c>
      <c r="AH26" s="154"/>
      <c r="AI26" s="4137">
        <v>0</v>
      </c>
      <c r="AJ26" s="4068">
        <f t="shared" si="0"/>
        <v>0</v>
      </c>
    </row>
    <row r="27" spans="1:36" ht="21.75" customHeight="1" x14ac:dyDescent="0.3">
      <c r="A27" s="161"/>
      <c r="B27" s="4124" t="s">
        <v>107</v>
      </c>
      <c r="C27" s="156" t="s">
        <v>28</v>
      </c>
      <c r="D27" s="157">
        <v>0</v>
      </c>
      <c r="E27" s="158">
        <v>0</v>
      </c>
      <c r="F27" s="159">
        <v>0</v>
      </c>
      <c r="G27" s="147">
        <v>0</v>
      </c>
      <c r="H27" s="148"/>
      <c r="I27" s="152">
        <f t="shared" si="2"/>
        <v>0</v>
      </c>
      <c r="J27" s="63"/>
      <c r="K27" s="151">
        <v>0</v>
      </c>
      <c r="L27" s="151">
        <v>0</v>
      </c>
      <c r="M27" s="152">
        <v>0</v>
      </c>
      <c r="N27" s="152">
        <v>0</v>
      </c>
      <c r="O27" s="152"/>
      <c r="P27" s="152">
        <f t="shared" si="3"/>
        <v>0</v>
      </c>
      <c r="Q27" s="63"/>
      <c r="R27" s="152">
        <f t="shared" si="4"/>
        <v>0</v>
      </c>
      <c r="S27" s="62"/>
      <c r="T27" s="564"/>
      <c r="U27" s="564"/>
      <c r="V27" s="564"/>
      <c r="W27" s="564"/>
      <c r="X27" s="564"/>
      <c r="Y27" s="564"/>
      <c r="Z27" s="564"/>
      <c r="AA27" s="564"/>
      <c r="AB27" s="564"/>
      <c r="AC27" s="564"/>
      <c r="AD27" s="564"/>
      <c r="AE27" s="564"/>
      <c r="AF27" s="564"/>
      <c r="AG27" s="153">
        <f t="shared" si="1"/>
        <v>0</v>
      </c>
      <c r="AH27" s="154"/>
      <c r="AI27" s="4137">
        <v>0</v>
      </c>
      <c r="AJ27" s="4068">
        <f t="shared" si="0"/>
        <v>0</v>
      </c>
    </row>
    <row r="28" spans="1:36" ht="21.75" customHeight="1" x14ac:dyDescent="0.3">
      <c r="A28" s="161"/>
      <c r="B28" s="12" t="s">
        <v>108</v>
      </c>
      <c r="C28" s="156" t="s">
        <v>28</v>
      </c>
      <c r="D28" s="160">
        <v>8</v>
      </c>
      <c r="E28" s="158">
        <v>0</v>
      </c>
      <c r="F28" s="159">
        <f>ROUNDDOWN('CF-0118|2024'!E11,0)</f>
        <v>439</v>
      </c>
      <c r="G28" s="159">
        <f>ROUNDDOWN('CF-0118|2024'!E12,0)</f>
        <v>11</v>
      </c>
      <c r="H28" s="148"/>
      <c r="I28" s="152">
        <f t="shared" si="2"/>
        <v>428</v>
      </c>
      <c r="J28" s="63"/>
      <c r="K28" s="151">
        <v>0</v>
      </c>
      <c r="L28" s="151">
        <v>0</v>
      </c>
      <c r="M28" s="152">
        <v>0</v>
      </c>
      <c r="N28" s="152">
        <v>0</v>
      </c>
      <c r="O28" s="152"/>
      <c r="P28" s="152">
        <f t="shared" si="3"/>
        <v>0</v>
      </c>
      <c r="Q28" s="63"/>
      <c r="R28" s="152">
        <f t="shared" si="4"/>
        <v>428</v>
      </c>
      <c r="S28" s="62"/>
      <c r="T28" s="392">
        <v>8</v>
      </c>
      <c r="U28" s="564"/>
      <c r="V28" s="564"/>
      <c r="W28" s="564"/>
      <c r="X28" s="564"/>
      <c r="Y28" s="564"/>
      <c r="Z28" s="564"/>
      <c r="AA28" s="564"/>
      <c r="AB28" s="564"/>
      <c r="AC28" s="564"/>
      <c r="AD28" s="564"/>
      <c r="AE28" s="564"/>
      <c r="AF28" s="564"/>
      <c r="AG28" s="153">
        <f t="shared" si="1"/>
        <v>8</v>
      </c>
      <c r="AH28" s="154"/>
      <c r="AI28" s="4134">
        <v>8</v>
      </c>
      <c r="AJ28" s="4135">
        <f t="shared" si="0"/>
        <v>1</v>
      </c>
    </row>
    <row r="29" spans="1:36" ht="21.75" customHeight="1" x14ac:dyDescent="0.3">
      <c r="A29" s="161"/>
      <c r="B29" s="12" t="s">
        <v>109</v>
      </c>
      <c r="C29" s="156" t="s">
        <v>28</v>
      </c>
      <c r="D29" s="160">
        <v>1</v>
      </c>
      <c r="E29" s="158">
        <v>0</v>
      </c>
      <c r="F29" s="159">
        <f>ROUNDDOWN('CF-0119|2024'!E11,0)</f>
        <v>38</v>
      </c>
      <c r="G29" s="159">
        <f>ROUNDDOWN('CF-0119|2024'!E12,0)</f>
        <v>0</v>
      </c>
      <c r="H29" s="148"/>
      <c r="I29" s="152">
        <f t="shared" si="2"/>
        <v>38</v>
      </c>
      <c r="J29" s="63"/>
      <c r="K29" s="151">
        <v>0</v>
      </c>
      <c r="L29" s="151">
        <v>0</v>
      </c>
      <c r="M29" s="152">
        <v>0</v>
      </c>
      <c r="N29" s="152">
        <v>0</v>
      </c>
      <c r="O29" s="152"/>
      <c r="P29" s="152">
        <f t="shared" si="3"/>
        <v>0</v>
      </c>
      <c r="Q29" s="63"/>
      <c r="R29" s="152">
        <f t="shared" si="4"/>
        <v>38</v>
      </c>
      <c r="S29" s="62"/>
      <c r="T29" s="564"/>
      <c r="U29" s="564"/>
      <c r="V29" s="564"/>
      <c r="W29" s="564"/>
      <c r="X29" s="564"/>
      <c r="Y29" s="564"/>
      <c r="Z29" s="564"/>
      <c r="AA29" s="564"/>
      <c r="AB29" s="564"/>
      <c r="AC29" s="392">
        <v>1</v>
      </c>
      <c r="AD29" s="564"/>
      <c r="AE29" s="564"/>
      <c r="AF29" s="564"/>
      <c r="AG29" s="153">
        <f t="shared" si="1"/>
        <v>1</v>
      </c>
      <c r="AH29" s="154"/>
      <c r="AI29" s="4134">
        <v>1</v>
      </c>
      <c r="AJ29" s="4135">
        <f t="shared" si="0"/>
        <v>1</v>
      </c>
    </row>
    <row r="30" spans="1:36" ht="21.75" customHeight="1" x14ac:dyDescent="0.3">
      <c r="A30" s="161"/>
      <c r="B30" s="12" t="s">
        <v>110</v>
      </c>
      <c r="C30" s="156" t="s">
        <v>28</v>
      </c>
      <c r="D30" s="160">
        <v>0</v>
      </c>
      <c r="E30" s="158">
        <v>0</v>
      </c>
      <c r="F30" s="159">
        <v>0</v>
      </c>
      <c r="G30" s="147">
        <v>0</v>
      </c>
      <c r="H30" s="148"/>
      <c r="I30" s="152">
        <f t="shared" si="2"/>
        <v>0</v>
      </c>
      <c r="J30" s="63"/>
      <c r="K30" s="151">
        <v>1</v>
      </c>
      <c r="L30" s="151">
        <v>0</v>
      </c>
      <c r="M30" s="152">
        <f>ROUNDDOWN('CF-0120|2024'!F11,0)</f>
        <v>283</v>
      </c>
      <c r="N30" s="152">
        <f>ROUNDDOWN('CF-0120|2024'!F12,0)</f>
        <v>0</v>
      </c>
      <c r="O30" s="152"/>
      <c r="P30" s="152">
        <f t="shared" si="3"/>
        <v>283</v>
      </c>
      <c r="Q30" s="63"/>
      <c r="R30" s="152">
        <f t="shared" si="4"/>
        <v>283</v>
      </c>
      <c r="S30" s="62"/>
      <c r="T30" s="564"/>
      <c r="U30" s="564"/>
      <c r="V30" s="392">
        <v>1</v>
      </c>
      <c r="W30" s="564"/>
      <c r="X30" s="564"/>
      <c r="Y30" s="564"/>
      <c r="Z30" s="564"/>
      <c r="AA30" s="564"/>
      <c r="AB30" s="564"/>
      <c r="AC30" s="564"/>
      <c r="AD30" s="564"/>
      <c r="AE30" s="564"/>
      <c r="AF30" s="564"/>
      <c r="AG30" s="153">
        <f t="shared" si="1"/>
        <v>1</v>
      </c>
      <c r="AH30" s="154"/>
      <c r="AI30" s="4134">
        <v>1</v>
      </c>
      <c r="AJ30" s="4135">
        <f t="shared" si="0"/>
        <v>1</v>
      </c>
    </row>
    <row r="31" spans="1:36" ht="21.75" customHeight="1" x14ac:dyDescent="0.3">
      <c r="A31" s="161"/>
      <c r="B31" s="12" t="s">
        <v>111</v>
      </c>
      <c r="C31" s="156" t="s">
        <v>28</v>
      </c>
      <c r="D31" s="157">
        <v>0</v>
      </c>
      <c r="E31" s="158">
        <v>0</v>
      </c>
      <c r="F31" s="159">
        <v>0</v>
      </c>
      <c r="G31" s="147">
        <v>0</v>
      </c>
      <c r="H31" s="148"/>
      <c r="I31" s="152">
        <f t="shared" si="2"/>
        <v>0</v>
      </c>
      <c r="J31" s="63"/>
      <c r="K31" s="151">
        <v>1</v>
      </c>
      <c r="L31" s="151">
        <v>0</v>
      </c>
      <c r="M31" s="152">
        <f>ROUNDDOWN('CF-0121|2024'!F11,0)</f>
        <v>843</v>
      </c>
      <c r="N31" s="152">
        <f>ROUNDDOWN('CF-0121|2024'!F12,0)</f>
        <v>0</v>
      </c>
      <c r="O31" s="152"/>
      <c r="P31" s="152">
        <f t="shared" si="3"/>
        <v>843</v>
      </c>
      <c r="Q31" s="63"/>
      <c r="R31" s="152">
        <f t="shared" si="4"/>
        <v>843</v>
      </c>
      <c r="S31" s="62"/>
      <c r="T31" s="564"/>
      <c r="U31" s="564"/>
      <c r="V31" s="564"/>
      <c r="W31" s="392">
        <v>1</v>
      </c>
      <c r="X31" s="564"/>
      <c r="Y31" s="564"/>
      <c r="Z31" s="564"/>
      <c r="AA31" s="564"/>
      <c r="AB31" s="564"/>
      <c r="AC31" s="564"/>
      <c r="AD31" s="564"/>
      <c r="AE31" s="564"/>
      <c r="AF31" s="564"/>
      <c r="AG31" s="153">
        <f t="shared" si="1"/>
        <v>1</v>
      </c>
      <c r="AH31" s="154"/>
      <c r="AI31" s="4134">
        <v>1</v>
      </c>
      <c r="AJ31" s="4135">
        <f t="shared" si="0"/>
        <v>1</v>
      </c>
    </row>
    <row r="32" spans="1:36" ht="21.75" customHeight="1" x14ac:dyDescent="0.3">
      <c r="B32" s="4125" t="s">
        <v>262</v>
      </c>
      <c r="C32" s="396" t="s">
        <v>28</v>
      </c>
      <c r="D32" s="157">
        <v>0</v>
      </c>
      <c r="E32" s="158">
        <v>0</v>
      </c>
      <c r="F32" s="423">
        <v>0</v>
      </c>
      <c r="G32" s="147">
        <v>0</v>
      </c>
      <c r="H32" s="148"/>
      <c r="I32" s="152">
        <f t="shared" ref="I32" si="5">F32-G32</f>
        <v>0</v>
      </c>
      <c r="J32" s="63"/>
      <c r="K32" s="151">
        <v>0</v>
      </c>
      <c r="L32" s="151">
        <v>0</v>
      </c>
      <c r="M32" s="152">
        <v>0</v>
      </c>
      <c r="N32" s="152">
        <v>0</v>
      </c>
      <c r="O32" s="152"/>
      <c r="P32" s="152">
        <f t="shared" ref="P32" si="6">M32-N32</f>
        <v>0</v>
      </c>
      <c r="Q32" s="63"/>
      <c r="R32" s="152">
        <f t="shared" ref="R32" si="7">I32+P32</f>
        <v>0</v>
      </c>
      <c r="S32" s="62"/>
      <c r="T32" s="684">
        <v>0</v>
      </c>
      <c r="U32" s="564"/>
      <c r="V32" s="564"/>
      <c r="W32" s="564"/>
      <c r="X32" s="564"/>
      <c r="Y32" s="564"/>
      <c r="Z32" s="564"/>
      <c r="AA32" s="564"/>
      <c r="AB32" s="564"/>
      <c r="AC32" s="564"/>
      <c r="AD32" s="564"/>
      <c r="AE32" s="564"/>
      <c r="AF32" s="564"/>
      <c r="AG32" s="153">
        <f t="shared" si="1"/>
        <v>0</v>
      </c>
      <c r="AH32" s="154"/>
      <c r="AI32" s="4137">
        <v>0</v>
      </c>
      <c r="AJ32" s="4068">
        <f t="shared" si="0"/>
        <v>0</v>
      </c>
    </row>
    <row r="33" spans="1:36" s="50" customFormat="1" ht="27" customHeight="1" x14ac:dyDescent="0.3">
      <c r="A33" s="23"/>
      <c r="B33" s="166" t="s">
        <v>112</v>
      </c>
      <c r="C33" s="167" t="s">
        <v>29</v>
      </c>
      <c r="D33" s="168">
        <f>SUM(D13:D32)</f>
        <v>20</v>
      </c>
      <c r="E33" s="168">
        <f t="shared" ref="E33:I33" si="8">SUM(E13:E32)</f>
        <v>0</v>
      </c>
      <c r="F33" s="219">
        <f>SUM(F13:F32)</f>
        <v>3268</v>
      </c>
      <c r="G33" s="219">
        <f t="shared" si="8"/>
        <v>504</v>
      </c>
      <c r="H33" s="219">
        <f t="shared" si="8"/>
        <v>0</v>
      </c>
      <c r="I33" s="219">
        <f t="shared" si="8"/>
        <v>2764</v>
      </c>
      <c r="J33" s="170"/>
      <c r="K33" s="171">
        <f>SUM(K13:K32)</f>
        <v>24</v>
      </c>
      <c r="L33" s="171">
        <f t="shared" ref="L33:P33" si="9">SUM(L13:L32)</f>
        <v>0</v>
      </c>
      <c r="M33" s="169">
        <f t="shared" si="9"/>
        <v>6529</v>
      </c>
      <c r="N33" s="169">
        <f t="shared" si="9"/>
        <v>0</v>
      </c>
      <c r="O33" s="169">
        <f t="shared" si="9"/>
        <v>0</v>
      </c>
      <c r="P33" s="169">
        <f t="shared" si="9"/>
        <v>6529</v>
      </c>
      <c r="Q33" s="170"/>
      <c r="R33" s="169">
        <f>SUM(R13:R32)</f>
        <v>9293</v>
      </c>
      <c r="S33" s="170"/>
      <c r="T33" s="172">
        <f>SUM(T13:T32)</f>
        <v>13</v>
      </c>
      <c r="U33" s="172">
        <f t="shared" ref="U33:AF33" si="10">SUM(U13:U32)</f>
        <v>4</v>
      </c>
      <c r="V33" s="172">
        <f t="shared" si="10"/>
        <v>18</v>
      </c>
      <c r="W33" s="172">
        <f t="shared" si="10"/>
        <v>2</v>
      </c>
      <c r="X33" s="172">
        <f t="shared" si="10"/>
        <v>0</v>
      </c>
      <c r="Y33" s="172">
        <f t="shared" si="10"/>
        <v>0</v>
      </c>
      <c r="Z33" s="172">
        <f t="shared" si="10"/>
        <v>0</v>
      </c>
      <c r="AA33" s="172">
        <f t="shared" si="10"/>
        <v>0</v>
      </c>
      <c r="AB33" s="172">
        <f t="shared" si="10"/>
        <v>1</v>
      </c>
      <c r="AC33" s="172">
        <f t="shared" si="10"/>
        <v>5</v>
      </c>
      <c r="AD33" s="172">
        <f t="shared" si="10"/>
        <v>0</v>
      </c>
      <c r="AE33" s="172">
        <f t="shared" si="10"/>
        <v>1</v>
      </c>
      <c r="AF33" s="172">
        <f t="shared" si="10"/>
        <v>0</v>
      </c>
      <c r="AG33" s="172">
        <f>SUM(T33:AF33)</f>
        <v>44</v>
      </c>
      <c r="AH33" s="173"/>
      <c r="AI33" s="4138">
        <f>SUM(AI13:AI32)</f>
        <v>62</v>
      </c>
      <c r="AJ33" s="4139">
        <f>SUM(AJ13:AJ32)</f>
        <v>12</v>
      </c>
    </row>
    <row r="34" spans="1:36" s="50" customFormat="1" ht="27" customHeight="1" x14ac:dyDescent="0.3">
      <c r="A34" s="23"/>
      <c r="B34" s="4126" t="s">
        <v>113</v>
      </c>
      <c r="C34" s="156" t="s">
        <v>30</v>
      </c>
      <c r="D34" s="175">
        <v>0</v>
      </c>
      <c r="E34" s="158">
        <v>0</v>
      </c>
      <c r="F34" s="159">
        <v>0</v>
      </c>
      <c r="G34" s="159">
        <v>0</v>
      </c>
      <c r="H34" s="148"/>
      <c r="I34" s="152">
        <f t="shared" ref="I34:I46" si="11">F34-G34</f>
        <v>0</v>
      </c>
      <c r="J34" s="63"/>
      <c r="K34" s="151">
        <v>0</v>
      </c>
      <c r="L34" s="151">
        <v>0</v>
      </c>
      <c r="M34" s="152">
        <v>0</v>
      </c>
      <c r="N34" s="152">
        <v>0</v>
      </c>
      <c r="O34" s="152"/>
      <c r="P34" s="152">
        <f t="shared" ref="P34:P46" si="12">M34-N34</f>
        <v>0</v>
      </c>
      <c r="Q34" s="63"/>
      <c r="R34" s="152">
        <f t="shared" ref="R34:R46" si="13">I34+P34</f>
        <v>0</v>
      </c>
      <c r="S34" s="170"/>
      <c r="T34" s="564"/>
      <c r="U34" s="564"/>
      <c r="V34" s="564"/>
      <c r="W34" s="564"/>
      <c r="X34" s="564"/>
      <c r="Y34" s="564"/>
      <c r="Z34" s="564"/>
      <c r="AA34" s="564"/>
      <c r="AB34" s="564"/>
      <c r="AC34" s="684">
        <v>0</v>
      </c>
      <c r="AD34" s="564"/>
      <c r="AE34" s="564"/>
      <c r="AF34" s="564"/>
      <c r="AG34" s="153">
        <f t="shared" ref="AG34:AG46" si="14">SUM(T34:AE34)</f>
        <v>0</v>
      </c>
      <c r="AH34" s="176"/>
      <c r="AI34" s="4137">
        <v>0</v>
      </c>
      <c r="AJ34" s="160">
        <f t="shared" ref="AJ34:AJ47" si="15">IF(R34&gt;0,1,0)</f>
        <v>0</v>
      </c>
    </row>
    <row r="35" spans="1:36" s="50" customFormat="1" ht="27" customHeight="1" x14ac:dyDescent="0.3">
      <c r="A35" s="23"/>
      <c r="B35" s="4127" t="s">
        <v>114</v>
      </c>
      <c r="C35" s="156" t="s">
        <v>30</v>
      </c>
      <c r="D35" s="178">
        <v>0</v>
      </c>
      <c r="E35" s="158">
        <v>0</v>
      </c>
      <c r="F35" s="159">
        <v>0</v>
      </c>
      <c r="G35" s="159">
        <v>0</v>
      </c>
      <c r="H35" s="148"/>
      <c r="I35" s="152">
        <f t="shared" si="11"/>
        <v>0</v>
      </c>
      <c r="J35" s="63"/>
      <c r="K35" s="151">
        <v>0</v>
      </c>
      <c r="L35" s="151">
        <v>0</v>
      </c>
      <c r="M35" s="152">
        <v>0</v>
      </c>
      <c r="N35" s="152">
        <v>0</v>
      </c>
      <c r="O35" s="152"/>
      <c r="P35" s="152">
        <f t="shared" si="12"/>
        <v>0</v>
      </c>
      <c r="Q35" s="63"/>
      <c r="R35" s="152">
        <f t="shared" si="13"/>
        <v>0</v>
      </c>
      <c r="S35" s="170"/>
      <c r="T35" s="564"/>
      <c r="U35" s="564"/>
      <c r="V35" s="564"/>
      <c r="W35" s="564"/>
      <c r="X35" s="564"/>
      <c r="Y35" s="564"/>
      <c r="Z35" s="564"/>
      <c r="AA35" s="564"/>
      <c r="AB35" s="684">
        <v>0</v>
      </c>
      <c r="AC35" s="684">
        <v>0</v>
      </c>
      <c r="AD35" s="564"/>
      <c r="AE35" s="564"/>
      <c r="AF35" s="564"/>
      <c r="AG35" s="153">
        <f t="shared" si="14"/>
        <v>0</v>
      </c>
      <c r="AH35" s="176"/>
      <c r="AI35" s="4137">
        <v>0</v>
      </c>
      <c r="AJ35" s="160">
        <f t="shared" si="15"/>
        <v>0</v>
      </c>
    </row>
    <row r="36" spans="1:36" s="50" customFormat="1" ht="24.6" customHeight="1" x14ac:dyDescent="0.3">
      <c r="A36" s="23"/>
      <c r="B36" s="4127" t="s">
        <v>115</v>
      </c>
      <c r="C36" s="156" t="s">
        <v>30</v>
      </c>
      <c r="D36" s="178">
        <v>0</v>
      </c>
      <c r="E36" s="158">
        <v>0</v>
      </c>
      <c r="F36" s="159">
        <v>0</v>
      </c>
      <c r="G36" s="159">
        <v>0</v>
      </c>
      <c r="H36" s="148"/>
      <c r="I36" s="152">
        <f t="shared" si="11"/>
        <v>0</v>
      </c>
      <c r="J36" s="63"/>
      <c r="K36" s="151">
        <v>0</v>
      </c>
      <c r="L36" s="151">
        <v>0</v>
      </c>
      <c r="M36" s="152">
        <v>0</v>
      </c>
      <c r="N36" s="152">
        <v>0</v>
      </c>
      <c r="O36" s="152"/>
      <c r="P36" s="152">
        <f t="shared" si="12"/>
        <v>0</v>
      </c>
      <c r="Q36" s="63"/>
      <c r="R36" s="152">
        <f t="shared" si="13"/>
        <v>0</v>
      </c>
      <c r="S36" s="170"/>
      <c r="T36" s="684">
        <v>0</v>
      </c>
      <c r="U36" s="564"/>
      <c r="V36" s="564"/>
      <c r="W36" s="564"/>
      <c r="X36" s="564"/>
      <c r="Y36" s="564"/>
      <c r="Z36" s="564"/>
      <c r="AA36" s="564"/>
      <c r="AB36" s="564"/>
      <c r="AC36" s="564">
        <v>0</v>
      </c>
      <c r="AD36" s="564"/>
      <c r="AE36" s="564"/>
      <c r="AF36" s="564"/>
      <c r="AG36" s="153">
        <f t="shared" si="14"/>
        <v>0</v>
      </c>
      <c r="AH36" s="176"/>
      <c r="AI36" s="4137">
        <v>0</v>
      </c>
      <c r="AJ36" s="160">
        <f t="shared" si="15"/>
        <v>0</v>
      </c>
    </row>
    <row r="37" spans="1:36" s="50" customFormat="1" ht="24.6" customHeight="1" x14ac:dyDescent="0.3">
      <c r="A37" s="23"/>
      <c r="B37" s="177" t="s">
        <v>116</v>
      </c>
      <c r="C37" s="156" t="s">
        <v>30</v>
      </c>
      <c r="D37" s="178">
        <v>1</v>
      </c>
      <c r="E37" s="158">
        <v>0</v>
      </c>
      <c r="F37" s="159">
        <f>ROUNDDOWN('CF-0204|2024'!H11,0)</f>
        <v>56</v>
      </c>
      <c r="G37" s="159">
        <f>ROUNDDOWN('CF-0204|2024'!H12,0)</f>
        <v>0</v>
      </c>
      <c r="H37" s="148"/>
      <c r="I37" s="152">
        <f t="shared" si="11"/>
        <v>56</v>
      </c>
      <c r="J37" s="63"/>
      <c r="K37" s="151">
        <v>0</v>
      </c>
      <c r="L37" s="151">
        <v>0</v>
      </c>
      <c r="M37" s="152">
        <v>0</v>
      </c>
      <c r="N37" s="152">
        <v>0</v>
      </c>
      <c r="O37" s="152"/>
      <c r="P37" s="152">
        <f t="shared" si="12"/>
        <v>0</v>
      </c>
      <c r="Q37" s="63"/>
      <c r="R37" s="152">
        <f t="shared" si="13"/>
        <v>56</v>
      </c>
      <c r="S37" s="170"/>
      <c r="T37" s="564"/>
      <c r="U37" s="564"/>
      <c r="V37" s="564"/>
      <c r="W37" s="564"/>
      <c r="X37" s="564"/>
      <c r="Y37" s="564"/>
      <c r="Z37" s="564"/>
      <c r="AA37" s="564"/>
      <c r="AB37" s="564"/>
      <c r="AC37" s="392">
        <v>1</v>
      </c>
      <c r="AD37" s="564"/>
      <c r="AE37" s="564"/>
      <c r="AF37" s="564"/>
      <c r="AG37" s="153">
        <f t="shared" si="14"/>
        <v>1</v>
      </c>
      <c r="AH37" s="176"/>
      <c r="AI37" s="4134">
        <v>1</v>
      </c>
      <c r="AJ37" s="4140">
        <f t="shared" si="15"/>
        <v>1</v>
      </c>
    </row>
    <row r="38" spans="1:36" s="50" customFormat="1" ht="24.6" customHeight="1" x14ac:dyDescent="0.3">
      <c r="A38" s="23"/>
      <c r="B38" s="4127" t="s">
        <v>117</v>
      </c>
      <c r="C38" s="156" t="s">
        <v>30</v>
      </c>
      <c r="D38" s="178">
        <v>0</v>
      </c>
      <c r="E38" s="158">
        <v>0</v>
      </c>
      <c r="F38" s="159">
        <v>0</v>
      </c>
      <c r="G38" s="159">
        <v>0</v>
      </c>
      <c r="H38" s="148"/>
      <c r="I38" s="152">
        <f t="shared" si="11"/>
        <v>0</v>
      </c>
      <c r="J38" s="63"/>
      <c r="K38" s="151">
        <v>0</v>
      </c>
      <c r="L38" s="151">
        <v>0</v>
      </c>
      <c r="M38" s="152">
        <v>0</v>
      </c>
      <c r="N38" s="152">
        <v>0</v>
      </c>
      <c r="O38" s="152"/>
      <c r="P38" s="152">
        <f t="shared" si="12"/>
        <v>0</v>
      </c>
      <c r="Q38" s="63"/>
      <c r="R38" s="152">
        <f t="shared" si="13"/>
        <v>0</v>
      </c>
      <c r="S38" s="170"/>
      <c r="T38" s="564"/>
      <c r="U38" s="564"/>
      <c r="V38" s="564"/>
      <c r="W38" s="564"/>
      <c r="X38" s="564"/>
      <c r="Y38" s="564"/>
      <c r="Z38" s="564"/>
      <c r="AA38" s="564"/>
      <c r="AB38" s="564"/>
      <c r="AC38" s="684">
        <v>0</v>
      </c>
      <c r="AD38" s="564"/>
      <c r="AE38" s="564"/>
      <c r="AF38" s="564"/>
      <c r="AG38" s="153">
        <f t="shared" si="14"/>
        <v>0</v>
      </c>
      <c r="AH38" s="176"/>
      <c r="AI38" s="4137">
        <v>0</v>
      </c>
      <c r="AJ38" s="160">
        <f t="shared" si="15"/>
        <v>0</v>
      </c>
    </row>
    <row r="39" spans="1:36" s="50" customFormat="1" ht="24.6" customHeight="1" x14ac:dyDescent="0.3">
      <c r="A39" s="23"/>
      <c r="B39" s="177" t="s">
        <v>118</v>
      </c>
      <c r="C39" s="156" t="s">
        <v>30</v>
      </c>
      <c r="D39" s="178">
        <v>9</v>
      </c>
      <c r="E39" s="158">
        <v>0</v>
      </c>
      <c r="F39" s="159">
        <f>ROUNDDOWN('CF-0206|2024'!N11,0)</f>
        <v>10141</v>
      </c>
      <c r="G39" s="159">
        <f>ROUNDDOWN('CF-0206|2024'!N12,0)</f>
        <v>3391</v>
      </c>
      <c r="H39" s="148"/>
      <c r="I39" s="152">
        <f t="shared" si="11"/>
        <v>6750</v>
      </c>
      <c r="J39" s="63"/>
      <c r="K39" s="151">
        <v>1</v>
      </c>
      <c r="L39" s="151">
        <v>0</v>
      </c>
      <c r="M39" s="152">
        <f>ROUNDDOWN('CF-0206|2024'!S11,0)</f>
        <v>726</v>
      </c>
      <c r="N39" s="152">
        <f>ROUNDDOWN('CF-0206|2024'!S12,0)</f>
        <v>0</v>
      </c>
      <c r="O39" s="152"/>
      <c r="P39" s="152">
        <f t="shared" si="12"/>
        <v>726</v>
      </c>
      <c r="Q39" s="63"/>
      <c r="R39" s="152">
        <f t="shared" si="13"/>
        <v>7476</v>
      </c>
      <c r="S39" s="170"/>
      <c r="T39" s="564"/>
      <c r="U39" s="392">
        <v>1</v>
      </c>
      <c r="V39" s="564"/>
      <c r="W39" s="564"/>
      <c r="X39" s="564"/>
      <c r="Y39" s="564"/>
      <c r="Z39" s="564"/>
      <c r="AA39" s="564"/>
      <c r="AB39" s="392">
        <v>9</v>
      </c>
      <c r="AC39" s="564"/>
      <c r="AD39" s="564"/>
      <c r="AE39" s="564"/>
      <c r="AF39" s="564"/>
      <c r="AG39" s="153">
        <f t="shared" si="14"/>
        <v>10</v>
      </c>
      <c r="AH39" s="176"/>
      <c r="AI39" s="4134">
        <v>4</v>
      </c>
      <c r="AJ39" s="4140">
        <f t="shared" si="15"/>
        <v>1</v>
      </c>
    </row>
    <row r="40" spans="1:36" s="50" customFormat="1" ht="24.6" customHeight="1" x14ac:dyDescent="0.3">
      <c r="A40" s="23"/>
      <c r="B40" s="177" t="s">
        <v>119</v>
      </c>
      <c r="C40" s="156" t="s">
        <v>30</v>
      </c>
      <c r="D40" s="178">
        <v>0</v>
      </c>
      <c r="E40" s="158">
        <v>0</v>
      </c>
      <c r="F40" s="159">
        <v>0</v>
      </c>
      <c r="G40" s="159">
        <v>0</v>
      </c>
      <c r="H40" s="148"/>
      <c r="I40" s="152">
        <f t="shared" si="11"/>
        <v>0</v>
      </c>
      <c r="J40" s="63"/>
      <c r="K40" s="151">
        <v>48</v>
      </c>
      <c r="L40" s="151">
        <v>0</v>
      </c>
      <c r="M40" s="152">
        <f>ROUNDDOWN('CF-0207|2024'!P11,0)</f>
        <v>33048</v>
      </c>
      <c r="N40" s="152">
        <f>ROUNDDOWN('CF-0207|2024'!P12,0)</f>
        <v>0</v>
      </c>
      <c r="O40" s="152"/>
      <c r="P40" s="152">
        <f t="shared" si="12"/>
        <v>33048</v>
      </c>
      <c r="Q40" s="63"/>
      <c r="R40" s="152">
        <f t="shared" si="13"/>
        <v>33048</v>
      </c>
      <c r="S40" s="170"/>
      <c r="T40" s="564"/>
      <c r="U40" s="564"/>
      <c r="V40" s="392">
        <v>48</v>
      </c>
      <c r="W40" s="564"/>
      <c r="X40" s="564"/>
      <c r="Y40" s="564"/>
      <c r="Z40" s="564"/>
      <c r="AA40" s="564"/>
      <c r="AB40" s="564"/>
      <c r="AC40" s="564"/>
      <c r="AD40" s="564"/>
      <c r="AE40" s="564"/>
      <c r="AF40" s="564"/>
      <c r="AG40" s="153">
        <f t="shared" si="14"/>
        <v>48</v>
      </c>
      <c r="AH40" s="176"/>
      <c r="AI40" s="4134">
        <v>4</v>
      </c>
      <c r="AJ40" s="4140">
        <f t="shared" si="15"/>
        <v>1</v>
      </c>
    </row>
    <row r="41" spans="1:36" s="50" customFormat="1" ht="24.6" customHeight="1" x14ac:dyDescent="0.3">
      <c r="A41" s="23"/>
      <c r="B41" s="4127" t="s">
        <v>120</v>
      </c>
      <c r="C41" s="156" t="s">
        <v>30</v>
      </c>
      <c r="D41" s="178">
        <v>0</v>
      </c>
      <c r="E41" s="158">
        <v>0</v>
      </c>
      <c r="F41" s="159">
        <v>0</v>
      </c>
      <c r="G41" s="159">
        <v>0</v>
      </c>
      <c r="H41" s="148"/>
      <c r="I41" s="152">
        <f t="shared" si="11"/>
        <v>0</v>
      </c>
      <c r="J41" s="63"/>
      <c r="K41" s="151">
        <v>0</v>
      </c>
      <c r="L41" s="151">
        <v>0</v>
      </c>
      <c r="M41" s="152">
        <v>0</v>
      </c>
      <c r="N41" s="152">
        <v>0</v>
      </c>
      <c r="O41" s="152"/>
      <c r="P41" s="152">
        <f t="shared" si="12"/>
        <v>0</v>
      </c>
      <c r="Q41" s="63"/>
      <c r="R41" s="152">
        <f t="shared" si="13"/>
        <v>0</v>
      </c>
      <c r="S41" s="170"/>
      <c r="T41" s="564"/>
      <c r="U41" s="564"/>
      <c r="V41" s="564">
        <v>0</v>
      </c>
      <c r="W41" s="564"/>
      <c r="X41" s="564"/>
      <c r="Y41" s="564"/>
      <c r="Z41" s="564"/>
      <c r="AA41" s="564"/>
      <c r="AB41" s="564"/>
      <c r="AC41" s="564"/>
      <c r="AD41" s="564"/>
      <c r="AE41" s="564"/>
      <c r="AF41" s="564"/>
      <c r="AG41" s="153">
        <f t="shared" si="14"/>
        <v>0</v>
      </c>
      <c r="AH41" s="176"/>
      <c r="AI41" s="4137">
        <v>0</v>
      </c>
      <c r="AJ41" s="160">
        <f t="shared" si="15"/>
        <v>0</v>
      </c>
    </row>
    <row r="42" spans="1:36" s="50" customFormat="1" ht="24.6" customHeight="1" x14ac:dyDescent="0.3">
      <c r="A42" s="23"/>
      <c r="B42" s="177" t="s">
        <v>121</v>
      </c>
      <c r="C42" s="156" t="s">
        <v>30</v>
      </c>
      <c r="D42" s="180">
        <v>1</v>
      </c>
      <c r="E42" s="158">
        <v>1</v>
      </c>
      <c r="F42" s="159">
        <f>ROUNDDOWN('CF-0211|2024'!F11,0)</f>
        <v>1801</v>
      </c>
      <c r="G42" s="159">
        <f>ROUNDDOWN('CF-0211|2024'!F12,0)</f>
        <v>244</v>
      </c>
      <c r="H42" s="148"/>
      <c r="I42" s="152">
        <f t="shared" si="11"/>
        <v>1557</v>
      </c>
      <c r="J42" s="63"/>
      <c r="K42" s="151">
        <v>82</v>
      </c>
      <c r="L42" s="151">
        <v>0</v>
      </c>
      <c r="M42" s="152">
        <f>ROUNDDOWN('CF-0211|2024'!L11,0)</f>
        <v>15023</v>
      </c>
      <c r="N42" s="152">
        <f>ROUNDDOWN('CF-0211|2024'!L12,0)</f>
        <v>0</v>
      </c>
      <c r="O42" s="152"/>
      <c r="P42" s="152">
        <f t="shared" si="12"/>
        <v>15023</v>
      </c>
      <c r="Q42" s="63"/>
      <c r="R42" s="152">
        <f t="shared" si="13"/>
        <v>16580</v>
      </c>
      <c r="S42" s="170"/>
      <c r="T42" s="1293">
        <v>1</v>
      </c>
      <c r="U42" s="392">
        <v>81</v>
      </c>
      <c r="V42" s="564"/>
      <c r="W42" s="392">
        <v>1</v>
      </c>
      <c r="X42" s="564"/>
      <c r="Y42" s="564"/>
      <c r="Z42" s="564"/>
      <c r="AA42" s="564"/>
      <c r="AB42" s="564"/>
      <c r="AC42" s="1294">
        <v>1</v>
      </c>
      <c r="AD42" s="564"/>
      <c r="AE42" s="564"/>
      <c r="AF42" s="564"/>
      <c r="AG42" s="153">
        <f t="shared" si="14"/>
        <v>84</v>
      </c>
      <c r="AH42" s="176"/>
      <c r="AI42" s="4134">
        <v>10</v>
      </c>
      <c r="AJ42" s="4140">
        <f t="shared" si="15"/>
        <v>1</v>
      </c>
    </row>
    <row r="43" spans="1:36" s="50" customFormat="1" ht="24.6" customHeight="1" x14ac:dyDescent="0.3">
      <c r="A43" s="23"/>
      <c r="B43" s="4127" t="s">
        <v>122</v>
      </c>
      <c r="C43" s="156" t="s">
        <v>30</v>
      </c>
      <c r="D43" s="178">
        <v>0</v>
      </c>
      <c r="E43" s="158">
        <v>0</v>
      </c>
      <c r="F43" s="159">
        <v>0</v>
      </c>
      <c r="G43" s="159">
        <v>0</v>
      </c>
      <c r="H43" s="148"/>
      <c r="I43" s="152">
        <f t="shared" si="11"/>
        <v>0</v>
      </c>
      <c r="J43" s="63"/>
      <c r="K43" s="151">
        <v>0</v>
      </c>
      <c r="L43" s="151">
        <v>0</v>
      </c>
      <c r="M43" s="152">
        <v>0</v>
      </c>
      <c r="N43" s="152">
        <v>0</v>
      </c>
      <c r="O43" s="152"/>
      <c r="P43" s="152">
        <f t="shared" si="12"/>
        <v>0</v>
      </c>
      <c r="Q43" s="63"/>
      <c r="R43" s="152">
        <f t="shared" si="13"/>
        <v>0</v>
      </c>
      <c r="S43" s="170"/>
      <c r="T43" s="564"/>
      <c r="U43" s="564"/>
      <c r="V43" s="564"/>
      <c r="W43" s="564">
        <v>0</v>
      </c>
      <c r="X43" s="564"/>
      <c r="Y43" s="564"/>
      <c r="Z43" s="564"/>
      <c r="AA43" s="564"/>
      <c r="AB43" s="564"/>
      <c r="AC43" s="564"/>
      <c r="AD43" s="564"/>
      <c r="AE43" s="564"/>
      <c r="AF43" s="564"/>
      <c r="AG43" s="153">
        <f t="shared" si="14"/>
        <v>0</v>
      </c>
      <c r="AH43" s="176"/>
      <c r="AI43" s="4137">
        <v>0</v>
      </c>
      <c r="AJ43" s="160">
        <f t="shared" si="15"/>
        <v>0</v>
      </c>
    </row>
    <row r="44" spans="1:36" s="50" customFormat="1" ht="24.6" customHeight="1" x14ac:dyDescent="0.3">
      <c r="A44" s="23"/>
      <c r="B44" s="177" t="s">
        <v>123</v>
      </c>
      <c r="C44" s="156" t="s">
        <v>30</v>
      </c>
      <c r="D44" s="178">
        <v>1</v>
      </c>
      <c r="E44" s="158">
        <v>0</v>
      </c>
      <c r="F44" s="159">
        <f>ROUNDDOWN('CF-0213|2024'!C11,0)</f>
        <v>8</v>
      </c>
      <c r="G44" s="159">
        <f>ROUNDDOWN('CF-0213|2024'!C12,0)</f>
        <v>0</v>
      </c>
      <c r="H44" s="148"/>
      <c r="I44" s="152">
        <f t="shared" si="11"/>
        <v>8</v>
      </c>
      <c r="J44" s="63"/>
      <c r="K44" s="151">
        <v>1</v>
      </c>
      <c r="L44" s="151">
        <v>0</v>
      </c>
      <c r="M44" s="152">
        <f>ROUNDDOWN('CF-0213|2024'!H11,0)</f>
        <v>106</v>
      </c>
      <c r="N44" s="152">
        <f>ROUNDDOWN('CF-0213|2024'!J12,0)</f>
        <v>0</v>
      </c>
      <c r="O44" s="152"/>
      <c r="P44" s="152">
        <f t="shared" si="12"/>
        <v>106</v>
      </c>
      <c r="Q44" s="63"/>
      <c r="R44" s="152">
        <f t="shared" si="13"/>
        <v>114</v>
      </c>
      <c r="S44" s="170"/>
      <c r="T44" s="564"/>
      <c r="U44" s="564"/>
      <c r="V44" s="564"/>
      <c r="W44" s="392">
        <v>1</v>
      </c>
      <c r="X44" s="564"/>
      <c r="Y44" s="564"/>
      <c r="Z44" s="564"/>
      <c r="AA44" s="564"/>
      <c r="AB44" s="564"/>
      <c r="AC44" s="392">
        <v>1</v>
      </c>
      <c r="AD44" s="564"/>
      <c r="AE44" s="564"/>
      <c r="AF44" s="564"/>
      <c r="AG44" s="153">
        <f t="shared" si="14"/>
        <v>2</v>
      </c>
      <c r="AH44" s="176"/>
      <c r="AI44" s="4134">
        <v>2</v>
      </c>
      <c r="AJ44" s="4140">
        <f t="shared" si="15"/>
        <v>1</v>
      </c>
    </row>
    <row r="45" spans="1:36" s="50" customFormat="1" ht="24.6" customHeight="1" x14ac:dyDescent="0.3">
      <c r="A45" s="23"/>
      <c r="B45" s="4127" t="s">
        <v>124</v>
      </c>
      <c r="C45" s="156" t="s">
        <v>30</v>
      </c>
      <c r="D45" s="178">
        <v>0</v>
      </c>
      <c r="E45" s="158">
        <v>0</v>
      </c>
      <c r="F45" s="159">
        <v>0</v>
      </c>
      <c r="G45" s="159">
        <v>0</v>
      </c>
      <c r="H45" s="148"/>
      <c r="I45" s="152">
        <f t="shared" si="11"/>
        <v>0</v>
      </c>
      <c r="J45" s="63"/>
      <c r="K45" s="151">
        <v>0</v>
      </c>
      <c r="L45" s="151">
        <v>0</v>
      </c>
      <c r="M45" s="152">
        <v>0</v>
      </c>
      <c r="N45" s="152">
        <v>0</v>
      </c>
      <c r="O45" s="152"/>
      <c r="P45" s="152">
        <f t="shared" si="12"/>
        <v>0</v>
      </c>
      <c r="Q45" s="63"/>
      <c r="R45" s="152">
        <f t="shared" si="13"/>
        <v>0</v>
      </c>
      <c r="S45" s="170"/>
      <c r="T45" s="564"/>
      <c r="U45" s="684">
        <v>0</v>
      </c>
      <c r="V45" s="684">
        <v>0</v>
      </c>
      <c r="W45" s="684">
        <v>0</v>
      </c>
      <c r="X45" s="564"/>
      <c r="Y45" s="564"/>
      <c r="Z45" s="564"/>
      <c r="AA45" s="564"/>
      <c r="AB45" s="564"/>
      <c r="AC45" s="684">
        <v>0</v>
      </c>
      <c r="AD45" s="564"/>
      <c r="AE45" s="564"/>
      <c r="AF45" s="564"/>
      <c r="AG45" s="153">
        <f t="shared" si="14"/>
        <v>0</v>
      </c>
      <c r="AH45" s="176"/>
      <c r="AI45" s="4137">
        <v>0</v>
      </c>
      <c r="AJ45" s="160">
        <f t="shared" si="15"/>
        <v>0</v>
      </c>
    </row>
    <row r="46" spans="1:36" s="50" customFormat="1" ht="24.6" customHeight="1" x14ac:dyDescent="0.3">
      <c r="A46" s="23"/>
      <c r="B46" s="4127" t="s">
        <v>125</v>
      </c>
      <c r="C46" s="156" t="s">
        <v>30</v>
      </c>
      <c r="D46" s="178">
        <v>0</v>
      </c>
      <c r="E46" s="158">
        <v>0</v>
      </c>
      <c r="F46" s="159">
        <v>0</v>
      </c>
      <c r="G46" s="159">
        <v>0</v>
      </c>
      <c r="H46" s="148"/>
      <c r="I46" s="152">
        <f t="shared" si="11"/>
        <v>0</v>
      </c>
      <c r="J46" s="63"/>
      <c r="K46" s="151">
        <v>0</v>
      </c>
      <c r="L46" s="151">
        <v>0</v>
      </c>
      <c r="M46" s="152">
        <v>0</v>
      </c>
      <c r="N46" s="152">
        <v>0</v>
      </c>
      <c r="O46" s="152"/>
      <c r="P46" s="152">
        <f t="shared" si="12"/>
        <v>0</v>
      </c>
      <c r="Q46" s="63"/>
      <c r="R46" s="152">
        <f t="shared" si="13"/>
        <v>0</v>
      </c>
      <c r="S46" s="170"/>
      <c r="T46" s="564"/>
      <c r="U46" s="684">
        <v>0</v>
      </c>
      <c r="V46" s="684">
        <v>0</v>
      </c>
      <c r="W46" s="684">
        <v>0</v>
      </c>
      <c r="X46" s="564"/>
      <c r="Y46" s="564"/>
      <c r="Z46" s="564"/>
      <c r="AA46" s="564"/>
      <c r="AB46" s="564"/>
      <c r="AC46" s="684">
        <v>0</v>
      </c>
      <c r="AD46" s="564"/>
      <c r="AE46" s="684">
        <v>0</v>
      </c>
      <c r="AF46" s="564"/>
      <c r="AG46" s="153">
        <f t="shared" si="14"/>
        <v>0</v>
      </c>
      <c r="AH46" s="176"/>
      <c r="AI46" s="4137">
        <v>0</v>
      </c>
      <c r="AJ46" s="160">
        <f t="shared" si="15"/>
        <v>0</v>
      </c>
    </row>
    <row r="47" spans="1:36" s="50" customFormat="1" ht="24.6" customHeight="1" x14ac:dyDescent="0.3">
      <c r="A47" s="23"/>
      <c r="B47" s="177" t="s">
        <v>264</v>
      </c>
      <c r="C47" s="156" t="s">
        <v>30</v>
      </c>
      <c r="D47" s="178">
        <v>1</v>
      </c>
      <c r="E47" s="158">
        <v>0</v>
      </c>
      <c r="F47" s="159">
        <f>ROUNDDOWN('CF-0216|2024'!E11,0)</f>
        <v>97</v>
      </c>
      <c r="G47" s="159">
        <f>ROUNDDOWN('CF-0216|2024'!E12,0)</f>
        <v>4</v>
      </c>
      <c r="H47" s="148"/>
      <c r="I47" s="152">
        <f t="shared" ref="I47" si="16">F47-G47</f>
        <v>93</v>
      </c>
      <c r="J47" s="63"/>
      <c r="K47" s="151">
        <v>1</v>
      </c>
      <c r="L47" s="151">
        <v>0</v>
      </c>
      <c r="M47" s="152">
        <f>ROUNDDOWN('CF-0216|2024'!J11,0)</f>
        <v>2524</v>
      </c>
      <c r="N47" s="152">
        <f>ROUNDDOWN('CF-0216|2024'!J12,0)</f>
        <v>0</v>
      </c>
      <c r="O47" s="152"/>
      <c r="P47" s="152">
        <f t="shared" ref="P47" si="17">M47-N47</f>
        <v>2524</v>
      </c>
      <c r="Q47" s="63"/>
      <c r="R47" s="152">
        <f t="shared" ref="R47" si="18">I47+P47</f>
        <v>2617</v>
      </c>
      <c r="S47" s="170"/>
      <c r="T47" s="564"/>
      <c r="U47" s="392">
        <v>1</v>
      </c>
      <c r="V47" s="564"/>
      <c r="W47" s="564"/>
      <c r="X47" s="564"/>
      <c r="Y47" s="564"/>
      <c r="Z47" s="564"/>
      <c r="AA47" s="564"/>
      <c r="AB47" s="564"/>
      <c r="AC47" s="392">
        <v>1</v>
      </c>
      <c r="AD47" s="564"/>
      <c r="AE47" s="564"/>
      <c r="AF47" s="564"/>
      <c r="AG47" s="153">
        <f t="shared" ref="AG47" si="19">SUM(T47:AE47)</f>
        <v>2</v>
      </c>
      <c r="AH47" s="176"/>
      <c r="AI47" s="4141">
        <v>1</v>
      </c>
      <c r="AJ47" s="4140">
        <f t="shared" si="15"/>
        <v>1</v>
      </c>
    </row>
    <row r="48" spans="1:36" s="50" customFormat="1" ht="27" customHeight="1" x14ac:dyDescent="0.3">
      <c r="A48" s="23"/>
      <c r="B48" s="166" t="s">
        <v>112</v>
      </c>
      <c r="C48" s="167" t="s">
        <v>29</v>
      </c>
      <c r="D48" s="168">
        <f>SUM(D34:D47)</f>
        <v>13</v>
      </c>
      <c r="E48" s="168">
        <f t="shared" ref="E48:I48" si="20">SUM(E34:E47)</f>
        <v>1</v>
      </c>
      <c r="F48" s="219">
        <f t="shared" si="20"/>
        <v>12103</v>
      </c>
      <c r="G48" s="219">
        <f t="shared" si="20"/>
        <v>3639</v>
      </c>
      <c r="H48" s="219">
        <f t="shared" si="20"/>
        <v>0</v>
      </c>
      <c r="I48" s="219">
        <f t="shared" si="20"/>
        <v>8464</v>
      </c>
      <c r="J48" s="170"/>
      <c r="K48" s="171">
        <f>SUM(K34:K47)</f>
        <v>133</v>
      </c>
      <c r="L48" s="171">
        <f>SUM(L34:L47)</f>
        <v>0</v>
      </c>
      <c r="M48" s="169">
        <f>SUM(M34:M47)</f>
        <v>51427</v>
      </c>
      <c r="N48" s="169">
        <f>SUM(N35:N47)</f>
        <v>0</v>
      </c>
      <c r="O48" s="169">
        <f t="shared" ref="O48" si="21">SUM(O34:O46)</f>
        <v>0</v>
      </c>
      <c r="P48" s="169">
        <f>SUM(P34:P47)</f>
        <v>51427</v>
      </c>
      <c r="Q48" s="170"/>
      <c r="R48" s="169">
        <f>SUM(R34:R47)</f>
        <v>59891</v>
      </c>
      <c r="S48" s="170"/>
      <c r="T48" s="172">
        <f>SUM(T34:T47)</f>
        <v>1</v>
      </c>
      <c r="U48" s="172">
        <f t="shared" ref="U48:AF48" si="22">SUM(U34:U47)</f>
        <v>83</v>
      </c>
      <c r="V48" s="172">
        <f t="shared" si="22"/>
        <v>48</v>
      </c>
      <c r="W48" s="172">
        <f t="shared" si="22"/>
        <v>2</v>
      </c>
      <c r="X48" s="172">
        <f t="shared" si="22"/>
        <v>0</v>
      </c>
      <c r="Y48" s="172">
        <f t="shared" si="22"/>
        <v>0</v>
      </c>
      <c r="Z48" s="172">
        <f t="shared" si="22"/>
        <v>0</v>
      </c>
      <c r="AA48" s="172">
        <f t="shared" si="22"/>
        <v>0</v>
      </c>
      <c r="AB48" s="172">
        <f t="shared" si="22"/>
        <v>9</v>
      </c>
      <c r="AC48" s="172">
        <f t="shared" si="22"/>
        <v>4</v>
      </c>
      <c r="AD48" s="172">
        <f t="shared" si="22"/>
        <v>0</v>
      </c>
      <c r="AE48" s="172">
        <f t="shared" si="22"/>
        <v>0</v>
      </c>
      <c r="AF48" s="172">
        <f t="shared" si="22"/>
        <v>0</v>
      </c>
      <c r="AG48" s="172">
        <f>SUM(T48:AF48)</f>
        <v>147</v>
      </c>
      <c r="AH48" s="181"/>
      <c r="AI48" s="4142">
        <f>SUM(AI34:AI47)</f>
        <v>22</v>
      </c>
      <c r="AJ48" s="4143">
        <f>SUM(AJ34:AJ47)</f>
        <v>6</v>
      </c>
    </row>
    <row r="49" spans="1:36" s="50" customFormat="1" ht="24.6" customHeight="1" x14ac:dyDescent="0.3">
      <c r="A49" s="23"/>
      <c r="B49" s="4127" t="s">
        <v>126</v>
      </c>
      <c r="C49" s="156" t="s">
        <v>31</v>
      </c>
      <c r="D49" s="160">
        <v>0</v>
      </c>
      <c r="E49" s="158">
        <v>0</v>
      </c>
      <c r="F49" s="182">
        <v>0</v>
      </c>
      <c r="G49" s="183">
        <v>0</v>
      </c>
      <c r="H49" s="183">
        <v>0</v>
      </c>
      <c r="I49" s="184">
        <v>0</v>
      </c>
      <c r="J49" s="105"/>
      <c r="K49" s="164">
        <v>0</v>
      </c>
      <c r="L49" s="164">
        <v>0</v>
      </c>
      <c r="M49" s="152">
        <v>0</v>
      </c>
      <c r="N49" s="152">
        <v>0</v>
      </c>
      <c r="O49" s="152">
        <v>0</v>
      </c>
      <c r="P49" s="152">
        <f>M49-N49</f>
        <v>0</v>
      </c>
      <c r="Q49" s="185"/>
      <c r="R49" s="152">
        <f>I49+P49</f>
        <v>0</v>
      </c>
      <c r="S49" s="185"/>
      <c r="T49" s="684">
        <v>0</v>
      </c>
      <c r="U49" s="564"/>
      <c r="V49" s="564"/>
      <c r="W49" s="564"/>
      <c r="X49" s="564"/>
      <c r="Y49" s="564"/>
      <c r="Z49" s="564"/>
      <c r="AA49" s="564"/>
      <c r="AB49" s="564"/>
      <c r="AC49" s="684">
        <v>0</v>
      </c>
      <c r="AD49" s="564"/>
      <c r="AE49" s="564"/>
      <c r="AF49" s="564"/>
      <c r="AG49" s="153">
        <f t="shared" ref="AG49:AG69" si="23">SUM(T49:AE49)</f>
        <v>0</v>
      </c>
      <c r="AH49" s="4129"/>
      <c r="AI49" s="4144">
        <v>0</v>
      </c>
      <c r="AJ49" s="4145">
        <f t="shared" ref="AJ49:AJ55" si="24">IF(R49&gt;0,1,0)</f>
        <v>0</v>
      </c>
    </row>
    <row r="50" spans="1:36" s="50" customFormat="1" ht="24.6" customHeight="1" x14ac:dyDescent="0.3">
      <c r="A50" s="23"/>
      <c r="B50" s="177" t="s">
        <v>127</v>
      </c>
      <c r="C50" s="156" t="s">
        <v>31</v>
      </c>
      <c r="D50" s="160">
        <v>1</v>
      </c>
      <c r="E50" s="158">
        <v>0</v>
      </c>
      <c r="F50" s="150">
        <f>ROUNDDOWN('CF-0402|2024'!E11,0)</f>
        <v>450</v>
      </c>
      <c r="G50" s="1255">
        <f>ROUNDDOWN('CF-0402|2024'!E12,0)</f>
        <v>31</v>
      </c>
      <c r="H50" s="186">
        <v>0</v>
      </c>
      <c r="I50" s="187">
        <f>F50-G50</f>
        <v>419</v>
      </c>
      <c r="J50" s="185"/>
      <c r="K50" s="164">
        <v>0</v>
      </c>
      <c r="L50" s="164">
        <v>0</v>
      </c>
      <c r="M50" s="152">
        <v>0</v>
      </c>
      <c r="N50" s="152">
        <v>0</v>
      </c>
      <c r="O50" s="152">
        <v>0</v>
      </c>
      <c r="P50" s="152">
        <f t="shared" ref="P50:P55" si="25">M50-N50</f>
        <v>0</v>
      </c>
      <c r="Q50" s="185"/>
      <c r="R50" s="152">
        <f t="shared" ref="R50:R55" si="26">I50+P50</f>
        <v>419</v>
      </c>
      <c r="S50" s="185"/>
      <c r="T50" s="392">
        <v>1</v>
      </c>
      <c r="U50" s="564"/>
      <c r="V50" s="564"/>
      <c r="W50" s="564"/>
      <c r="X50" s="564"/>
      <c r="Y50" s="564"/>
      <c r="Z50" s="564"/>
      <c r="AA50" s="564"/>
      <c r="AB50" s="564"/>
      <c r="AC50" s="564"/>
      <c r="AD50" s="564"/>
      <c r="AE50" s="564"/>
      <c r="AF50" s="564"/>
      <c r="AG50" s="153">
        <f t="shared" si="23"/>
        <v>1</v>
      </c>
      <c r="AH50" s="4129"/>
      <c r="AI50" s="4134">
        <v>10</v>
      </c>
      <c r="AJ50" s="4140">
        <f t="shared" si="24"/>
        <v>1</v>
      </c>
    </row>
    <row r="51" spans="1:36" s="50" customFormat="1" ht="24.6" customHeight="1" x14ac:dyDescent="0.3">
      <c r="A51" s="23"/>
      <c r="B51" s="4127" t="s">
        <v>128</v>
      </c>
      <c r="C51" s="156" t="s">
        <v>31</v>
      </c>
      <c r="D51" s="160">
        <v>0</v>
      </c>
      <c r="E51" s="158">
        <v>0</v>
      </c>
      <c r="F51" s="150">
        <v>0</v>
      </c>
      <c r="G51" s="186">
        <v>0</v>
      </c>
      <c r="H51" s="186">
        <v>0</v>
      </c>
      <c r="I51" s="187">
        <v>0</v>
      </c>
      <c r="J51" s="105"/>
      <c r="K51" s="164">
        <v>0</v>
      </c>
      <c r="L51" s="164">
        <v>0</v>
      </c>
      <c r="M51" s="152">
        <v>0</v>
      </c>
      <c r="N51" s="152">
        <v>0</v>
      </c>
      <c r="O51" s="152">
        <v>0</v>
      </c>
      <c r="P51" s="152">
        <f t="shared" si="25"/>
        <v>0</v>
      </c>
      <c r="Q51" s="185"/>
      <c r="R51" s="152">
        <f t="shared" si="26"/>
        <v>0</v>
      </c>
      <c r="S51" s="188"/>
      <c r="T51" s="564"/>
      <c r="U51" s="564"/>
      <c r="V51" s="564" t="s">
        <v>29</v>
      </c>
      <c r="W51" s="564"/>
      <c r="X51" s="564"/>
      <c r="Y51" s="564"/>
      <c r="Z51" s="564"/>
      <c r="AA51" s="564"/>
      <c r="AB51" s="684">
        <v>0</v>
      </c>
      <c r="AC51" s="564"/>
      <c r="AD51" s="564"/>
      <c r="AE51" s="684">
        <v>0</v>
      </c>
      <c r="AF51" s="564"/>
      <c r="AG51" s="153">
        <f t="shared" si="23"/>
        <v>0</v>
      </c>
      <c r="AH51" s="4129"/>
      <c r="AI51" s="4137">
        <v>0</v>
      </c>
      <c r="AJ51" s="160">
        <f t="shared" si="24"/>
        <v>0</v>
      </c>
    </row>
    <row r="52" spans="1:36" s="50" customFormat="1" ht="24.6" customHeight="1" x14ac:dyDescent="0.3">
      <c r="A52" s="23"/>
      <c r="B52" s="4127" t="s">
        <v>129</v>
      </c>
      <c r="C52" s="156" t="s">
        <v>31</v>
      </c>
      <c r="D52" s="160">
        <v>0</v>
      </c>
      <c r="E52" s="158">
        <v>0</v>
      </c>
      <c r="F52" s="150">
        <v>0</v>
      </c>
      <c r="G52" s="186">
        <v>0</v>
      </c>
      <c r="H52" s="186">
        <v>0</v>
      </c>
      <c r="I52" s="187">
        <f>F52-G52</f>
        <v>0</v>
      </c>
      <c r="J52" s="185"/>
      <c r="K52" s="164">
        <v>0</v>
      </c>
      <c r="L52" s="164">
        <v>0</v>
      </c>
      <c r="M52" s="152">
        <v>0</v>
      </c>
      <c r="N52" s="152">
        <v>0</v>
      </c>
      <c r="O52" s="152">
        <v>0</v>
      </c>
      <c r="P52" s="152">
        <f t="shared" si="25"/>
        <v>0</v>
      </c>
      <c r="Q52" s="185"/>
      <c r="R52" s="152">
        <f t="shared" si="26"/>
        <v>0</v>
      </c>
      <c r="S52" s="188"/>
      <c r="T52" s="564"/>
      <c r="U52" s="564" t="s">
        <v>29</v>
      </c>
      <c r="V52" s="684">
        <v>0</v>
      </c>
      <c r="W52" s="564"/>
      <c r="X52" s="564"/>
      <c r="Y52" s="564"/>
      <c r="Z52" s="564"/>
      <c r="AA52" s="564"/>
      <c r="AB52" s="564"/>
      <c r="AC52" s="564"/>
      <c r="AD52" s="564"/>
      <c r="AE52" s="684">
        <v>0</v>
      </c>
      <c r="AF52" s="564"/>
      <c r="AG52" s="153">
        <f t="shared" si="23"/>
        <v>0</v>
      </c>
      <c r="AH52" s="4129"/>
      <c r="AI52" s="4137">
        <v>0</v>
      </c>
      <c r="AJ52" s="160">
        <f t="shared" si="24"/>
        <v>0</v>
      </c>
    </row>
    <row r="53" spans="1:36" s="50" customFormat="1" ht="24.6" customHeight="1" x14ac:dyDescent="0.3">
      <c r="A53" s="23"/>
      <c r="B53" s="177" t="s">
        <v>130</v>
      </c>
      <c r="C53" s="156" t="s">
        <v>31</v>
      </c>
      <c r="D53" s="160">
        <v>0</v>
      </c>
      <c r="E53" s="158">
        <v>1</v>
      </c>
      <c r="F53" s="150">
        <f>ROUNDDOWN('CF-0405|2024'!E11,0)</f>
        <v>6525</v>
      </c>
      <c r="G53" s="150">
        <f>ROUNDDOWN('CF-0405|2024'!E12,0)</f>
        <v>6303</v>
      </c>
      <c r="H53" s="148">
        <v>0</v>
      </c>
      <c r="I53" s="1755">
        <f t="shared" ref="I53:I55" si="27">F53-G53</f>
        <v>222</v>
      </c>
      <c r="J53" s="105"/>
      <c r="K53" s="164">
        <v>5</v>
      </c>
      <c r="L53" s="164">
        <v>0</v>
      </c>
      <c r="M53" s="152">
        <f>ROUNDDOWN('CF-0405|2024'!J11,0)</f>
        <v>17547</v>
      </c>
      <c r="N53" s="152">
        <f>ROUNDDOWN('CF-0405|2024'!J12,0)</f>
        <v>0</v>
      </c>
      <c r="O53" s="152">
        <v>0</v>
      </c>
      <c r="P53" s="152">
        <f t="shared" si="25"/>
        <v>17547</v>
      </c>
      <c r="Q53" s="185"/>
      <c r="R53" s="152">
        <f t="shared" si="26"/>
        <v>17769</v>
      </c>
      <c r="S53" s="188"/>
      <c r="T53" s="564"/>
      <c r="U53" s="392">
        <v>5</v>
      </c>
      <c r="V53" s="564" t="s">
        <v>29</v>
      </c>
      <c r="W53" s="564"/>
      <c r="X53" s="564"/>
      <c r="Y53" s="564"/>
      <c r="Z53" s="564"/>
      <c r="AA53" s="564"/>
      <c r="AB53" s="1294">
        <v>1</v>
      </c>
      <c r="AC53" s="564"/>
      <c r="AD53" s="564"/>
      <c r="AE53" s="564"/>
      <c r="AF53" s="564"/>
      <c r="AG53" s="153">
        <f t="shared" si="23"/>
        <v>6</v>
      </c>
      <c r="AH53" s="4129"/>
      <c r="AI53" s="4134">
        <v>4</v>
      </c>
      <c r="AJ53" s="4140">
        <f t="shared" si="24"/>
        <v>1</v>
      </c>
    </row>
    <row r="54" spans="1:36" s="50" customFormat="1" ht="24.6" customHeight="1" x14ac:dyDescent="0.3">
      <c r="A54" s="23"/>
      <c r="B54" s="4127" t="s">
        <v>131</v>
      </c>
      <c r="C54" s="156" t="s">
        <v>31</v>
      </c>
      <c r="D54" s="160">
        <v>0</v>
      </c>
      <c r="E54" s="158">
        <v>0</v>
      </c>
      <c r="F54" s="150">
        <v>0</v>
      </c>
      <c r="G54" s="186">
        <v>0</v>
      </c>
      <c r="H54" s="186">
        <v>0</v>
      </c>
      <c r="I54" s="187">
        <f t="shared" si="27"/>
        <v>0</v>
      </c>
      <c r="J54" s="105"/>
      <c r="K54" s="164">
        <v>0</v>
      </c>
      <c r="L54" s="164">
        <v>0</v>
      </c>
      <c r="M54" s="152">
        <v>0</v>
      </c>
      <c r="N54" s="152">
        <v>0</v>
      </c>
      <c r="O54" s="152">
        <v>0</v>
      </c>
      <c r="P54" s="152">
        <f t="shared" si="25"/>
        <v>0</v>
      </c>
      <c r="Q54" s="185"/>
      <c r="R54" s="152">
        <f t="shared" si="26"/>
        <v>0</v>
      </c>
      <c r="S54" s="188"/>
      <c r="T54" s="567"/>
      <c r="U54" s="567"/>
      <c r="V54" s="684">
        <v>0</v>
      </c>
      <c r="W54" s="567"/>
      <c r="X54" s="567"/>
      <c r="Y54" s="567"/>
      <c r="Z54" s="567"/>
      <c r="AA54" s="567"/>
      <c r="AB54" s="567"/>
      <c r="AC54" s="567"/>
      <c r="AD54" s="567"/>
      <c r="AE54" s="567"/>
      <c r="AF54" s="567"/>
      <c r="AG54" s="153">
        <f t="shared" si="23"/>
        <v>0</v>
      </c>
      <c r="AH54" s="4129"/>
      <c r="AI54" s="4137">
        <v>0</v>
      </c>
      <c r="AJ54" s="160">
        <f t="shared" si="24"/>
        <v>0</v>
      </c>
    </row>
    <row r="55" spans="1:36" s="50" customFormat="1" ht="24.6" customHeight="1" x14ac:dyDescent="0.3">
      <c r="A55" s="23"/>
      <c r="B55" s="177" t="s">
        <v>132</v>
      </c>
      <c r="C55" s="156" t="s">
        <v>31</v>
      </c>
      <c r="D55" s="160">
        <v>0</v>
      </c>
      <c r="E55" s="158">
        <v>0</v>
      </c>
      <c r="F55" s="150">
        <v>0</v>
      </c>
      <c r="G55" s="186">
        <v>0</v>
      </c>
      <c r="H55" s="189">
        <v>0</v>
      </c>
      <c r="I55" s="187">
        <f t="shared" si="27"/>
        <v>0</v>
      </c>
      <c r="J55" s="105"/>
      <c r="K55" s="164">
        <v>19</v>
      </c>
      <c r="L55" s="164">
        <v>0</v>
      </c>
      <c r="M55" s="152">
        <f>ROUNDDOWN('CF-0408|2024'!Y11,0)</f>
        <v>16055</v>
      </c>
      <c r="N55" s="152">
        <f>ROUNDDOWN('CF-0408|2024'!Y12,0)</f>
        <v>0</v>
      </c>
      <c r="O55" s="152">
        <v>0</v>
      </c>
      <c r="P55" s="152">
        <f t="shared" si="25"/>
        <v>16055</v>
      </c>
      <c r="Q55" s="185"/>
      <c r="R55" s="152">
        <f t="shared" si="26"/>
        <v>16055</v>
      </c>
      <c r="S55" s="188"/>
      <c r="T55" s="564"/>
      <c r="U55" s="392">
        <v>19</v>
      </c>
      <c r="V55" s="564"/>
      <c r="W55" s="564"/>
      <c r="X55" s="564"/>
      <c r="Y55" s="564"/>
      <c r="Z55" s="564"/>
      <c r="AA55" s="564"/>
      <c r="AB55" s="564"/>
      <c r="AC55" s="564"/>
      <c r="AD55" s="564"/>
      <c r="AE55" s="564"/>
      <c r="AF55" s="564"/>
      <c r="AG55" s="153">
        <f t="shared" si="23"/>
        <v>19</v>
      </c>
      <c r="AH55" s="4129"/>
      <c r="AI55" s="4134">
        <v>4</v>
      </c>
      <c r="AJ55" s="4140">
        <f t="shared" si="24"/>
        <v>1</v>
      </c>
    </row>
    <row r="56" spans="1:36" s="50" customFormat="1" ht="27" customHeight="1" x14ac:dyDescent="0.3">
      <c r="A56" s="23"/>
      <c r="B56" s="166" t="s">
        <v>112</v>
      </c>
      <c r="C56" s="167" t="s">
        <v>29</v>
      </c>
      <c r="D56" s="168">
        <f t="shared" ref="D56:I56" si="28">SUM(D49:D55)</f>
        <v>1</v>
      </c>
      <c r="E56" s="168">
        <f t="shared" si="28"/>
        <v>1</v>
      </c>
      <c r="F56" s="219">
        <f t="shared" si="28"/>
        <v>6975</v>
      </c>
      <c r="G56" s="219">
        <f t="shared" si="28"/>
        <v>6334</v>
      </c>
      <c r="H56" s="219">
        <f t="shared" si="28"/>
        <v>0</v>
      </c>
      <c r="I56" s="219">
        <f t="shared" si="28"/>
        <v>641</v>
      </c>
      <c r="J56" s="170"/>
      <c r="K56" s="171">
        <f t="shared" ref="K56:P56" si="29">SUM(K49:K55)</f>
        <v>24</v>
      </c>
      <c r="L56" s="171">
        <f t="shared" si="29"/>
        <v>0</v>
      </c>
      <c r="M56" s="169">
        <f t="shared" si="29"/>
        <v>33602</v>
      </c>
      <c r="N56" s="169">
        <f t="shared" si="29"/>
        <v>0</v>
      </c>
      <c r="O56" s="169">
        <f t="shared" si="29"/>
        <v>0</v>
      </c>
      <c r="P56" s="169">
        <f t="shared" si="29"/>
        <v>33602</v>
      </c>
      <c r="Q56" s="190"/>
      <c r="R56" s="169">
        <f>SUM(R49:R55)</f>
        <v>34243</v>
      </c>
      <c r="S56" s="170"/>
      <c r="T56" s="172">
        <f>SUM(T49:T55)</f>
        <v>1</v>
      </c>
      <c r="U56" s="172">
        <f t="shared" ref="U56:AF56" si="30">SUM(U49:U55)</f>
        <v>24</v>
      </c>
      <c r="V56" s="172">
        <f t="shared" si="30"/>
        <v>0</v>
      </c>
      <c r="W56" s="172">
        <f t="shared" si="30"/>
        <v>0</v>
      </c>
      <c r="X56" s="172">
        <f t="shared" si="30"/>
        <v>0</v>
      </c>
      <c r="Y56" s="172">
        <f t="shared" si="30"/>
        <v>0</v>
      </c>
      <c r="Z56" s="172">
        <f t="shared" si="30"/>
        <v>0</v>
      </c>
      <c r="AA56" s="172">
        <f t="shared" si="30"/>
        <v>0</v>
      </c>
      <c r="AB56" s="172">
        <f t="shared" si="30"/>
        <v>1</v>
      </c>
      <c r="AC56" s="172">
        <f t="shared" si="30"/>
        <v>0</v>
      </c>
      <c r="AD56" s="172">
        <f t="shared" si="30"/>
        <v>0</v>
      </c>
      <c r="AE56" s="172">
        <f t="shared" si="30"/>
        <v>0</v>
      </c>
      <c r="AF56" s="172">
        <f t="shared" si="30"/>
        <v>0</v>
      </c>
      <c r="AG56" s="172">
        <f>SUM(T56:AF56)</f>
        <v>26</v>
      </c>
      <c r="AH56" s="191"/>
      <c r="AI56" s="4142">
        <f>SUM(AI49:AI55)</f>
        <v>18</v>
      </c>
      <c r="AJ56" s="4143">
        <f>SUM(AJ49:AJ55)</f>
        <v>3</v>
      </c>
    </row>
    <row r="57" spans="1:36" s="50" customFormat="1" ht="27" customHeight="1" x14ac:dyDescent="0.3">
      <c r="A57" s="23"/>
      <c r="B57" s="4127" t="s">
        <v>133</v>
      </c>
      <c r="C57" s="192" t="s">
        <v>32</v>
      </c>
      <c r="D57" s="157">
        <v>0</v>
      </c>
      <c r="E57" s="193">
        <v>0</v>
      </c>
      <c r="F57" s="63">
        <v>0</v>
      </c>
      <c r="G57" s="186">
        <v>0</v>
      </c>
      <c r="H57" s="148">
        <v>0</v>
      </c>
      <c r="I57" s="152">
        <f t="shared" ref="I57" si="31">F57-G57</f>
        <v>0</v>
      </c>
      <c r="J57" s="105"/>
      <c r="K57" s="164">
        <v>0</v>
      </c>
      <c r="L57" s="164">
        <v>0</v>
      </c>
      <c r="M57" s="152">
        <v>0</v>
      </c>
      <c r="N57" s="152">
        <v>0</v>
      </c>
      <c r="O57" s="152">
        <v>0</v>
      </c>
      <c r="P57" s="152">
        <f t="shared" ref="P57" si="32">M57-N57</f>
        <v>0</v>
      </c>
      <c r="Q57" s="185"/>
      <c r="R57" s="152">
        <f t="shared" ref="R57" si="33">I57+P57</f>
        <v>0</v>
      </c>
      <c r="S57" s="188"/>
      <c r="T57" s="567"/>
      <c r="U57" s="567"/>
      <c r="V57" s="684">
        <v>0</v>
      </c>
      <c r="W57" s="684">
        <v>0</v>
      </c>
      <c r="X57" s="567"/>
      <c r="Y57" s="567"/>
      <c r="Z57" s="567"/>
      <c r="AA57" s="567"/>
      <c r="AB57" s="684">
        <v>0</v>
      </c>
      <c r="AC57" s="684">
        <v>0</v>
      </c>
      <c r="AD57" s="567"/>
      <c r="AE57" s="567"/>
      <c r="AF57" s="567"/>
      <c r="AG57" s="153">
        <f t="shared" si="23"/>
        <v>0</v>
      </c>
      <c r="AH57" s="194"/>
      <c r="AI57" s="4146">
        <v>0</v>
      </c>
      <c r="AJ57" s="4147">
        <f>IF(R57&gt;0,1,0)</f>
        <v>0</v>
      </c>
    </row>
    <row r="58" spans="1:36" s="50" customFormat="1" ht="27" customHeight="1" x14ac:dyDescent="0.3">
      <c r="A58" s="23"/>
      <c r="B58" s="4128" t="s">
        <v>276</v>
      </c>
      <c r="C58" s="192" t="s">
        <v>32</v>
      </c>
      <c r="D58" s="157">
        <v>0</v>
      </c>
      <c r="E58" s="193">
        <v>1</v>
      </c>
      <c r="F58" s="63">
        <f>ROUNDDOWN('CF-0603|2024'!H11,0)</f>
        <v>92</v>
      </c>
      <c r="G58" s="4064">
        <f>ROUNDDOWN('CF-0603|2024'!H12,0)</f>
        <v>0</v>
      </c>
      <c r="H58" s="148">
        <v>0</v>
      </c>
      <c r="I58" s="152">
        <f t="shared" ref="I58" si="34">F58-G58</f>
        <v>92</v>
      </c>
      <c r="J58" s="105"/>
      <c r="K58" s="164">
        <v>0</v>
      </c>
      <c r="L58" s="164">
        <v>14</v>
      </c>
      <c r="M58" s="152">
        <f>ROUNDDOWN('CF-0603|2024'!P11,0)</f>
        <v>19192</v>
      </c>
      <c r="N58" s="152">
        <f>ROUNDDOWN('CF-0603|2024'!P12,0)</f>
        <v>0</v>
      </c>
      <c r="O58" s="152">
        <v>0</v>
      </c>
      <c r="P58" s="152">
        <f t="shared" ref="P58" si="35">M58-N58</f>
        <v>19192</v>
      </c>
      <c r="Q58" s="185"/>
      <c r="R58" s="152">
        <f t="shared" ref="R58" si="36">I58+P58</f>
        <v>19284</v>
      </c>
      <c r="S58" s="188"/>
      <c r="T58" s="567"/>
      <c r="U58" s="2496">
        <v>13</v>
      </c>
      <c r="V58" s="564"/>
      <c r="W58" s="1294">
        <v>1</v>
      </c>
      <c r="X58" s="567"/>
      <c r="Y58" s="567"/>
      <c r="Z58" s="567"/>
      <c r="AA58" s="567"/>
      <c r="AB58" s="564"/>
      <c r="AC58" s="1294">
        <v>1</v>
      </c>
      <c r="AD58" s="567"/>
      <c r="AE58" s="567"/>
      <c r="AF58" s="567"/>
      <c r="AG58" s="153">
        <f t="shared" si="23"/>
        <v>15</v>
      </c>
      <c r="AH58" s="349"/>
      <c r="AI58" s="4148">
        <v>2</v>
      </c>
      <c r="AJ58" s="4149">
        <f>IF(R58&gt;0,1,0)</f>
        <v>1</v>
      </c>
    </row>
    <row r="59" spans="1:36" s="50" customFormat="1" ht="27" customHeight="1" x14ac:dyDescent="0.3">
      <c r="A59" s="23"/>
      <c r="B59" s="166" t="s">
        <v>112</v>
      </c>
      <c r="C59" s="167" t="s">
        <v>29</v>
      </c>
      <c r="D59" s="168">
        <f>SUM(D57:D58)</f>
        <v>0</v>
      </c>
      <c r="E59" s="168">
        <f>SUM(E57:E58)</f>
        <v>1</v>
      </c>
      <c r="F59" s="219">
        <f>SUM(F57:F58)</f>
        <v>92</v>
      </c>
      <c r="G59" s="219">
        <f t="shared" ref="G59:I59" si="37">SUM(G57:G58)</f>
        <v>0</v>
      </c>
      <c r="H59" s="219">
        <f t="shared" si="37"/>
        <v>0</v>
      </c>
      <c r="I59" s="219">
        <f t="shared" si="37"/>
        <v>92</v>
      </c>
      <c r="J59" s="170"/>
      <c r="K59" s="171">
        <f>SUM(K57:K58)</f>
        <v>0</v>
      </c>
      <c r="L59" s="171">
        <f>SUM(L57:L58)</f>
        <v>14</v>
      </c>
      <c r="M59" s="169">
        <f>SUM(M57:M58)</f>
        <v>19192</v>
      </c>
      <c r="N59" s="169">
        <f t="shared" ref="N59:P59" si="38">SUM(N57:N58)</f>
        <v>0</v>
      </c>
      <c r="O59" s="169">
        <f t="shared" si="38"/>
        <v>0</v>
      </c>
      <c r="P59" s="169">
        <f t="shared" si="38"/>
        <v>19192</v>
      </c>
      <c r="Q59" s="170"/>
      <c r="R59" s="169">
        <f>SUM(R57:R58)</f>
        <v>19284</v>
      </c>
      <c r="S59" s="170"/>
      <c r="T59" s="172">
        <f>SUM(T57:T58)</f>
        <v>0</v>
      </c>
      <c r="U59" s="172">
        <f t="shared" ref="U59:AF59" si="39">SUM(U57:U58)</f>
        <v>13</v>
      </c>
      <c r="V59" s="172">
        <f t="shared" si="39"/>
        <v>0</v>
      </c>
      <c r="W59" s="172">
        <f t="shared" si="39"/>
        <v>1</v>
      </c>
      <c r="X59" s="172">
        <f t="shared" si="39"/>
        <v>0</v>
      </c>
      <c r="Y59" s="172">
        <f t="shared" si="39"/>
        <v>0</v>
      </c>
      <c r="Z59" s="172">
        <f t="shared" si="39"/>
        <v>0</v>
      </c>
      <c r="AA59" s="172">
        <f t="shared" si="39"/>
        <v>0</v>
      </c>
      <c r="AB59" s="172">
        <f t="shared" si="39"/>
        <v>0</v>
      </c>
      <c r="AC59" s="172">
        <f t="shared" si="39"/>
        <v>1</v>
      </c>
      <c r="AD59" s="172">
        <f t="shared" si="39"/>
        <v>0</v>
      </c>
      <c r="AE59" s="172">
        <f t="shared" si="39"/>
        <v>0</v>
      </c>
      <c r="AF59" s="172">
        <f t="shared" si="39"/>
        <v>0</v>
      </c>
      <c r="AG59" s="172">
        <f>SUM(T59:AF59)</f>
        <v>15</v>
      </c>
      <c r="AH59" s="191"/>
      <c r="AI59" s="4142">
        <f>SUM(AI57:AI58)</f>
        <v>2</v>
      </c>
      <c r="AJ59" s="4143">
        <f>SUM(AJ57:AJ58)</f>
        <v>1</v>
      </c>
    </row>
    <row r="60" spans="1:36" s="50" customFormat="1" ht="23.4" customHeight="1" x14ac:dyDescent="0.3">
      <c r="A60" s="23"/>
      <c r="B60" s="174" t="s">
        <v>134</v>
      </c>
      <c r="C60" s="195" t="s">
        <v>33</v>
      </c>
      <c r="D60" s="196">
        <v>0</v>
      </c>
      <c r="E60" s="197">
        <v>0</v>
      </c>
      <c r="F60" s="198">
        <v>0</v>
      </c>
      <c r="G60" s="182">
        <v>0</v>
      </c>
      <c r="H60" s="199">
        <v>0</v>
      </c>
      <c r="I60" s="200">
        <f>F60-G60</f>
        <v>0</v>
      </c>
      <c r="J60" s="185"/>
      <c r="K60" s="164">
        <v>2</v>
      </c>
      <c r="L60" s="164">
        <v>0</v>
      </c>
      <c r="M60" s="164">
        <f>ROUNDDOWN('CF-0701|2024'!F11,0)</f>
        <v>539</v>
      </c>
      <c r="N60" s="218">
        <f>ROUNDDOWN('CF-0701|2024'!F12,0)</f>
        <v>0</v>
      </c>
      <c r="O60" s="152">
        <v>0</v>
      </c>
      <c r="P60" s="152">
        <f t="shared" ref="P60" si="40">M60-N60</f>
        <v>539</v>
      </c>
      <c r="Q60" s="63"/>
      <c r="R60" s="152">
        <f t="shared" ref="R60" si="41">I60+P60</f>
        <v>539</v>
      </c>
      <c r="S60" s="188"/>
      <c r="T60" s="564"/>
      <c r="U60" s="564"/>
      <c r="V60" s="392">
        <v>1</v>
      </c>
      <c r="W60" s="392">
        <v>1</v>
      </c>
      <c r="X60" s="564"/>
      <c r="Y60" s="564"/>
      <c r="Z60" s="564"/>
      <c r="AA60" s="564"/>
      <c r="AB60" s="564"/>
      <c r="AC60" s="564"/>
      <c r="AD60" s="564"/>
      <c r="AE60" s="564"/>
      <c r="AF60" s="564"/>
      <c r="AG60" s="153">
        <f t="shared" si="23"/>
        <v>2</v>
      </c>
      <c r="AH60" s="4130"/>
      <c r="AI60" s="4150">
        <v>5</v>
      </c>
      <c r="AJ60" s="4151">
        <f t="shared" ref="AJ60:AJ69" si="42">IF(R60&gt;0,1,0)</f>
        <v>1</v>
      </c>
    </row>
    <row r="61" spans="1:36" s="50" customFormat="1" ht="23.4" customHeight="1" x14ac:dyDescent="0.3">
      <c r="A61" s="23"/>
      <c r="B61" s="177" t="s">
        <v>135</v>
      </c>
      <c r="C61" s="201" t="s">
        <v>33</v>
      </c>
      <c r="D61" s="202">
        <v>1</v>
      </c>
      <c r="E61" s="203">
        <v>0</v>
      </c>
      <c r="F61" s="204">
        <f>ROUNDDOWN('CF-0702|2024'!H11,0)</f>
        <v>80</v>
      </c>
      <c r="G61" s="204">
        <f>ROUNDDOWN('CF-0702|2024'!H12,0)</f>
        <v>0</v>
      </c>
      <c r="H61" s="198"/>
      <c r="I61" s="205">
        <f t="shared" ref="I61:I68" si="43">F61-G61</f>
        <v>80</v>
      </c>
      <c r="J61" s="185"/>
      <c r="K61" s="164">
        <v>0</v>
      </c>
      <c r="L61" s="164">
        <v>0</v>
      </c>
      <c r="M61" s="152">
        <v>0</v>
      </c>
      <c r="N61" s="152">
        <v>0</v>
      </c>
      <c r="O61" s="152"/>
      <c r="P61" s="152">
        <f t="shared" ref="P61:P68" si="44">M61-N61</f>
        <v>0</v>
      </c>
      <c r="Q61" s="63"/>
      <c r="R61" s="152">
        <f t="shared" ref="R61:R68" si="45">I61+P61</f>
        <v>80</v>
      </c>
      <c r="S61" s="188"/>
      <c r="T61" s="564"/>
      <c r="U61" s="564"/>
      <c r="V61" s="564"/>
      <c r="W61" s="564"/>
      <c r="X61" s="564"/>
      <c r="Y61" s="564"/>
      <c r="Z61" s="564"/>
      <c r="AA61" s="564"/>
      <c r="AB61" s="564"/>
      <c r="AC61" s="392">
        <v>1</v>
      </c>
      <c r="AD61" s="564"/>
      <c r="AE61" s="564"/>
      <c r="AF61" s="564"/>
      <c r="AG61" s="153">
        <f t="shared" si="23"/>
        <v>1</v>
      </c>
      <c r="AH61" s="4131"/>
      <c r="AI61" s="4134">
        <v>1</v>
      </c>
      <c r="AJ61" s="4140">
        <f t="shared" si="42"/>
        <v>1</v>
      </c>
    </row>
    <row r="62" spans="1:36" s="50" customFormat="1" ht="23.4" customHeight="1" x14ac:dyDescent="0.3">
      <c r="A62" s="23"/>
      <c r="B62" s="4127" t="s">
        <v>136</v>
      </c>
      <c r="C62" s="201" t="s">
        <v>33</v>
      </c>
      <c r="D62" s="202">
        <v>0</v>
      </c>
      <c r="E62" s="203">
        <v>0</v>
      </c>
      <c r="F62" s="204">
        <v>0</v>
      </c>
      <c r="G62" s="204">
        <v>0</v>
      </c>
      <c r="H62" s="198"/>
      <c r="I62" s="205">
        <f t="shared" si="43"/>
        <v>0</v>
      </c>
      <c r="J62" s="185"/>
      <c r="K62" s="164">
        <v>0</v>
      </c>
      <c r="L62" s="164">
        <v>0</v>
      </c>
      <c r="M62" s="152">
        <v>0</v>
      </c>
      <c r="N62" s="152">
        <v>0</v>
      </c>
      <c r="O62" s="152"/>
      <c r="P62" s="152">
        <f t="shared" si="44"/>
        <v>0</v>
      </c>
      <c r="Q62" s="63"/>
      <c r="R62" s="152">
        <f t="shared" si="45"/>
        <v>0</v>
      </c>
      <c r="S62" s="188"/>
      <c r="T62" s="564"/>
      <c r="U62" s="564"/>
      <c r="V62" s="684">
        <v>0</v>
      </c>
      <c r="W62" s="684">
        <v>0</v>
      </c>
      <c r="X62" s="564"/>
      <c r="Y62" s="564"/>
      <c r="Z62" s="564"/>
      <c r="AA62" s="564"/>
      <c r="AB62" s="564"/>
      <c r="AC62" s="564"/>
      <c r="AD62" s="564"/>
      <c r="AE62" s="564"/>
      <c r="AF62" s="564"/>
      <c r="AG62" s="153">
        <f t="shared" si="23"/>
        <v>0</v>
      </c>
      <c r="AH62" s="4131"/>
      <c r="AI62" s="4137">
        <v>0</v>
      </c>
      <c r="AJ62" s="160">
        <f t="shared" si="42"/>
        <v>0</v>
      </c>
    </row>
    <row r="63" spans="1:36" s="50" customFormat="1" ht="23.4" customHeight="1" x14ac:dyDescent="0.3">
      <c r="A63" s="23"/>
      <c r="B63" s="4127" t="s">
        <v>137</v>
      </c>
      <c r="C63" s="201" t="s">
        <v>33</v>
      </c>
      <c r="D63" s="202">
        <v>0</v>
      </c>
      <c r="E63" s="203">
        <v>0</v>
      </c>
      <c r="F63" s="204">
        <v>0</v>
      </c>
      <c r="G63" s="204">
        <v>0</v>
      </c>
      <c r="H63" s="198"/>
      <c r="I63" s="205">
        <f t="shared" si="43"/>
        <v>0</v>
      </c>
      <c r="J63" s="185"/>
      <c r="K63" s="164">
        <v>0</v>
      </c>
      <c r="L63" s="164">
        <v>0</v>
      </c>
      <c r="M63" s="152">
        <v>0</v>
      </c>
      <c r="N63" s="152">
        <v>0</v>
      </c>
      <c r="O63" s="152"/>
      <c r="P63" s="152">
        <f t="shared" si="44"/>
        <v>0</v>
      </c>
      <c r="Q63" s="63"/>
      <c r="R63" s="152">
        <f t="shared" si="45"/>
        <v>0</v>
      </c>
      <c r="S63" s="188"/>
      <c r="T63" s="564"/>
      <c r="U63" s="564"/>
      <c r="V63" s="564"/>
      <c r="W63" s="564"/>
      <c r="X63" s="564"/>
      <c r="Y63" s="564"/>
      <c r="Z63" s="564"/>
      <c r="AA63" s="564"/>
      <c r="AB63" s="564"/>
      <c r="AC63" s="684">
        <v>0</v>
      </c>
      <c r="AD63" s="564"/>
      <c r="AE63" s="564"/>
      <c r="AF63" s="564"/>
      <c r="AG63" s="153">
        <f t="shared" si="23"/>
        <v>0</v>
      </c>
      <c r="AH63" s="4131"/>
      <c r="AI63" s="4137">
        <v>0</v>
      </c>
      <c r="AJ63" s="160">
        <f t="shared" si="42"/>
        <v>0</v>
      </c>
    </row>
    <row r="64" spans="1:36" s="50" customFormat="1" ht="23.4" customHeight="1" x14ac:dyDescent="0.3">
      <c r="A64" s="23"/>
      <c r="B64" s="4127" t="s">
        <v>138</v>
      </c>
      <c r="C64" s="201" t="s">
        <v>33</v>
      </c>
      <c r="D64" s="202">
        <v>0</v>
      </c>
      <c r="E64" s="203">
        <v>0</v>
      </c>
      <c r="F64" s="204">
        <v>0</v>
      </c>
      <c r="G64" s="204">
        <v>0</v>
      </c>
      <c r="H64" s="198"/>
      <c r="I64" s="205">
        <f t="shared" si="43"/>
        <v>0</v>
      </c>
      <c r="J64" s="185"/>
      <c r="K64" s="164">
        <v>0</v>
      </c>
      <c r="L64" s="164">
        <v>0</v>
      </c>
      <c r="M64" s="152">
        <v>0</v>
      </c>
      <c r="N64" s="152">
        <v>0</v>
      </c>
      <c r="O64" s="152"/>
      <c r="P64" s="152">
        <f t="shared" si="44"/>
        <v>0</v>
      </c>
      <c r="Q64" s="63"/>
      <c r="R64" s="152">
        <f t="shared" si="45"/>
        <v>0</v>
      </c>
      <c r="S64" s="188"/>
      <c r="T64" s="564"/>
      <c r="U64" s="564"/>
      <c r="V64" s="564"/>
      <c r="W64" s="564"/>
      <c r="X64" s="564"/>
      <c r="Y64" s="564"/>
      <c r="Z64" s="564"/>
      <c r="AA64" s="564"/>
      <c r="AB64" s="564"/>
      <c r="AC64" s="564"/>
      <c r="AD64" s="564"/>
      <c r="AE64" s="564"/>
      <c r="AF64" s="564"/>
      <c r="AG64" s="153">
        <f t="shared" si="23"/>
        <v>0</v>
      </c>
      <c r="AH64" s="4131"/>
      <c r="AI64" s="4137">
        <v>0</v>
      </c>
      <c r="AJ64" s="160">
        <f t="shared" si="42"/>
        <v>0</v>
      </c>
    </row>
    <row r="65" spans="1:36" s="50" customFormat="1" ht="23.4" customHeight="1" x14ac:dyDescent="0.3">
      <c r="A65" s="23"/>
      <c r="B65" s="177" t="s">
        <v>139</v>
      </c>
      <c r="C65" s="201" t="s">
        <v>33</v>
      </c>
      <c r="D65" s="157">
        <v>1</v>
      </c>
      <c r="E65" s="203">
        <v>0</v>
      </c>
      <c r="F65" s="204">
        <f>ROUNDDOWN('CF-0706|2024'!E11,0)</f>
        <v>8</v>
      </c>
      <c r="G65" s="204">
        <f>ROUNDDOWN('CF-0706|2024'!E12,0)</f>
        <v>6</v>
      </c>
      <c r="H65" s="198"/>
      <c r="I65" s="205">
        <f t="shared" si="43"/>
        <v>2</v>
      </c>
      <c r="J65" s="185"/>
      <c r="K65" s="164">
        <v>3</v>
      </c>
      <c r="L65" s="164">
        <v>0</v>
      </c>
      <c r="M65" s="152">
        <f>ROUNDDOWN('CF-0706|2024'!L11,0)</f>
        <v>17</v>
      </c>
      <c r="N65" s="152">
        <f>ROUNDDOWN('CF-0706|2024'!L12,0)</f>
        <v>0</v>
      </c>
      <c r="O65" s="152"/>
      <c r="P65" s="152">
        <f t="shared" si="44"/>
        <v>17</v>
      </c>
      <c r="Q65" s="63"/>
      <c r="R65" s="152">
        <f t="shared" si="45"/>
        <v>19</v>
      </c>
      <c r="S65" s="188"/>
      <c r="T65" s="564"/>
      <c r="U65" s="392">
        <v>2</v>
      </c>
      <c r="V65" s="564"/>
      <c r="W65" s="392">
        <v>1</v>
      </c>
      <c r="X65" s="564"/>
      <c r="Y65" s="564"/>
      <c r="Z65" s="564"/>
      <c r="AA65" s="564"/>
      <c r="AB65" s="392">
        <v>1</v>
      </c>
      <c r="AC65" s="564"/>
      <c r="AD65" s="564"/>
      <c r="AE65" s="564"/>
      <c r="AF65" s="564"/>
      <c r="AG65" s="153">
        <f t="shared" si="23"/>
        <v>4</v>
      </c>
      <c r="AH65" s="4131"/>
      <c r="AI65" s="4134">
        <v>8</v>
      </c>
      <c r="AJ65" s="4140">
        <f t="shared" si="42"/>
        <v>1</v>
      </c>
    </row>
    <row r="66" spans="1:36" s="50" customFormat="1" ht="23.4" customHeight="1" x14ac:dyDescent="0.3">
      <c r="A66" s="23"/>
      <c r="B66" s="177" t="s">
        <v>140</v>
      </c>
      <c r="C66" s="201" t="s">
        <v>33</v>
      </c>
      <c r="D66" s="157">
        <v>0</v>
      </c>
      <c r="E66" s="203">
        <v>0</v>
      </c>
      <c r="F66" s="204">
        <v>0</v>
      </c>
      <c r="G66" s="204">
        <v>0</v>
      </c>
      <c r="H66" s="198"/>
      <c r="I66" s="205">
        <f t="shared" si="43"/>
        <v>0</v>
      </c>
      <c r="J66" s="185"/>
      <c r="K66" s="164">
        <v>33</v>
      </c>
      <c r="L66" s="164">
        <v>0</v>
      </c>
      <c r="M66" s="152">
        <f>ROUNDDOWN('CF-0707|2024'!E11,0)</f>
        <v>3231</v>
      </c>
      <c r="N66" s="152">
        <f>ROUNDDOWN('CF-0707|2024'!E12,0)</f>
        <v>0</v>
      </c>
      <c r="O66" s="152"/>
      <c r="P66" s="152">
        <f t="shared" si="44"/>
        <v>3231</v>
      </c>
      <c r="Q66" s="63"/>
      <c r="R66" s="152">
        <f t="shared" si="45"/>
        <v>3231</v>
      </c>
      <c r="S66" s="188"/>
      <c r="T66" s="568"/>
      <c r="U66" s="568"/>
      <c r="V66" s="1329">
        <v>33</v>
      </c>
      <c r="W66" s="567"/>
      <c r="X66" s="567"/>
      <c r="Y66" s="567"/>
      <c r="Z66" s="567"/>
      <c r="AA66" s="567"/>
      <c r="AB66" s="567"/>
      <c r="AC66" s="567"/>
      <c r="AD66" s="567"/>
      <c r="AE66" s="567"/>
      <c r="AF66" s="567"/>
      <c r="AG66" s="153">
        <f t="shared" si="23"/>
        <v>33</v>
      </c>
      <c r="AH66" s="4131"/>
      <c r="AI66" s="4134">
        <v>4</v>
      </c>
      <c r="AJ66" s="4140">
        <f t="shared" si="42"/>
        <v>1</v>
      </c>
    </row>
    <row r="67" spans="1:36" s="50" customFormat="1" ht="23.4" customHeight="1" x14ac:dyDescent="0.3">
      <c r="A67" s="23"/>
      <c r="B67" s="177" t="s">
        <v>141</v>
      </c>
      <c r="C67" s="201" t="s">
        <v>33</v>
      </c>
      <c r="D67" s="157">
        <v>10</v>
      </c>
      <c r="E67" s="203">
        <v>0</v>
      </c>
      <c r="F67" s="204">
        <f>ROUNDDOWN('CF-0708|2024'!H11,0)</f>
        <v>4145</v>
      </c>
      <c r="G67" s="204">
        <f>ROUNDDOWN('CF-0708|2024'!H12,0)</f>
        <v>111</v>
      </c>
      <c r="H67" s="198"/>
      <c r="I67" s="152">
        <f t="shared" si="43"/>
        <v>4034</v>
      </c>
      <c r="J67" s="185"/>
      <c r="K67" s="164">
        <v>21</v>
      </c>
      <c r="L67" s="164">
        <v>0</v>
      </c>
      <c r="M67" s="152">
        <f>ROUNDDOWN('CF-0708|2024'!AK11,0)</f>
        <v>18092</v>
      </c>
      <c r="N67" s="152">
        <f>ROUNDDOWN('CF-0708|2024'!AK12,0)</f>
        <v>0</v>
      </c>
      <c r="O67" s="152"/>
      <c r="P67" s="152">
        <f t="shared" si="44"/>
        <v>18092</v>
      </c>
      <c r="Q67" s="63"/>
      <c r="R67" s="152">
        <f t="shared" si="45"/>
        <v>22126</v>
      </c>
      <c r="S67" s="188"/>
      <c r="T67" s="392">
        <v>10</v>
      </c>
      <c r="U67" s="564"/>
      <c r="V67" s="392">
        <v>21</v>
      </c>
      <c r="W67" s="564"/>
      <c r="X67" s="564"/>
      <c r="Y67" s="564"/>
      <c r="Z67" s="564"/>
      <c r="AA67" s="564"/>
      <c r="AB67" s="564"/>
      <c r="AC67" s="564"/>
      <c r="AD67" s="564"/>
      <c r="AE67" s="564"/>
      <c r="AF67" s="564"/>
      <c r="AG67" s="153">
        <f>SUM(T67:AE67)</f>
        <v>31</v>
      </c>
      <c r="AH67" s="4131"/>
      <c r="AI67" s="4134">
        <v>2</v>
      </c>
      <c r="AJ67" s="4140">
        <f t="shared" si="42"/>
        <v>1</v>
      </c>
    </row>
    <row r="68" spans="1:36" s="50" customFormat="1" ht="23.4" customHeight="1" x14ac:dyDescent="0.3">
      <c r="A68" s="23"/>
      <c r="B68" s="4127" t="s">
        <v>142</v>
      </c>
      <c r="C68" s="156" t="s">
        <v>33</v>
      </c>
      <c r="D68" s="157">
        <v>0</v>
      </c>
      <c r="E68" s="203">
        <v>0</v>
      </c>
      <c r="F68" s="204">
        <v>0</v>
      </c>
      <c r="G68" s="204">
        <v>0</v>
      </c>
      <c r="H68" s="198"/>
      <c r="I68" s="152">
        <f t="shared" si="43"/>
        <v>0</v>
      </c>
      <c r="J68" s="185"/>
      <c r="K68" s="164">
        <v>0</v>
      </c>
      <c r="L68" s="164">
        <v>0</v>
      </c>
      <c r="M68" s="152">
        <v>0</v>
      </c>
      <c r="N68" s="152">
        <v>0</v>
      </c>
      <c r="O68" s="152"/>
      <c r="P68" s="152">
        <f t="shared" si="44"/>
        <v>0</v>
      </c>
      <c r="Q68" s="63"/>
      <c r="R68" s="152">
        <f t="shared" si="45"/>
        <v>0</v>
      </c>
      <c r="S68" s="188"/>
      <c r="T68" s="564"/>
      <c r="U68" s="564"/>
      <c r="V68" s="564"/>
      <c r="W68" s="684">
        <v>0</v>
      </c>
      <c r="X68" s="564"/>
      <c r="Y68" s="564"/>
      <c r="Z68" s="564"/>
      <c r="AA68" s="564"/>
      <c r="AB68" s="564"/>
      <c r="AC68" s="684">
        <v>0</v>
      </c>
      <c r="AD68" s="564"/>
      <c r="AE68" s="564"/>
      <c r="AF68" s="564"/>
      <c r="AG68" s="153">
        <f t="shared" si="23"/>
        <v>0</v>
      </c>
      <c r="AH68" s="4131"/>
      <c r="AI68" s="4137">
        <v>0</v>
      </c>
      <c r="AJ68" s="160">
        <f t="shared" si="42"/>
        <v>0</v>
      </c>
    </row>
    <row r="69" spans="1:36" s="50" customFormat="1" ht="23.4" customHeight="1" x14ac:dyDescent="0.3">
      <c r="A69" s="23"/>
      <c r="B69" s="4128" t="s">
        <v>267</v>
      </c>
      <c r="C69" s="156" t="s">
        <v>33</v>
      </c>
      <c r="D69" s="157">
        <v>0</v>
      </c>
      <c r="E69" s="203">
        <v>1</v>
      </c>
      <c r="F69" s="204">
        <f>ROUNDDOWN('CF-0710|2024'!H11,0)</f>
        <v>589</v>
      </c>
      <c r="G69" s="204">
        <f>ROUNDDOWN('CF-0710|2024'!H12,0)</f>
        <v>0</v>
      </c>
      <c r="H69" s="198"/>
      <c r="I69" s="152">
        <f t="shared" ref="I69" si="46">F69-G69</f>
        <v>589</v>
      </c>
      <c r="J69" s="185"/>
      <c r="K69" s="164">
        <v>0</v>
      </c>
      <c r="L69" s="164">
        <v>0</v>
      </c>
      <c r="M69" s="152">
        <v>0</v>
      </c>
      <c r="N69" s="152">
        <v>0</v>
      </c>
      <c r="O69" s="152"/>
      <c r="P69" s="152">
        <f t="shared" ref="P69" si="47">M69-N69</f>
        <v>0</v>
      </c>
      <c r="Q69" s="63"/>
      <c r="R69" s="152">
        <f t="shared" ref="R69" si="48">I69+P69</f>
        <v>589</v>
      </c>
      <c r="S69" s="188"/>
      <c r="T69" s="564"/>
      <c r="U69" s="564"/>
      <c r="V69" s="564"/>
      <c r="W69" s="564"/>
      <c r="X69" s="564"/>
      <c r="Y69" s="564"/>
      <c r="Z69" s="1294">
        <v>1</v>
      </c>
      <c r="AA69" s="564"/>
      <c r="AB69" s="564"/>
      <c r="AC69" s="564"/>
      <c r="AD69" s="564"/>
      <c r="AE69" s="564"/>
      <c r="AF69" s="564"/>
      <c r="AG69" s="153">
        <f t="shared" si="23"/>
        <v>1</v>
      </c>
      <c r="AH69" s="4131"/>
      <c r="AI69" s="4134">
        <v>1</v>
      </c>
      <c r="AJ69" s="4140">
        <f t="shared" si="42"/>
        <v>1</v>
      </c>
    </row>
    <row r="70" spans="1:36" s="50" customFormat="1" ht="24" customHeight="1" x14ac:dyDescent="0.3">
      <c r="A70" s="23"/>
      <c r="B70" s="166" t="s">
        <v>112</v>
      </c>
      <c r="C70" s="167" t="s">
        <v>29</v>
      </c>
      <c r="D70" s="168">
        <f>SUM(D60:D69)</f>
        <v>12</v>
      </c>
      <c r="E70" s="168">
        <f>SUM(E60:E69)</f>
        <v>1</v>
      </c>
      <c r="F70" s="219">
        <f t="shared" ref="F70:H70" si="49">SUM(F60:F69)</f>
        <v>4822</v>
      </c>
      <c r="G70" s="219">
        <f t="shared" si="49"/>
        <v>117</v>
      </c>
      <c r="H70" s="219">
        <f t="shared" si="49"/>
        <v>0</v>
      </c>
      <c r="I70" s="219">
        <f>SUM(I60:I69)</f>
        <v>4705</v>
      </c>
      <c r="J70" s="170"/>
      <c r="K70" s="171">
        <f>SUM(K60:K69)</f>
        <v>59</v>
      </c>
      <c r="L70" s="171">
        <f>SUM(L60:L69)</f>
        <v>0</v>
      </c>
      <c r="M70" s="169">
        <f>SUM(M60:M69)</f>
        <v>21879</v>
      </c>
      <c r="N70" s="169">
        <f t="shared" ref="N70:P70" si="50">SUM(N60:N69)</f>
        <v>0</v>
      </c>
      <c r="O70" s="169">
        <f t="shared" si="50"/>
        <v>0</v>
      </c>
      <c r="P70" s="169">
        <f t="shared" si="50"/>
        <v>21879</v>
      </c>
      <c r="Q70" s="190"/>
      <c r="R70" s="169">
        <f>SUM(R60:R69)</f>
        <v>26584</v>
      </c>
      <c r="S70" s="170"/>
      <c r="T70" s="172">
        <f>SUM(T60:T69)</f>
        <v>10</v>
      </c>
      <c r="U70" s="172">
        <f t="shared" ref="U70:AF70" si="51">SUM(U60:U69)</f>
        <v>2</v>
      </c>
      <c r="V70" s="172">
        <f t="shared" si="51"/>
        <v>55</v>
      </c>
      <c r="W70" s="172">
        <f t="shared" si="51"/>
        <v>2</v>
      </c>
      <c r="X70" s="172">
        <f t="shared" si="51"/>
        <v>0</v>
      </c>
      <c r="Y70" s="172">
        <f t="shared" si="51"/>
        <v>0</v>
      </c>
      <c r="Z70" s="172">
        <f t="shared" si="51"/>
        <v>1</v>
      </c>
      <c r="AA70" s="172">
        <f t="shared" si="51"/>
        <v>0</v>
      </c>
      <c r="AB70" s="172">
        <f t="shared" si="51"/>
        <v>1</v>
      </c>
      <c r="AC70" s="172">
        <f t="shared" si="51"/>
        <v>1</v>
      </c>
      <c r="AD70" s="172">
        <f t="shared" si="51"/>
        <v>0</v>
      </c>
      <c r="AE70" s="172">
        <f t="shared" si="51"/>
        <v>0</v>
      </c>
      <c r="AF70" s="172">
        <f t="shared" si="51"/>
        <v>0</v>
      </c>
      <c r="AG70" s="172">
        <f>SUM(T70:AF70)</f>
        <v>72</v>
      </c>
      <c r="AH70" s="173"/>
      <c r="AI70" s="4142">
        <f>SUM(AI60:AI69)</f>
        <v>21</v>
      </c>
      <c r="AJ70" s="4143">
        <f>SUM(AJ60:AJ69)</f>
        <v>6</v>
      </c>
    </row>
    <row r="71" spans="1:36" ht="21.75" customHeight="1" x14ac:dyDescent="0.3">
      <c r="B71" s="174" t="s">
        <v>143</v>
      </c>
      <c r="C71" s="192" t="s">
        <v>34</v>
      </c>
      <c r="D71" s="157">
        <v>1</v>
      </c>
      <c r="E71" s="206">
        <v>0</v>
      </c>
      <c r="F71" s="182">
        <f>ROUNDDOWN('CF-0801|2024'!E11,0)</f>
        <v>128</v>
      </c>
      <c r="G71" s="182">
        <f>ROUNDDOWN('CF-0801|2024'!E12,0)</f>
        <v>0</v>
      </c>
      <c r="H71" s="199">
        <v>0</v>
      </c>
      <c r="I71" s="207">
        <f>F71-G71</f>
        <v>128</v>
      </c>
      <c r="J71" s="185"/>
      <c r="K71" s="151">
        <v>0</v>
      </c>
      <c r="L71" s="151">
        <v>0</v>
      </c>
      <c r="M71" s="152">
        <v>0</v>
      </c>
      <c r="N71" s="152">
        <v>0</v>
      </c>
      <c r="O71" s="152">
        <v>0</v>
      </c>
      <c r="P71" s="152">
        <f>M71-N71</f>
        <v>0</v>
      </c>
      <c r="Q71" s="63"/>
      <c r="R71" s="152">
        <f>I71+P71</f>
        <v>128</v>
      </c>
      <c r="S71" s="188"/>
      <c r="T71" s="564"/>
      <c r="U71" s="564"/>
      <c r="V71" s="564"/>
      <c r="W71" s="564"/>
      <c r="X71" s="564"/>
      <c r="Y71" s="564"/>
      <c r="Z71" s="564"/>
      <c r="AA71" s="564"/>
      <c r="AB71" s="564"/>
      <c r="AC71" s="392">
        <v>1</v>
      </c>
      <c r="AD71" s="564"/>
      <c r="AE71" s="564"/>
      <c r="AF71" s="564"/>
      <c r="AG71" s="153">
        <f t="shared" ref="AG71:AG78" si="52">SUM(T71:AE71)</f>
        <v>1</v>
      </c>
      <c r="AH71" s="208"/>
      <c r="AI71" s="4150">
        <v>1</v>
      </c>
      <c r="AJ71" s="4151">
        <f>IF(R71&gt;0,1,0)</f>
        <v>1</v>
      </c>
    </row>
    <row r="72" spans="1:36" ht="21.75" customHeight="1" x14ac:dyDescent="0.3">
      <c r="B72" s="4127" t="s">
        <v>144</v>
      </c>
      <c r="C72" s="192" t="s">
        <v>34</v>
      </c>
      <c r="D72" s="157">
        <v>0</v>
      </c>
      <c r="E72" s="193">
        <v>0</v>
      </c>
      <c r="F72" s="209">
        <v>0</v>
      </c>
      <c r="G72" s="210">
        <v>0</v>
      </c>
      <c r="H72" s="63"/>
      <c r="I72" s="211">
        <f t="shared" ref="I72:I78" si="53">F72-G72</f>
        <v>0</v>
      </c>
      <c r="J72" s="185"/>
      <c r="K72" s="151">
        <v>0</v>
      </c>
      <c r="L72" s="151">
        <v>0</v>
      </c>
      <c r="M72" s="152">
        <v>0</v>
      </c>
      <c r="N72" s="152">
        <v>0</v>
      </c>
      <c r="O72" s="152"/>
      <c r="P72" s="152">
        <f>M72-N72</f>
        <v>0</v>
      </c>
      <c r="Q72" s="63"/>
      <c r="R72" s="152">
        <f t="shared" ref="R72:R78" si="54">I72+P72</f>
        <v>0</v>
      </c>
      <c r="S72" s="188"/>
      <c r="T72" s="564"/>
      <c r="U72" s="564"/>
      <c r="V72" s="564"/>
      <c r="W72" s="564"/>
      <c r="X72" s="564"/>
      <c r="Y72" s="564"/>
      <c r="Z72" s="564"/>
      <c r="AA72" s="564"/>
      <c r="AB72" s="564"/>
      <c r="AC72" s="684">
        <v>0</v>
      </c>
      <c r="AD72" s="564"/>
      <c r="AE72" s="564"/>
      <c r="AF72" s="564"/>
      <c r="AG72" s="153">
        <f t="shared" si="52"/>
        <v>0</v>
      </c>
      <c r="AH72" s="176"/>
      <c r="AI72" s="4137">
        <v>0</v>
      </c>
      <c r="AJ72" s="160">
        <f>IF(R72&gt;0,1,0)</f>
        <v>0</v>
      </c>
    </row>
    <row r="73" spans="1:36" ht="21.75" customHeight="1" x14ac:dyDescent="0.3">
      <c r="B73" s="4127" t="s">
        <v>145</v>
      </c>
      <c r="C73" s="192" t="s">
        <v>34</v>
      </c>
      <c r="D73" s="157">
        <v>0</v>
      </c>
      <c r="E73" s="193">
        <v>0</v>
      </c>
      <c r="F73" s="209">
        <v>0</v>
      </c>
      <c r="G73" s="210">
        <v>0</v>
      </c>
      <c r="H73" s="148"/>
      <c r="I73" s="211">
        <v>0</v>
      </c>
      <c r="J73" s="185"/>
      <c r="K73" s="151">
        <v>0</v>
      </c>
      <c r="L73" s="151">
        <v>0</v>
      </c>
      <c r="M73" s="152">
        <v>0</v>
      </c>
      <c r="N73" s="152">
        <v>0</v>
      </c>
      <c r="O73" s="152"/>
      <c r="P73" s="152">
        <f t="shared" ref="P73:P78" si="55">M73-N73</f>
        <v>0</v>
      </c>
      <c r="Q73" s="63"/>
      <c r="R73" s="152">
        <f t="shared" si="54"/>
        <v>0</v>
      </c>
      <c r="S73" s="188"/>
      <c r="T73" s="564"/>
      <c r="U73" s="564"/>
      <c r="V73" s="564"/>
      <c r="W73" s="564"/>
      <c r="X73" s="564"/>
      <c r="Y73" s="564"/>
      <c r="Z73" s="564"/>
      <c r="AA73" s="564"/>
      <c r="AB73" s="564"/>
      <c r="AC73" s="684">
        <v>0</v>
      </c>
      <c r="AD73" s="564"/>
      <c r="AE73" s="564"/>
      <c r="AF73" s="564"/>
      <c r="AG73" s="153">
        <f t="shared" si="52"/>
        <v>0</v>
      </c>
      <c r="AH73" s="176"/>
      <c r="AI73" s="4137">
        <v>0</v>
      </c>
      <c r="AJ73" s="160">
        <v>0</v>
      </c>
    </row>
    <row r="74" spans="1:36" ht="21.75" customHeight="1" x14ac:dyDescent="0.3">
      <c r="B74" s="4127" t="s">
        <v>146</v>
      </c>
      <c r="C74" s="192" t="s">
        <v>34</v>
      </c>
      <c r="D74" s="157">
        <v>0</v>
      </c>
      <c r="E74" s="193">
        <v>0</v>
      </c>
      <c r="F74" s="209">
        <v>0</v>
      </c>
      <c r="G74" s="210">
        <v>0</v>
      </c>
      <c r="H74" s="63"/>
      <c r="I74" s="211">
        <f t="shared" si="53"/>
        <v>0</v>
      </c>
      <c r="J74" s="185"/>
      <c r="K74" s="151">
        <v>0</v>
      </c>
      <c r="L74" s="151">
        <v>0</v>
      </c>
      <c r="M74" s="152">
        <v>0</v>
      </c>
      <c r="N74" s="152">
        <v>0</v>
      </c>
      <c r="O74" s="152"/>
      <c r="P74" s="152">
        <f t="shared" si="55"/>
        <v>0</v>
      </c>
      <c r="Q74" s="63"/>
      <c r="R74" s="152">
        <f t="shared" si="54"/>
        <v>0</v>
      </c>
      <c r="S74" s="188"/>
      <c r="T74" s="684">
        <v>0</v>
      </c>
      <c r="U74" s="564"/>
      <c r="V74" s="564"/>
      <c r="W74" s="564"/>
      <c r="X74" s="564"/>
      <c r="Y74" s="564"/>
      <c r="Z74" s="564"/>
      <c r="AA74" s="564"/>
      <c r="AB74" s="564"/>
      <c r="AC74" s="564"/>
      <c r="AD74" s="564"/>
      <c r="AE74" s="564"/>
      <c r="AF74" s="564"/>
      <c r="AG74" s="153">
        <f t="shared" si="52"/>
        <v>0</v>
      </c>
      <c r="AH74" s="176"/>
      <c r="AI74" s="4137">
        <v>0</v>
      </c>
      <c r="AJ74" s="160">
        <f>IF(R74&gt;0,1,0)</f>
        <v>0</v>
      </c>
    </row>
    <row r="75" spans="1:36" ht="21.75" customHeight="1" x14ac:dyDescent="0.3">
      <c r="B75" s="177" t="s">
        <v>147</v>
      </c>
      <c r="C75" s="192" t="s">
        <v>34</v>
      </c>
      <c r="D75" s="157">
        <v>0</v>
      </c>
      <c r="E75" s="193">
        <v>0</v>
      </c>
      <c r="F75" s="209">
        <v>0</v>
      </c>
      <c r="G75" s="210">
        <v>0</v>
      </c>
      <c r="H75" s="63"/>
      <c r="I75" s="211">
        <f t="shared" si="53"/>
        <v>0</v>
      </c>
      <c r="J75" s="185"/>
      <c r="K75" s="151">
        <v>3</v>
      </c>
      <c r="L75" s="151">
        <v>0</v>
      </c>
      <c r="M75" s="152">
        <f>ROUNDDOWN('CF-0807|2024'!G11,0)</f>
        <v>6277</v>
      </c>
      <c r="N75" s="152">
        <f>ROUNDDOWN('CF-0807|2024'!G12,0)</f>
        <v>0</v>
      </c>
      <c r="O75" s="152"/>
      <c r="P75" s="152">
        <f t="shared" si="55"/>
        <v>6277</v>
      </c>
      <c r="Q75" s="63"/>
      <c r="R75" s="152">
        <f t="shared" si="54"/>
        <v>6277</v>
      </c>
      <c r="S75" s="188"/>
      <c r="T75" s="564"/>
      <c r="U75" s="564"/>
      <c r="V75" s="392">
        <v>2</v>
      </c>
      <c r="W75" s="392">
        <v>1</v>
      </c>
      <c r="X75" s="564"/>
      <c r="Y75" s="564"/>
      <c r="Z75" s="564"/>
      <c r="AA75" s="564"/>
      <c r="AB75" s="564"/>
      <c r="AC75" s="564"/>
      <c r="AD75" s="564"/>
      <c r="AE75" s="564"/>
      <c r="AF75" s="564"/>
      <c r="AG75" s="153">
        <f t="shared" si="52"/>
        <v>3</v>
      </c>
      <c r="AH75" s="176"/>
      <c r="AI75" s="4134">
        <v>4</v>
      </c>
      <c r="AJ75" s="4140">
        <f>IF(R75&gt;0,1,0)</f>
        <v>1</v>
      </c>
    </row>
    <row r="76" spans="1:36" ht="21.75" customHeight="1" x14ac:dyDescent="0.3">
      <c r="B76" s="4127" t="s">
        <v>148</v>
      </c>
      <c r="C76" s="192" t="s">
        <v>34</v>
      </c>
      <c r="D76" s="157">
        <v>0</v>
      </c>
      <c r="E76" s="193">
        <v>0</v>
      </c>
      <c r="F76" s="209">
        <v>0</v>
      </c>
      <c r="G76" s="210">
        <v>0</v>
      </c>
      <c r="H76" s="63"/>
      <c r="I76" s="211">
        <f t="shared" si="53"/>
        <v>0</v>
      </c>
      <c r="J76" s="185"/>
      <c r="K76" s="151">
        <v>0</v>
      </c>
      <c r="L76" s="151">
        <v>0</v>
      </c>
      <c r="M76" s="152">
        <v>0</v>
      </c>
      <c r="N76" s="152">
        <v>0</v>
      </c>
      <c r="O76" s="152"/>
      <c r="P76" s="152">
        <f t="shared" si="55"/>
        <v>0</v>
      </c>
      <c r="Q76" s="63"/>
      <c r="R76" s="152">
        <f t="shared" si="54"/>
        <v>0</v>
      </c>
      <c r="S76" s="188"/>
      <c r="T76" s="564"/>
      <c r="U76" s="564"/>
      <c r="V76" s="564"/>
      <c r="W76" s="564"/>
      <c r="X76" s="564"/>
      <c r="Y76" s="564"/>
      <c r="Z76" s="564"/>
      <c r="AA76" s="564"/>
      <c r="AB76" s="564"/>
      <c r="AC76" s="684">
        <v>0</v>
      </c>
      <c r="AD76" s="564"/>
      <c r="AE76" s="564"/>
      <c r="AF76" s="564"/>
      <c r="AG76" s="153">
        <f t="shared" si="52"/>
        <v>0</v>
      </c>
      <c r="AH76" s="176"/>
      <c r="AI76" s="4137">
        <v>0</v>
      </c>
      <c r="AJ76" s="160">
        <f>IF(R76&gt;0,1,0)</f>
        <v>0</v>
      </c>
    </row>
    <row r="77" spans="1:36" ht="21.75" customHeight="1" x14ac:dyDescent="0.3">
      <c r="B77" s="4127" t="s">
        <v>149</v>
      </c>
      <c r="C77" s="192" t="s">
        <v>34</v>
      </c>
      <c r="D77" s="157">
        <v>0</v>
      </c>
      <c r="E77" s="193">
        <v>0</v>
      </c>
      <c r="F77" s="209">
        <v>0</v>
      </c>
      <c r="G77" s="210">
        <v>0</v>
      </c>
      <c r="H77" s="148"/>
      <c r="I77" s="211">
        <f t="shared" si="53"/>
        <v>0</v>
      </c>
      <c r="J77" s="185"/>
      <c r="K77" s="151">
        <v>0</v>
      </c>
      <c r="L77" s="151">
        <v>0</v>
      </c>
      <c r="M77" s="152">
        <v>0</v>
      </c>
      <c r="N77" s="152">
        <v>0</v>
      </c>
      <c r="O77" s="152"/>
      <c r="P77" s="152">
        <f t="shared" si="55"/>
        <v>0</v>
      </c>
      <c r="Q77" s="63"/>
      <c r="R77" s="152">
        <f t="shared" si="54"/>
        <v>0</v>
      </c>
      <c r="S77" s="188"/>
      <c r="T77" s="4070">
        <v>0</v>
      </c>
      <c r="U77" s="567"/>
      <c r="V77" s="567"/>
      <c r="W77" s="567"/>
      <c r="X77" s="567"/>
      <c r="Y77" s="567"/>
      <c r="Z77" s="567"/>
      <c r="AA77" s="567"/>
      <c r="AB77" s="567"/>
      <c r="AC77" s="567"/>
      <c r="AD77" s="567"/>
      <c r="AE77" s="567"/>
      <c r="AF77" s="567"/>
      <c r="AG77" s="153">
        <f t="shared" si="52"/>
        <v>0</v>
      </c>
      <c r="AH77" s="176"/>
      <c r="AI77" s="4137">
        <v>0</v>
      </c>
      <c r="AJ77" s="160">
        <f>IF(R77&gt;0,1,0)</f>
        <v>0</v>
      </c>
    </row>
    <row r="78" spans="1:36" ht="21.75" customHeight="1" x14ac:dyDescent="0.3">
      <c r="B78" s="177" t="s">
        <v>150</v>
      </c>
      <c r="C78" s="192" t="s">
        <v>34</v>
      </c>
      <c r="D78" s="157">
        <v>18</v>
      </c>
      <c r="E78" s="193">
        <v>0</v>
      </c>
      <c r="F78" s="209">
        <f>ROUNDDOWN('CF-0810|2024'!E11,0)</f>
        <v>550</v>
      </c>
      <c r="G78" s="209">
        <f>ROUNDDOWN('CF-0810|2024'!E12,0)</f>
        <v>108</v>
      </c>
      <c r="H78" s="148"/>
      <c r="I78" s="212">
        <f t="shared" si="53"/>
        <v>442</v>
      </c>
      <c r="J78" s="185"/>
      <c r="K78" s="151">
        <v>0</v>
      </c>
      <c r="L78" s="151">
        <v>0</v>
      </c>
      <c r="M78" s="152">
        <v>0</v>
      </c>
      <c r="N78" s="152">
        <v>0</v>
      </c>
      <c r="O78" s="152"/>
      <c r="P78" s="152">
        <f t="shared" si="55"/>
        <v>0</v>
      </c>
      <c r="Q78" s="63"/>
      <c r="R78" s="152">
        <f t="shared" si="54"/>
        <v>442</v>
      </c>
      <c r="S78" s="188"/>
      <c r="T78" s="1293">
        <v>18</v>
      </c>
      <c r="U78" s="566"/>
      <c r="V78" s="567"/>
      <c r="W78" s="567"/>
      <c r="X78" s="567"/>
      <c r="Y78" s="567"/>
      <c r="Z78" s="567"/>
      <c r="AA78" s="567"/>
      <c r="AB78" s="567"/>
      <c r="AC78" s="567"/>
      <c r="AD78" s="567"/>
      <c r="AE78" s="567"/>
      <c r="AF78" s="567"/>
      <c r="AG78" s="153">
        <f t="shared" si="52"/>
        <v>18</v>
      </c>
      <c r="AH78" s="176"/>
      <c r="AI78" s="4141">
        <v>18</v>
      </c>
      <c r="AJ78" s="4140">
        <f>IF(R78&gt;0,1,0)</f>
        <v>1</v>
      </c>
    </row>
    <row r="79" spans="1:36" ht="21.75" customHeight="1" x14ac:dyDescent="0.3">
      <c r="B79" s="166" t="s">
        <v>112</v>
      </c>
      <c r="C79" s="167" t="s">
        <v>29</v>
      </c>
      <c r="D79" s="168">
        <f>SUM(D71:D78)</f>
        <v>19</v>
      </c>
      <c r="E79" s="168">
        <f>SUM(E71:E78)</f>
        <v>0</v>
      </c>
      <c r="F79" s="213">
        <f>SUM(F71:F78)</f>
        <v>678</v>
      </c>
      <c r="G79" s="214">
        <f t="shared" ref="G79:H79" si="56">SUM(G71:G78)</f>
        <v>108</v>
      </c>
      <c r="H79" s="215">
        <f t="shared" si="56"/>
        <v>0</v>
      </c>
      <c r="I79" s="216">
        <f>SUM(I71:I78)</f>
        <v>570</v>
      </c>
      <c r="J79" s="170"/>
      <c r="K79" s="171">
        <f>SUM(K71:K78)</f>
        <v>3</v>
      </c>
      <c r="L79" s="171">
        <f t="shared" ref="L79:P79" si="57">SUM(L71:L78)</f>
        <v>0</v>
      </c>
      <c r="M79" s="169">
        <f t="shared" si="57"/>
        <v>6277</v>
      </c>
      <c r="N79" s="169">
        <f t="shared" si="57"/>
        <v>0</v>
      </c>
      <c r="O79" s="169">
        <f t="shared" si="57"/>
        <v>0</v>
      </c>
      <c r="P79" s="169">
        <f t="shared" si="57"/>
        <v>6277</v>
      </c>
      <c r="Q79" s="190"/>
      <c r="R79" s="169">
        <f>SUM(R71:R78)</f>
        <v>6847</v>
      </c>
      <c r="S79" s="188"/>
      <c r="T79" s="172">
        <f>SUM(T71:T78)</f>
        <v>18</v>
      </c>
      <c r="U79" s="172">
        <f t="shared" ref="U79:AF79" si="58">SUM(U71:U78)</f>
        <v>0</v>
      </c>
      <c r="V79" s="172">
        <f t="shared" si="58"/>
        <v>2</v>
      </c>
      <c r="W79" s="172">
        <f t="shared" si="58"/>
        <v>1</v>
      </c>
      <c r="X79" s="172">
        <f t="shared" si="58"/>
        <v>0</v>
      </c>
      <c r="Y79" s="172">
        <f t="shared" si="58"/>
        <v>0</v>
      </c>
      <c r="Z79" s="172">
        <f t="shared" si="58"/>
        <v>0</v>
      </c>
      <c r="AA79" s="172">
        <f t="shared" si="58"/>
        <v>0</v>
      </c>
      <c r="AB79" s="172">
        <f t="shared" si="58"/>
        <v>0</v>
      </c>
      <c r="AC79" s="172">
        <f t="shared" si="58"/>
        <v>1</v>
      </c>
      <c r="AD79" s="172">
        <f t="shared" si="58"/>
        <v>0</v>
      </c>
      <c r="AE79" s="172">
        <f t="shared" si="58"/>
        <v>0</v>
      </c>
      <c r="AF79" s="172">
        <f t="shared" si="58"/>
        <v>0</v>
      </c>
      <c r="AG79" s="172">
        <f>SUM(T79:AF79)</f>
        <v>22</v>
      </c>
      <c r="AH79" s="176"/>
      <c r="AI79" s="4142">
        <f>SUM(AI71:AI78)</f>
        <v>23</v>
      </c>
      <c r="AJ79" s="4143">
        <f>SUM(AJ71:AJ78)</f>
        <v>3</v>
      </c>
    </row>
    <row r="80" spans="1:36" ht="22.2" customHeight="1" x14ac:dyDescent="0.3">
      <c r="B80" s="177" t="s">
        <v>151</v>
      </c>
      <c r="C80" s="192" t="s">
        <v>35</v>
      </c>
      <c r="D80" s="157">
        <v>3</v>
      </c>
      <c r="E80" s="193">
        <v>0</v>
      </c>
      <c r="F80" s="209">
        <f>ROUNDDOWN('CF-0901|2024'!H11,0)</f>
        <v>6379</v>
      </c>
      <c r="G80" s="209">
        <f>ROUNDDOWN('CF-0901|2024'!H12,0)</f>
        <v>1411</v>
      </c>
      <c r="H80" s="148"/>
      <c r="I80" s="207">
        <f>F80-G80</f>
        <v>4968</v>
      </c>
      <c r="J80" s="185"/>
      <c r="K80" s="151">
        <v>50</v>
      </c>
      <c r="L80" s="151">
        <v>0</v>
      </c>
      <c r="M80" s="152">
        <f>ROUNDDOWN('CF-0901|2024'!N11,0)</f>
        <v>33165</v>
      </c>
      <c r="N80" s="152">
        <f>ROUNDDOWN('CF-0901|2024'!N12,0)</f>
        <v>0</v>
      </c>
      <c r="O80" s="152"/>
      <c r="P80" s="152">
        <f>M80-N80</f>
        <v>33165</v>
      </c>
      <c r="Q80" s="63"/>
      <c r="R80" s="152">
        <f>P80+I80</f>
        <v>38133</v>
      </c>
      <c r="S80" s="188"/>
      <c r="T80" s="392">
        <v>3</v>
      </c>
      <c r="U80" s="392">
        <f>47+3</f>
        <v>50</v>
      </c>
      <c r="V80" s="569"/>
      <c r="W80" s="564"/>
      <c r="X80" s="564"/>
      <c r="Y80" s="564"/>
      <c r="Z80" s="564"/>
      <c r="AA80" s="564"/>
      <c r="AB80" s="564"/>
      <c r="AC80" s="564"/>
      <c r="AD80" s="564"/>
      <c r="AE80" s="564"/>
      <c r="AF80" s="564"/>
      <c r="AG80" s="153">
        <f>SUM(T80:AE80)</f>
        <v>53</v>
      </c>
      <c r="AH80" s="176"/>
      <c r="AI80" s="4150">
        <v>5</v>
      </c>
      <c r="AJ80" s="4151">
        <f>IF(R80&gt;0,1,0)</f>
        <v>1</v>
      </c>
    </row>
    <row r="81" spans="2:36" ht="22.2" customHeight="1" x14ac:dyDescent="0.3">
      <c r="B81" s="4128" t="s">
        <v>278</v>
      </c>
      <c r="C81" s="192" t="s">
        <v>35</v>
      </c>
      <c r="D81" s="157">
        <v>0</v>
      </c>
      <c r="E81" s="193">
        <v>1</v>
      </c>
      <c r="F81" s="209">
        <f>ROUNDDOWN('CF-0902|2024'!E11,0)</f>
        <v>97</v>
      </c>
      <c r="G81" s="209">
        <f>ROUNDDOWN('CF-0902|2024'!E12,0)</f>
        <v>0</v>
      </c>
      <c r="H81" s="148"/>
      <c r="I81" s="212">
        <f>F81-G81</f>
        <v>97</v>
      </c>
      <c r="J81" s="185"/>
      <c r="K81" s="151">
        <v>0</v>
      </c>
      <c r="L81" s="151">
        <v>10</v>
      </c>
      <c r="M81" s="152">
        <f>ROUNDDOWN('CF-0902|2024'!L11,0)</f>
        <v>33591</v>
      </c>
      <c r="N81" s="152">
        <f>ROUNDDOWN('CF-0902|2024'!L12,0)</f>
        <v>0</v>
      </c>
      <c r="O81" s="152"/>
      <c r="P81" s="152">
        <f>M81-N81</f>
        <v>33591</v>
      </c>
      <c r="Q81" s="63"/>
      <c r="R81" s="152">
        <f>P81+I81</f>
        <v>33688</v>
      </c>
      <c r="S81" s="188"/>
      <c r="T81" s="564"/>
      <c r="U81" s="1294">
        <v>1</v>
      </c>
      <c r="V81" s="569"/>
      <c r="W81" s="564"/>
      <c r="X81" s="1294">
        <v>9</v>
      </c>
      <c r="Y81" s="564"/>
      <c r="Z81" s="564"/>
      <c r="AA81" s="564"/>
      <c r="AB81" s="1294">
        <v>1</v>
      </c>
      <c r="AC81" s="564"/>
      <c r="AD81" s="564"/>
      <c r="AE81" s="564"/>
      <c r="AF81" s="564"/>
      <c r="AG81" s="153">
        <f>SUM(T81:AE81)</f>
        <v>11</v>
      </c>
      <c r="AH81" s="176"/>
      <c r="AI81" s="4141">
        <v>1</v>
      </c>
      <c r="AJ81" s="4140">
        <f>IF(R81&gt;0,1,0)</f>
        <v>1</v>
      </c>
    </row>
    <row r="82" spans="2:36" ht="21.75" customHeight="1" x14ac:dyDescent="0.3">
      <c r="B82" s="166" t="s">
        <v>112</v>
      </c>
      <c r="C82" s="167" t="s">
        <v>29</v>
      </c>
      <c r="D82" s="168">
        <f>SUM(D80:D81)</f>
        <v>3</v>
      </c>
      <c r="E82" s="168">
        <f>SUM(E80:E81)</f>
        <v>1</v>
      </c>
      <c r="F82" s="213">
        <f>SUM(F80:F81)</f>
        <v>6476</v>
      </c>
      <c r="G82" s="213">
        <f t="shared" ref="G82:I82" si="59">SUM(G80:G81)</f>
        <v>1411</v>
      </c>
      <c r="H82" s="213">
        <f t="shared" si="59"/>
        <v>0</v>
      </c>
      <c r="I82" s="213">
        <f t="shared" si="59"/>
        <v>5065</v>
      </c>
      <c r="J82" s="170"/>
      <c r="K82" s="171">
        <f>SUM(K80:K81)</f>
        <v>50</v>
      </c>
      <c r="L82" s="171">
        <f>SUM(L80:L81)</f>
        <v>10</v>
      </c>
      <c r="M82" s="169">
        <f>SUM(M80:M81)</f>
        <v>66756</v>
      </c>
      <c r="N82" s="169">
        <f t="shared" ref="N82:P82" si="60">SUM(N80:N81)</f>
        <v>0</v>
      </c>
      <c r="O82" s="169">
        <f t="shared" si="60"/>
        <v>0</v>
      </c>
      <c r="P82" s="169">
        <f t="shared" si="60"/>
        <v>66756</v>
      </c>
      <c r="Q82" s="190"/>
      <c r="R82" s="169">
        <f>SUM(R80:R81)</f>
        <v>71821</v>
      </c>
      <c r="S82" s="188"/>
      <c r="T82" s="172">
        <f>SUM(T80:T81)</f>
        <v>3</v>
      </c>
      <c r="U82" s="172">
        <f t="shared" ref="U82:AF82" si="61">SUM(U80:U81)</f>
        <v>51</v>
      </c>
      <c r="V82" s="172">
        <f t="shared" si="61"/>
        <v>0</v>
      </c>
      <c r="W82" s="172">
        <f t="shared" si="61"/>
        <v>0</v>
      </c>
      <c r="X82" s="172">
        <f t="shared" si="61"/>
        <v>9</v>
      </c>
      <c r="Y82" s="172">
        <f t="shared" si="61"/>
        <v>0</v>
      </c>
      <c r="Z82" s="172">
        <f t="shared" si="61"/>
        <v>0</v>
      </c>
      <c r="AA82" s="172">
        <f t="shared" si="61"/>
        <v>0</v>
      </c>
      <c r="AB82" s="172">
        <f t="shared" si="61"/>
        <v>1</v>
      </c>
      <c r="AC82" s="172">
        <f t="shared" si="61"/>
        <v>0</v>
      </c>
      <c r="AD82" s="172">
        <f t="shared" si="61"/>
        <v>0</v>
      </c>
      <c r="AE82" s="172">
        <f t="shared" si="61"/>
        <v>0</v>
      </c>
      <c r="AF82" s="172">
        <f t="shared" si="61"/>
        <v>0</v>
      </c>
      <c r="AG82" s="172">
        <f>SUM(T82:AF82)</f>
        <v>64</v>
      </c>
      <c r="AH82" s="176"/>
      <c r="AI82" s="4142">
        <f>SUM(AI80:AI81)</f>
        <v>6</v>
      </c>
      <c r="AJ82" s="4143">
        <f>SUM(AJ80:AJ81)</f>
        <v>2</v>
      </c>
    </row>
    <row r="83" spans="2:36" ht="27" customHeight="1" x14ac:dyDescent="0.3">
      <c r="B83" s="177" t="s">
        <v>269</v>
      </c>
      <c r="C83" s="397" t="s">
        <v>268</v>
      </c>
      <c r="D83" s="398">
        <v>0</v>
      </c>
      <c r="E83" s="399">
        <v>3</v>
      </c>
      <c r="F83" s="209">
        <f>ROUNDDOWN('CF-1002|2024'!E11,0)</f>
        <v>7883</v>
      </c>
      <c r="G83" s="209">
        <f>ROUNDDOWN('CF-1002|2024'!E12,0)</f>
        <v>202</v>
      </c>
      <c r="H83" s="63"/>
      <c r="I83" s="211">
        <f>F83-G83</f>
        <v>7681</v>
      </c>
      <c r="J83" s="170"/>
      <c r="K83" s="151">
        <v>17</v>
      </c>
      <c r="L83" s="151">
        <v>0</v>
      </c>
      <c r="M83" s="152">
        <f>ROUNDDOWN('CF-1002|2024'!AH11,0)</f>
        <v>56054</v>
      </c>
      <c r="N83" s="152">
        <f>ROUNDDOWN('CF-1002|2024'!AH12,0)</f>
        <v>0</v>
      </c>
      <c r="O83" s="152"/>
      <c r="P83" s="152">
        <f>M83-N83</f>
        <v>56054</v>
      </c>
      <c r="Q83" s="63"/>
      <c r="R83" s="152">
        <f>I83+P83</f>
        <v>63735</v>
      </c>
      <c r="S83" s="188"/>
      <c r="T83" s="4071">
        <v>3</v>
      </c>
      <c r="U83" s="393">
        <v>17</v>
      </c>
      <c r="V83" s="570"/>
      <c r="W83" s="570"/>
      <c r="X83" s="570"/>
      <c r="Y83" s="570"/>
      <c r="Z83" s="570"/>
      <c r="AA83" s="570"/>
      <c r="AB83" s="570"/>
      <c r="AC83" s="563"/>
      <c r="AD83" s="570"/>
      <c r="AE83" s="570"/>
      <c r="AF83" s="570"/>
      <c r="AG83" s="401">
        <f>SUM(T83:AF83)</f>
        <v>20</v>
      </c>
      <c r="AH83" s="176"/>
      <c r="AI83" s="4152">
        <v>4</v>
      </c>
      <c r="AJ83" s="4149">
        <v>1</v>
      </c>
    </row>
    <row r="84" spans="2:36" ht="21.75" customHeight="1" x14ac:dyDescent="0.3">
      <c r="B84" s="166" t="s">
        <v>112</v>
      </c>
      <c r="C84" s="167" t="s">
        <v>29</v>
      </c>
      <c r="D84" s="168">
        <f t="shared" ref="D84:I84" si="62">SUM(D83)</f>
        <v>0</v>
      </c>
      <c r="E84" s="168">
        <f t="shared" si="62"/>
        <v>3</v>
      </c>
      <c r="F84" s="213">
        <f t="shared" si="62"/>
        <v>7883</v>
      </c>
      <c r="G84" s="214">
        <f t="shared" si="62"/>
        <v>202</v>
      </c>
      <c r="H84" s="215">
        <f t="shared" si="62"/>
        <v>0</v>
      </c>
      <c r="I84" s="216">
        <f t="shared" si="62"/>
        <v>7681</v>
      </c>
      <c r="J84" s="170"/>
      <c r="K84" s="171">
        <f t="shared" ref="K84:P84" si="63">SUM(K83)</f>
        <v>17</v>
      </c>
      <c r="L84" s="171">
        <f t="shared" si="63"/>
        <v>0</v>
      </c>
      <c r="M84" s="169">
        <f t="shared" si="63"/>
        <v>56054</v>
      </c>
      <c r="N84" s="169">
        <f t="shared" si="63"/>
        <v>0</v>
      </c>
      <c r="O84" s="169">
        <f t="shared" si="63"/>
        <v>0</v>
      </c>
      <c r="P84" s="169">
        <f t="shared" si="63"/>
        <v>56054</v>
      </c>
      <c r="Q84" s="190"/>
      <c r="R84" s="169">
        <f>SUM(R83)</f>
        <v>63735</v>
      </c>
      <c r="S84" s="188"/>
      <c r="T84" s="172">
        <f>SUM(T83)</f>
        <v>3</v>
      </c>
      <c r="U84" s="172">
        <f t="shared" ref="U84:AG84" si="64">SUM(U83)</f>
        <v>17</v>
      </c>
      <c r="V84" s="172">
        <f t="shared" si="64"/>
        <v>0</v>
      </c>
      <c r="W84" s="172">
        <f t="shared" si="64"/>
        <v>0</v>
      </c>
      <c r="X84" s="172">
        <f t="shared" si="64"/>
        <v>0</v>
      </c>
      <c r="Y84" s="172">
        <f t="shared" si="64"/>
        <v>0</v>
      </c>
      <c r="Z84" s="172">
        <f t="shared" si="64"/>
        <v>0</v>
      </c>
      <c r="AA84" s="172">
        <f t="shared" si="64"/>
        <v>0</v>
      </c>
      <c r="AB84" s="172">
        <f t="shared" si="64"/>
        <v>0</v>
      </c>
      <c r="AC84" s="172">
        <f t="shared" si="64"/>
        <v>0</v>
      </c>
      <c r="AD84" s="172">
        <f t="shared" si="64"/>
        <v>0</v>
      </c>
      <c r="AE84" s="172">
        <f t="shared" si="64"/>
        <v>0</v>
      </c>
      <c r="AF84" s="172">
        <f t="shared" si="64"/>
        <v>0</v>
      </c>
      <c r="AG84" s="172">
        <f t="shared" si="64"/>
        <v>20</v>
      </c>
      <c r="AH84" s="176"/>
      <c r="AI84" s="4142">
        <f>SUM(AI83)</f>
        <v>4</v>
      </c>
      <c r="AJ84" s="4143">
        <f>SUM(AJ83)</f>
        <v>1</v>
      </c>
    </row>
    <row r="85" spans="2:36" ht="21.75" customHeight="1" x14ac:dyDescent="0.3">
      <c r="B85" s="177" t="s">
        <v>152</v>
      </c>
      <c r="C85" s="192" t="s">
        <v>36</v>
      </c>
      <c r="D85" s="144">
        <v>11</v>
      </c>
      <c r="E85" s="206">
        <v>0</v>
      </c>
      <c r="F85" s="209">
        <f>ROUNDDOWN('CF-1201|2024'!G11,0)</f>
        <v>153</v>
      </c>
      <c r="G85" s="209">
        <f>ROUNDDOWN('CF-1201|2024'!G12,0)</f>
        <v>4</v>
      </c>
      <c r="H85" s="148"/>
      <c r="I85" s="211">
        <f t="shared" ref="I85:I89" si="65">F85-G85</f>
        <v>149</v>
      </c>
      <c r="J85" s="185"/>
      <c r="K85" s="151">
        <v>5</v>
      </c>
      <c r="L85" s="151">
        <v>0</v>
      </c>
      <c r="M85" s="152">
        <f>ROUNDDOWN('CF-1201|2024'!L11,0)</f>
        <v>2506</v>
      </c>
      <c r="N85" s="152">
        <f>ROUNDDOWN('CF-1201|2024'!L12,0)</f>
        <v>0</v>
      </c>
      <c r="O85" s="152"/>
      <c r="P85" s="152">
        <f t="shared" ref="P85:P90" si="66">M85-N85</f>
        <v>2506</v>
      </c>
      <c r="Q85" s="63"/>
      <c r="R85" s="152">
        <f t="shared" ref="R85:R97" si="67">I85+P85</f>
        <v>2655</v>
      </c>
      <c r="S85" s="188"/>
      <c r="T85" s="392">
        <v>9</v>
      </c>
      <c r="U85" s="392">
        <v>5</v>
      </c>
      <c r="V85" s="564"/>
      <c r="W85" s="564"/>
      <c r="X85" s="564"/>
      <c r="Y85" s="564"/>
      <c r="Z85" s="392">
        <v>1</v>
      </c>
      <c r="AA85" s="564"/>
      <c r="AB85" s="564"/>
      <c r="AC85" s="392">
        <v>1</v>
      </c>
      <c r="AD85" s="564"/>
      <c r="AE85" s="564"/>
      <c r="AF85" s="564"/>
      <c r="AG85" s="153">
        <f>SUM(T85:AE85)</f>
        <v>16</v>
      </c>
      <c r="AH85" s="176"/>
      <c r="AI85" s="4134">
        <v>11</v>
      </c>
      <c r="AJ85" s="4140">
        <f t="shared" ref="AJ85:AJ91" si="68">IF(R85&gt;0,1,0)</f>
        <v>1</v>
      </c>
    </row>
    <row r="86" spans="2:36" ht="21.75" customHeight="1" x14ac:dyDescent="0.3">
      <c r="B86" s="177" t="s">
        <v>153</v>
      </c>
      <c r="C86" s="192" t="s">
        <v>36</v>
      </c>
      <c r="D86" s="157">
        <v>3</v>
      </c>
      <c r="E86" s="193">
        <v>0</v>
      </c>
      <c r="F86" s="209">
        <f>ROUNDDOWN('CF-1202|2024'!G11,0)</f>
        <v>776</v>
      </c>
      <c r="G86" s="209">
        <f>ROUNDDOWN('CF-1202|2024'!G12,0)</f>
        <v>220</v>
      </c>
      <c r="H86" s="148"/>
      <c r="I86" s="211">
        <f t="shared" si="65"/>
        <v>556</v>
      </c>
      <c r="J86" s="185"/>
      <c r="K86" s="151">
        <v>0</v>
      </c>
      <c r="L86" s="151">
        <v>0</v>
      </c>
      <c r="M86" s="152">
        <v>0</v>
      </c>
      <c r="N86" s="152">
        <v>0</v>
      </c>
      <c r="O86" s="152"/>
      <c r="P86" s="152">
        <f t="shared" si="66"/>
        <v>0</v>
      </c>
      <c r="Q86" s="63"/>
      <c r="R86" s="152">
        <f t="shared" si="67"/>
        <v>556</v>
      </c>
      <c r="S86" s="188"/>
      <c r="T86" s="564"/>
      <c r="U86" s="564"/>
      <c r="V86" s="564"/>
      <c r="W86" s="564"/>
      <c r="X86" s="564"/>
      <c r="Y86" s="564"/>
      <c r="Z86" s="392">
        <v>1</v>
      </c>
      <c r="AA86" s="564"/>
      <c r="AB86" s="564"/>
      <c r="AC86" s="392">
        <v>1</v>
      </c>
      <c r="AD86" s="392">
        <v>1</v>
      </c>
      <c r="AE86" s="564"/>
      <c r="AF86" s="564"/>
      <c r="AG86" s="153">
        <f t="shared" ref="AG86:AG91" si="69">SUM(T86:AE86)</f>
        <v>3</v>
      </c>
      <c r="AH86" s="176"/>
      <c r="AI86" s="4134">
        <v>2</v>
      </c>
      <c r="AJ86" s="4140">
        <f t="shared" si="68"/>
        <v>1</v>
      </c>
    </row>
    <row r="87" spans="2:36" ht="21.75" customHeight="1" x14ac:dyDescent="0.3">
      <c r="B87" s="177" t="s">
        <v>154</v>
      </c>
      <c r="C87" s="192" t="s">
        <v>36</v>
      </c>
      <c r="D87" s="157">
        <v>3</v>
      </c>
      <c r="E87" s="193">
        <v>0</v>
      </c>
      <c r="F87" s="209">
        <f>ROUNDDOWN('CF-1203|2024'!G11,0)</f>
        <v>75</v>
      </c>
      <c r="G87" s="209">
        <f>ROUNDDOWN('CF-1203|2024'!G12,0)</f>
        <v>10</v>
      </c>
      <c r="H87" s="148"/>
      <c r="I87" s="211">
        <f t="shared" si="65"/>
        <v>65</v>
      </c>
      <c r="J87" s="185"/>
      <c r="K87" s="151">
        <v>0</v>
      </c>
      <c r="L87" s="151">
        <v>0</v>
      </c>
      <c r="M87" s="152">
        <v>0</v>
      </c>
      <c r="N87" s="152">
        <v>0</v>
      </c>
      <c r="O87" s="152"/>
      <c r="P87" s="152">
        <f t="shared" si="66"/>
        <v>0</v>
      </c>
      <c r="Q87" s="63"/>
      <c r="R87" s="152">
        <f t="shared" si="67"/>
        <v>65</v>
      </c>
      <c r="S87" s="188"/>
      <c r="T87" s="564"/>
      <c r="U87" s="564"/>
      <c r="V87" s="564"/>
      <c r="W87" s="564"/>
      <c r="X87" s="564"/>
      <c r="Y87" s="564"/>
      <c r="Z87" s="392">
        <v>1</v>
      </c>
      <c r="AA87" s="564"/>
      <c r="AB87" s="392">
        <v>1</v>
      </c>
      <c r="AC87" s="392">
        <v>1</v>
      </c>
      <c r="AD87" s="564"/>
      <c r="AE87" s="564"/>
      <c r="AF87" s="564"/>
      <c r="AG87" s="153">
        <f t="shared" si="69"/>
        <v>3</v>
      </c>
      <c r="AH87" s="176"/>
      <c r="AI87" s="4134">
        <v>7</v>
      </c>
      <c r="AJ87" s="4140">
        <f t="shared" si="68"/>
        <v>1</v>
      </c>
    </row>
    <row r="88" spans="2:36" ht="21.75" customHeight="1" x14ac:dyDescent="0.3">
      <c r="B88" s="177" t="s">
        <v>155</v>
      </c>
      <c r="C88" s="192" t="s">
        <v>36</v>
      </c>
      <c r="D88" s="157">
        <v>14</v>
      </c>
      <c r="E88" s="193">
        <v>0</v>
      </c>
      <c r="F88" s="209">
        <f>ROUNDDOWN('CF-1204|2024'!K11,0)</f>
        <v>12236</v>
      </c>
      <c r="G88" s="209">
        <f>ROUNDDOWN('CF-1204|2024'!K12,0)</f>
        <v>5405</v>
      </c>
      <c r="H88" s="148"/>
      <c r="I88" s="211">
        <f t="shared" si="65"/>
        <v>6831</v>
      </c>
      <c r="J88" s="185"/>
      <c r="K88" s="151">
        <v>0</v>
      </c>
      <c r="L88" s="151">
        <v>0</v>
      </c>
      <c r="M88" s="152">
        <v>0</v>
      </c>
      <c r="N88" s="152">
        <v>0</v>
      </c>
      <c r="O88" s="152"/>
      <c r="P88" s="152">
        <f t="shared" si="66"/>
        <v>0</v>
      </c>
      <c r="Q88" s="63"/>
      <c r="R88" s="152">
        <f t="shared" si="67"/>
        <v>6831</v>
      </c>
      <c r="S88" s="188"/>
      <c r="T88" s="564"/>
      <c r="U88" s="564"/>
      <c r="V88" s="564"/>
      <c r="W88" s="564"/>
      <c r="X88" s="564"/>
      <c r="Y88" s="564"/>
      <c r="Z88" s="564"/>
      <c r="AA88" s="564"/>
      <c r="AB88" s="392">
        <v>3</v>
      </c>
      <c r="AC88" s="392">
        <v>11</v>
      </c>
      <c r="AD88" s="564"/>
      <c r="AE88" s="564"/>
      <c r="AF88" s="564"/>
      <c r="AG88" s="153">
        <f t="shared" si="69"/>
        <v>14</v>
      </c>
      <c r="AH88" s="176"/>
      <c r="AI88" s="4134">
        <v>10</v>
      </c>
      <c r="AJ88" s="4140">
        <f t="shared" si="68"/>
        <v>1</v>
      </c>
    </row>
    <row r="89" spans="2:36" ht="21.75" customHeight="1" x14ac:dyDescent="0.3">
      <c r="B89" s="177" t="s">
        <v>156</v>
      </c>
      <c r="C89" s="192" t="s">
        <v>36</v>
      </c>
      <c r="D89" s="157">
        <v>2</v>
      </c>
      <c r="E89" s="193">
        <v>0</v>
      </c>
      <c r="F89" s="209">
        <f>ROUNDDOWN('CF-1205|2024'!F11,0)</f>
        <v>818</v>
      </c>
      <c r="G89" s="209">
        <f>ROUNDDOWN('CF-1205|2024'!F12,0)</f>
        <v>247</v>
      </c>
      <c r="H89" s="148"/>
      <c r="I89" s="211">
        <f t="shared" si="65"/>
        <v>571</v>
      </c>
      <c r="J89" s="185"/>
      <c r="K89" s="151">
        <v>0</v>
      </c>
      <c r="L89" s="151">
        <v>0</v>
      </c>
      <c r="M89" s="152">
        <v>0</v>
      </c>
      <c r="N89" s="152">
        <v>0</v>
      </c>
      <c r="O89" s="152"/>
      <c r="P89" s="152">
        <f t="shared" si="66"/>
        <v>0</v>
      </c>
      <c r="Q89" s="63"/>
      <c r="R89" s="152">
        <f t="shared" si="67"/>
        <v>571</v>
      </c>
      <c r="S89" s="188"/>
      <c r="T89" s="564"/>
      <c r="U89" s="564"/>
      <c r="V89" s="564"/>
      <c r="W89" s="564"/>
      <c r="X89" s="564"/>
      <c r="Y89" s="564"/>
      <c r="Z89" s="564"/>
      <c r="AA89" s="564"/>
      <c r="AB89" s="392">
        <v>2</v>
      </c>
      <c r="AC89" s="564"/>
      <c r="AD89" s="564"/>
      <c r="AE89" s="564"/>
      <c r="AF89" s="564"/>
      <c r="AG89" s="153">
        <f t="shared" si="69"/>
        <v>2</v>
      </c>
      <c r="AH89" s="176"/>
      <c r="AI89" s="4134">
        <v>36</v>
      </c>
      <c r="AJ89" s="4140">
        <f t="shared" si="68"/>
        <v>1</v>
      </c>
    </row>
    <row r="90" spans="2:36" ht="21.75" customHeight="1" x14ac:dyDescent="0.3">
      <c r="B90" s="4127" t="s">
        <v>157</v>
      </c>
      <c r="C90" s="192" t="s">
        <v>36</v>
      </c>
      <c r="D90" s="157">
        <v>0</v>
      </c>
      <c r="E90" s="193">
        <v>0</v>
      </c>
      <c r="F90" s="209">
        <v>0</v>
      </c>
      <c r="G90" s="209">
        <v>0</v>
      </c>
      <c r="H90" s="186">
        <v>0</v>
      </c>
      <c r="I90" s="187">
        <v>0</v>
      </c>
      <c r="J90" s="105"/>
      <c r="K90" s="151">
        <v>0</v>
      </c>
      <c r="L90" s="151">
        <v>0</v>
      </c>
      <c r="M90" s="152">
        <v>0</v>
      </c>
      <c r="N90" s="152">
        <v>0</v>
      </c>
      <c r="O90" s="152">
        <v>0</v>
      </c>
      <c r="P90" s="152">
        <f t="shared" si="66"/>
        <v>0</v>
      </c>
      <c r="Q90" s="63"/>
      <c r="R90" s="152">
        <f t="shared" si="67"/>
        <v>0</v>
      </c>
      <c r="S90" s="188"/>
      <c r="T90" s="564"/>
      <c r="U90" s="564"/>
      <c r="V90" s="564"/>
      <c r="W90" s="564"/>
      <c r="X90" s="564"/>
      <c r="Y90" s="564"/>
      <c r="Z90" s="564"/>
      <c r="AA90" s="564"/>
      <c r="AB90" s="564"/>
      <c r="AC90" s="684">
        <v>0</v>
      </c>
      <c r="AD90" s="564"/>
      <c r="AE90" s="564"/>
      <c r="AF90" s="564"/>
      <c r="AG90" s="153">
        <f t="shared" si="69"/>
        <v>0</v>
      </c>
      <c r="AH90" s="176"/>
      <c r="AI90" s="4137">
        <v>0</v>
      </c>
      <c r="AJ90" s="160">
        <f t="shared" si="68"/>
        <v>0</v>
      </c>
    </row>
    <row r="91" spans="2:36" ht="21.75" customHeight="1" x14ac:dyDescent="0.3">
      <c r="B91" s="4128" t="s">
        <v>275</v>
      </c>
      <c r="C91" s="192" t="s">
        <v>36</v>
      </c>
      <c r="D91" s="165">
        <v>0</v>
      </c>
      <c r="E91" s="217">
        <v>0</v>
      </c>
      <c r="F91" s="209">
        <v>0</v>
      </c>
      <c r="G91" s="209">
        <v>0</v>
      </c>
      <c r="H91" s="186">
        <v>0</v>
      </c>
      <c r="I91" s="187">
        <v>0</v>
      </c>
      <c r="J91" s="105"/>
      <c r="K91" s="151">
        <v>0</v>
      </c>
      <c r="L91" s="151">
        <v>1</v>
      </c>
      <c r="M91" s="152">
        <f>ROUNDDOWN('CF-1207|2024'!E11,0)</f>
        <v>536</v>
      </c>
      <c r="N91" s="152">
        <f>ROUNDDOWN('CF-1207|2024'!E12,0)</f>
        <v>0</v>
      </c>
      <c r="O91" s="152">
        <v>0</v>
      </c>
      <c r="P91" s="152">
        <f t="shared" ref="P91" si="70">M91-N91</f>
        <v>536</v>
      </c>
      <c r="Q91" s="63"/>
      <c r="R91" s="152">
        <f t="shared" ref="R91" si="71">I91+P91</f>
        <v>536</v>
      </c>
      <c r="S91" s="188"/>
      <c r="T91" s="564"/>
      <c r="U91" s="564"/>
      <c r="V91" s="1294">
        <v>1</v>
      </c>
      <c r="W91" s="564"/>
      <c r="X91" s="564"/>
      <c r="Y91" s="564"/>
      <c r="Z91" s="564"/>
      <c r="AA91" s="564"/>
      <c r="AB91" s="564"/>
      <c r="AC91" s="564"/>
      <c r="AD91" s="564"/>
      <c r="AE91" s="564"/>
      <c r="AF91" s="564"/>
      <c r="AG91" s="153">
        <f t="shared" si="69"/>
        <v>1</v>
      </c>
      <c r="AH91" s="176"/>
      <c r="AI91" s="4141">
        <v>1</v>
      </c>
      <c r="AJ91" s="4140">
        <f t="shared" si="68"/>
        <v>1</v>
      </c>
    </row>
    <row r="92" spans="2:36" ht="21.75" customHeight="1" x14ac:dyDescent="0.3">
      <c r="B92" s="166" t="s">
        <v>112</v>
      </c>
      <c r="C92" s="167" t="s">
        <v>29</v>
      </c>
      <c r="D92" s="168">
        <f>SUM(D85:D91)</f>
        <v>33</v>
      </c>
      <c r="E92" s="168">
        <f>SUM(E85:E91)</f>
        <v>0</v>
      </c>
      <c r="F92" s="169">
        <f>SUM(F85:F91)</f>
        <v>14058</v>
      </c>
      <c r="G92" s="169">
        <f t="shared" ref="G92:I92" si="72">SUM(G85:G91)</f>
        <v>5886</v>
      </c>
      <c r="H92" s="169">
        <f t="shared" si="72"/>
        <v>0</v>
      </c>
      <c r="I92" s="169">
        <f t="shared" si="72"/>
        <v>8172</v>
      </c>
      <c r="J92" s="170"/>
      <c r="K92" s="171">
        <f>SUM(K85:K91)</f>
        <v>5</v>
      </c>
      <c r="L92" s="171">
        <f>SUM(L85:L91)</f>
        <v>1</v>
      </c>
      <c r="M92" s="169">
        <f>SUM(M85:M91)</f>
        <v>3042</v>
      </c>
      <c r="N92" s="169">
        <f t="shared" ref="N92:P92" si="73">SUM(N85:N91)</f>
        <v>0</v>
      </c>
      <c r="O92" s="169">
        <f t="shared" si="73"/>
        <v>0</v>
      </c>
      <c r="P92" s="169">
        <f t="shared" si="73"/>
        <v>3042</v>
      </c>
      <c r="Q92" s="190"/>
      <c r="R92" s="169">
        <f>SUM(R85:R91)</f>
        <v>11214</v>
      </c>
      <c r="S92" s="188"/>
      <c r="T92" s="172">
        <f>SUM(T85:T91)</f>
        <v>9</v>
      </c>
      <c r="U92" s="172">
        <f t="shared" ref="U92:AF92" si="74">SUM(U85:U91)</f>
        <v>5</v>
      </c>
      <c r="V92" s="172">
        <f t="shared" si="74"/>
        <v>1</v>
      </c>
      <c r="W92" s="172">
        <f t="shared" si="74"/>
        <v>0</v>
      </c>
      <c r="X92" s="172">
        <f t="shared" si="74"/>
        <v>0</v>
      </c>
      <c r="Y92" s="172">
        <f t="shared" si="74"/>
        <v>0</v>
      </c>
      <c r="Z92" s="172">
        <f t="shared" si="74"/>
        <v>3</v>
      </c>
      <c r="AA92" s="172">
        <f t="shared" si="74"/>
        <v>0</v>
      </c>
      <c r="AB92" s="172">
        <f t="shared" si="74"/>
        <v>6</v>
      </c>
      <c r="AC92" s="172">
        <f t="shared" si="74"/>
        <v>14</v>
      </c>
      <c r="AD92" s="172">
        <f t="shared" si="74"/>
        <v>1</v>
      </c>
      <c r="AE92" s="172">
        <f t="shared" si="74"/>
        <v>0</v>
      </c>
      <c r="AF92" s="172">
        <f t="shared" si="74"/>
        <v>0</v>
      </c>
      <c r="AG92" s="172">
        <f>SUM(T92:AF92)</f>
        <v>39</v>
      </c>
      <c r="AH92" s="176"/>
      <c r="AI92" s="4142">
        <f>SUM(AI85:AI91)</f>
        <v>67</v>
      </c>
      <c r="AJ92" s="4143">
        <f>SUM(AJ85:AJ91)</f>
        <v>6</v>
      </c>
    </row>
    <row r="93" spans="2:36" ht="21.75" customHeight="1" x14ac:dyDescent="0.3">
      <c r="B93" s="4128" t="s">
        <v>1725</v>
      </c>
      <c r="C93" s="192" t="s">
        <v>1726</v>
      </c>
      <c r="D93" s="3542">
        <v>0</v>
      </c>
      <c r="E93" s="399">
        <v>7</v>
      </c>
      <c r="F93" s="3543">
        <f>ROUNDDOWN('CF-1301|2024'!P11,0)</f>
        <v>3046</v>
      </c>
      <c r="G93" s="3543">
        <f>ROUNDDOWN('CF-1301|2024'!P12,0)</f>
        <v>1325</v>
      </c>
      <c r="H93" s="63"/>
      <c r="I93" s="187">
        <f>F93-G93</f>
        <v>1721</v>
      </c>
      <c r="J93" s="185"/>
      <c r="K93" s="151">
        <v>0</v>
      </c>
      <c r="L93" s="151">
        <v>0</v>
      </c>
      <c r="M93" s="152">
        <v>0</v>
      </c>
      <c r="N93" s="152">
        <v>0</v>
      </c>
      <c r="O93" s="152"/>
      <c r="P93" s="152">
        <v>0</v>
      </c>
      <c r="Q93" s="63"/>
      <c r="R93" s="152">
        <f>I93+P93</f>
        <v>1721</v>
      </c>
      <c r="S93" s="188"/>
      <c r="T93" s="570"/>
      <c r="U93" s="570"/>
      <c r="V93" s="570"/>
      <c r="W93" s="570"/>
      <c r="X93" s="570"/>
      <c r="Y93" s="570"/>
      <c r="Z93" s="570"/>
      <c r="AA93" s="570"/>
      <c r="AB93" s="4121">
        <v>7</v>
      </c>
      <c r="AC93" s="570"/>
      <c r="AD93" s="570"/>
      <c r="AE93" s="570"/>
      <c r="AF93" s="570"/>
      <c r="AG93" s="401">
        <f>SUM(T93:AF93)</f>
        <v>7</v>
      </c>
      <c r="AH93" s="176"/>
      <c r="AI93" s="4152">
        <v>7</v>
      </c>
      <c r="AJ93" s="4149">
        <f>IF(R93&gt;0,1,0)</f>
        <v>1</v>
      </c>
    </row>
    <row r="94" spans="2:36" ht="21.75" customHeight="1" x14ac:dyDescent="0.3">
      <c r="B94" s="166" t="s">
        <v>112</v>
      </c>
      <c r="C94" s="167" t="s">
        <v>29</v>
      </c>
      <c r="D94" s="168">
        <f>SUM(D93)</f>
        <v>0</v>
      </c>
      <c r="E94" s="168">
        <f t="shared" ref="E94:I94" si="75">SUM(E93)</f>
        <v>7</v>
      </c>
      <c r="F94" s="219">
        <f t="shared" si="75"/>
        <v>3046</v>
      </c>
      <c r="G94" s="219">
        <f t="shared" si="75"/>
        <v>1325</v>
      </c>
      <c r="H94" s="219">
        <f t="shared" si="75"/>
        <v>0</v>
      </c>
      <c r="I94" s="219">
        <f t="shared" si="75"/>
        <v>1721</v>
      </c>
      <c r="J94" s="170"/>
      <c r="K94" s="171">
        <f>SUM(K93)</f>
        <v>0</v>
      </c>
      <c r="L94" s="171">
        <f t="shared" ref="L94:P94" si="76">SUM(L93)</f>
        <v>0</v>
      </c>
      <c r="M94" s="169">
        <f t="shared" si="76"/>
        <v>0</v>
      </c>
      <c r="N94" s="169">
        <f t="shared" si="76"/>
        <v>0</v>
      </c>
      <c r="O94" s="169">
        <f t="shared" si="76"/>
        <v>0</v>
      </c>
      <c r="P94" s="169">
        <f t="shared" si="76"/>
        <v>0</v>
      </c>
      <c r="Q94" s="190"/>
      <c r="R94" s="169">
        <f>SUM(R93)</f>
        <v>1721</v>
      </c>
      <c r="S94" s="188"/>
      <c r="T94" s="172">
        <f>SUM(T93)</f>
        <v>0</v>
      </c>
      <c r="U94" s="172">
        <f t="shared" ref="U94:AF94" si="77">SUM(U93)</f>
        <v>0</v>
      </c>
      <c r="V94" s="172">
        <f t="shared" si="77"/>
        <v>0</v>
      </c>
      <c r="W94" s="172">
        <f t="shared" si="77"/>
        <v>0</v>
      </c>
      <c r="X94" s="172">
        <f t="shared" si="77"/>
        <v>0</v>
      </c>
      <c r="Y94" s="172">
        <f t="shared" si="77"/>
        <v>0</v>
      </c>
      <c r="Z94" s="172">
        <f t="shared" si="77"/>
        <v>0</v>
      </c>
      <c r="AA94" s="172">
        <f t="shared" si="77"/>
        <v>0</v>
      </c>
      <c r="AB94" s="172">
        <f t="shared" si="77"/>
        <v>7</v>
      </c>
      <c r="AC94" s="172">
        <f t="shared" si="77"/>
        <v>0</v>
      </c>
      <c r="AD94" s="172">
        <f t="shared" si="77"/>
        <v>0</v>
      </c>
      <c r="AE94" s="172">
        <f t="shared" si="77"/>
        <v>0</v>
      </c>
      <c r="AF94" s="172">
        <f t="shared" si="77"/>
        <v>0</v>
      </c>
      <c r="AG94" s="172">
        <f>SUM(T94:AF94)</f>
        <v>7</v>
      </c>
      <c r="AH94" s="176"/>
      <c r="AI94" s="4142">
        <f>SUM(AI93)</f>
        <v>7</v>
      </c>
      <c r="AJ94" s="4143">
        <f>SUM(AJ93)</f>
        <v>1</v>
      </c>
    </row>
    <row r="95" spans="2:36" ht="21.75" customHeight="1" x14ac:dyDescent="0.3">
      <c r="B95" s="4127" t="s">
        <v>158</v>
      </c>
      <c r="C95" s="192" t="s">
        <v>37</v>
      </c>
      <c r="D95" s="157">
        <v>0</v>
      </c>
      <c r="E95" s="193">
        <v>0</v>
      </c>
      <c r="F95" s="209">
        <v>0</v>
      </c>
      <c r="G95" s="147">
        <v>0</v>
      </c>
      <c r="H95" s="148"/>
      <c r="I95" s="211">
        <v>0</v>
      </c>
      <c r="J95" s="185"/>
      <c r="K95" s="164">
        <v>0</v>
      </c>
      <c r="L95" s="164">
        <v>0</v>
      </c>
      <c r="M95" s="218">
        <v>0</v>
      </c>
      <c r="N95" s="218">
        <v>0</v>
      </c>
      <c r="O95" s="218">
        <v>0</v>
      </c>
      <c r="P95" s="218">
        <v>0</v>
      </c>
      <c r="Q95" s="185"/>
      <c r="R95" s="218">
        <f t="shared" si="67"/>
        <v>0</v>
      </c>
      <c r="S95" s="188"/>
      <c r="T95" s="564"/>
      <c r="U95" s="564"/>
      <c r="V95" s="564"/>
      <c r="W95" s="564">
        <v>0</v>
      </c>
      <c r="X95" s="564"/>
      <c r="Y95" s="564"/>
      <c r="Z95" s="564"/>
      <c r="AA95" s="564"/>
      <c r="AB95" s="564"/>
      <c r="AC95" s="564"/>
      <c r="AD95" s="564"/>
      <c r="AE95" s="564"/>
      <c r="AF95" s="564"/>
      <c r="AG95" s="153">
        <f>SUM(T95:AE95)</f>
        <v>0</v>
      </c>
      <c r="AH95" s="176"/>
      <c r="AI95" s="4137">
        <v>0</v>
      </c>
      <c r="AJ95" s="4068">
        <f>IF(R95&gt;0,1,0)</f>
        <v>0</v>
      </c>
    </row>
    <row r="96" spans="2:36" ht="21.75" customHeight="1" x14ac:dyDescent="0.3">
      <c r="B96" s="4127" t="s">
        <v>159</v>
      </c>
      <c r="C96" s="192" t="s">
        <v>37</v>
      </c>
      <c r="D96" s="157">
        <v>0</v>
      </c>
      <c r="E96" s="193">
        <v>0</v>
      </c>
      <c r="F96" s="63">
        <v>0</v>
      </c>
      <c r="G96" s="186">
        <v>0</v>
      </c>
      <c r="H96" s="148">
        <v>0</v>
      </c>
      <c r="I96" s="152">
        <v>0</v>
      </c>
      <c r="J96" s="105"/>
      <c r="K96" s="164">
        <v>0</v>
      </c>
      <c r="L96" s="164">
        <v>0</v>
      </c>
      <c r="M96" s="218">
        <v>0</v>
      </c>
      <c r="N96" s="218">
        <v>0</v>
      </c>
      <c r="O96" s="218">
        <v>0</v>
      </c>
      <c r="P96" s="218">
        <f t="shared" ref="P96:P97" si="78">M96-N96</f>
        <v>0</v>
      </c>
      <c r="Q96" s="185"/>
      <c r="R96" s="218">
        <f t="shared" si="67"/>
        <v>0</v>
      </c>
      <c r="S96" s="188"/>
      <c r="T96" s="565"/>
      <c r="U96" s="565">
        <v>0</v>
      </c>
      <c r="V96" s="564"/>
      <c r="W96" s="564">
        <v>0</v>
      </c>
      <c r="X96" s="565"/>
      <c r="Y96" s="565"/>
      <c r="Z96" s="565"/>
      <c r="AA96" s="565"/>
      <c r="AB96" s="565"/>
      <c r="AC96" s="564">
        <v>0</v>
      </c>
      <c r="AD96" s="565"/>
      <c r="AE96" s="565"/>
      <c r="AF96" s="565"/>
      <c r="AG96" s="153">
        <f t="shared" ref="AG96:AG97" si="79">SUM(T96:AE96)</f>
        <v>0</v>
      </c>
      <c r="AH96" s="176"/>
      <c r="AI96" s="4137">
        <v>0</v>
      </c>
      <c r="AJ96" s="4068">
        <f>IF(R96&gt;0,1,0)</f>
        <v>0</v>
      </c>
    </row>
    <row r="97" spans="2:36" ht="21.75" customHeight="1" x14ac:dyDescent="0.3">
      <c r="B97" s="4127" t="s">
        <v>160</v>
      </c>
      <c r="C97" s="192" t="s">
        <v>37</v>
      </c>
      <c r="D97" s="157">
        <v>0</v>
      </c>
      <c r="E97" s="193">
        <v>0</v>
      </c>
      <c r="F97" s="63">
        <v>0</v>
      </c>
      <c r="G97" s="186">
        <v>0</v>
      </c>
      <c r="H97" s="148">
        <v>0</v>
      </c>
      <c r="I97" s="152">
        <v>0</v>
      </c>
      <c r="J97" s="105"/>
      <c r="K97" s="164">
        <v>0</v>
      </c>
      <c r="L97" s="164">
        <v>0</v>
      </c>
      <c r="M97" s="218">
        <v>0</v>
      </c>
      <c r="N97" s="218">
        <v>0</v>
      </c>
      <c r="O97" s="218">
        <v>0</v>
      </c>
      <c r="P97" s="218">
        <f t="shared" si="78"/>
        <v>0</v>
      </c>
      <c r="Q97" s="185"/>
      <c r="R97" s="218">
        <f t="shared" si="67"/>
        <v>0</v>
      </c>
      <c r="S97" s="188"/>
      <c r="T97" s="565"/>
      <c r="U97" s="565"/>
      <c r="V97" s="565"/>
      <c r="W97" s="564">
        <v>0</v>
      </c>
      <c r="X97" s="565"/>
      <c r="Y97" s="565"/>
      <c r="Z97" s="565"/>
      <c r="AA97" s="565"/>
      <c r="AB97" s="565"/>
      <c r="AC97" s="564">
        <v>0</v>
      </c>
      <c r="AD97" s="565"/>
      <c r="AE97" s="565"/>
      <c r="AF97" s="565"/>
      <c r="AG97" s="153">
        <f t="shared" si="79"/>
        <v>0</v>
      </c>
      <c r="AH97" s="176"/>
      <c r="AI97" s="4137">
        <v>0</v>
      </c>
      <c r="AJ97" s="4068">
        <f>IF(R97&gt;0,1,0)</f>
        <v>0</v>
      </c>
    </row>
    <row r="98" spans="2:36" ht="21.75" customHeight="1" x14ac:dyDescent="0.3">
      <c r="B98" s="166" t="s">
        <v>112</v>
      </c>
      <c r="C98" s="167" t="s">
        <v>29</v>
      </c>
      <c r="D98" s="168">
        <f>SUM(D95:D97)</f>
        <v>0</v>
      </c>
      <c r="E98" s="168">
        <f t="shared" ref="E98:I98" si="80">SUM(E95:E97)</f>
        <v>0</v>
      </c>
      <c r="F98" s="169">
        <f t="shared" si="80"/>
        <v>0</v>
      </c>
      <c r="G98" s="169">
        <f t="shared" si="80"/>
        <v>0</v>
      </c>
      <c r="H98" s="169">
        <f t="shared" si="80"/>
        <v>0</v>
      </c>
      <c r="I98" s="169">
        <f t="shared" si="80"/>
        <v>0</v>
      </c>
      <c r="J98" s="170"/>
      <c r="K98" s="171">
        <f>SUM(K95:K97)</f>
        <v>0</v>
      </c>
      <c r="L98" s="171">
        <f t="shared" ref="L98:P98" si="81">SUM(L95:L97)</f>
        <v>0</v>
      </c>
      <c r="M98" s="169">
        <f t="shared" si="81"/>
        <v>0</v>
      </c>
      <c r="N98" s="169">
        <f t="shared" si="81"/>
        <v>0</v>
      </c>
      <c r="O98" s="169">
        <f t="shared" si="81"/>
        <v>0</v>
      </c>
      <c r="P98" s="169">
        <f t="shared" si="81"/>
        <v>0</v>
      </c>
      <c r="Q98" s="170"/>
      <c r="R98" s="219">
        <f>SUM(R95:R97)</f>
        <v>0</v>
      </c>
      <c r="S98" s="188"/>
      <c r="T98" s="172">
        <f>SUM(T95:T97)</f>
        <v>0</v>
      </c>
      <c r="U98" s="172">
        <f t="shared" ref="U98:AF98" si="82">SUM(U95:U97)</f>
        <v>0</v>
      </c>
      <c r="V98" s="172">
        <f t="shared" si="82"/>
        <v>0</v>
      </c>
      <c r="W98" s="172">
        <f t="shared" si="82"/>
        <v>0</v>
      </c>
      <c r="X98" s="172">
        <f t="shared" si="82"/>
        <v>0</v>
      </c>
      <c r="Y98" s="172">
        <f t="shared" si="82"/>
        <v>0</v>
      </c>
      <c r="Z98" s="172">
        <f t="shared" si="82"/>
        <v>0</v>
      </c>
      <c r="AA98" s="172">
        <f t="shared" si="82"/>
        <v>0</v>
      </c>
      <c r="AB98" s="172">
        <f t="shared" si="82"/>
        <v>0</v>
      </c>
      <c r="AC98" s="172">
        <f t="shared" si="82"/>
        <v>0</v>
      </c>
      <c r="AD98" s="172">
        <f t="shared" si="82"/>
        <v>0</v>
      </c>
      <c r="AE98" s="172">
        <f t="shared" si="82"/>
        <v>0</v>
      </c>
      <c r="AF98" s="172">
        <f t="shared" si="82"/>
        <v>0</v>
      </c>
      <c r="AG98" s="172">
        <f>SUM(T98:AF98)</f>
        <v>0</v>
      </c>
      <c r="AH98" s="176"/>
      <c r="AI98" s="4142">
        <f t="shared" ref="AI98:AJ98" si="83">SUM(AI95:AI97)</f>
        <v>0</v>
      </c>
      <c r="AJ98" s="4143">
        <f t="shared" si="83"/>
        <v>0</v>
      </c>
    </row>
    <row r="99" spans="2:36" ht="21.75" customHeight="1" x14ac:dyDescent="0.3">
      <c r="B99" s="177" t="s">
        <v>161</v>
      </c>
      <c r="C99" s="192" t="s">
        <v>38</v>
      </c>
      <c r="D99" s="157">
        <v>20</v>
      </c>
      <c r="E99" s="193">
        <v>0</v>
      </c>
      <c r="F99" s="2161">
        <f>ROUNDDOWN('CF-1501|2024'!F11,0)</f>
        <v>3446</v>
      </c>
      <c r="G99" s="63">
        <f>ROUNDDOWN('CF-1501|2024'!F12,0)</f>
        <v>402</v>
      </c>
      <c r="H99" s="220">
        <v>0</v>
      </c>
      <c r="I99" s="149">
        <f>F99-G99</f>
        <v>3044</v>
      </c>
      <c r="J99" s="185"/>
      <c r="K99" s="164">
        <v>1</v>
      </c>
      <c r="L99" s="164">
        <v>0</v>
      </c>
      <c r="M99" s="152">
        <f>ROUNDDOWN('CF-1501|2024'!K11,0)</f>
        <v>2994</v>
      </c>
      <c r="N99" s="152">
        <f>ROUNDDOWN('CF-1501|2024'!K12,0)</f>
        <v>0</v>
      </c>
      <c r="O99" s="152">
        <v>0</v>
      </c>
      <c r="P99" s="152">
        <f>M99-N99</f>
        <v>2994</v>
      </c>
      <c r="Q99" s="63"/>
      <c r="R99" s="152">
        <f>I99+P99</f>
        <v>6038</v>
      </c>
      <c r="S99" s="188"/>
      <c r="T99" s="392">
        <v>10</v>
      </c>
      <c r="U99" s="392">
        <v>1</v>
      </c>
      <c r="V99" s="564"/>
      <c r="W99" s="564"/>
      <c r="X99" s="564"/>
      <c r="Y99" s="564"/>
      <c r="Z99" s="564"/>
      <c r="AA99" s="564"/>
      <c r="AB99" s="564"/>
      <c r="AC99" s="392">
        <v>10</v>
      </c>
      <c r="AD99" s="564"/>
      <c r="AE99" s="564"/>
      <c r="AF99" s="564"/>
      <c r="AG99" s="221">
        <f>SUM(T99:AE99)</f>
        <v>21</v>
      </c>
      <c r="AH99" s="176"/>
      <c r="AI99" s="4134">
        <v>25</v>
      </c>
      <c r="AJ99" s="4140">
        <f t="shared" ref="AJ99:AJ113" si="84">IF(R99&gt;0,1,0)</f>
        <v>1</v>
      </c>
    </row>
    <row r="100" spans="2:36" ht="21.75" customHeight="1" x14ac:dyDescent="0.3">
      <c r="B100" s="4127" t="s">
        <v>162</v>
      </c>
      <c r="C100" s="192" t="s">
        <v>38</v>
      </c>
      <c r="D100" s="157">
        <v>0</v>
      </c>
      <c r="E100" s="193">
        <v>0</v>
      </c>
      <c r="F100" s="63">
        <v>0</v>
      </c>
      <c r="G100" s="223">
        <v>0</v>
      </c>
      <c r="H100" s="148">
        <v>0</v>
      </c>
      <c r="I100" s="152">
        <f>F100-G100</f>
        <v>0</v>
      </c>
      <c r="J100" s="185"/>
      <c r="K100" s="164">
        <v>0</v>
      </c>
      <c r="L100" s="164">
        <v>0</v>
      </c>
      <c r="M100" s="152">
        <v>0</v>
      </c>
      <c r="N100" s="152">
        <v>0</v>
      </c>
      <c r="O100" s="152">
        <v>0</v>
      </c>
      <c r="P100" s="152">
        <f t="shared" ref="P100" si="85">M100-N100</f>
        <v>0</v>
      </c>
      <c r="Q100" s="63"/>
      <c r="R100" s="152">
        <f t="shared" ref="R100:R113" si="86">I100+P100</f>
        <v>0</v>
      </c>
      <c r="S100" s="188"/>
      <c r="T100" s="564"/>
      <c r="U100" s="564"/>
      <c r="V100" s="564"/>
      <c r="W100" s="564"/>
      <c r="X100" s="564"/>
      <c r="Y100" s="564"/>
      <c r="Z100" s="564"/>
      <c r="AA100" s="564"/>
      <c r="AB100" s="564"/>
      <c r="AC100" s="564">
        <v>0</v>
      </c>
      <c r="AD100" s="564"/>
      <c r="AE100" s="564"/>
      <c r="AF100" s="564"/>
      <c r="AG100" s="221">
        <f t="shared" ref="AG100:AG113" si="87">SUM(T100:AE100)</f>
        <v>0</v>
      </c>
      <c r="AH100" s="176"/>
      <c r="AI100" s="4137">
        <v>0</v>
      </c>
      <c r="AJ100" s="160">
        <f t="shared" si="84"/>
        <v>0</v>
      </c>
    </row>
    <row r="101" spans="2:36" ht="21.75" customHeight="1" x14ac:dyDescent="0.3">
      <c r="B101" s="4127" t="s">
        <v>163</v>
      </c>
      <c r="C101" s="192" t="s">
        <v>38</v>
      </c>
      <c r="D101" s="157">
        <v>0</v>
      </c>
      <c r="E101" s="193">
        <v>0</v>
      </c>
      <c r="F101" s="63">
        <v>0</v>
      </c>
      <c r="G101" s="223">
        <v>0</v>
      </c>
      <c r="H101" s="148">
        <v>0</v>
      </c>
      <c r="I101" s="152">
        <v>0</v>
      </c>
      <c r="J101" s="105"/>
      <c r="K101" s="164">
        <v>0</v>
      </c>
      <c r="L101" s="164">
        <v>0</v>
      </c>
      <c r="M101" s="152">
        <v>0</v>
      </c>
      <c r="N101" s="152">
        <v>0</v>
      </c>
      <c r="O101" s="152">
        <v>0</v>
      </c>
      <c r="P101" s="152">
        <f>M101-N101</f>
        <v>0</v>
      </c>
      <c r="Q101" s="63"/>
      <c r="R101" s="152">
        <f t="shared" si="86"/>
        <v>0</v>
      </c>
      <c r="S101" s="188"/>
      <c r="T101" s="564"/>
      <c r="U101" s="565"/>
      <c r="V101" s="565"/>
      <c r="W101" s="564">
        <v>0</v>
      </c>
      <c r="X101" s="565"/>
      <c r="Y101" s="565"/>
      <c r="Z101" s="565"/>
      <c r="AA101" s="565"/>
      <c r="AB101" s="564">
        <v>0</v>
      </c>
      <c r="AC101" s="564">
        <v>0</v>
      </c>
      <c r="AD101" s="565"/>
      <c r="AE101" s="565"/>
      <c r="AF101" s="565"/>
      <c r="AG101" s="221">
        <f t="shared" si="87"/>
        <v>0</v>
      </c>
      <c r="AH101" s="176"/>
      <c r="AI101" s="4137">
        <v>0</v>
      </c>
      <c r="AJ101" s="160">
        <f t="shared" si="84"/>
        <v>0</v>
      </c>
    </row>
    <row r="102" spans="2:36" ht="21.75" customHeight="1" x14ac:dyDescent="0.3">
      <c r="B102" s="177" t="s">
        <v>164</v>
      </c>
      <c r="C102" s="192" t="s">
        <v>38</v>
      </c>
      <c r="D102" s="157">
        <v>2</v>
      </c>
      <c r="E102" s="193">
        <v>0</v>
      </c>
      <c r="F102" s="2193">
        <f>ROUNDDOWN('CF-1504|2024'!F11,0)</f>
        <v>2513</v>
      </c>
      <c r="G102" s="63">
        <f>ROUNDDOWN('CF-1504|2024'!F12,0)</f>
        <v>21</v>
      </c>
      <c r="H102" s="148">
        <v>0</v>
      </c>
      <c r="I102" s="152">
        <f>F102-G102</f>
        <v>2492</v>
      </c>
      <c r="J102" s="105"/>
      <c r="K102" s="164">
        <v>0</v>
      </c>
      <c r="L102" s="164">
        <v>0</v>
      </c>
      <c r="M102" s="152">
        <v>0</v>
      </c>
      <c r="N102" s="152">
        <v>0</v>
      </c>
      <c r="O102" s="152">
        <v>0</v>
      </c>
      <c r="P102" s="152">
        <f t="shared" ref="P102:P104" si="88">M102-N102</f>
        <v>0</v>
      </c>
      <c r="Q102" s="63"/>
      <c r="R102" s="152">
        <f t="shared" si="86"/>
        <v>2492</v>
      </c>
      <c r="S102" s="188"/>
      <c r="T102" s="564"/>
      <c r="U102" s="564"/>
      <c r="V102" s="564"/>
      <c r="W102" s="564"/>
      <c r="X102" s="564"/>
      <c r="Y102" s="392">
        <v>1</v>
      </c>
      <c r="Z102" s="564"/>
      <c r="AA102" s="564"/>
      <c r="AB102" s="564"/>
      <c r="AC102" s="564"/>
      <c r="AD102" s="392">
        <v>1</v>
      </c>
      <c r="AE102" s="564"/>
      <c r="AF102" s="564"/>
      <c r="AG102" s="221">
        <f t="shared" si="87"/>
        <v>2</v>
      </c>
      <c r="AH102" s="176"/>
      <c r="AI102" s="4134">
        <v>3</v>
      </c>
      <c r="AJ102" s="4140">
        <f t="shared" si="84"/>
        <v>1</v>
      </c>
    </row>
    <row r="103" spans="2:36" ht="21.75" customHeight="1" x14ac:dyDescent="0.3">
      <c r="B103" s="177" t="s">
        <v>165</v>
      </c>
      <c r="C103" s="192" t="s">
        <v>38</v>
      </c>
      <c r="D103" s="157">
        <v>7</v>
      </c>
      <c r="E103" s="193">
        <v>0</v>
      </c>
      <c r="F103" s="1255">
        <f>ROUNDDOWN('CF-1505|2024'!F11,0)</f>
        <v>13749</v>
      </c>
      <c r="G103" s="63">
        <f>ROUNDDOWN('CF-1505|2024'!F12,0)</f>
        <v>1404</v>
      </c>
      <c r="H103" s="148">
        <v>0</v>
      </c>
      <c r="I103" s="152">
        <f>F103-G103</f>
        <v>12345</v>
      </c>
      <c r="J103" s="185"/>
      <c r="K103" s="164">
        <v>0</v>
      </c>
      <c r="L103" s="164">
        <v>0</v>
      </c>
      <c r="M103" s="152">
        <v>0</v>
      </c>
      <c r="N103" s="152">
        <v>0</v>
      </c>
      <c r="O103" s="152">
        <v>0</v>
      </c>
      <c r="P103" s="152">
        <f t="shared" si="88"/>
        <v>0</v>
      </c>
      <c r="Q103" s="63"/>
      <c r="R103" s="152">
        <f t="shared" si="86"/>
        <v>12345</v>
      </c>
      <c r="S103" s="188"/>
      <c r="T103" s="392">
        <v>7</v>
      </c>
      <c r="U103" s="565"/>
      <c r="V103" s="565"/>
      <c r="W103" s="565"/>
      <c r="X103" s="565"/>
      <c r="Y103" s="565"/>
      <c r="Z103" s="565"/>
      <c r="AA103" s="565"/>
      <c r="AB103" s="565"/>
      <c r="AC103" s="565"/>
      <c r="AD103" s="565"/>
      <c r="AE103" s="565"/>
      <c r="AF103" s="565"/>
      <c r="AG103" s="221">
        <f t="shared" si="87"/>
        <v>7</v>
      </c>
      <c r="AH103" s="176"/>
      <c r="AI103" s="4134">
        <v>7</v>
      </c>
      <c r="AJ103" s="4140">
        <f t="shared" si="84"/>
        <v>1</v>
      </c>
    </row>
    <row r="104" spans="2:36" ht="21.75" customHeight="1" x14ac:dyDescent="0.3">
      <c r="B104" s="177" t="s">
        <v>166</v>
      </c>
      <c r="C104" s="192" t="s">
        <v>38</v>
      </c>
      <c r="D104" s="157">
        <v>0</v>
      </c>
      <c r="E104" s="193">
        <v>1</v>
      </c>
      <c r="F104" s="1255">
        <f>ROUNDDOWN('CF-1506|2024'!E11,0)</f>
        <v>15</v>
      </c>
      <c r="G104" s="63">
        <f>ROUNDDOWN('CF-1506|2024'!E12,0)</f>
        <v>9</v>
      </c>
      <c r="H104" s="148">
        <v>0</v>
      </c>
      <c r="I104" s="152">
        <f>F104-G104</f>
        <v>6</v>
      </c>
      <c r="J104" s="185"/>
      <c r="K104" s="164">
        <v>48</v>
      </c>
      <c r="L104" s="164">
        <v>0</v>
      </c>
      <c r="M104" s="152">
        <f>ROUNDDOWN('CF-1506|2024'!M11,0)</f>
        <v>19708</v>
      </c>
      <c r="N104" s="152">
        <f>ROUNDDOWN('CF-1506|2024'!M12,0)</f>
        <v>0</v>
      </c>
      <c r="O104" s="152">
        <v>0</v>
      </c>
      <c r="P104" s="152">
        <f t="shared" si="88"/>
        <v>19708</v>
      </c>
      <c r="Q104" s="63"/>
      <c r="R104" s="152">
        <f t="shared" si="86"/>
        <v>19714</v>
      </c>
      <c r="S104" s="188"/>
      <c r="T104" s="1294">
        <v>1</v>
      </c>
      <c r="U104" s="564"/>
      <c r="V104" s="392">
        <v>36</v>
      </c>
      <c r="W104" s="392">
        <v>12</v>
      </c>
      <c r="X104" s="564"/>
      <c r="Y104" s="564"/>
      <c r="Z104" s="564"/>
      <c r="AA104" s="564"/>
      <c r="AB104" s="564"/>
      <c r="AC104" s="564"/>
      <c r="AD104" s="564"/>
      <c r="AE104" s="564"/>
      <c r="AF104" s="564"/>
      <c r="AG104" s="221">
        <f t="shared" si="87"/>
        <v>49</v>
      </c>
      <c r="AH104" s="176"/>
      <c r="AI104" s="4134">
        <v>2</v>
      </c>
      <c r="AJ104" s="4140">
        <f t="shared" si="84"/>
        <v>1</v>
      </c>
    </row>
    <row r="105" spans="2:36" ht="21.75" customHeight="1" x14ac:dyDescent="0.3">
      <c r="B105" s="177" t="s">
        <v>167</v>
      </c>
      <c r="C105" s="192" t="s">
        <v>38</v>
      </c>
      <c r="D105" s="157">
        <v>0</v>
      </c>
      <c r="E105" s="193">
        <v>0</v>
      </c>
      <c r="F105" s="63">
        <v>0</v>
      </c>
      <c r="G105" s="223">
        <v>0</v>
      </c>
      <c r="H105" s="148">
        <v>0</v>
      </c>
      <c r="I105" s="152">
        <v>0</v>
      </c>
      <c r="J105" s="105"/>
      <c r="K105" s="164">
        <v>3</v>
      </c>
      <c r="L105" s="164">
        <v>0</v>
      </c>
      <c r="M105" s="152">
        <f>ROUNDDOWN('CF-1507|2024'!G11,0)</f>
        <v>4962</v>
      </c>
      <c r="N105" s="152">
        <f>ROUNDDOWN('CF-1507|2024'!G12,0)</f>
        <v>0</v>
      </c>
      <c r="O105" s="152">
        <v>0</v>
      </c>
      <c r="P105" s="152">
        <f>M105-N105</f>
        <v>4962</v>
      </c>
      <c r="Q105" s="63"/>
      <c r="R105" s="152">
        <f t="shared" si="86"/>
        <v>4962</v>
      </c>
      <c r="S105" s="188"/>
      <c r="T105" s="564"/>
      <c r="U105" s="564"/>
      <c r="V105" s="392">
        <v>2</v>
      </c>
      <c r="W105" s="392">
        <v>1</v>
      </c>
      <c r="X105" s="564"/>
      <c r="Y105" s="564"/>
      <c r="Z105" s="564"/>
      <c r="AA105" s="564"/>
      <c r="AB105" s="564"/>
      <c r="AC105" s="564"/>
      <c r="AD105" s="564"/>
      <c r="AE105" s="564"/>
      <c r="AF105" s="564"/>
      <c r="AG105" s="221">
        <f t="shared" si="87"/>
        <v>3</v>
      </c>
      <c r="AH105" s="176"/>
      <c r="AI105" s="4134">
        <v>8</v>
      </c>
      <c r="AJ105" s="4140">
        <f t="shared" si="84"/>
        <v>1</v>
      </c>
    </row>
    <row r="106" spans="2:36" ht="21.75" customHeight="1" x14ac:dyDescent="0.3">
      <c r="B106" s="177" t="s">
        <v>168</v>
      </c>
      <c r="C106" s="192" t="s">
        <v>38</v>
      </c>
      <c r="D106" s="157">
        <v>0</v>
      </c>
      <c r="E106" s="193">
        <v>0</v>
      </c>
      <c r="F106" s="63">
        <v>0</v>
      </c>
      <c r="G106" s="223">
        <v>0</v>
      </c>
      <c r="H106" s="148">
        <v>0</v>
      </c>
      <c r="I106" s="152">
        <v>0</v>
      </c>
      <c r="J106" s="185"/>
      <c r="K106" s="164">
        <v>100</v>
      </c>
      <c r="L106" s="164">
        <v>1</v>
      </c>
      <c r="M106" s="152">
        <f>ROUNDDOWN('CF-1508|2024'!I11,0)</f>
        <v>14942</v>
      </c>
      <c r="N106" s="152">
        <f>ROUNDDOWN('CF-1508|2024'!I12,0)</f>
        <v>0</v>
      </c>
      <c r="O106" s="152">
        <v>0</v>
      </c>
      <c r="P106" s="152">
        <f t="shared" ref="P106:P113" si="89">M106-N106</f>
        <v>14942</v>
      </c>
      <c r="Q106" s="63"/>
      <c r="R106" s="152">
        <f t="shared" si="86"/>
        <v>14942</v>
      </c>
      <c r="S106" s="188"/>
      <c r="T106" s="565"/>
      <c r="U106" s="2496">
        <v>1</v>
      </c>
      <c r="V106" s="392">
        <v>75</v>
      </c>
      <c r="W106" s="392">
        <v>25</v>
      </c>
      <c r="X106" s="565"/>
      <c r="Y106" s="565"/>
      <c r="Z106" s="565"/>
      <c r="AA106" s="565"/>
      <c r="AB106" s="565"/>
      <c r="AC106" s="565"/>
      <c r="AD106" s="565"/>
      <c r="AE106" s="565"/>
      <c r="AF106" s="565"/>
      <c r="AG106" s="221">
        <f t="shared" si="87"/>
        <v>101</v>
      </c>
      <c r="AH106" s="176"/>
      <c r="AI106" s="4134">
        <v>3</v>
      </c>
      <c r="AJ106" s="4140">
        <f t="shared" si="84"/>
        <v>1</v>
      </c>
    </row>
    <row r="107" spans="2:36" ht="21.75" customHeight="1" x14ac:dyDescent="0.3">
      <c r="B107" s="4127" t="s">
        <v>169</v>
      </c>
      <c r="C107" s="222" t="s">
        <v>38</v>
      </c>
      <c r="D107" s="157">
        <v>0</v>
      </c>
      <c r="E107" s="179">
        <v>0</v>
      </c>
      <c r="F107" s="63">
        <v>0</v>
      </c>
      <c r="G107" s="223">
        <v>0</v>
      </c>
      <c r="H107" s="148">
        <v>2</v>
      </c>
      <c r="I107" s="152">
        <f>F107-G107</f>
        <v>0</v>
      </c>
      <c r="J107" s="185"/>
      <c r="K107" s="164">
        <v>0</v>
      </c>
      <c r="L107" s="164">
        <v>0</v>
      </c>
      <c r="M107" s="152">
        <v>0</v>
      </c>
      <c r="N107" s="152">
        <v>0</v>
      </c>
      <c r="O107" s="152"/>
      <c r="P107" s="152">
        <f t="shared" si="89"/>
        <v>0</v>
      </c>
      <c r="Q107" s="63"/>
      <c r="R107" s="152">
        <f t="shared" si="86"/>
        <v>0</v>
      </c>
      <c r="S107" s="63"/>
      <c r="T107" s="565">
        <v>0</v>
      </c>
      <c r="U107" s="565">
        <v>0</v>
      </c>
      <c r="V107" s="567"/>
      <c r="W107" s="567"/>
      <c r="X107" s="567"/>
      <c r="Y107" s="568"/>
      <c r="Z107" s="567"/>
      <c r="AA107" s="567"/>
      <c r="AB107" s="567"/>
      <c r="AC107" s="567"/>
      <c r="AD107" s="567"/>
      <c r="AE107" s="567"/>
      <c r="AF107" s="567"/>
      <c r="AG107" s="221">
        <f t="shared" si="87"/>
        <v>0</v>
      </c>
      <c r="AH107" s="176"/>
      <c r="AI107" s="4137">
        <v>0</v>
      </c>
      <c r="AJ107" s="160">
        <f t="shared" si="84"/>
        <v>0</v>
      </c>
    </row>
    <row r="108" spans="2:36" ht="21.75" customHeight="1" x14ac:dyDescent="0.3">
      <c r="B108" s="177" t="s">
        <v>170</v>
      </c>
      <c r="C108" s="192" t="s">
        <v>38</v>
      </c>
      <c r="D108" s="157">
        <v>1</v>
      </c>
      <c r="E108" s="193">
        <v>0</v>
      </c>
      <c r="F108" s="63">
        <f>ROUNDDOWN('CF-1510|2024'!E11,0)</f>
        <v>45</v>
      </c>
      <c r="G108" s="186">
        <f>ROUNDDOWN('CF-1510|2024'!E12,0)</f>
        <v>0</v>
      </c>
      <c r="H108" s="148">
        <v>0</v>
      </c>
      <c r="I108" s="152">
        <f>F108-G108</f>
        <v>45</v>
      </c>
      <c r="J108" s="185"/>
      <c r="K108" s="164">
        <v>5</v>
      </c>
      <c r="L108" s="164">
        <v>0</v>
      </c>
      <c r="M108" s="152">
        <f>ROUNDDOWN('CF-1510|2024'!K11,0)</f>
        <v>7039</v>
      </c>
      <c r="N108" s="152">
        <f>ROUNDDOWN('CF-1510|2024'!K12,0)</f>
        <v>0</v>
      </c>
      <c r="O108" s="152">
        <v>0</v>
      </c>
      <c r="P108" s="152">
        <f t="shared" si="89"/>
        <v>7039</v>
      </c>
      <c r="Q108" s="63"/>
      <c r="R108" s="152">
        <f t="shared" si="86"/>
        <v>7084</v>
      </c>
      <c r="S108" s="188"/>
      <c r="T108" s="564"/>
      <c r="U108" s="2601">
        <v>4</v>
      </c>
      <c r="V108" s="564"/>
      <c r="W108" s="392">
        <v>1</v>
      </c>
      <c r="X108" s="565"/>
      <c r="Y108" s="565"/>
      <c r="Z108" s="565"/>
      <c r="AA108" s="565"/>
      <c r="AB108" s="565"/>
      <c r="AC108" s="392">
        <v>1</v>
      </c>
      <c r="AD108" s="565"/>
      <c r="AE108" s="565"/>
      <c r="AF108" s="565"/>
      <c r="AG108" s="221">
        <f t="shared" si="87"/>
        <v>6</v>
      </c>
      <c r="AH108" s="176"/>
      <c r="AI108" s="4134">
        <v>2</v>
      </c>
      <c r="AJ108" s="4140">
        <f t="shared" si="84"/>
        <v>1</v>
      </c>
    </row>
    <row r="109" spans="2:36" ht="21.75" customHeight="1" x14ac:dyDescent="0.3">
      <c r="B109" s="177" t="s">
        <v>171</v>
      </c>
      <c r="C109" s="192" t="s">
        <v>38</v>
      </c>
      <c r="D109" s="157">
        <v>1</v>
      </c>
      <c r="E109" s="193">
        <v>0</v>
      </c>
      <c r="F109" s="1255">
        <f>ROUNDDOWN('CF-1511|2024'!E11,0)</f>
        <v>23</v>
      </c>
      <c r="G109" s="63">
        <f>ROUNDDOWN('CF-1511|2024'!E12,0)</f>
        <v>4</v>
      </c>
      <c r="H109" s="148">
        <v>0</v>
      </c>
      <c r="I109" s="152">
        <f>F109-G109</f>
        <v>19</v>
      </c>
      <c r="J109" s="185"/>
      <c r="K109" s="164">
        <v>0</v>
      </c>
      <c r="L109" s="164">
        <v>0</v>
      </c>
      <c r="M109" s="152">
        <v>0</v>
      </c>
      <c r="N109" s="152">
        <v>0</v>
      </c>
      <c r="O109" s="152">
        <v>0</v>
      </c>
      <c r="P109" s="152">
        <f t="shared" si="89"/>
        <v>0</v>
      </c>
      <c r="Q109" s="63"/>
      <c r="R109" s="152">
        <f t="shared" si="86"/>
        <v>19</v>
      </c>
      <c r="S109" s="188"/>
      <c r="T109" s="565"/>
      <c r="U109" s="565"/>
      <c r="V109" s="565"/>
      <c r="W109" s="565"/>
      <c r="X109" s="565"/>
      <c r="Y109" s="565"/>
      <c r="Z109" s="565"/>
      <c r="AA109" s="565"/>
      <c r="AB109" s="565"/>
      <c r="AC109" s="392">
        <v>1</v>
      </c>
      <c r="AD109" s="565"/>
      <c r="AE109" s="564"/>
      <c r="AF109" s="564"/>
      <c r="AG109" s="221">
        <f t="shared" si="87"/>
        <v>1</v>
      </c>
      <c r="AH109" s="176"/>
      <c r="AI109" s="4134">
        <v>1</v>
      </c>
      <c r="AJ109" s="4140">
        <f t="shared" si="84"/>
        <v>1</v>
      </c>
    </row>
    <row r="110" spans="2:36" ht="21.75" customHeight="1" x14ac:dyDescent="0.3">
      <c r="B110" s="4127" t="s">
        <v>172</v>
      </c>
      <c r="C110" s="192" t="s">
        <v>38</v>
      </c>
      <c r="D110" s="157">
        <v>0</v>
      </c>
      <c r="E110" s="193">
        <v>0</v>
      </c>
      <c r="F110" s="63">
        <v>0</v>
      </c>
      <c r="G110" s="223">
        <v>0</v>
      </c>
      <c r="H110" s="388">
        <v>0</v>
      </c>
      <c r="I110" s="152">
        <f>F110-G110</f>
        <v>0</v>
      </c>
      <c r="J110" s="185"/>
      <c r="K110" s="164">
        <v>0</v>
      </c>
      <c r="L110" s="164">
        <v>0</v>
      </c>
      <c r="M110" s="152">
        <v>0</v>
      </c>
      <c r="N110" s="152">
        <v>0</v>
      </c>
      <c r="O110" s="152">
        <v>0</v>
      </c>
      <c r="P110" s="152">
        <f t="shared" si="89"/>
        <v>0</v>
      </c>
      <c r="Q110" s="63"/>
      <c r="R110" s="152">
        <f t="shared" si="86"/>
        <v>0</v>
      </c>
      <c r="S110" s="188"/>
      <c r="T110" s="564"/>
      <c r="U110" s="564"/>
      <c r="V110" s="564"/>
      <c r="W110" s="564"/>
      <c r="X110" s="564"/>
      <c r="Y110" s="564"/>
      <c r="Z110" s="564"/>
      <c r="AA110" s="564"/>
      <c r="AB110" s="564"/>
      <c r="AC110" s="684">
        <v>0</v>
      </c>
      <c r="AD110" s="564"/>
      <c r="AE110" s="564"/>
      <c r="AF110" s="564"/>
      <c r="AG110" s="221">
        <f t="shared" si="87"/>
        <v>0</v>
      </c>
      <c r="AH110" s="176"/>
      <c r="AI110" s="4137">
        <v>0</v>
      </c>
      <c r="AJ110" s="160">
        <f t="shared" si="84"/>
        <v>0</v>
      </c>
    </row>
    <row r="111" spans="2:36" ht="21.75" customHeight="1" x14ac:dyDescent="0.3">
      <c r="B111" s="4127" t="s">
        <v>173</v>
      </c>
      <c r="C111" s="192" t="s">
        <v>38</v>
      </c>
      <c r="D111" s="157">
        <v>0</v>
      </c>
      <c r="E111" s="193">
        <v>0</v>
      </c>
      <c r="F111" s="63">
        <v>0</v>
      </c>
      <c r="G111" s="223">
        <v>0</v>
      </c>
      <c r="H111" s="148">
        <v>0</v>
      </c>
      <c r="I111" s="152">
        <v>0</v>
      </c>
      <c r="J111" s="105"/>
      <c r="K111" s="164">
        <v>0</v>
      </c>
      <c r="L111" s="164">
        <v>0</v>
      </c>
      <c r="M111" s="152">
        <v>0</v>
      </c>
      <c r="N111" s="152">
        <v>0</v>
      </c>
      <c r="O111" s="152">
        <v>0</v>
      </c>
      <c r="P111" s="152">
        <f t="shared" si="89"/>
        <v>0</v>
      </c>
      <c r="Q111" s="63"/>
      <c r="R111" s="152">
        <f t="shared" si="86"/>
        <v>0</v>
      </c>
      <c r="S111" s="188"/>
      <c r="T111" s="564"/>
      <c r="U111" s="564"/>
      <c r="V111" s="684">
        <v>0</v>
      </c>
      <c r="W111" s="564"/>
      <c r="X111" s="564"/>
      <c r="Y111" s="564"/>
      <c r="Z111" s="564"/>
      <c r="AA111" s="564"/>
      <c r="AB111" s="564"/>
      <c r="AC111" s="564"/>
      <c r="AD111" s="564"/>
      <c r="AE111" s="564"/>
      <c r="AF111" s="564"/>
      <c r="AG111" s="221">
        <f t="shared" si="87"/>
        <v>0</v>
      </c>
      <c r="AH111" s="176"/>
      <c r="AI111" s="4137">
        <v>0</v>
      </c>
      <c r="AJ111" s="160">
        <f t="shared" si="84"/>
        <v>0</v>
      </c>
    </row>
    <row r="112" spans="2:36" ht="21.75" customHeight="1" x14ac:dyDescent="0.3">
      <c r="B112" s="4127" t="s">
        <v>174</v>
      </c>
      <c r="C112" s="192" t="s">
        <v>38</v>
      </c>
      <c r="D112" s="157">
        <v>0</v>
      </c>
      <c r="E112" s="193">
        <v>0</v>
      </c>
      <c r="F112" s="63">
        <v>0</v>
      </c>
      <c r="G112" s="223">
        <v>0</v>
      </c>
      <c r="H112" s="148">
        <v>0</v>
      </c>
      <c r="I112" s="152">
        <v>0</v>
      </c>
      <c r="J112" s="105"/>
      <c r="K112" s="164">
        <v>0</v>
      </c>
      <c r="L112" s="164">
        <v>0</v>
      </c>
      <c r="M112" s="152">
        <v>0</v>
      </c>
      <c r="N112" s="152">
        <v>0</v>
      </c>
      <c r="O112" s="152">
        <v>0</v>
      </c>
      <c r="P112" s="152">
        <f t="shared" si="89"/>
        <v>0</v>
      </c>
      <c r="Q112" s="63"/>
      <c r="R112" s="152">
        <f t="shared" si="86"/>
        <v>0</v>
      </c>
      <c r="S112" s="188"/>
      <c r="T112" s="564"/>
      <c r="U112" s="564"/>
      <c r="V112" s="564"/>
      <c r="W112" s="564"/>
      <c r="X112" s="564"/>
      <c r="Y112" s="564"/>
      <c r="Z112" s="564"/>
      <c r="AA112" s="564"/>
      <c r="AB112" s="564"/>
      <c r="AC112" s="684">
        <v>0</v>
      </c>
      <c r="AD112" s="564"/>
      <c r="AE112" s="564"/>
      <c r="AF112" s="564"/>
      <c r="AG112" s="221">
        <f t="shared" si="87"/>
        <v>0</v>
      </c>
      <c r="AH112" s="176"/>
      <c r="AI112" s="4137">
        <v>0</v>
      </c>
      <c r="AJ112" s="160">
        <f t="shared" si="84"/>
        <v>0</v>
      </c>
    </row>
    <row r="113" spans="1:36" ht="21.75" customHeight="1" x14ac:dyDescent="0.3">
      <c r="B113" s="4127" t="s">
        <v>175</v>
      </c>
      <c r="C113" s="192" t="s">
        <v>38</v>
      </c>
      <c r="D113" s="157">
        <v>0</v>
      </c>
      <c r="E113" s="193">
        <v>0</v>
      </c>
      <c r="F113" s="63">
        <v>0</v>
      </c>
      <c r="G113" s="223">
        <v>0</v>
      </c>
      <c r="H113" s="148">
        <v>0</v>
      </c>
      <c r="I113" s="152">
        <v>0</v>
      </c>
      <c r="J113" s="105"/>
      <c r="K113" s="164">
        <v>0</v>
      </c>
      <c r="L113" s="164">
        <v>0</v>
      </c>
      <c r="M113" s="152">
        <v>0</v>
      </c>
      <c r="N113" s="152">
        <v>0</v>
      </c>
      <c r="O113" s="152">
        <v>0</v>
      </c>
      <c r="P113" s="152">
        <f t="shared" si="89"/>
        <v>0</v>
      </c>
      <c r="Q113" s="63"/>
      <c r="R113" s="152">
        <f t="shared" si="86"/>
        <v>0</v>
      </c>
      <c r="S113" s="188"/>
      <c r="T113" s="684">
        <v>0</v>
      </c>
      <c r="U113" s="2602">
        <v>0</v>
      </c>
      <c r="V113" s="565"/>
      <c r="W113" s="564"/>
      <c r="X113" s="565"/>
      <c r="Y113" s="565"/>
      <c r="Z113" s="565"/>
      <c r="AA113" s="565"/>
      <c r="AB113" s="565"/>
      <c r="AC113" s="565"/>
      <c r="AD113" s="565"/>
      <c r="AE113" s="565"/>
      <c r="AF113" s="565"/>
      <c r="AG113" s="221">
        <f t="shared" si="87"/>
        <v>0</v>
      </c>
      <c r="AH113" s="176"/>
      <c r="AI113" s="4137">
        <v>0</v>
      </c>
      <c r="AJ113" s="160">
        <f t="shared" si="84"/>
        <v>0</v>
      </c>
    </row>
    <row r="114" spans="1:36" s="50" customFormat="1" ht="27" customHeight="1" x14ac:dyDescent="0.3">
      <c r="A114" s="23"/>
      <c r="B114" s="166" t="s">
        <v>112</v>
      </c>
      <c r="C114" s="167" t="s">
        <v>29</v>
      </c>
      <c r="D114" s="168">
        <f>SUM(D99:D113)</f>
        <v>31</v>
      </c>
      <c r="E114" s="168">
        <f>SUM(E99:E113)</f>
        <v>1</v>
      </c>
      <c r="F114" s="169">
        <f t="shared" ref="F114:I114" si="90">SUM(F99:F113)</f>
        <v>19791</v>
      </c>
      <c r="G114" s="169">
        <f t="shared" si="90"/>
        <v>1840</v>
      </c>
      <c r="H114" s="169">
        <f t="shared" si="90"/>
        <v>2</v>
      </c>
      <c r="I114" s="169">
        <f t="shared" si="90"/>
        <v>17951</v>
      </c>
      <c r="J114" s="170"/>
      <c r="K114" s="224">
        <f t="shared" ref="K114:P114" si="91">SUM(K99:K113)</f>
        <v>157</v>
      </c>
      <c r="L114" s="224">
        <f t="shared" si="91"/>
        <v>1</v>
      </c>
      <c r="M114" s="169">
        <f t="shared" si="91"/>
        <v>49645</v>
      </c>
      <c r="N114" s="169">
        <f t="shared" si="91"/>
        <v>0</v>
      </c>
      <c r="O114" s="169">
        <f t="shared" si="91"/>
        <v>0</v>
      </c>
      <c r="P114" s="169">
        <f t="shared" si="91"/>
        <v>49645</v>
      </c>
      <c r="Q114" s="190"/>
      <c r="R114" s="169">
        <f>SUM(R99:R113)</f>
        <v>67596</v>
      </c>
      <c r="S114" s="170"/>
      <c r="T114" s="225">
        <f>SUM(T99:T113)</f>
        <v>18</v>
      </c>
      <c r="U114" s="225">
        <f t="shared" ref="U114:AF114" si="92">SUM(U99:U113)</f>
        <v>6</v>
      </c>
      <c r="V114" s="225">
        <f t="shared" si="92"/>
        <v>113</v>
      </c>
      <c r="W114" s="225">
        <f t="shared" si="92"/>
        <v>39</v>
      </c>
      <c r="X114" s="225">
        <f t="shared" si="92"/>
        <v>0</v>
      </c>
      <c r="Y114" s="225">
        <f t="shared" si="92"/>
        <v>1</v>
      </c>
      <c r="Z114" s="225">
        <f t="shared" si="92"/>
        <v>0</v>
      </c>
      <c r="AA114" s="225">
        <f t="shared" si="92"/>
        <v>0</v>
      </c>
      <c r="AB114" s="225">
        <f t="shared" si="92"/>
        <v>0</v>
      </c>
      <c r="AC114" s="225">
        <f t="shared" si="92"/>
        <v>12</v>
      </c>
      <c r="AD114" s="225">
        <f t="shared" si="92"/>
        <v>1</v>
      </c>
      <c r="AE114" s="225">
        <f t="shared" si="92"/>
        <v>0</v>
      </c>
      <c r="AF114" s="225">
        <f t="shared" si="92"/>
        <v>0</v>
      </c>
      <c r="AG114" s="225">
        <f>SUM(T114:AF114)</f>
        <v>190</v>
      </c>
      <c r="AH114" s="226"/>
      <c r="AI114" s="4153">
        <f>SUM(AI99:AI113)</f>
        <v>51</v>
      </c>
      <c r="AJ114" s="4154">
        <f>SUM(AJ99:AJ113)</f>
        <v>8</v>
      </c>
    </row>
    <row r="115" spans="1:36" ht="21.75" customHeight="1" x14ac:dyDescent="0.3">
      <c r="B115" s="177" t="s">
        <v>176</v>
      </c>
      <c r="C115" s="227" t="s">
        <v>39</v>
      </c>
      <c r="D115" s="144">
        <v>76</v>
      </c>
      <c r="E115" s="206">
        <v>0</v>
      </c>
      <c r="F115" s="228">
        <f>ROUNDDOWN('CF-1601|2024'!E11,0)</f>
        <v>24481</v>
      </c>
      <c r="G115" s="63">
        <f>ROUNDDOWN('CF-1601|2024'!E12,0)</f>
        <v>765</v>
      </c>
      <c r="H115" s="148">
        <v>0</v>
      </c>
      <c r="I115" s="152">
        <f>F115-G115</f>
        <v>23716</v>
      </c>
      <c r="J115" s="63"/>
      <c r="K115" s="164">
        <v>8</v>
      </c>
      <c r="L115" s="164">
        <v>0</v>
      </c>
      <c r="M115" s="152">
        <f>ROUNDDOWN('CF-1601|2024'!J11,0)</f>
        <v>17008</v>
      </c>
      <c r="N115" s="152">
        <f>ROUNDDOWN('CF-1601|2024'!J12,0)</f>
        <v>0</v>
      </c>
      <c r="O115" s="152">
        <v>0</v>
      </c>
      <c r="P115" s="152">
        <f>M115-N115</f>
        <v>17008</v>
      </c>
      <c r="Q115" s="63"/>
      <c r="R115" s="152">
        <f>I115+P115</f>
        <v>40724</v>
      </c>
      <c r="S115" s="63"/>
      <c r="T115" s="392">
        <v>76</v>
      </c>
      <c r="U115" s="392">
        <v>8</v>
      </c>
      <c r="V115" s="564"/>
      <c r="W115" s="564"/>
      <c r="X115" s="564"/>
      <c r="Y115" s="564"/>
      <c r="Z115" s="564"/>
      <c r="AA115" s="564"/>
      <c r="AB115" s="564"/>
      <c r="AC115" s="564"/>
      <c r="AD115" s="564"/>
      <c r="AE115" s="564"/>
      <c r="AF115" s="564"/>
      <c r="AG115" s="229">
        <f>SUM(T115:AE115)</f>
        <v>84</v>
      </c>
      <c r="AH115" s="230"/>
      <c r="AI115" s="4134">
        <v>79</v>
      </c>
      <c r="AJ115" s="4135">
        <f>IF(R115&gt;0,1,0)</f>
        <v>1</v>
      </c>
    </row>
    <row r="116" spans="1:36" ht="21.75" customHeight="1" x14ac:dyDescent="0.3">
      <c r="B116" s="177" t="s">
        <v>177</v>
      </c>
      <c r="C116" s="227" t="s">
        <v>39</v>
      </c>
      <c r="D116" s="157">
        <v>35</v>
      </c>
      <c r="E116" s="193">
        <v>0</v>
      </c>
      <c r="F116" s="63">
        <f>ROUNDDOWN('CF-1602|2024'!E11,0)</f>
        <v>89369</v>
      </c>
      <c r="G116" s="2943">
        <f>ROUNDDOWN('CF-1602|2024'!E12,0)</f>
        <v>120</v>
      </c>
      <c r="H116" s="148">
        <v>0</v>
      </c>
      <c r="I116" s="152">
        <f>F116-G116</f>
        <v>89249</v>
      </c>
      <c r="J116" s="185"/>
      <c r="K116" s="164">
        <v>0</v>
      </c>
      <c r="L116" s="164">
        <v>0</v>
      </c>
      <c r="M116" s="152">
        <v>0</v>
      </c>
      <c r="N116" s="152">
        <v>0</v>
      </c>
      <c r="O116" s="152">
        <v>0</v>
      </c>
      <c r="P116" s="152">
        <f t="shared" ref="P116:P118" si="93">M116-N116</f>
        <v>0</v>
      </c>
      <c r="Q116" s="63"/>
      <c r="R116" s="152">
        <f>I116+P116</f>
        <v>89249</v>
      </c>
      <c r="S116" s="63"/>
      <c r="T116" s="571"/>
      <c r="U116" s="571"/>
      <c r="V116" s="567"/>
      <c r="W116" s="567"/>
      <c r="X116" s="567"/>
      <c r="Y116" s="1329">
        <v>35</v>
      </c>
      <c r="Z116" s="567"/>
      <c r="AA116" s="567"/>
      <c r="AB116" s="567"/>
      <c r="AC116" s="567"/>
      <c r="AD116" s="567"/>
      <c r="AE116" s="567"/>
      <c r="AF116" s="567"/>
      <c r="AG116" s="229">
        <f t="shared" ref="AG116:AG117" si="94">SUM(T116:AE116)</f>
        <v>35</v>
      </c>
      <c r="AH116" s="230"/>
      <c r="AI116" s="4134">
        <v>2</v>
      </c>
      <c r="AJ116" s="4135">
        <f>IF(R116&gt;0,1,0)</f>
        <v>1</v>
      </c>
    </row>
    <row r="117" spans="1:36" ht="21.75" customHeight="1" x14ac:dyDescent="0.3">
      <c r="B117" s="177" t="s">
        <v>178</v>
      </c>
      <c r="C117" s="227" t="s">
        <v>39</v>
      </c>
      <c r="D117" s="157">
        <v>41</v>
      </c>
      <c r="E117" s="193">
        <v>0</v>
      </c>
      <c r="F117" s="4051">
        <f>ROUNDDOWN('CF-1603|2024'!BB11,0)</f>
        <v>22241</v>
      </c>
      <c r="G117" s="63">
        <f>ROUNDDOWN('CF-1603|2024'!BB12,0)</f>
        <v>1243</v>
      </c>
      <c r="H117" s="148">
        <v>0</v>
      </c>
      <c r="I117" s="152">
        <f t="shared" ref="I117:I118" si="95">F117-G117</f>
        <v>20998</v>
      </c>
      <c r="J117" s="63"/>
      <c r="K117" s="164">
        <v>44</v>
      </c>
      <c r="L117" s="164">
        <v>0</v>
      </c>
      <c r="M117" s="152">
        <f>ROUNDDOWN('CF-1603|2024'!DG11,0)</f>
        <v>23688</v>
      </c>
      <c r="N117" s="152">
        <f>ROUNDDOWN('CF-1603|2024'!DG12,0)</f>
        <v>0</v>
      </c>
      <c r="O117" s="152"/>
      <c r="P117" s="152">
        <f t="shared" si="93"/>
        <v>23688</v>
      </c>
      <c r="Q117" s="63"/>
      <c r="R117" s="152">
        <f t="shared" ref="R117:R118" si="96">I117+P117</f>
        <v>44686</v>
      </c>
      <c r="S117" s="63"/>
      <c r="T117" s="564"/>
      <c r="U117" s="392">
        <v>42</v>
      </c>
      <c r="V117" s="564"/>
      <c r="W117" s="392">
        <v>2</v>
      </c>
      <c r="X117" s="564"/>
      <c r="Y117" s="392">
        <v>41</v>
      </c>
      <c r="Z117" s="564"/>
      <c r="AA117" s="564"/>
      <c r="AB117" s="564"/>
      <c r="AC117" s="564"/>
      <c r="AD117" s="564"/>
      <c r="AE117" s="564"/>
      <c r="AF117" s="564"/>
      <c r="AG117" s="229">
        <f t="shared" si="94"/>
        <v>85</v>
      </c>
      <c r="AH117" s="230"/>
      <c r="AI117" s="4134">
        <v>2</v>
      </c>
      <c r="AJ117" s="4135">
        <f>IF(R117&gt;0,1,0)</f>
        <v>1</v>
      </c>
    </row>
    <row r="118" spans="1:36" ht="21.75" customHeight="1" x14ac:dyDescent="0.3">
      <c r="B118" s="177" t="s">
        <v>179</v>
      </c>
      <c r="C118" s="227" t="s">
        <v>39</v>
      </c>
      <c r="D118" s="157">
        <v>0</v>
      </c>
      <c r="E118" s="193">
        <v>0</v>
      </c>
      <c r="F118" s="63">
        <v>0</v>
      </c>
      <c r="G118" s="186">
        <v>0</v>
      </c>
      <c r="H118" s="148">
        <v>0</v>
      </c>
      <c r="I118" s="152">
        <f t="shared" si="95"/>
        <v>0</v>
      </c>
      <c r="J118" s="185"/>
      <c r="K118" s="164">
        <v>1548</v>
      </c>
      <c r="L118" s="164">
        <v>0</v>
      </c>
      <c r="M118" s="152">
        <f>ROUNDDOWN('CF-1604|2024'!F11,0)</f>
        <v>31553</v>
      </c>
      <c r="N118" s="152">
        <f>ROUNDDOWN('CF-1604|2024'!G11,0)</f>
        <v>0</v>
      </c>
      <c r="O118" s="152"/>
      <c r="P118" s="152">
        <f t="shared" si="93"/>
        <v>31553</v>
      </c>
      <c r="Q118" s="63"/>
      <c r="R118" s="152">
        <f t="shared" si="96"/>
        <v>31553</v>
      </c>
      <c r="S118" s="188"/>
      <c r="T118" s="564"/>
      <c r="U118" s="564"/>
      <c r="V118" s="392">
        <v>1534</v>
      </c>
      <c r="W118" s="564"/>
      <c r="X118" s="564"/>
      <c r="Y118" s="564"/>
      <c r="Z118" s="564"/>
      <c r="AA118" s="564"/>
      <c r="AB118" s="564"/>
      <c r="AC118" s="564"/>
      <c r="AD118" s="564"/>
      <c r="AE118" s="564"/>
      <c r="AF118" s="392">
        <v>14</v>
      </c>
      <c r="AG118" s="229">
        <f>SUM(T118:AF118)</f>
        <v>1548</v>
      </c>
      <c r="AH118" s="230"/>
      <c r="AI118" s="4134">
        <v>1</v>
      </c>
      <c r="AJ118" s="4135">
        <f>IF(R118&gt;0,1,0)</f>
        <v>1</v>
      </c>
    </row>
    <row r="119" spans="1:36" ht="21.75" customHeight="1" x14ac:dyDescent="0.3">
      <c r="B119" s="4128" t="s">
        <v>277</v>
      </c>
      <c r="C119" s="227" t="s">
        <v>39</v>
      </c>
      <c r="D119" s="157">
        <v>0</v>
      </c>
      <c r="E119" s="193">
        <v>0</v>
      </c>
      <c r="F119" s="63">
        <v>0</v>
      </c>
      <c r="G119" s="186">
        <v>0</v>
      </c>
      <c r="H119" s="148">
        <v>0</v>
      </c>
      <c r="I119" s="152">
        <f t="shared" ref="I119" si="97">F119-G119</f>
        <v>0</v>
      </c>
      <c r="J119" s="185"/>
      <c r="K119" s="164">
        <v>0</v>
      </c>
      <c r="L119" s="164">
        <v>1</v>
      </c>
      <c r="M119" s="152">
        <f>ROUNDDOWN('CF-1605|2024'!P11,0)</f>
        <v>16</v>
      </c>
      <c r="N119" s="152">
        <v>0</v>
      </c>
      <c r="O119" s="152"/>
      <c r="P119" s="152">
        <f t="shared" ref="P119" si="98">M119-N119</f>
        <v>16</v>
      </c>
      <c r="Q119" s="63"/>
      <c r="R119" s="152">
        <f t="shared" ref="R119" si="99">I119+P119</f>
        <v>16</v>
      </c>
      <c r="S119" s="188"/>
      <c r="T119" s="564"/>
      <c r="U119" s="1294">
        <v>1</v>
      </c>
      <c r="V119" s="564"/>
      <c r="W119" s="564"/>
      <c r="X119" s="564"/>
      <c r="Y119" s="564"/>
      <c r="Z119" s="564"/>
      <c r="AA119" s="564"/>
      <c r="AB119" s="564"/>
      <c r="AC119" s="564"/>
      <c r="AD119" s="564"/>
      <c r="AE119" s="564"/>
      <c r="AF119" s="564"/>
      <c r="AG119" s="229">
        <f>SUM(T119:AF119)</f>
        <v>1</v>
      </c>
      <c r="AH119" s="230"/>
      <c r="AI119" s="4134">
        <v>1</v>
      </c>
      <c r="AJ119" s="4135">
        <f>IF(R119&gt;0,1,0)</f>
        <v>1</v>
      </c>
    </row>
    <row r="120" spans="1:36" s="50" customFormat="1" ht="27" customHeight="1" x14ac:dyDescent="0.3">
      <c r="A120" s="23"/>
      <c r="B120" s="166" t="s">
        <v>112</v>
      </c>
      <c r="C120" s="231" t="s">
        <v>29</v>
      </c>
      <c r="D120" s="168">
        <f>SUM(D115:D119)</f>
        <v>152</v>
      </c>
      <c r="E120" s="168">
        <f>SUM(E115:E119)</f>
        <v>0</v>
      </c>
      <c r="F120" s="169">
        <f>SUM(F115:F119)</f>
        <v>136091</v>
      </c>
      <c r="G120" s="169">
        <f t="shared" ref="G120:I120" si="100">SUM(G115:G119)</f>
        <v>2128</v>
      </c>
      <c r="H120" s="169">
        <f t="shared" si="100"/>
        <v>0</v>
      </c>
      <c r="I120" s="169">
        <f t="shared" si="100"/>
        <v>133963</v>
      </c>
      <c r="J120" s="170"/>
      <c r="K120" s="224">
        <f>SUM(K115:K119)</f>
        <v>1600</v>
      </c>
      <c r="L120" s="224">
        <f t="shared" ref="L120:P120" si="101">SUM(L115:L119)</f>
        <v>1</v>
      </c>
      <c r="M120" s="219">
        <f t="shared" si="101"/>
        <v>72265</v>
      </c>
      <c r="N120" s="219">
        <f t="shared" si="101"/>
        <v>0</v>
      </c>
      <c r="O120" s="219">
        <f t="shared" si="101"/>
        <v>0</v>
      </c>
      <c r="P120" s="219">
        <f t="shared" si="101"/>
        <v>72265</v>
      </c>
      <c r="Q120" s="190"/>
      <c r="R120" s="169">
        <f>SUM(R115:R119)</f>
        <v>206228</v>
      </c>
      <c r="S120" s="170"/>
      <c r="T120" s="232">
        <f>SUM(T115:T119)</f>
        <v>76</v>
      </c>
      <c r="U120" s="232">
        <f t="shared" ref="U120:AF120" si="102">SUM(U115:U119)</f>
        <v>51</v>
      </c>
      <c r="V120" s="232">
        <f t="shared" si="102"/>
        <v>1534</v>
      </c>
      <c r="W120" s="232">
        <f t="shared" si="102"/>
        <v>2</v>
      </c>
      <c r="X120" s="232">
        <f t="shared" si="102"/>
        <v>0</v>
      </c>
      <c r="Y120" s="232">
        <f t="shared" si="102"/>
        <v>76</v>
      </c>
      <c r="Z120" s="232">
        <f t="shared" si="102"/>
        <v>0</v>
      </c>
      <c r="AA120" s="232">
        <f t="shared" si="102"/>
        <v>0</v>
      </c>
      <c r="AB120" s="232">
        <f t="shared" si="102"/>
        <v>0</v>
      </c>
      <c r="AC120" s="232">
        <f t="shared" si="102"/>
        <v>0</v>
      </c>
      <c r="AD120" s="232">
        <f t="shared" si="102"/>
        <v>0</v>
      </c>
      <c r="AE120" s="232">
        <f t="shared" si="102"/>
        <v>0</v>
      </c>
      <c r="AF120" s="232">
        <f t="shared" si="102"/>
        <v>14</v>
      </c>
      <c r="AG120" s="232">
        <f>SUM(T120:AF120)</f>
        <v>1753</v>
      </c>
      <c r="AH120" s="226"/>
      <c r="AI120" s="4153">
        <f>SUM(AI115:AI119)</f>
        <v>85</v>
      </c>
      <c r="AJ120" s="4154">
        <f>SUM(AJ115:AJ119)</f>
        <v>5</v>
      </c>
    </row>
    <row r="121" spans="1:36" s="12" customFormat="1" ht="28.2" customHeight="1" x14ac:dyDescent="0.3">
      <c r="A121" s="105"/>
      <c r="B121" s="4126" t="s">
        <v>180</v>
      </c>
      <c r="C121" s="233" t="s">
        <v>40</v>
      </c>
      <c r="D121" s="157">
        <v>0</v>
      </c>
      <c r="E121" s="193">
        <v>0</v>
      </c>
      <c r="F121" s="63">
        <v>0</v>
      </c>
      <c r="G121" s="234">
        <v>0</v>
      </c>
      <c r="H121" s="148">
        <v>0</v>
      </c>
      <c r="I121" s="152">
        <f t="shared" ref="I121" si="103">F121-G121</f>
        <v>0</v>
      </c>
      <c r="J121" s="185"/>
      <c r="K121" s="164">
        <v>0</v>
      </c>
      <c r="L121" s="164">
        <v>0</v>
      </c>
      <c r="M121" s="152">
        <v>0</v>
      </c>
      <c r="N121" s="152">
        <v>0</v>
      </c>
      <c r="O121" s="152">
        <v>0</v>
      </c>
      <c r="P121" s="152">
        <f t="shared" ref="P121" si="104">M121-N121</f>
        <v>0</v>
      </c>
      <c r="Q121" s="63"/>
      <c r="R121" s="152">
        <f t="shared" ref="R121" si="105">I121+P121</f>
        <v>0</v>
      </c>
      <c r="S121" s="188"/>
      <c r="T121" s="564"/>
      <c r="U121" s="684">
        <v>0</v>
      </c>
      <c r="V121" s="564"/>
      <c r="W121" s="684">
        <v>0</v>
      </c>
      <c r="X121" s="564"/>
      <c r="Y121" s="564"/>
      <c r="Z121" s="684">
        <v>0</v>
      </c>
      <c r="AA121" s="564"/>
      <c r="AB121" s="564"/>
      <c r="AC121" s="564"/>
      <c r="AD121" s="564"/>
      <c r="AE121" s="564"/>
      <c r="AF121" s="564"/>
      <c r="AG121" s="229">
        <f t="shared" ref="AG121" si="106">SUM(T121:AE121)</f>
        <v>0</v>
      </c>
      <c r="AH121" s="235"/>
      <c r="AI121" s="4144">
        <v>0</v>
      </c>
      <c r="AJ121" s="4145">
        <f>IF(R121&gt;0,1,0)</f>
        <v>0</v>
      </c>
    </row>
    <row r="122" spans="1:36" s="50" customFormat="1" ht="27" customHeight="1" x14ac:dyDescent="0.3">
      <c r="A122" s="23"/>
      <c r="B122" s="166" t="s">
        <v>112</v>
      </c>
      <c r="C122" s="236" t="s">
        <v>29</v>
      </c>
      <c r="D122" s="168">
        <f>SUM(D121:D121)</f>
        <v>0</v>
      </c>
      <c r="E122" s="168">
        <f t="shared" ref="E122:I122" si="107">SUM(E121:E121)</f>
        <v>0</v>
      </c>
      <c r="F122" s="169">
        <f t="shared" si="107"/>
        <v>0</v>
      </c>
      <c r="G122" s="169">
        <f t="shared" si="107"/>
        <v>0</v>
      </c>
      <c r="H122" s="169">
        <f t="shared" si="107"/>
        <v>0</v>
      </c>
      <c r="I122" s="169">
        <f t="shared" si="107"/>
        <v>0</v>
      </c>
      <c r="J122" s="190"/>
      <c r="K122" s="224">
        <f t="shared" ref="K122:P122" si="108">SUM(K121:K121)</f>
        <v>0</v>
      </c>
      <c r="L122" s="224">
        <f t="shared" si="108"/>
        <v>0</v>
      </c>
      <c r="M122" s="169">
        <f t="shared" si="108"/>
        <v>0</v>
      </c>
      <c r="N122" s="169">
        <f t="shared" si="108"/>
        <v>0</v>
      </c>
      <c r="O122" s="169">
        <f t="shared" si="108"/>
        <v>0</v>
      </c>
      <c r="P122" s="169">
        <f t="shared" si="108"/>
        <v>0</v>
      </c>
      <c r="Q122" s="190"/>
      <c r="R122" s="169">
        <f>SUM(R121:R121)</f>
        <v>0</v>
      </c>
      <c r="S122" s="190"/>
      <c r="T122" s="232">
        <f>SUM(T121:T121)</f>
        <v>0</v>
      </c>
      <c r="U122" s="232">
        <f t="shared" ref="U122:AE122" si="109">SUM(U121:U121)</f>
        <v>0</v>
      </c>
      <c r="V122" s="232">
        <f t="shared" si="109"/>
        <v>0</v>
      </c>
      <c r="W122" s="232">
        <f t="shared" si="109"/>
        <v>0</v>
      </c>
      <c r="X122" s="232">
        <f t="shared" si="109"/>
        <v>0</v>
      </c>
      <c r="Y122" s="232">
        <f t="shared" si="109"/>
        <v>0</v>
      </c>
      <c r="Z122" s="232">
        <f t="shared" si="109"/>
        <v>0</v>
      </c>
      <c r="AA122" s="232">
        <f t="shared" si="109"/>
        <v>0</v>
      </c>
      <c r="AB122" s="232">
        <f t="shared" si="109"/>
        <v>0</v>
      </c>
      <c r="AC122" s="232">
        <f t="shared" si="109"/>
        <v>0</v>
      </c>
      <c r="AD122" s="232">
        <f t="shared" si="109"/>
        <v>0</v>
      </c>
      <c r="AE122" s="232">
        <f t="shared" si="109"/>
        <v>0</v>
      </c>
      <c r="AF122" s="232">
        <f t="shared" ref="AF122" si="110">SUM(AF121:AF121)</f>
        <v>0</v>
      </c>
      <c r="AG122" s="232">
        <f>SUM(T122:AF122)</f>
        <v>0</v>
      </c>
      <c r="AH122" s="237"/>
      <c r="AI122" s="4153">
        <f>SUM(AI121:AI121)</f>
        <v>0</v>
      </c>
      <c r="AJ122" s="4154">
        <f>SUM(AJ121:AJ121)</f>
        <v>0</v>
      </c>
    </row>
    <row r="123" spans="1:36" s="50" customFormat="1" ht="27" customHeight="1" x14ac:dyDescent="0.3">
      <c r="A123" s="23"/>
      <c r="B123" s="238" t="s">
        <v>9</v>
      </c>
      <c r="C123" s="239"/>
      <c r="D123" s="240">
        <f>D33+D48+D56+D59+D70+D79+D82+D84+D92+D94+D98+D114+D120+D122</f>
        <v>284</v>
      </c>
      <c r="E123" s="240">
        <f>E33+E48+E56+E59+E70+E79+E82+E84+E92+E94+E98+E114+E120+E122</f>
        <v>16</v>
      </c>
      <c r="F123" s="241">
        <f>F33+F48+F56+F59+F70+F79+F82+F84+F92+F94+F98+F114+F120+F122</f>
        <v>215283</v>
      </c>
      <c r="G123" s="241">
        <f t="shared" ref="G123:I123" si="111">G33+G48+G56+G59+G70+G79+G82+G84+G92+G94+G98+G114+G120+G122</f>
        <v>23494</v>
      </c>
      <c r="H123" s="241">
        <f t="shared" si="111"/>
        <v>2</v>
      </c>
      <c r="I123" s="241">
        <f t="shared" si="111"/>
        <v>191789</v>
      </c>
      <c r="J123" s="242"/>
      <c r="K123" s="243">
        <f>K33+K48+K56+K59+K70+K79+K82+K84+K92+K94+K98+K114+K120+K122</f>
        <v>2072</v>
      </c>
      <c r="L123" s="243">
        <f>L33+L48+L56+L59+L70+L79+L82+L84+L92+L94+L98+L114+L120+L122</f>
        <v>27</v>
      </c>
      <c r="M123" s="400">
        <f>M33+M48+M56+M59+M70+M79+M82+M84+M92+M94+M98+M114+M120+M122</f>
        <v>386668</v>
      </c>
      <c r="N123" s="400">
        <f t="shared" ref="N123:P123" si="112">N33+N48+N56+N59+N70+N79+N82+N84+N92+N94+N98+N114+N120+N122</f>
        <v>0</v>
      </c>
      <c r="O123" s="400">
        <f t="shared" si="112"/>
        <v>0</v>
      </c>
      <c r="P123" s="400">
        <f t="shared" si="112"/>
        <v>386668</v>
      </c>
      <c r="Q123" s="244"/>
      <c r="R123" s="241">
        <f>R33+R48+R56+R59+R70+R79+R82+R84+R92+R94+R98+R114+R120+R122</f>
        <v>578457</v>
      </c>
      <c r="S123" s="190"/>
      <c r="T123" s="245">
        <f>T33+T48+T56++T59+T70+T79+T82+T84+T92+T94+T98+T114+T120+T122</f>
        <v>152</v>
      </c>
      <c r="U123" s="245">
        <f t="shared" ref="U123:AF123" si="113">U33+U48+U56++U59+U70+U79+U82+U84+U92+U94+U98+U114+U120+U122</f>
        <v>256</v>
      </c>
      <c r="V123" s="245">
        <f t="shared" si="113"/>
        <v>1771</v>
      </c>
      <c r="W123" s="245">
        <f t="shared" si="113"/>
        <v>49</v>
      </c>
      <c r="X123" s="245">
        <f t="shared" si="113"/>
        <v>9</v>
      </c>
      <c r="Y123" s="245">
        <f t="shared" si="113"/>
        <v>77</v>
      </c>
      <c r="Z123" s="245">
        <f t="shared" si="113"/>
        <v>4</v>
      </c>
      <c r="AA123" s="245">
        <f t="shared" si="113"/>
        <v>0</v>
      </c>
      <c r="AB123" s="245">
        <f t="shared" si="113"/>
        <v>26</v>
      </c>
      <c r="AC123" s="245">
        <f t="shared" si="113"/>
        <v>38</v>
      </c>
      <c r="AD123" s="245">
        <f t="shared" si="113"/>
        <v>2</v>
      </c>
      <c r="AE123" s="245">
        <f t="shared" si="113"/>
        <v>1</v>
      </c>
      <c r="AF123" s="245">
        <f t="shared" si="113"/>
        <v>14</v>
      </c>
      <c r="AG123" s="245">
        <f>AG33+AG48+AG56++AG59+AG70+AG79+AG82+AG84+AG92+AG94+AG98+AG114+AG120+AG122</f>
        <v>2399</v>
      </c>
      <c r="AH123" s="237"/>
      <c r="AI123" s="4155">
        <f>SUM(AI33,AI48,AI56,AI59,AI70,AI79,AI82,AI84,AI92,AI94,AI98,AI114,AI120,AI122)</f>
        <v>368</v>
      </c>
      <c r="AJ123" s="4156">
        <f>SUM(AJ33,AJ48,AJ56,AJ59,AJ70,AJ79,AJ82,AJ84,AJ92,AJ94,AJ98,AJ114,AJ120,AJ122)</f>
        <v>54</v>
      </c>
    </row>
    <row r="124" spans="1:36" ht="12.6" hidden="1" customHeight="1" x14ac:dyDescent="0.3">
      <c r="F124" s="85">
        <f>(F123-G123)-I123</f>
        <v>0</v>
      </c>
      <c r="R124" s="246"/>
      <c r="AH124" s="247"/>
    </row>
    <row r="125" spans="1:36" ht="25.8" x14ac:dyDescent="0.5">
      <c r="B125"/>
      <c r="D125" s="248"/>
      <c r="E125" s="249">
        <f>I123/R123</f>
        <v>0.33155273425682463</v>
      </c>
      <c r="F125" s="249"/>
      <c r="G125" s="249"/>
      <c r="H125" s="250"/>
      <c r="I125" s="251">
        <f>I123/R123</f>
        <v>0.33155273425682463</v>
      </c>
      <c r="J125" s="252"/>
      <c r="K125" s="252"/>
      <c r="L125" s="252"/>
      <c r="M125" s="252"/>
      <c r="N125" s="252"/>
      <c r="O125" s="253"/>
      <c r="P125" s="251">
        <f>P123/R123</f>
        <v>0.66844726574317537</v>
      </c>
      <c r="Q125" s="252"/>
      <c r="R125" s="254">
        <f>I125+P125</f>
        <v>1</v>
      </c>
      <c r="S125" s="252"/>
      <c r="U125" s="4333">
        <f>U123+V123+W123</f>
        <v>2076</v>
      </c>
      <c r="V125" s="4334"/>
      <c r="W125" s="4335"/>
      <c r="X125" s="255"/>
      <c r="AE125" s="256" t="s">
        <v>181</v>
      </c>
      <c r="AF125" s="389"/>
      <c r="AG125" s="257">
        <f>AG123-U125</f>
        <v>323</v>
      </c>
      <c r="AH125" s="258">
        <f>AG125/AG123</f>
        <v>0.13463943309712381</v>
      </c>
      <c r="AJ125" s="259"/>
    </row>
    <row r="126" spans="1:36" x14ac:dyDescent="0.3">
      <c r="B126"/>
      <c r="D126" s="402"/>
      <c r="E126" s="402"/>
      <c r="F126" s="402"/>
      <c r="G126" s="402"/>
      <c r="H126" s="402"/>
      <c r="I126" s="402"/>
      <c r="J126" s="260"/>
      <c r="K126" s="260"/>
      <c r="L126" s="260"/>
      <c r="M126" s="260"/>
      <c r="N126" s="260"/>
      <c r="O126" s="260"/>
      <c r="P126" s="260"/>
      <c r="Q126" s="260"/>
      <c r="R126" s="260"/>
      <c r="S126" s="260"/>
      <c r="AE126" s="261" t="s">
        <v>23</v>
      </c>
      <c r="AF126" s="390"/>
      <c r="AG126" s="262">
        <f>U125</f>
        <v>2076</v>
      </c>
      <c r="AH126" s="263">
        <f>AG126/AG123</f>
        <v>0.86536056690287622</v>
      </c>
    </row>
    <row r="127" spans="1:36" ht="25.5" customHeight="1" x14ac:dyDescent="0.3">
      <c r="D127" s="264"/>
      <c r="AG127" s="108" t="s">
        <v>29</v>
      </c>
    </row>
    <row r="128" spans="1:36" x14ac:dyDescent="0.3">
      <c r="T128" s="265" t="s">
        <v>29</v>
      </c>
    </row>
    <row r="129" spans="3:33" ht="27.6" x14ac:dyDescent="0.3">
      <c r="C129" s="266" t="s">
        <v>182</v>
      </c>
      <c r="D129" s="267" t="s">
        <v>184</v>
      </c>
      <c r="E129" s="268" t="s">
        <v>185</v>
      </c>
      <c r="F129" s="269" t="s">
        <v>186</v>
      </c>
      <c r="G129" s="270" t="s">
        <v>187</v>
      </c>
      <c r="M129" s="62"/>
      <c r="N129" s="62"/>
      <c r="P129" s="62"/>
      <c r="T129" s="265" t="s">
        <v>29</v>
      </c>
    </row>
    <row r="130" spans="3:33" ht="15.6" customHeight="1" x14ac:dyDescent="0.3">
      <c r="C130" s="4336" t="s">
        <v>261</v>
      </c>
      <c r="D130" s="4337">
        <f>COUNTA(B13,B14,B15,B17,B20,B22,B24,B25,B28,B29,B30,B31,B37,B39,B40,B42,B44,B47,B50,B53,B55,B60,B61,B65,B66,B67,B71,B75,B78,B80,B83,B85,B86,B87,B88,B89,B99,B102,B103,B104,B105,B106,B108,B109,B115,B116,B117,B118)</f>
        <v>48</v>
      </c>
      <c r="E130" s="4338">
        <f>D123+K123</f>
        <v>2356</v>
      </c>
      <c r="F130" s="271"/>
      <c r="G130" s="272"/>
      <c r="I130" s="24"/>
      <c r="T130" s="265" t="s">
        <v>29</v>
      </c>
    </row>
    <row r="131" spans="3:33" x14ac:dyDescent="0.3">
      <c r="C131" s="4336"/>
      <c r="D131" s="4337"/>
      <c r="E131" s="4337"/>
      <c r="F131" s="273">
        <f>D123</f>
        <v>284</v>
      </c>
      <c r="G131" s="274">
        <f>K123</f>
        <v>2072</v>
      </c>
      <c r="I131" s="12"/>
      <c r="T131" s="265" t="s">
        <v>29</v>
      </c>
    </row>
    <row r="132" spans="3:33" ht="10.8" customHeight="1" x14ac:dyDescent="0.3">
      <c r="C132" s="4336"/>
      <c r="D132" s="4337"/>
      <c r="E132" s="4337"/>
      <c r="F132" s="275"/>
      <c r="G132" s="276"/>
      <c r="I132" s="12"/>
      <c r="AG132"/>
    </row>
    <row r="133" spans="3:33" x14ac:dyDescent="0.3">
      <c r="C133" s="277"/>
      <c r="D133" s="4325">
        <f>COUNTA(D16,D18,D19,D21,D23,D26,D27,D32,D34,D35,D36,D38,D41,D43,D45,D46,D49,D51,D52,D54,D57,D62,D63,D64,D68,D72,D73,D74,D76,D77,D90,D95,D96,D97,D100,D101,D107,D110,D111,D112,D113,D121)</f>
        <v>42</v>
      </c>
      <c r="E133" s="4326">
        <f>'Non participation 2024'!D80+'Non participation 2024'!E80</f>
        <v>283</v>
      </c>
      <c r="G133" s="278"/>
    </row>
    <row r="134" spans="3:33" ht="14.4" x14ac:dyDescent="0.3">
      <c r="C134" s="277"/>
      <c r="D134" s="4325"/>
      <c r="E134" s="4327"/>
      <c r="G134" s="278"/>
      <c r="T134" s="279"/>
      <c r="AG134"/>
    </row>
    <row r="135" spans="3:33" ht="21.6" customHeight="1" x14ac:dyDescent="0.3">
      <c r="C135" s="277"/>
      <c r="D135" s="4325"/>
      <c r="E135" s="4327"/>
      <c r="G135" s="278"/>
    </row>
    <row r="136" spans="3:33" ht="27" customHeight="1" x14ac:dyDescent="0.3">
      <c r="C136" s="277"/>
      <c r="D136" s="280">
        <f>COUNTA(D58,D69,D81,D91,D93,D119)</f>
        <v>6</v>
      </c>
      <c r="E136" s="281">
        <f>E123+L123</f>
        <v>43</v>
      </c>
      <c r="F136" s="105">
        <f>E123</f>
        <v>16</v>
      </c>
      <c r="G136" s="282">
        <f>L123</f>
        <v>27</v>
      </c>
    </row>
    <row r="137" spans="3:33" x14ac:dyDescent="0.3">
      <c r="C137" s="4328" t="s">
        <v>188</v>
      </c>
      <c r="D137" s="283"/>
      <c r="E137" s="283"/>
      <c r="F137" s="284"/>
      <c r="G137" s="285"/>
    </row>
    <row r="138" spans="3:33" x14ac:dyDescent="0.3">
      <c r="C138" s="4329"/>
      <c r="D138" s="286">
        <f>D130+D133+D136</f>
        <v>96</v>
      </c>
      <c r="E138" s="287">
        <f>E130+E133+E136</f>
        <v>2682</v>
      </c>
      <c r="F138" s="4331">
        <f>F131+G131+F136+G136</f>
        <v>2399</v>
      </c>
      <c r="G138" s="4332"/>
    </row>
    <row r="139" spans="3:33" x14ac:dyDescent="0.3">
      <c r="C139" s="4330"/>
      <c r="D139" s="288"/>
      <c r="E139" s="288"/>
      <c r="F139" s="289"/>
      <c r="G139" s="290"/>
    </row>
    <row r="141" spans="3:33" x14ac:dyDescent="0.3">
      <c r="E141" s="38"/>
    </row>
    <row r="147" ht="18" customHeight="1" x14ac:dyDescent="0.3"/>
  </sheetData>
  <mergeCells count="21">
    <mergeCell ref="AJ11:AJ12"/>
    <mergeCell ref="D8:I8"/>
    <mergeCell ref="K8:P8"/>
    <mergeCell ref="B9:C9"/>
    <mergeCell ref="B10:C11"/>
    <mergeCell ref="D10:I10"/>
    <mergeCell ref="K10:P10"/>
    <mergeCell ref="F11:I11"/>
    <mergeCell ref="M11:P11"/>
    <mergeCell ref="U11:W11"/>
    <mergeCell ref="AG11:AG12"/>
    <mergeCell ref="AH11:AH12"/>
    <mergeCell ref="AI11:AI12"/>
    <mergeCell ref="D133:D135"/>
    <mergeCell ref="E133:E135"/>
    <mergeCell ref="C137:C139"/>
    <mergeCell ref="F138:G138"/>
    <mergeCell ref="U125:W125"/>
    <mergeCell ref="C130:C132"/>
    <mergeCell ref="D130:D132"/>
    <mergeCell ref="E130:E132"/>
  </mergeCells>
  <phoneticPr fontId="94" type="noConversion"/>
  <pageMargins left="0.7" right="0.7" top="0.75" bottom="0.75" header="0.3" footer="0.3"/>
  <pageSetup orientation="landscape" r:id="rId1"/>
  <headerFooter>
    <oddHeader>&amp;L&amp;G | Confidential &amp; Property of WILL Solutions Inc.</oddHeader>
  </headerFooter>
  <ignoredErrors>
    <ignoredError sqref="AG118 R83:R84 P84 P79 P114 R114 P98 R98 I79 I84 P83 I56 P56 R56 AG56 AG59 AJ48 R92" formula="1"/>
  </ignoredErrors>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6C3BF-D561-4747-98E9-402CF5D865B9}">
  <dimension ref="A1:AD906"/>
  <sheetViews>
    <sheetView workbookViewId="0">
      <selection activeCell="F5" sqref="F5"/>
    </sheetView>
  </sheetViews>
  <sheetFormatPr defaultColWidth="12.44140625" defaultRowHeight="15" customHeight="1" x14ac:dyDescent="0.3"/>
  <cols>
    <col min="1" max="1" width="2.6640625" style="691" customWidth="1"/>
    <col min="2" max="2" width="5.109375" style="691" customWidth="1"/>
    <col min="3" max="3" width="32.5546875" style="691" customWidth="1"/>
    <col min="4" max="4" width="34" style="691" customWidth="1"/>
    <col min="5" max="5" width="8.88671875" style="691" customWidth="1"/>
    <col min="6" max="6" width="32.44140625" style="691" customWidth="1"/>
    <col min="7" max="7" width="12.77734375" style="691" customWidth="1"/>
    <col min="8" max="8" width="12.77734375" style="691" hidden="1" customWidth="1"/>
    <col min="9" max="9" width="12.77734375" style="691" customWidth="1"/>
    <col min="10" max="12" width="12.77734375" style="691" hidden="1" customWidth="1"/>
    <col min="13" max="25" width="11.5546875" style="691" hidden="1" customWidth="1"/>
    <col min="26" max="26" width="11.5546875" style="691" customWidth="1"/>
    <col min="27" max="30" width="11.6640625" style="691" customWidth="1"/>
    <col min="31" max="16384" width="12.44140625" style="691"/>
  </cols>
  <sheetData>
    <row r="1" spans="1:30" ht="23.25" customHeight="1" x14ac:dyDescent="0.35">
      <c r="A1" s="775"/>
      <c r="B1" s="776" t="s">
        <v>2363</v>
      </c>
    </row>
    <row r="2" spans="1:30" ht="13.5" customHeight="1" x14ac:dyDescent="0.3">
      <c r="A2" s="775"/>
      <c r="B2" s="777" t="s">
        <v>340</v>
      </c>
      <c r="C2" s="693"/>
      <c r="D2" s="693"/>
      <c r="E2" s="693"/>
      <c r="F2" s="693"/>
      <c r="G2" s="693"/>
      <c r="H2" s="693"/>
      <c r="I2" s="693"/>
      <c r="J2" s="693"/>
      <c r="K2" s="693"/>
      <c r="L2" s="693"/>
      <c r="M2" s="693"/>
      <c r="N2" s="693"/>
      <c r="O2" s="693"/>
      <c r="P2" s="693"/>
      <c r="Q2" s="693"/>
      <c r="R2" s="693"/>
      <c r="S2" s="693"/>
      <c r="T2" s="693"/>
      <c r="U2" s="693"/>
      <c r="V2" s="693"/>
      <c r="W2" s="693"/>
      <c r="X2" s="693"/>
      <c r="Y2" s="693"/>
      <c r="Z2" s="693"/>
    </row>
    <row r="3" spans="1:30" ht="15.75" customHeight="1" x14ac:dyDescent="0.3">
      <c r="B3" s="778"/>
    </row>
    <row r="4" spans="1:30" ht="19.2" customHeight="1" x14ac:dyDescent="0.3">
      <c r="B4" s="779" t="s">
        <v>899</v>
      </c>
      <c r="C4" s="780"/>
      <c r="D4" s="780"/>
    </row>
    <row r="5" spans="1:30" ht="19.2" customHeight="1" x14ac:dyDescent="0.3">
      <c r="B5" s="779" t="s">
        <v>341</v>
      </c>
      <c r="C5" s="780"/>
      <c r="D5" s="780"/>
    </row>
    <row r="6" spans="1:30" ht="15.75" customHeight="1" x14ac:dyDescent="0.3">
      <c r="B6" s="778"/>
    </row>
    <row r="7" spans="1:30" ht="15.75" customHeight="1" x14ac:dyDescent="0.3">
      <c r="B7" s="781" t="s">
        <v>473</v>
      </c>
    </row>
    <row r="8" spans="1:30" ht="9" customHeight="1" x14ac:dyDescent="0.3">
      <c r="B8" s="782"/>
      <c r="G8" s="690"/>
      <c r="H8" s="690"/>
      <c r="I8" s="690"/>
      <c r="J8" s="690"/>
      <c r="K8" s="690"/>
      <c r="L8" s="690"/>
      <c r="Z8" s="690"/>
    </row>
    <row r="9" spans="1:30" ht="15.75" customHeight="1" x14ac:dyDescent="0.3">
      <c r="B9" s="783" t="s">
        <v>301</v>
      </c>
      <c r="C9" s="784" t="s">
        <v>343</v>
      </c>
      <c r="D9" s="785" t="s">
        <v>344</v>
      </c>
      <c r="E9" s="785" t="s">
        <v>345</v>
      </c>
      <c r="F9" s="785" t="s">
        <v>346</v>
      </c>
      <c r="G9" s="786" t="s">
        <v>347</v>
      </c>
      <c r="H9" s="787">
        <v>2025</v>
      </c>
      <c r="I9" s="787">
        <v>2024</v>
      </c>
      <c r="J9" s="787">
        <v>2023</v>
      </c>
      <c r="K9" s="787">
        <v>2022</v>
      </c>
      <c r="L9" s="787">
        <v>2021</v>
      </c>
      <c r="M9" s="787">
        <v>2020</v>
      </c>
      <c r="N9" s="787">
        <v>2019</v>
      </c>
      <c r="O9" s="788">
        <v>2018</v>
      </c>
      <c r="P9" s="788">
        <v>2017</v>
      </c>
      <c r="Q9" s="788">
        <v>2016</v>
      </c>
      <c r="R9" s="788">
        <v>2015</v>
      </c>
      <c r="S9" s="788">
        <v>2014</v>
      </c>
      <c r="T9" s="788">
        <v>2013</v>
      </c>
      <c r="U9" s="788">
        <v>2012</v>
      </c>
      <c r="V9" s="788">
        <v>2011</v>
      </c>
      <c r="W9" s="788">
        <v>2010</v>
      </c>
      <c r="X9" s="788">
        <v>2009</v>
      </c>
      <c r="Y9" s="788">
        <v>2008</v>
      </c>
      <c r="Z9" s="789" t="s">
        <v>332</v>
      </c>
    </row>
    <row r="10" spans="1:30" ht="30.6" customHeight="1" x14ac:dyDescent="0.3">
      <c r="A10" s="790"/>
      <c r="B10" s="791">
        <v>1</v>
      </c>
      <c r="C10" s="792" t="s">
        <v>474</v>
      </c>
      <c r="D10" s="793" t="s">
        <v>640</v>
      </c>
      <c r="E10" s="794" t="s">
        <v>363</v>
      </c>
      <c r="F10" s="795" t="s">
        <v>1957</v>
      </c>
      <c r="G10" s="796">
        <v>2013</v>
      </c>
      <c r="H10" s="797"/>
      <c r="I10" s="797">
        <v>0</v>
      </c>
      <c r="J10" s="1210">
        <v>0</v>
      </c>
      <c r="K10" s="1210">
        <v>0</v>
      </c>
      <c r="L10" s="1210">
        <v>0</v>
      </c>
      <c r="M10" s="1210">
        <v>0</v>
      </c>
      <c r="N10" s="1210">
        <v>0</v>
      </c>
      <c r="O10" s="1210">
        <v>13.31</v>
      </c>
      <c r="P10" s="1210">
        <v>48.52</v>
      </c>
      <c r="Q10" s="1210">
        <v>43.03</v>
      </c>
      <c r="R10" s="1210">
        <v>52.36</v>
      </c>
      <c r="S10" s="1210"/>
      <c r="T10" s="797"/>
      <c r="U10" s="801"/>
      <c r="V10" s="797"/>
      <c r="W10" s="801"/>
      <c r="X10" s="797"/>
      <c r="Y10" s="801"/>
      <c r="Z10" s="797"/>
      <c r="AA10" s="790"/>
      <c r="AB10" s="790"/>
      <c r="AC10" s="790"/>
      <c r="AD10" s="790"/>
    </row>
    <row r="11" spans="1:30" ht="24" customHeight="1" x14ac:dyDescent="0.3">
      <c r="A11" s="790"/>
      <c r="B11" s="791"/>
      <c r="C11" s="802" t="s">
        <v>474</v>
      </c>
      <c r="D11" s="802" t="s">
        <v>352</v>
      </c>
      <c r="E11" s="803" t="s">
        <v>353</v>
      </c>
      <c r="F11" s="768"/>
      <c r="G11" s="759"/>
      <c r="H11" s="804"/>
      <c r="I11" s="804">
        <v>307200</v>
      </c>
      <c r="J11" s="1211">
        <v>317160</v>
      </c>
      <c r="K11" s="1211">
        <v>385200</v>
      </c>
      <c r="L11" s="1211">
        <v>302280</v>
      </c>
      <c r="M11" s="1211">
        <v>297720</v>
      </c>
      <c r="N11" s="1211">
        <v>315840</v>
      </c>
      <c r="O11" s="1211">
        <v>301440</v>
      </c>
      <c r="P11" s="1211">
        <v>304920</v>
      </c>
      <c r="Q11" s="1211"/>
      <c r="R11" s="1211"/>
      <c r="S11" s="1211"/>
      <c r="T11" s="804"/>
      <c r="U11" s="808"/>
      <c r="V11" s="804"/>
      <c r="W11" s="808"/>
      <c r="X11" s="804"/>
      <c r="Y11" s="808"/>
      <c r="Z11" s="804"/>
      <c r="AA11" s="790"/>
      <c r="AB11" s="790"/>
      <c r="AC11" s="790"/>
      <c r="AD11" s="790"/>
    </row>
    <row r="12" spans="1:30" ht="30" customHeight="1" x14ac:dyDescent="0.3">
      <c r="A12" s="790"/>
      <c r="B12" s="791"/>
      <c r="C12" s="793" t="s">
        <v>374</v>
      </c>
      <c r="D12" s="793" t="s">
        <v>641</v>
      </c>
      <c r="E12" s="794" t="s">
        <v>642</v>
      </c>
      <c r="F12" s="795" t="s">
        <v>643</v>
      </c>
      <c r="G12" s="809"/>
      <c r="H12" s="810"/>
      <c r="I12" s="810">
        <v>29187.64843270689</v>
      </c>
      <c r="J12" s="1212">
        <v>30133.966721736058</v>
      </c>
      <c r="K12" s="1212">
        <v>36581.199999999997</v>
      </c>
      <c r="L12" s="1212">
        <v>28706.55</v>
      </c>
      <c r="M12" s="1212">
        <v>28273.5</v>
      </c>
      <c r="N12" s="1212">
        <v>29994.3</v>
      </c>
      <c r="O12" s="1212">
        <v>7045.92</v>
      </c>
      <c r="P12" s="1212">
        <v>25682.79</v>
      </c>
      <c r="Q12" s="1212">
        <v>22776.98</v>
      </c>
      <c r="R12" s="1212">
        <v>27715.79</v>
      </c>
      <c r="S12" s="1212">
        <v>27715.79</v>
      </c>
      <c r="T12" s="810"/>
      <c r="U12" s="801"/>
      <c r="V12" s="810"/>
      <c r="W12" s="801"/>
      <c r="X12" s="810"/>
      <c r="Y12" s="801"/>
      <c r="Z12" s="810"/>
      <c r="AA12" s="790"/>
      <c r="AB12" s="790"/>
      <c r="AC12" s="790"/>
      <c r="AD12" s="790"/>
    </row>
    <row r="13" spans="1:30" ht="30" customHeight="1" x14ac:dyDescent="0.3">
      <c r="A13" s="790"/>
      <c r="B13" s="791"/>
      <c r="C13" s="716" t="s">
        <v>374</v>
      </c>
      <c r="D13" s="768" t="s">
        <v>644</v>
      </c>
      <c r="E13" s="803" t="s">
        <v>642</v>
      </c>
      <c r="F13" s="768" t="s">
        <v>645</v>
      </c>
      <c r="G13" s="759"/>
      <c r="H13" s="804"/>
      <c r="I13" s="1213">
        <f>I12*C24</f>
        <v>4169.6640618152696</v>
      </c>
      <c r="J13" s="1211">
        <v>4309.157241208256</v>
      </c>
      <c r="K13" s="1211">
        <v>5225.8900000000003</v>
      </c>
      <c r="L13" s="1211">
        <v>4100.9399999999996</v>
      </c>
      <c r="M13" s="1211">
        <v>4039.07</v>
      </c>
      <c r="N13" s="1211">
        <v>4284.8999999999996</v>
      </c>
      <c r="O13" s="1211">
        <v>1006.56</v>
      </c>
      <c r="P13" s="1211">
        <v>3668.97</v>
      </c>
      <c r="Q13" s="1211">
        <v>3253.85</v>
      </c>
      <c r="R13" s="1211">
        <v>3959.4</v>
      </c>
      <c r="S13" s="1211">
        <v>3959.4</v>
      </c>
      <c r="T13" s="804"/>
      <c r="U13" s="808"/>
      <c r="V13" s="804"/>
      <c r="W13" s="808"/>
      <c r="X13" s="804"/>
      <c r="Y13" s="808"/>
      <c r="Z13" s="804"/>
      <c r="AA13" s="790"/>
      <c r="AB13" s="790"/>
      <c r="AC13" s="790"/>
      <c r="AD13" s="790"/>
    </row>
    <row r="14" spans="1:30" ht="24" customHeight="1" x14ac:dyDescent="0.3">
      <c r="A14" s="790"/>
      <c r="B14" s="791"/>
      <c r="C14" s="813"/>
      <c r="D14" s="813"/>
      <c r="E14" s="814"/>
      <c r="F14" s="815"/>
      <c r="G14" s="809"/>
      <c r="H14" s="810"/>
      <c r="I14" s="810"/>
      <c r="J14" s="810"/>
      <c r="K14" s="810"/>
      <c r="L14" s="810"/>
      <c r="M14" s="810"/>
      <c r="N14" s="810"/>
      <c r="O14" s="810"/>
      <c r="P14" s="810"/>
      <c r="Q14" s="810"/>
      <c r="R14" s="810"/>
      <c r="S14" s="810"/>
      <c r="T14" s="810"/>
      <c r="U14" s="801"/>
      <c r="V14" s="810"/>
      <c r="W14" s="801"/>
      <c r="X14" s="810"/>
      <c r="Y14" s="801"/>
      <c r="Z14" s="810"/>
      <c r="AA14" s="790"/>
      <c r="AB14" s="790"/>
      <c r="AC14" s="790"/>
      <c r="AD14" s="790"/>
    </row>
    <row r="15" spans="1:30" ht="24" hidden="1" customHeight="1" x14ac:dyDescent="0.3">
      <c r="A15" s="790"/>
      <c r="B15" s="791"/>
      <c r="C15" s="716"/>
      <c r="D15" s="716"/>
      <c r="E15" s="816"/>
      <c r="F15" s="817"/>
      <c r="G15" s="759"/>
      <c r="H15" s="804"/>
      <c r="I15" s="804"/>
      <c r="J15" s="804"/>
      <c r="K15" s="804"/>
      <c r="L15" s="804"/>
      <c r="M15" s="804"/>
      <c r="N15" s="804"/>
      <c r="O15" s="804"/>
      <c r="P15" s="804"/>
      <c r="Q15" s="804"/>
      <c r="R15" s="804"/>
      <c r="S15" s="804"/>
      <c r="T15" s="804"/>
      <c r="U15" s="808"/>
      <c r="V15" s="804"/>
      <c r="W15" s="808"/>
      <c r="X15" s="804"/>
      <c r="Y15" s="808"/>
      <c r="Z15" s="804"/>
      <c r="AA15" s="790"/>
      <c r="AB15" s="790"/>
      <c r="AC15" s="790"/>
      <c r="AD15" s="790"/>
    </row>
    <row r="16" spans="1:30" ht="24" hidden="1" customHeight="1" x14ac:dyDescent="0.3">
      <c r="A16" s="790"/>
      <c r="B16" s="791"/>
      <c r="C16" s="813"/>
      <c r="D16" s="813"/>
      <c r="E16" s="814"/>
      <c r="F16" s="815"/>
      <c r="G16" s="818"/>
      <c r="H16" s="810"/>
      <c r="I16" s="810"/>
      <c r="J16" s="810"/>
      <c r="K16" s="810"/>
      <c r="L16" s="810"/>
      <c r="M16" s="810"/>
      <c r="N16" s="810"/>
      <c r="O16" s="810"/>
      <c r="P16" s="810"/>
      <c r="Q16" s="810"/>
      <c r="R16" s="810"/>
      <c r="S16" s="810"/>
      <c r="T16" s="810"/>
      <c r="U16" s="801"/>
      <c r="V16" s="810"/>
      <c r="W16" s="801"/>
      <c r="X16" s="810"/>
      <c r="Y16" s="801"/>
      <c r="Z16" s="810"/>
      <c r="AA16" s="790"/>
      <c r="AB16" s="790"/>
      <c r="AC16" s="790"/>
      <c r="AD16" s="790"/>
    </row>
    <row r="17" spans="1:30" ht="24" customHeight="1" x14ac:dyDescent="0.3">
      <c r="A17" s="790"/>
      <c r="B17" s="819"/>
      <c r="C17" s="725"/>
      <c r="D17" s="725"/>
      <c r="E17" s="820"/>
      <c r="F17" s="821"/>
      <c r="G17" s="822"/>
      <c r="H17" s="823"/>
      <c r="I17" s="823"/>
      <c r="J17" s="823"/>
      <c r="K17" s="823"/>
      <c r="L17" s="823"/>
      <c r="M17" s="823"/>
      <c r="N17" s="823"/>
      <c r="O17" s="823"/>
      <c r="P17" s="823"/>
      <c r="Q17" s="823"/>
      <c r="R17" s="823"/>
      <c r="S17" s="823"/>
      <c r="T17" s="823"/>
      <c r="U17" s="824"/>
      <c r="V17" s="823"/>
      <c r="W17" s="824"/>
      <c r="X17" s="823"/>
      <c r="Y17" s="824"/>
      <c r="Z17" s="823"/>
      <c r="AA17" s="790"/>
      <c r="AB17" s="790"/>
      <c r="AC17" s="790"/>
      <c r="AD17" s="790"/>
    </row>
    <row r="18" spans="1:30" ht="15.75" customHeight="1" x14ac:dyDescent="0.3">
      <c r="A18" s="790"/>
      <c r="B18" s="825"/>
      <c r="C18" s="790"/>
      <c r="D18" s="790"/>
      <c r="E18" s="790"/>
      <c r="F18" s="790"/>
      <c r="G18" s="742"/>
      <c r="H18" s="742"/>
      <c r="I18" s="742"/>
      <c r="J18" s="742"/>
      <c r="K18" s="742"/>
      <c r="L18" s="742"/>
      <c r="M18" s="826"/>
      <c r="N18" s="826"/>
      <c r="O18" s="826"/>
      <c r="P18" s="826"/>
      <c r="Q18" s="826"/>
      <c r="R18" s="826"/>
      <c r="S18" s="826"/>
      <c r="T18" s="826"/>
      <c r="U18" s="826"/>
      <c r="V18" s="826"/>
      <c r="W18" s="826"/>
      <c r="X18" s="826"/>
      <c r="Y18" s="826"/>
      <c r="Z18" s="826"/>
      <c r="AA18" s="790"/>
      <c r="AB18" s="790"/>
      <c r="AC18" s="790"/>
      <c r="AD18" s="790"/>
    </row>
    <row r="19" spans="1:30" ht="15.75" customHeight="1" x14ac:dyDescent="0.3">
      <c r="A19" s="790"/>
      <c r="B19" s="827" t="s">
        <v>355</v>
      </c>
      <c r="C19" s="828" t="s">
        <v>356</v>
      </c>
      <c r="D19" s="790"/>
      <c r="E19" s="790"/>
      <c r="F19" s="790"/>
      <c r="G19" s="742"/>
      <c r="H19" s="742"/>
      <c r="I19" s="742"/>
      <c r="J19" s="742"/>
      <c r="K19" s="742"/>
      <c r="L19" s="742"/>
      <c r="M19" s="826"/>
      <c r="N19" s="826"/>
      <c r="O19" s="826"/>
      <c r="P19" s="826"/>
      <c r="Q19" s="826"/>
      <c r="R19" s="826"/>
      <c r="S19" s="826"/>
      <c r="T19" s="826"/>
      <c r="U19" s="826"/>
      <c r="V19" s="826"/>
      <c r="W19" s="826"/>
      <c r="X19" s="826"/>
      <c r="Y19" s="826"/>
      <c r="Z19" s="826"/>
      <c r="AA19" s="790"/>
      <c r="AB19" s="790"/>
      <c r="AC19" s="790"/>
      <c r="AD19" s="790"/>
    </row>
    <row r="20" spans="1:30" ht="15.75" customHeight="1" x14ac:dyDescent="0.3">
      <c r="A20" s="790"/>
      <c r="B20" s="825"/>
      <c r="C20" s="790"/>
      <c r="D20" s="790"/>
      <c r="E20" s="790"/>
      <c r="F20" s="790"/>
      <c r="G20" s="742"/>
      <c r="H20" s="742"/>
      <c r="I20" s="742"/>
      <c r="J20" s="742"/>
      <c r="K20" s="742"/>
      <c r="L20" s="742"/>
      <c r="M20" s="826"/>
      <c r="N20" s="826"/>
      <c r="O20" s="826"/>
      <c r="P20" s="826"/>
      <c r="Q20" s="826"/>
      <c r="R20" s="826"/>
      <c r="S20" s="826"/>
      <c r="T20" s="826"/>
      <c r="U20" s="826"/>
      <c r="V20" s="826"/>
      <c r="W20" s="826"/>
      <c r="X20" s="826"/>
      <c r="Y20" s="826"/>
      <c r="Z20" s="826"/>
      <c r="AA20" s="790"/>
      <c r="AB20" s="790"/>
      <c r="AC20" s="790"/>
      <c r="AD20" s="790"/>
    </row>
    <row r="21" spans="1:30" ht="15.75" customHeight="1" x14ac:dyDescent="0.3">
      <c r="A21" s="790"/>
      <c r="B21" s="4388" t="s">
        <v>357</v>
      </c>
      <c r="C21" s="4389"/>
      <c r="D21" s="790"/>
      <c r="E21" s="790"/>
      <c r="F21" s="790"/>
      <c r="G21" s="742"/>
      <c r="H21" s="742"/>
      <c r="I21" s="742"/>
      <c r="J21" s="742"/>
      <c r="K21" s="742"/>
      <c r="L21" s="742"/>
      <c r="M21" s="826"/>
      <c r="N21" s="826"/>
      <c r="O21" s="826"/>
      <c r="P21" s="826"/>
      <c r="Q21" s="826"/>
      <c r="R21" s="826"/>
      <c r="S21" s="826"/>
      <c r="T21" s="826"/>
      <c r="U21" s="826"/>
      <c r="V21" s="826"/>
      <c r="W21" s="826"/>
      <c r="X21" s="826"/>
      <c r="Y21" s="826"/>
      <c r="Z21" s="826"/>
      <c r="AA21" s="790"/>
      <c r="AB21" s="790"/>
      <c r="AC21" s="790"/>
      <c r="AD21" s="790"/>
    </row>
    <row r="22" spans="1:30" ht="15.75" customHeight="1" x14ac:dyDescent="0.3">
      <c r="A22" s="790"/>
      <c r="B22" s="829" t="s">
        <v>365</v>
      </c>
      <c r="C22" s="742">
        <v>2400</v>
      </c>
      <c r="D22" s="790" t="s">
        <v>646</v>
      </c>
      <c r="E22" s="790"/>
      <c r="F22" s="790"/>
      <c r="G22" s="742"/>
      <c r="H22" s="742"/>
      <c r="I22" s="742"/>
      <c r="J22" s="742"/>
      <c r="K22" s="742"/>
      <c r="L22" s="742"/>
      <c r="M22" s="826"/>
      <c r="N22" s="826"/>
      <c r="O22" s="826"/>
      <c r="P22" s="826"/>
      <c r="Q22" s="826"/>
      <c r="R22" s="826"/>
      <c r="S22" s="826"/>
      <c r="T22" s="826"/>
      <c r="U22" s="826"/>
      <c r="V22" s="826"/>
      <c r="W22" s="826"/>
      <c r="X22" s="826"/>
      <c r="Y22" s="826"/>
      <c r="Z22" s="826"/>
      <c r="AA22" s="790"/>
      <c r="AB22" s="790"/>
      <c r="AC22" s="790"/>
      <c r="AD22" s="790"/>
    </row>
    <row r="23" spans="1:30" ht="15.75" customHeight="1" x14ac:dyDescent="0.3">
      <c r="A23" s="790"/>
      <c r="B23" s="831"/>
      <c r="C23" s="742">
        <v>16800</v>
      </c>
      <c r="D23" s="790" t="s">
        <v>647</v>
      </c>
      <c r="E23" s="790"/>
      <c r="F23" s="790"/>
      <c r="G23" s="742"/>
      <c r="H23" s="742"/>
      <c r="I23" s="742"/>
      <c r="J23" s="742"/>
      <c r="K23" s="742"/>
      <c r="L23" s="742"/>
      <c r="M23" s="826"/>
      <c r="N23" s="826"/>
      <c r="O23" s="826"/>
      <c r="P23" s="826"/>
      <c r="Q23" s="826"/>
      <c r="R23" s="826"/>
      <c r="S23" s="826"/>
      <c r="T23" s="826"/>
      <c r="U23" s="826"/>
      <c r="V23" s="826"/>
      <c r="W23" s="826"/>
      <c r="X23" s="826"/>
      <c r="Y23" s="826"/>
      <c r="Z23" s="826"/>
      <c r="AA23" s="790"/>
      <c r="AB23" s="790"/>
      <c r="AC23" s="790"/>
      <c r="AD23" s="790"/>
    </row>
    <row r="24" spans="1:30" ht="15.75" customHeight="1" x14ac:dyDescent="0.3">
      <c r="C24" s="1214">
        <f>C22/C23</f>
        <v>0.14285714285714285</v>
      </c>
      <c r="D24" s="1215" t="s">
        <v>648</v>
      </c>
    </row>
    <row r="25" spans="1:30" ht="15.75" customHeight="1" x14ac:dyDescent="0.3"/>
    <row r="26" spans="1:30" ht="21" customHeight="1" x14ac:dyDescent="0.3">
      <c r="B26" s="781" t="s">
        <v>649</v>
      </c>
    </row>
    <row r="27" spans="1:30" ht="9" customHeight="1" x14ac:dyDescent="0.3">
      <c r="B27" s="781"/>
    </row>
    <row r="28" spans="1:30" ht="21" customHeight="1" x14ac:dyDescent="0.3">
      <c r="B28" s="779" t="s">
        <v>410</v>
      </c>
      <c r="C28" s="780"/>
      <c r="D28" s="780"/>
    </row>
    <row r="29" spans="1:30" ht="12" customHeight="1" x14ac:dyDescent="0.3"/>
    <row r="30" spans="1:30" ht="15.75" customHeight="1" x14ac:dyDescent="0.3">
      <c r="B30" s="783" t="s">
        <v>301</v>
      </c>
      <c r="C30" s="784" t="s">
        <v>343</v>
      </c>
      <c r="D30" s="785" t="s">
        <v>344</v>
      </c>
      <c r="E30" s="785" t="s">
        <v>345</v>
      </c>
      <c r="F30" s="785" t="s">
        <v>346</v>
      </c>
      <c r="G30" s="786" t="s">
        <v>347</v>
      </c>
      <c r="H30" s="787">
        <v>2025</v>
      </c>
      <c r="I30" s="787">
        <v>2024</v>
      </c>
      <c r="J30" s="787">
        <v>2023</v>
      </c>
      <c r="K30" s="787">
        <v>2022</v>
      </c>
      <c r="L30" s="787">
        <v>2021</v>
      </c>
      <c r="M30" s="787">
        <v>2020</v>
      </c>
      <c r="N30" s="787">
        <v>2019</v>
      </c>
      <c r="O30" s="788">
        <v>2018</v>
      </c>
      <c r="P30" s="788">
        <v>2017</v>
      </c>
      <c r="Q30" s="788">
        <v>2016</v>
      </c>
      <c r="R30" s="788">
        <v>2015</v>
      </c>
      <c r="S30" s="788">
        <v>2014</v>
      </c>
      <c r="T30" s="788">
        <v>2013</v>
      </c>
      <c r="U30" s="788">
        <v>2012</v>
      </c>
      <c r="V30" s="788">
        <v>2011</v>
      </c>
      <c r="W30" s="788">
        <v>2010</v>
      </c>
      <c r="X30" s="788">
        <v>2009</v>
      </c>
      <c r="Y30" s="788">
        <v>2008</v>
      </c>
      <c r="Z30" s="789" t="s">
        <v>332</v>
      </c>
    </row>
    <row r="31" spans="1:30" ht="24" customHeight="1" x14ac:dyDescent="0.3">
      <c r="B31" s="791">
        <v>1</v>
      </c>
      <c r="C31" s="792" t="s">
        <v>474</v>
      </c>
      <c r="D31" s="793" t="s">
        <v>650</v>
      </c>
      <c r="E31" s="794" t="s">
        <v>651</v>
      </c>
      <c r="F31" s="793"/>
      <c r="G31" s="796">
        <v>2009</v>
      </c>
      <c r="H31" s="1216"/>
      <c r="I31" s="797">
        <v>416</v>
      </c>
      <c r="J31" s="1210">
        <v>832</v>
      </c>
      <c r="K31" s="1210">
        <v>832</v>
      </c>
      <c r="L31" s="1210">
        <v>832</v>
      </c>
      <c r="M31" s="1210">
        <v>832</v>
      </c>
      <c r="N31" s="1210">
        <v>832</v>
      </c>
      <c r="O31" s="1210">
        <v>416</v>
      </c>
      <c r="P31" s="1210">
        <v>416</v>
      </c>
      <c r="Q31" s="1210">
        <v>832</v>
      </c>
      <c r="R31" s="1210">
        <v>416</v>
      </c>
      <c r="S31" s="1210">
        <v>416</v>
      </c>
      <c r="T31" s="1210">
        <v>416</v>
      </c>
      <c r="U31" s="1217">
        <v>416</v>
      </c>
      <c r="V31" s="1210">
        <v>416</v>
      </c>
      <c r="W31" s="1217">
        <v>416</v>
      </c>
      <c r="X31" s="1210"/>
      <c r="Y31" s="801"/>
      <c r="Z31" s="797"/>
    </row>
    <row r="32" spans="1:30" ht="24" customHeight="1" x14ac:dyDescent="0.3">
      <c r="B32" s="791"/>
      <c r="C32" s="802" t="s">
        <v>374</v>
      </c>
      <c r="D32" s="802" t="s">
        <v>652</v>
      </c>
      <c r="E32" s="803" t="s">
        <v>653</v>
      </c>
      <c r="F32" s="802"/>
      <c r="G32" s="742">
        <v>2009</v>
      </c>
      <c r="H32" s="1218"/>
      <c r="I32" s="1218"/>
      <c r="J32" s="1211"/>
      <c r="K32" s="1211"/>
      <c r="L32" s="1211"/>
      <c r="M32" s="1211"/>
      <c r="N32" s="1211"/>
      <c r="O32" s="1211">
        <v>320</v>
      </c>
      <c r="P32" s="1211">
        <v>320</v>
      </c>
      <c r="Q32" s="1211">
        <v>640</v>
      </c>
      <c r="R32" s="1211">
        <v>320</v>
      </c>
      <c r="S32" s="1211">
        <v>320</v>
      </c>
      <c r="T32" s="1211">
        <v>320</v>
      </c>
      <c r="U32" s="1219">
        <v>320</v>
      </c>
      <c r="V32" s="1211">
        <v>320</v>
      </c>
      <c r="W32" s="1219">
        <v>320</v>
      </c>
      <c r="X32" s="1211"/>
      <c r="Y32" s="808"/>
      <c r="Z32" s="804"/>
    </row>
    <row r="33" spans="2:26" ht="24" customHeight="1" x14ac:dyDescent="0.3">
      <c r="B33" s="791"/>
      <c r="C33" s="813" t="s">
        <v>374</v>
      </c>
      <c r="D33" s="813" t="s">
        <v>654</v>
      </c>
      <c r="E33" s="814" t="s">
        <v>363</v>
      </c>
      <c r="F33" s="813" t="s">
        <v>655</v>
      </c>
      <c r="G33" s="1220">
        <v>2009</v>
      </c>
      <c r="H33" s="1221"/>
      <c r="I33" s="1078">
        <f>I34*D44</f>
        <v>29.247612159999999</v>
      </c>
      <c r="J33" s="1212">
        <v>58.495224319999998</v>
      </c>
      <c r="K33" s="1212">
        <v>58.5</v>
      </c>
      <c r="L33" s="1212">
        <v>58.5</v>
      </c>
      <c r="M33" s="1212">
        <v>58.5</v>
      </c>
      <c r="N33" s="1212">
        <v>58.5</v>
      </c>
      <c r="O33" s="1212">
        <v>44.8</v>
      </c>
      <c r="P33" s="1212">
        <v>44.8</v>
      </c>
      <c r="Q33" s="1212">
        <v>89.6</v>
      </c>
      <c r="R33" s="1212">
        <v>44.8</v>
      </c>
      <c r="S33" s="1212">
        <v>44.8</v>
      </c>
      <c r="T33" s="1212">
        <v>44.8</v>
      </c>
      <c r="U33" s="1217">
        <v>44.8</v>
      </c>
      <c r="V33" s="1212">
        <v>44.8</v>
      </c>
      <c r="W33" s="1217">
        <v>44.8</v>
      </c>
      <c r="X33" s="1212"/>
      <c r="Y33" s="801"/>
      <c r="Z33" s="810"/>
    </row>
    <row r="34" spans="2:26" ht="24" customHeight="1" x14ac:dyDescent="0.3">
      <c r="B34" s="791"/>
      <c r="C34" s="716" t="s">
        <v>374</v>
      </c>
      <c r="D34" s="716" t="s">
        <v>656</v>
      </c>
      <c r="E34" s="816" t="s">
        <v>657</v>
      </c>
      <c r="F34" s="716" t="s">
        <v>658</v>
      </c>
      <c r="G34" s="742">
        <v>2009</v>
      </c>
      <c r="H34" s="1218"/>
      <c r="I34" s="804">
        <f>I31*F44</f>
        <v>64480</v>
      </c>
      <c r="J34" s="1211">
        <v>128960</v>
      </c>
      <c r="K34" s="1211">
        <v>128960</v>
      </c>
      <c r="L34" s="1211">
        <v>128960</v>
      </c>
      <c r="M34" s="1211">
        <v>128960</v>
      </c>
      <c r="N34" s="1211">
        <v>128960</v>
      </c>
      <c r="O34" s="1211"/>
      <c r="P34" s="1211"/>
      <c r="Q34" s="1211"/>
      <c r="R34" s="1211"/>
      <c r="S34" s="1211"/>
      <c r="T34" s="1211"/>
      <c r="U34" s="1219"/>
      <c r="V34" s="1211"/>
      <c r="W34" s="1219"/>
      <c r="X34" s="1211"/>
      <c r="Y34" s="808"/>
      <c r="Z34" s="804"/>
    </row>
    <row r="35" spans="2:26" ht="24" customHeight="1" x14ac:dyDescent="0.3">
      <c r="B35" s="791"/>
      <c r="C35" s="813"/>
      <c r="D35" s="813"/>
      <c r="E35" s="814"/>
      <c r="F35" s="813"/>
      <c r="G35" s="1220"/>
      <c r="H35" s="1221"/>
      <c r="I35" s="1221"/>
      <c r="J35" s="1212"/>
      <c r="K35" s="1212"/>
      <c r="L35" s="1212"/>
      <c r="M35" s="1212"/>
      <c r="N35" s="1212"/>
      <c r="O35" s="1212"/>
      <c r="P35" s="1212"/>
      <c r="Q35" s="1212"/>
      <c r="R35" s="1212"/>
      <c r="S35" s="1212"/>
      <c r="T35" s="1212"/>
      <c r="U35" s="1217"/>
      <c r="V35" s="1212"/>
      <c r="W35" s="1217"/>
      <c r="X35" s="1212"/>
      <c r="Y35" s="801"/>
      <c r="Z35" s="810"/>
    </row>
    <row r="36" spans="2:26" ht="24" customHeight="1" x14ac:dyDescent="0.3">
      <c r="B36" s="819"/>
      <c r="C36" s="725"/>
      <c r="D36" s="725"/>
      <c r="E36" s="820"/>
      <c r="F36" s="725"/>
      <c r="G36" s="1222"/>
      <c r="H36" s="1223"/>
      <c r="I36" s="1223"/>
      <c r="J36" s="823"/>
      <c r="K36" s="823"/>
      <c r="L36" s="823"/>
      <c r="M36" s="823"/>
      <c r="N36" s="823"/>
      <c r="O36" s="823"/>
      <c r="P36" s="823"/>
      <c r="Q36" s="823"/>
      <c r="R36" s="823"/>
      <c r="S36" s="823"/>
      <c r="T36" s="823"/>
      <c r="U36" s="824"/>
      <c r="V36" s="823"/>
      <c r="W36" s="824"/>
      <c r="X36" s="823"/>
      <c r="Y36" s="824"/>
      <c r="Z36" s="823"/>
    </row>
    <row r="37" spans="2:26" ht="15.75" customHeight="1" x14ac:dyDescent="0.3"/>
    <row r="38" spans="2:26" ht="15.75" customHeight="1" x14ac:dyDescent="0.3">
      <c r="B38" s="827" t="s">
        <v>355</v>
      </c>
      <c r="C38" s="828" t="s">
        <v>356</v>
      </c>
    </row>
    <row r="39" spans="2:26" ht="15.75" customHeight="1" x14ac:dyDescent="0.3"/>
    <row r="40" spans="2:26" ht="15.75" customHeight="1" x14ac:dyDescent="0.3">
      <c r="B40" s="4388" t="s">
        <v>357</v>
      </c>
      <c r="C40" s="4389"/>
    </row>
    <row r="41" spans="2:26" ht="15.75" customHeight="1" x14ac:dyDescent="0.3">
      <c r="B41" s="831" t="s">
        <v>365</v>
      </c>
      <c r="C41" s="1224" t="s">
        <v>659</v>
      </c>
      <c r="D41" s="1225"/>
      <c r="F41" s="1225" t="s">
        <v>660</v>
      </c>
      <c r="G41" s="1224"/>
      <c r="H41" s="1225"/>
      <c r="I41" s="1225"/>
      <c r="J41" s="1226">
        <v>1.3</v>
      </c>
    </row>
    <row r="42" spans="2:26" ht="15.75" customHeight="1" x14ac:dyDescent="0.3">
      <c r="C42" s="1224" t="s">
        <v>661</v>
      </c>
      <c r="D42" s="1227">
        <v>832</v>
      </c>
      <c r="F42" s="1225"/>
      <c r="G42" s="1225"/>
      <c r="H42" s="1228" t="s">
        <v>662</v>
      </c>
      <c r="I42" s="1225"/>
      <c r="J42" s="1225"/>
    </row>
    <row r="43" spans="2:26" ht="15.75" customHeight="1" x14ac:dyDescent="0.3">
      <c r="C43" s="1224"/>
      <c r="D43" s="1227"/>
      <c r="F43" s="1229" t="s">
        <v>663</v>
      </c>
      <c r="H43" s="1225">
        <v>155</v>
      </c>
      <c r="I43" s="1225" t="s">
        <v>664</v>
      </c>
      <c r="J43" s="1228" t="s">
        <v>665</v>
      </c>
    </row>
    <row r="44" spans="2:26" ht="15.75" customHeight="1" x14ac:dyDescent="0.3">
      <c r="C44" s="1224" t="s">
        <v>666</v>
      </c>
      <c r="D44" s="1227">
        <v>4.53592E-4</v>
      </c>
      <c r="F44" s="1225">
        <v>155</v>
      </c>
      <c r="G44" s="1225" t="s">
        <v>664</v>
      </c>
      <c r="H44" s="1225"/>
      <c r="I44" s="1225"/>
      <c r="J44" s="1225"/>
    </row>
    <row r="45" spans="2:26" ht="15.75" customHeight="1" x14ac:dyDescent="0.3"/>
    <row r="46" spans="2:26" ht="15.75" customHeight="1" x14ac:dyDescent="0.3">
      <c r="B46" s="831" t="s">
        <v>301</v>
      </c>
      <c r="C46" s="1224" t="s">
        <v>667</v>
      </c>
    </row>
    <row r="47" spans="2:26" ht="15.75" customHeight="1" x14ac:dyDescent="0.3">
      <c r="C47" s="1224" t="s">
        <v>668</v>
      </c>
      <c r="D47" s="1230">
        <f>26*16</f>
        <v>416</v>
      </c>
    </row>
    <row r="48" spans="2:2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sheetData>
  <mergeCells count="2">
    <mergeCell ref="B21:C21"/>
    <mergeCell ref="B40:C40"/>
  </mergeCells>
  <hyperlinks>
    <hyperlink ref="H42" r:id="rId1" display="https://www.metric-conversions.org/fr/volume/conversion-de-metres-cubes.htm" xr:uid="{25560DA4-5389-4437-B455-6300FCAB605D}"/>
    <hyperlink ref="J43" r:id="rId2" xr:uid="{B2B5167A-5D17-4C5F-8EAB-8A9CB1C45BA5}"/>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CFE8-71D6-470A-B26F-60A2C194F465}">
  <dimension ref="A1:K986"/>
  <sheetViews>
    <sheetView topLeftCell="A21" workbookViewId="0">
      <selection activeCell="H18" sqref="H18"/>
    </sheetView>
  </sheetViews>
  <sheetFormatPr defaultColWidth="12.44140625" defaultRowHeight="15" customHeight="1" x14ac:dyDescent="0.3"/>
  <cols>
    <col min="1" max="1" width="2.6640625" style="428" customWidth="1"/>
    <col min="2" max="2" width="35.109375" style="428" customWidth="1"/>
    <col min="3" max="3" width="22.21875" style="428" customWidth="1"/>
    <col min="4" max="4" width="1.5546875" style="428" customWidth="1"/>
    <col min="5" max="5" width="14.6640625" style="428" customWidth="1"/>
    <col min="6" max="6" width="7.33203125" style="428" customWidth="1"/>
    <col min="7" max="7" width="34" style="428" customWidth="1"/>
    <col min="8" max="8" width="22.109375" style="428" customWidth="1"/>
    <col min="9" max="9" width="1.5546875" style="428" customWidth="1"/>
    <col min="10" max="10" width="15.21875" style="428" customWidth="1"/>
    <col min="11" max="11" width="11.6640625" style="428" customWidth="1"/>
    <col min="12" max="16384" width="12.44140625" style="428"/>
  </cols>
  <sheetData>
    <row r="1" spans="1:11" ht="21.75" customHeight="1" x14ac:dyDescent="0.35">
      <c r="A1" s="424"/>
      <c r="B1" s="425" t="s">
        <v>549</v>
      </c>
      <c r="D1" s="427"/>
      <c r="F1" s="427"/>
      <c r="I1" s="427"/>
    </row>
    <row r="2" spans="1:11" ht="15.75" customHeight="1" x14ac:dyDescent="0.3">
      <c r="A2" s="424"/>
      <c r="B2" s="429" t="s">
        <v>299</v>
      </c>
      <c r="C2" s="430"/>
      <c r="D2" s="430"/>
      <c r="E2" s="430"/>
      <c r="F2" s="430"/>
      <c r="G2" s="430"/>
      <c r="H2" s="430"/>
      <c r="I2" s="430"/>
      <c r="J2" s="430"/>
    </row>
    <row r="3" spans="1:11" ht="9.75" customHeight="1" x14ac:dyDescent="0.3">
      <c r="A3" s="427"/>
      <c r="B3" s="431"/>
      <c r="D3" s="427"/>
      <c r="F3" s="427"/>
      <c r="I3" s="427"/>
    </row>
    <row r="4" spans="1:11" ht="6" customHeight="1" x14ac:dyDescent="0.3">
      <c r="B4" s="427"/>
      <c r="D4" s="427"/>
      <c r="F4" s="427"/>
      <c r="I4" s="427"/>
    </row>
    <row r="5" spans="1:11" ht="6" customHeight="1" x14ac:dyDescent="0.3">
      <c r="A5" s="431"/>
      <c r="D5" s="427"/>
      <c r="F5" s="427"/>
      <c r="I5" s="427"/>
    </row>
    <row r="6" spans="1:11" ht="15.75" customHeight="1" x14ac:dyDescent="0.3">
      <c r="C6" s="428">
        <v>1000000</v>
      </c>
      <c r="D6" s="427"/>
      <c r="E6" s="427"/>
      <c r="F6" s="427"/>
      <c r="I6" s="427"/>
    </row>
    <row r="7" spans="1:11" ht="37.200000000000003" customHeight="1" x14ac:dyDescent="0.3">
      <c r="A7" s="432"/>
      <c r="B7" s="433">
        <v>2024</v>
      </c>
      <c r="C7" s="1232" t="s">
        <v>22</v>
      </c>
      <c r="D7" s="432"/>
      <c r="E7" s="435" t="s">
        <v>300</v>
      </c>
      <c r="F7" s="432"/>
      <c r="G7" s="433">
        <v>2024</v>
      </c>
      <c r="H7" s="686" t="s">
        <v>23</v>
      </c>
      <c r="I7" s="609"/>
      <c r="J7" s="435" t="s">
        <v>300</v>
      </c>
      <c r="K7" s="432"/>
    </row>
    <row r="8" spans="1:11" ht="18" customHeight="1" x14ac:dyDescent="0.35">
      <c r="B8" s="436" t="s">
        <v>301</v>
      </c>
      <c r="C8" s="1233">
        <v>1</v>
      </c>
      <c r="D8" s="427"/>
      <c r="E8" s="438"/>
      <c r="F8" s="427"/>
      <c r="G8" s="436" t="s">
        <v>301</v>
      </c>
      <c r="H8" s="572">
        <v>1</v>
      </c>
      <c r="I8" s="610"/>
      <c r="J8" s="438"/>
    </row>
    <row r="9" spans="1:11" ht="46.5" customHeight="1" x14ac:dyDescent="0.3">
      <c r="B9" s="439" t="s">
        <v>302</v>
      </c>
      <c r="C9" s="573" t="s">
        <v>669</v>
      </c>
      <c r="D9" s="574"/>
      <c r="E9" s="442"/>
      <c r="F9" s="443"/>
      <c r="G9" s="439" t="s">
        <v>302</v>
      </c>
      <c r="H9" s="573" t="s">
        <v>670</v>
      </c>
      <c r="I9" s="611"/>
      <c r="J9" s="442"/>
    </row>
    <row r="10" spans="1:11" ht="46.5" customHeight="1" x14ac:dyDescent="0.3">
      <c r="B10" s="444" t="s">
        <v>304</v>
      </c>
      <c r="C10" s="445" t="s">
        <v>671</v>
      </c>
      <c r="D10" s="574"/>
      <c r="E10" s="446"/>
      <c r="F10" s="443"/>
      <c r="G10" s="444" t="s">
        <v>304</v>
      </c>
      <c r="H10" s="445" t="s">
        <v>672</v>
      </c>
      <c r="I10" s="612"/>
      <c r="J10" s="446"/>
    </row>
    <row r="11" spans="1:11" ht="18.75" customHeight="1" x14ac:dyDescent="0.3">
      <c r="A11" s="447"/>
      <c r="B11" s="448" t="s">
        <v>306</v>
      </c>
      <c r="C11" s="575">
        <f>(C17*C18)</f>
        <v>97.004642547999993</v>
      </c>
      <c r="D11" s="576"/>
      <c r="E11" s="451">
        <f>SUM(C11:C11)</f>
        <v>97.004642547999993</v>
      </c>
      <c r="F11" s="452"/>
      <c r="G11" s="448" t="s">
        <v>306</v>
      </c>
      <c r="H11" s="613">
        <f>(H17*H18)</f>
        <v>2524.0236254155438</v>
      </c>
      <c r="I11" s="614"/>
      <c r="J11" s="451">
        <f>SUM(H11:H11)</f>
        <v>2524.0236254155438</v>
      </c>
      <c r="K11" s="447"/>
    </row>
    <row r="12" spans="1:11" ht="18.75" customHeight="1" x14ac:dyDescent="0.3">
      <c r="A12" s="447"/>
      <c r="B12" s="453" t="s">
        <v>307</v>
      </c>
      <c r="C12" s="577">
        <f>(C22*C23)</f>
        <v>4.6267199999999997</v>
      </c>
      <c r="D12" s="455"/>
      <c r="E12" s="456">
        <f>SUM(C12:C12)</f>
        <v>4.6267199999999997</v>
      </c>
      <c r="F12" s="457"/>
      <c r="G12" s="453" t="s">
        <v>307</v>
      </c>
      <c r="H12" s="577">
        <f>(H22*H23)</f>
        <v>0</v>
      </c>
      <c r="I12" s="614"/>
      <c r="J12" s="456">
        <f>SUM(H12:H12)</f>
        <v>0</v>
      </c>
      <c r="K12" s="447"/>
    </row>
    <row r="13" spans="1:11" ht="18.75" customHeight="1" x14ac:dyDescent="0.3">
      <c r="A13" s="447"/>
      <c r="B13" s="448" t="s">
        <v>308</v>
      </c>
      <c r="C13" s="578" t="s">
        <v>8</v>
      </c>
      <c r="D13" s="459"/>
      <c r="E13" s="460"/>
      <c r="F13" s="461"/>
      <c r="G13" s="448" t="s">
        <v>308</v>
      </c>
      <c r="H13" s="578" t="s">
        <v>8</v>
      </c>
      <c r="I13" s="615"/>
      <c r="J13" s="460"/>
      <c r="K13" s="447"/>
    </row>
    <row r="14" spans="1:11" ht="18.75" customHeight="1" x14ac:dyDescent="0.3">
      <c r="A14" s="447"/>
      <c r="B14" s="462" t="s">
        <v>309</v>
      </c>
      <c r="C14" s="579">
        <f t="shared" ref="C14" si="0">C11-C12</f>
        <v>92.377922547999987</v>
      </c>
      <c r="D14" s="455"/>
      <c r="E14" s="464">
        <f>SUM(C14:C14)</f>
        <v>92.377922547999987</v>
      </c>
      <c r="F14" s="457"/>
      <c r="G14" s="462" t="s">
        <v>309</v>
      </c>
      <c r="H14" s="579">
        <f t="shared" ref="H14" si="1">H11-H12</f>
        <v>2524.0236254155438</v>
      </c>
      <c r="I14" s="614"/>
      <c r="J14" s="464">
        <f>SUM(H14:H14)</f>
        <v>2524.0236254155438</v>
      </c>
      <c r="K14" s="447"/>
    </row>
    <row r="15" spans="1:11" ht="19.5" customHeight="1" x14ac:dyDescent="0.4">
      <c r="B15" s="465" t="s">
        <v>310</v>
      </c>
      <c r="C15" s="580"/>
      <c r="D15" s="467"/>
      <c r="E15" s="468"/>
      <c r="F15" s="467"/>
      <c r="G15" s="616" t="s">
        <v>395</v>
      </c>
      <c r="H15" s="617"/>
      <c r="I15" s="618"/>
      <c r="J15" s="468"/>
      <c r="K15" s="427"/>
    </row>
    <row r="16" spans="1:11" ht="35.4" customHeight="1" x14ac:dyDescent="0.3">
      <c r="A16" s="447"/>
      <c r="B16" s="469" t="s">
        <v>311</v>
      </c>
      <c r="C16" s="601" t="s">
        <v>403</v>
      </c>
      <c r="D16" s="581"/>
      <c r="E16" s="471"/>
      <c r="F16" s="457"/>
      <c r="G16" s="469" t="s">
        <v>311</v>
      </c>
      <c r="H16" s="601" t="s">
        <v>496</v>
      </c>
      <c r="I16" s="619"/>
      <c r="J16" s="620"/>
      <c r="K16" s="447"/>
    </row>
    <row r="17" spans="1:11" ht="21" customHeight="1" x14ac:dyDescent="0.3">
      <c r="A17" s="447"/>
      <c r="B17" s="472" t="s">
        <v>2342</v>
      </c>
      <c r="C17" s="582">
        <f>'CF-0216|GDS'!L10</f>
        <v>63019</v>
      </c>
      <c r="D17" s="583"/>
      <c r="F17" s="475"/>
      <c r="G17" s="472" t="s">
        <v>398</v>
      </c>
      <c r="H17" s="621">
        <f>'CF-0216|GDS'!I28</f>
        <v>3111.25</v>
      </c>
      <c r="I17" s="622"/>
      <c r="J17" s="623"/>
      <c r="K17" s="447"/>
    </row>
    <row r="18" spans="1:11" ht="18.75" customHeight="1" x14ac:dyDescent="0.3">
      <c r="A18" s="447"/>
      <c r="B18" s="476" t="s">
        <v>314</v>
      </c>
      <c r="C18" s="584">
        <v>1.5392919999999998E-3</v>
      </c>
      <c r="D18" s="478"/>
      <c r="F18" s="479"/>
      <c r="G18" s="476" t="s">
        <v>314</v>
      </c>
      <c r="H18" s="584">
        <v>0.81125709133484736</v>
      </c>
      <c r="I18" s="614"/>
      <c r="J18" s="491"/>
      <c r="K18" s="647"/>
    </row>
    <row r="19" spans="1:11" ht="19.5" customHeight="1" x14ac:dyDescent="0.3">
      <c r="A19" s="447"/>
      <c r="B19" s="480" t="s">
        <v>315</v>
      </c>
      <c r="C19" s="585">
        <f>C17*C18</f>
        <v>97.004642547999993</v>
      </c>
      <c r="D19" s="586"/>
      <c r="F19" s="479"/>
      <c r="G19" s="480" t="s">
        <v>315</v>
      </c>
      <c r="H19" s="585">
        <f>H17*H18</f>
        <v>2524.0236254155438</v>
      </c>
      <c r="I19" s="614"/>
      <c r="J19" s="494"/>
      <c r="K19" s="447"/>
    </row>
    <row r="20" spans="1:11" ht="21" customHeight="1" x14ac:dyDescent="0.4">
      <c r="B20" s="465" t="s">
        <v>316</v>
      </c>
      <c r="C20" s="587"/>
      <c r="D20" s="483"/>
      <c r="E20" s="484"/>
      <c r="F20" s="483"/>
      <c r="G20" s="465" t="s">
        <v>316</v>
      </c>
      <c r="H20" s="587"/>
      <c r="I20" s="618"/>
      <c r="J20" s="495"/>
    </row>
    <row r="21" spans="1:11" ht="32.4" customHeight="1" x14ac:dyDescent="0.3">
      <c r="A21" s="447"/>
      <c r="B21" s="469" t="s">
        <v>183</v>
      </c>
      <c r="C21" s="601" t="s">
        <v>352</v>
      </c>
      <c r="D21" s="588"/>
      <c r="E21" s="485"/>
      <c r="F21" s="479"/>
      <c r="G21" s="469" t="s">
        <v>183</v>
      </c>
      <c r="H21" s="601" t="s">
        <v>673</v>
      </c>
      <c r="I21" s="614"/>
      <c r="J21" s="496"/>
      <c r="K21" s="447"/>
    </row>
    <row r="22" spans="1:11" ht="21" customHeight="1" x14ac:dyDescent="0.3">
      <c r="A22" s="447"/>
      <c r="B22" s="486" t="s">
        <v>2342</v>
      </c>
      <c r="C22" s="589">
        <f>'CF-0216|GDS'!I11</f>
        <v>2721600</v>
      </c>
      <c r="D22" s="479"/>
      <c r="E22" s="488"/>
      <c r="F22" s="479"/>
      <c r="G22" s="486" t="s">
        <v>398</v>
      </c>
      <c r="H22" s="589">
        <f>H17</f>
        <v>3111.25</v>
      </c>
      <c r="I22" s="622"/>
      <c r="J22" s="623"/>
      <c r="K22" s="447"/>
    </row>
    <row r="23" spans="1:11" ht="21" customHeight="1" x14ac:dyDescent="0.3">
      <c r="A23" s="447"/>
      <c r="B23" s="489" t="s">
        <v>314</v>
      </c>
      <c r="C23" s="590">
        <v>1.7E-6</v>
      </c>
      <c r="D23" s="588"/>
      <c r="E23" s="491"/>
      <c r="F23" s="479"/>
      <c r="G23" s="489" t="s">
        <v>314</v>
      </c>
      <c r="H23" s="590">
        <v>0</v>
      </c>
      <c r="I23" s="614"/>
      <c r="J23" s="491"/>
      <c r="K23" s="447"/>
    </row>
    <row r="24" spans="1:11" ht="21" customHeight="1" x14ac:dyDescent="0.3">
      <c r="A24" s="447"/>
      <c r="B24" s="492" t="s">
        <v>315</v>
      </c>
      <c r="C24" s="591">
        <f t="shared" ref="C24" si="2">C22*C23</f>
        <v>4.6267199999999997</v>
      </c>
      <c r="D24" s="588"/>
      <c r="E24" s="494"/>
      <c r="F24" s="479"/>
      <c r="G24" s="492" t="s">
        <v>315</v>
      </c>
      <c r="H24" s="624">
        <f t="shared" ref="H24" si="3">H22*H23</f>
        <v>0</v>
      </c>
      <c r="I24" s="614"/>
      <c r="J24" s="494"/>
      <c r="K24" s="447"/>
    </row>
    <row r="25" spans="1:11" ht="28.5" customHeight="1" x14ac:dyDescent="0.3">
      <c r="A25" s="447"/>
      <c r="B25" s="498" t="s">
        <v>320</v>
      </c>
      <c r="C25" s="592" t="s">
        <v>499</v>
      </c>
      <c r="D25" s="593"/>
      <c r="E25" s="501"/>
      <c r="F25" s="500"/>
      <c r="G25" s="498" t="s">
        <v>320</v>
      </c>
      <c r="H25" s="626" t="s">
        <v>401</v>
      </c>
      <c r="I25" s="614"/>
      <c r="J25" s="496"/>
      <c r="K25" s="447"/>
    </row>
    <row r="26" spans="1:11" ht="24" customHeight="1" x14ac:dyDescent="0.3">
      <c r="B26" s="502" t="s">
        <v>322</v>
      </c>
      <c r="C26" s="594">
        <v>3</v>
      </c>
      <c r="D26" s="504"/>
      <c r="E26" s="505"/>
      <c r="F26" s="504"/>
      <c r="G26" s="502" t="s">
        <v>322</v>
      </c>
      <c r="H26" s="596">
        <v>13</v>
      </c>
      <c r="I26" s="618"/>
      <c r="J26" s="495"/>
    </row>
    <row r="27" spans="1:11" ht="33" customHeight="1" x14ac:dyDescent="0.3">
      <c r="A27" s="447"/>
      <c r="B27" s="506" t="s">
        <v>323</v>
      </c>
      <c r="C27" s="595" t="s">
        <v>324</v>
      </c>
      <c r="D27" s="479"/>
      <c r="E27" s="496"/>
      <c r="F27" s="479"/>
      <c r="G27" s="506" t="s">
        <v>323</v>
      </c>
      <c r="H27" s="595" t="s">
        <v>324</v>
      </c>
      <c r="I27" s="614"/>
      <c r="J27" s="496"/>
      <c r="K27" s="447"/>
    </row>
    <row r="28" spans="1:11" ht="33" customHeight="1" x14ac:dyDescent="0.3">
      <c r="A28" s="447"/>
      <c r="B28" s="508" t="s">
        <v>325</v>
      </c>
      <c r="C28" s="596" t="s">
        <v>326</v>
      </c>
      <c r="D28" s="479"/>
      <c r="E28" s="496"/>
      <c r="F28" s="479"/>
      <c r="G28" s="508" t="s">
        <v>325</v>
      </c>
      <c r="H28" s="627" t="s">
        <v>326</v>
      </c>
      <c r="I28" s="614"/>
      <c r="J28" s="496"/>
      <c r="K28" s="447"/>
    </row>
    <row r="29" spans="1:11" ht="33" customHeight="1" x14ac:dyDescent="0.3">
      <c r="A29" s="447"/>
      <c r="B29" s="506" t="s">
        <v>327</v>
      </c>
      <c r="C29" s="595" t="s">
        <v>433</v>
      </c>
      <c r="D29" s="479"/>
      <c r="E29" s="496"/>
      <c r="F29" s="479"/>
      <c r="G29" s="506" t="s">
        <v>327</v>
      </c>
      <c r="H29" s="595" t="s">
        <v>402</v>
      </c>
      <c r="I29" s="614"/>
      <c r="J29" s="496"/>
      <c r="K29" s="447"/>
    </row>
    <row r="30" spans="1:11" ht="21" customHeight="1" x14ac:dyDescent="0.3">
      <c r="B30" s="510" t="s">
        <v>329</v>
      </c>
      <c r="C30" s="596">
        <v>1</v>
      </c>
      <c r="D30" s="467"/>
      <c r="E30" s="467"/>
      <c r="F30" s="467"/>
      <c r="G30" s="510" t="s">
        <v>329</v>
      </c>
      <c r="H30" s="596">
        <v>1</v>
      </c>
      <c r="I30" s="618"/>
      <c r="J30" s="467"/>
    </row>
    <row r="31" spans="1:11" ht="21" customHeight="1" x14ac:dyDescent="0.3">
      <c r="B31" s="453" t="s">
        <v>330</v>
      </c>
      <c r="C31" s="595" t="s">
        <v>324</v>
      </c>
      <c r="D31" s="483"/>
      <c r="E31" s="495"/>
      <c r="F31" s="483"/>
      <c r="G31" s="453" t="s">
        <v>330</v>
      </c>
      <c r="H31" s="595" t="s">
        <v>324</v>
      </c>
      <c r="I31" s="618"/>
      <c r="J31" s="495"/>
    </row>
    <row r="32" spans="1:11" ht="21" customHeight="1" x14ac:dyDescent="0.3">
      <c r="B32" s="510" t="s">
        <v>331</v>
      </c>
      <c r="C32" s="596" t="s">
        <v>324</v>
      </c>
      <c r="D32" s="483"/>
      <c r="E32" s="495"/>
      <c r="F32" s="483"/>
      <c r="G32" s="510" t="s">
        <v>331</v>
      </c>
      <c r="H32" s="596" t="s">
        <v>324</v>
      </c>
      <c r="I32" s="618"/>
      <c r="J32" s="495"/>
    </row>
    <row r="33" spans="2:10" ht="21" customHeight="1" x14ac:dyDescent="0.3">
      <c r="B33" s="462" t="s">
        <v>332</v>
      </c>
      <c r="C33" s="555" t="s">
        <v>333</v>
      </c>
      <c r="D33" s="483"/>
      <c r="E33" s="495"/>
      <c r="F33" s="483"/>
      <c r="G33" s="462" t="s">
        <v>332</v>
      </c>
      <c r="H33" s="555" t="s">
        <v>333</v>
      </c>
      <c r="I33" s="618"/>
      <c r="J33" s="495"/>
    </row>
    <row r="34" spans="2:10" ht="15.75" customHeight="1" x14ac:dyDescent="0.3">
      <c r="B34" s="427"/>
      <c r="C34" s="427"/>
      <c r="D34" s="483"/>
      <c r="E34" s="483"/>
      <c r="F34" s="483"/>
      <c r="G34" s="427"/>
      <c r="I34" s="427"/>
      <c r="J34" s="427"/>
    </row>
    <row r="35" spans="2:10" ht="15.75" customHeight="1" x14ac:dyDescent="0.3">
      <c r="B35" s="512" t="s">
        <v>334</v>
      </c>
      <c r="C35" s="427"/>
      <c r="D35" s="483"/>
      <c r="E35" s="483"/>
      <c r="F35" s="483"/>
      <c r="I35" s="427"/>
      <c r="J35" s="427"/>
    </row>
    <row r="36" spans="2:10" ht="15.75" customHeight="1" x14ac:dyDescent="0.3">
      <c r="B36" s="512" t="s">
        <v>335</v>
      </c>
      <c r="C36" s="427"/>
      <c r="D36" s="483"/>
      <c r="E36" s="483"/>
      <c r="F36" s="483"/>
      <c r="I36" s="427"/>
      <c r="J36" s="427"/>
    </row>
    <row r="37" spans="2:10" ht="15.75" customHeight="1" x14ac:dyDescent="0.3">
      <c r="B37" s="512" t="s">
        <v>336</v>
      </c>
      <c r="C37" s="427"/>
      <c r="D37" s="483"/>
      <c r="E37" s="483"/>
      <c r="F37" s="483"/>
      <c r="I37" s="427"/>
      <c r="J37" s="427"/>
    </row>
    <row r="38" spans="2:10" ht="15.75" customHeight="1" x14ac:dyDescent="0.3">
      <c r="B38" s="512" t="s">
        <v>337</v>
      </c>
      <c r="C38" s="427"/>
      <c r="D38" s="483"/>
      <c r="E38" s="483"/>
      <c r="F38" s="483"/>
      <c r="I38" s="427"/>
      <c r="J38" s="427"/>
    </row>
    <row r="39" spans="2:10" ht="15.75" customHeight="1" x14ac:dyDescent="0.3">
      <c r="B39" s="512" t="s">
        <v>338</v>
      </c>
      <c r="D39" s="427"/>
      <c r="F39" s="427"/>
      <c r="I39" s="427"/>
      <c r="J39" s="427"/>
    </row>
    <row r="40" spans="2:10" ht="15.75" customHeight="1" x14ac:dyDescent="0.3">
      <c r="B40" s="512" t="s">
        <v>339</v>
      </c>
      <c r="D40" s="427"/>
      <c r="F40" s="427"/>
      <c r="I40" s="427"/>
      <c r="J40" s="427"/>
    </row>
    <row r="41" spans="2:10" ht="15.75" customHeight="1" x14ac:dyDescent="0.3">
      <c r="D41" s="427"/>
      <c r="F41" s="427"/>
      <c r="I41" s="427"/>
      <c r="J41" s="427"/>
    </row>
    <row r="42" spans="2:10" ht="15.75" customHeight="1" x14ac:dyDescent="0.3">
      <c r="D42" s="427"/>
      <c r="F42" s="427"/>
      <c r="I42" s="427"/>
      <c r="J42" s="427"/>
    </row>
    <row r="43" spans="2:10" ht="15.75" customHeight="1" x14ac:dyDescent="0.3">
      <c r="D43" s="427"/>
      <c r="F43" s="427"/>
      <c r="I43" s="427"/>
      <c r="J43" s="427"/>
    </row>
    <row r="44" spans="2:10" ht="15.75" customHeight="1" x14ac:dyDescent="0.3">
      <c r="D44" s="427"/>
      <c r="F44" s="427"/>
      <c r="I44" s="427"/>
    </row>
    <row r="45" spans="2:10" ht="15.75" customHeight="1" x14ac:dyDescent="0.3">
      <c r="D45" s="427"/>
      <c r="F45" s="427"/>
      <c r="I45" s="427"/>
    </row>
    <row r="46" spans="2:10" ht="15.75" customHeight="1" x14ac:dyDescent="0.3">
      <c r="D46" s="427"/>
      <c r="F46" s="427"/>
      <c r="I46" s="427"/>
    </row>
    <row r="47" spans="2:10" ht="15.75" customHeight="1" x14ac:dyDescent="0.3">
      <c r="D47" s="427"/>
      <c r="F47" s="427"/>
      <c r="I47" s="427"/>
    </row>
    <row r="48" spans="2:10" ht="15.75" customHeight="1" x14ac:dyDescent="0.3">
      <c r="D48" s="427"/>
      <c r="F48" s="427"/>
      <c r="I48" s="427"/>
    </row>
    <row r="49" spans="4:9" ht="15.75" customHeight="1" x14ac:dyDescent="0.3">
      <c r="D49" s="427"/>
      <c r="F49" s="427"/>
      <c r="I49" s="427"/>
    </row>
    <row r="50" spans="4:9" ht="15.75" customHeight="1" x14ac:dyDescent="0.3">
      <c r="D50" s="427"/>
      <c r="F50" s="427"/>
      <c r="I50" s="427"/>
    </row>
    <row r="51" spans="4:9" ht="15.75" customHeight="1" x14ac:dyDescent="0.3">
      <c r="D51" s="427"/>
      <c r="F51" s="427"/>
      <c r="I51" s="427"/>
    </row>
    <row r="52" spans="4:9" ht="15.75" customHeight="1" x14ac:dyDescent="0.3">
      <c r="D52" s="427"/>
      <c r="F52" s="427"/>
      <c r="I52" s="427"/>
    </row>
    <row r="53" spans="4:9" ht="15.75" customHeight="1" x14ac:dyDescent="0.3">
      <c r="D53" s="427"/>
      <c r="F53" s="427"/>
      <c r="I53" s="427"/>
    </row>
    <row r="54" spans="4:9" ht="15.75" customHeight="1" x14ac:dyDescent="0.3">
      <c r="D54" s="427"/>
      <c r="F54" s="427"/>
      <c r="I54" s="427"/>
    </row>
    <row r="55" spans="4:9" ht="15.75" customHeight="1" x14ac:dyDescent="0.3">
      <c r="D55" s="427"/>
      <c r="F55" s="427"/>
      <c r="I55" s="427"/>
    </row>
    <row r="56" spans="4:9" ht="15.75" customHeight="1" x14ac:dyDescent="0.3">
      <c r="D56" s="427"/>
      <c r="F56" s="427"/>
      <c r="I56" s="427"/>
    </row>
    <row r="57" spans="4:9" ht="15.75" customHeight="1" x14ac:dyDescent="0.3">
      <c r="D57" s="427"/>
      <c r="F57" s="427"/>
      <c r="I57" s="427"/>
    </row>
    <row r="58" spans="4:9" ht="15.75" customHeight="1" x14ac:dyDescent="0.3">
      <c r="D58" s="427"/>
      <c r="F58" s="427"/>
      <c r="I58" s="427"/>
    </row>
    <row r="59" spans="4:9" ht="15.75" customHeight="1" x14ac:dyDescent="0.3">
      <c r="D59" s="427"/>
      <c r="F59" s="427"/>
      <c r="I59" s="427"/>
    </row>
    <row r="60" spans="4:9" ht="15.75" customHeight="1" x14ac:dyDescent="0.3">
      <c r="D60" s="427"/>
      <c r="F60" s="427"/>
      <c r="I60" s="427"/>
    </row>
    <row r="61" spans="4:9" ht="15.75" customHeight="1" x14ac:dyDescent="0.3">
      <c r="D61" s="427"/>
      <c r="F61" s="427"/>
      <c r="I61" s="427"/>
    </row>
    <row r="62" spans="4:9" ht="15.75" customHeight="1" x14ac:dyDescent="0.3">
      <c r="D62" s="427"/>
      <c r="F62" s="427"/>
      <c r="I62" s="427"/>
    </row>
    <row r="63" spans="4:9" ht="15.75" customHeight="1" x14ac:dyDescent="0.3">
      <c r="D63" s="427"/>
      <c r="F63" s="427"/>
      <c r="I63" s="427"/>
    </row>
    <row r="64" spans="4:9" ht="15.75" customHeight="1" x14ac:dyDescent="0.3">
      <c r="D64" s="427"/>
      <c r="F64" s="427"/>
      <c r="I64" s="427"/>
    </row>
    <row r="65" spans="4:9" ht="15.75" customHeight="1" x14ac:dyDescent="0.3">
      <c r="D65" s="427"/>
      <c r="F65" s="427"/>
      <c r="I65" s="427"/>
    </row>
    <row r="66" spans="4:9" ht="15.75" customHeight="1" x14ac:dyDescent="0.3">
      <c r="D66" s="427"/>
      <c r="F66" s="427"/>
      <c r="I66" s="427"/>
    </row>
    <row r="67" spans="4:9" ht="15.75" customHeight="1" x14ac:dyDescent="0.3">
      <c r="D67" s="427"/>
      <c r="F67" s="427"/>
      <c r="I67" s="427"/>
    </row>
    <row r="68" spans="4:9" ht="15.75" customHeight="1" x14ac:dyDescent="0.3">
      <c r="D68" s="427"/>
      <c r="F68" s="427"/>
      <c r="I68" s="427"/>
    </row>
    <row r="69" spans="4:9" ht="15.75" customHeight="1" x14ac:dyDescent="0.3">
      <c r="D69" s="427"/>
      <c r="F69" s="427"/>
      <c r="I69" s="427"/>
    </row>
    <row r="70" spans="4:9" ht="15.75" customHeight="1" x14ac:dyDescent="0.3">
      <c r="D70" s="427"/>
      <c r="F70" s="427"/>
      <c r="I70" s="427"/>
    </row>
    <row r="71" spans="4:9" ht="15.75" customHeight="1" x14ac:dyDescent="0.3">
      <c r="D71" s="427"/>
      <c r="F71" s="427"/>
      <c r="I71" s="427"/>
    </row>
    <row r="72" spans="4:9" ht="15.75" customHeight="1" x14ac:dyDescent="0.3">
      <c r="D72" s="427"/>
      <c r="F72" s="427"/>
      <c r="I72" s="427"/>
    </row>
    <row r="73" spans="4:9" ht="15.75" customHeight="1" x14ac:dyDescent="0.3">
      <c r="D73" s="427"/>
      <c r="F73" s="427"/>
      <c r="I73" s="427"/>
    </row>
    <row r="74" spans="4:9" ht="15.75" customHeight="1" x14ac:dyDescent="0.3">
      <c r="D74" s="427"/>
      <c r="F74" s="427"/>
      <c r="I74" s="427"/>
    </row>
    <row r="75" spans="4:9" ht="15.75" customHeight="1" x14ac:dyDescent="0.3">
      <c r="D75" s="427"/>
      <c r="F75" s="427"/>
      <c r="I75" s="427"/>
    </row>
    <row r="76" spans="4:9" ht="15.75" customHeight="1" x14ac:dyDescent="0.3">
      <c r="D76" s="427"/>
      <c r="F76" s="427"/>
      <c r="I76" s="427"/>
    </row>
    <row r="77" spans="4:9" ht="15.75" customHeight="1" x14ac:dyDescent="0.3">
      <c r="D77" s="427"/>
      <c r="F77" s="427"/>
      <c r="I77" s="427"/>
    </row>
    <row r="78" spans="4:9" ht="15.75" customHeight="1" x14ac:dyDescent="0.3">
      <c r="D78" s="427"/>
      <c r="F78" s="427"/>
      <c r="I78" s="427"/>
    </row>
    <row r="79" spans="4:9" ht="15.75" customHeight="1" x14ac:dyDescent="0.3">
      <c r="D79" s="427"/>
      <c r="F79" s="427"/>
      <c r="I79" s="427"/>
    </row>
    <row r="80" spans="4:9" ht="15.75" customHeight="1" x14ac:dyDescent="0.3">
      <c r="D80" s="427"/>
      <c r="F80" s="427"/>
      <c r="I80" s="427"/>
    </row>
    <row r="81" spans="4:9" ht="15.75" customHeight="1" x14ac:dyDescent="0.3">
      <c r="D81" s="427"/>
      <c r="F81" s="427"/>
      <c r="I81" s="427"/>
    </row>
    <row r="82" spans="4:9" ht="15.75" customHeight="1" x14ac:dyDescent="0.3">
      <c r="D82" s="427"/>
      <c r="F82" s="427"/>
      <c r="I82" s="427"/>
    </row>
    <row r="83" spans="4:9" ht="15.75" customHeight="1" x14ac:dyDescent="0.3">
      <c r="D83" s="427"/>
      <c r="F83" s="427"/>
      <c r="I83" s="427"/>
    </row>
    <row r="84" spans="4:9" ht="15.75" customHeight="1" x14ac:dyDescent="0.3">
      <c r="D84" s="427"/>
      <c r="F84" s="427"/>
      <c r="I84" s="427"/>
    </row>
    <row r="85" spans="4:9" ht="15.75" customHeight="1" x14ac:dyDescent="0.3">
      <c r="D85" s="427"/>
      <c r="F85" s="427"/>
      <c r="I85" s="427"/>
    </row>
    <row r="86" spans="4:9" ht="15.75" customHeight="1" x14ac:dyDescent="0.3">
      <c r="D86" s="427"/>
      <c r="F86" s="427"/>
      <c r="I86" s="427"/>
    </row>
    <row r="87" spans="4:9" ht="15.75" customHeight="1" x14ac:dyDescent="0.3">
      <c r="D87" s="427"/>
      <c r="F87" s="427"/>
      <c r="I87" s="427"/>
    </row>
    <row r="88" spans="4:9" ht="15.75" customHeight="1" x14ac:dyDescent="0.3">
      <c r="D88" s="427"/>
      <c r="F88" s="427"/>
      <c r="I88" s="427"/>
    </row>
    <row r="89" spans="4:9" ht="15.75" customHeight="1" x14ac:dyDescent="0.3">
      <c r="D89" s="427"/>
      <c r="F89" s="427"/>
      <c r="I89" s="427"/>
    </row>
    <row r="90" spans="4:9" ht="15.75" customHeight="1" x14ac:dyDescent="0.3">
      <c r="D90" s="427"/>
      <c r="F90" s="427"/>
      <c r="I90" s="427"/>
    </row>
    <row r="91" spans="4:9" ht="15.75" customHeight="1" x14ac:dyDescent="0.3">
      <c r="D91" s="427"/>
      <c r="F91" s="427"/>
      <c r="I91" s="427"/>
    </row>
    <row r="92" spans="4:9" ht="15.75" customHeight="1" x14ac:dyDescent="0.3">
      <c r="D92" s="427"/>
      <c r="F92" s="427"/>
      <c r="I92" s="427"/>
    </row>
    <row r="93" spans="4:9" ht="15.75" customHeight="1" x14ac:dyDescent="0.3">
      <c r="D93" s="427"/>
      <c r="F93" s="427"/>
      <c r="I93" s="427"/>
    </row>
    <row r="94" spans="4:9" ht="15.75" customHeight="1" x14ac:dyDescent="0.3">
      <c r="D94" s="427"/>
      <c r="F94" s="427"/>
      <c r="I94" s="427"/>
    </row>
    <row r="95" spans="4:9" ht="15.75" customHeight="1" x14ac:dyDescent="0.3">
      <c r="D95" s="427"/>
      <c r="F95" s="427"/>
      <c r="I95" s="427"/>
    </row>
    <row r="96" spans="4:9" ht="15.75" customHeight="1" x14ac:dyDescent="0.3">
      <c r="D96" s="427"/>
      <c r="F96" s="427"/>
      <c r="I96" s="427"/>
    </row>
    <row r="97" spans="4:9" ht="15.75" customHeight="1" x14ac:dyDescent="0.3">
      <c r="D97" s="427"/>
      <c r="F97" s="427"/>
      <c r="I97" s="427"/>
    </row>
    <row r="98" spans="4:9" ht="15.75" customHeight="1" x14ac:dyDescent="0.3">
      <c r="D98" s="427"/>
      <c r="F98" s="427"/>
      <c r="I98" s="427"/>
    </row>
    <row r="99" spans="4:9" ht="15.75" customHeight="1" x14ac:dyDescent="0.3">
      <c r="D99" s="427"/>
      <c r="F99" s="427"/>
      <c r="I99" s="427"/>
    </row>
    <row r="100" spans="4:9" ht="15.75" customHeight="1" x14ac:dyDescent="0.3">
      <c r="D100" s="427"/>
      <c r="F100" s="427"/>
      <c r="I100" s="427"/>
    </row>
    <row r="101" spans="4:9" ht="15.75" customHeight="1" x14ac:dyDescent="0.3">
      <c r="D101" s="427"/>
      <c r="F101" s="427"/>
      <c r="I101" s="427"/>
    </row>
    <row r="102" spans="4:9" ht="15.75" customHeight="1" x14ac:dyDescent="0.3">
      <c r="D102" s="427"/>
      <c r="F102" s="427"/>
      <c r="I102" s="427"/>
    </row>
    <row r="103" spans="4:9" ht="15.75" customHeight="1" x14ac:dyDescent="0.3">
      <c r="D103" s="427"/>
      <c r="F103" s="427"/>
      <c r="I103" s="427"/>
    </row>
    <row r="104" spans="4:9" ht="15.75" customHeight="1" x14ac:dyDescent="0.3">
      <c r="D104" s="427"/>
      <c r="F104" s="427"/>
      <c r="I104" s="427"/>
    </row>
    <row r="105" spans="4:9" ht="15.75" customHeight="1" x14ac:dyDescent="0.3">
      <c r="D105" s="427"/>
      <c r="F105" s="427"/>
      <c r="I105" s="427"/>
    </row>
    <row r="106" spans="4:9" ht="15.75" customHeight="1" x14ac:dyDescent="0.3">
      <c r="D106" s="427"/>
      <c r="F106" s="427"/>
      <c r="I106" s="427"/>
    </row>
    <row r="107" spans="4:9" ht="15.75" customHeight="1" x14ac:dyDescent="0.3">
      <c r="D107" s="427"/>
      <c r="F107" s="427"/>
      <c r="I107" s="427"/>
    </row>
    <row r="108" spans="4:9" ht="15.75" customHeight="1" x14ac:dyDescent="0.3">
      <c r="D108" s="427"/>
      <c r="F108" s="427"/>
      <c r="I108" s="427"/>
    </row>
    <row r="109" spans="4:9" ht="15.75" customHeight="1" x14ac:dyDescent="0.3">
      <c r="D109" s="427"/>
      <c r="F109" s="427"/>
      <c r="I109" s="427"/>
    </row>
    <row r="110" spans="4:9" ht="15.75" customHeight="1" x14ac:dyDescent="0.3">
      <c r="D110" s="427"/>
      <c r="F110" s="427"/>
      <c r="I110" s="427"/>
    </row>
    <row r="111" spans="4:9" ht="15.75" customHeight="1" x14ac:dyDescent="0.3">
      <c r="D111" s="427"/>
      <c r="F111" s="427"/>
      <c r="I111" s="427"/>
    </row>
    <row r="112" spans="4:9" ht="15.75" customHeight="1" x14ac:dyDescent="0.3">
      <c r="D112" s="427"/>
      <c r="F112" s="427"/>
      <c r="I112" s="427"/>
    </row>
    <row r="113" spans="4:9" ht="15.75" customHeight="1" x14ac:dyDescent="0.3">
      <c r="D113" s="427"/>
      <c r="F113" s="427"/>
      <c r="I113" s="427"/>
    </row>
    <row r="114" spans="4:9" ht="15.75" customHeight="1" x14ac:dyDescent="0.3">
      <c r="D114" s="427"/>
      <c r="F114" s="427"/>
      <c r="I114" s="427"/>
    </row>
    <row r="115" spans="4:9" ht="15.75" customHeight="1" x14ac:dyDescent="0.3">
      <c r="D115" s="427"/>
      <c r="F115" s="427"/>
      <c r="I115" s="427"/>
    </row>
    <row r="116" spans="4:9" ht="15.75" customHeight="1" x14ac:dyDescent="0.3">
      <c r="D116" s="427"/>
      <c r="F116" s="427"/>
      <c r="I116" s="427"/>
    </row>
    <row r="117" spans="4:9" ht="15.75" customHeight="1" x14ac:dyDescent="0.3">
      <c r="D117" s="427"/>
      <c r="F117" s="427"/>
      <c r="I117" s="427"/>
    </row>
    <row r="118" spans="4:9" ht="15.75" customHeight="1" x14ac:dyDescent="0.3">
      <c r="D118" s="427"/>
      <c r="F118" s="427"/>
      <c r="I118" s="427"/>
    </row>
    <row r="119" spans="4:9" ht="15.75" customHeight="1" x14ac:dyDescent="0.3">
      <c r="D119" s="427"/>
      <c r="F119" s="427"/>
      <c r="I119" s="427"/>
    </row>
    <row r="120" spans="4:9" ht="15.75" customHeight="1" x14ac:dyDescent="0.3">
      <c r="D120" s="427"/>
      <c r="F120" s="427"/>
      <c r="I120" s="427"/>
    </row>
    <row r="121" spans="4:9" ht="15.75" customHeight="1" x14ac:dyDescent="0.3">
      <c r="D121" s="427"/>
      <c r="F121" s="427"/>
      <c r="I121" s="427"/>
    </row>
    <row r="122" spans="4:9" ht="15.75" customHeight="1" x14ac:dyDescent="0.3">
      <c r="D122" s="427"/>
      <c r="F122" s="427"/>
      <c r="I122" s="427"/>
    </row>
    <row r="123" spans="4:9" ht="15.75" customHeight="1" x14ac:dyDescent="0.3">
      <c r="D123" s="427"/>
      <c r="F123" s="427"/>
      <c r="I123" s="427"/>
    </row>
    <row r="124" spans="4:9" ht="15.75" customHeight="1" x14ac:dyDescent="0.3">
      <c r="D124" s="427"/>
      <c r="F124" s="427"/>
      <c r="I124" s="427"/>
    </row>
    <row r="125" spans="4:9" ht="15.75" customHeight="1" x14ac:dyDescent="0.3">
      <c r="D125" s="427"/>
      <c r="F125" s="427"/>
      <c r="I125" s="427"/>
    </row>
    <row r="126" spans="4:9" ht="15.75" customHeight="1" x14ac:dyDescent="0.3">
      <c r="D126" s="427"/>
      <c r="F126" s="427"/>
      <c r="I126" s="427"/>
    </row>
    <row r="127" spans="4:9" ht="15.75" customHeight="1" x14ac:dyDescent="0.3">
      <c r="D127" s="427"/>
      <c r="F127" s="427"/>
      <c r="I127" s="427"/>
    </row>
    <row r="128" spans="4:9" ht="15.75" customHeight="1" x14ac:dyDescent="0.3">
      <c r="D128" s="427"/>
      <c r="F128" s="427"/>
      <c r="I128" s="427"/>
    </row>
    <row r="129" spans="4:9" ht="15.75" customHeight="1" x14ac:dyDescent="0.3">
      <c r="D129" s="427"/>
      <c r="F129" s="427"/>
      <c r="I129" s="427"/>
    </row>
    <row r="130" spans="4:9" ht="15.75" customHeight="1" x14ac:dyDescent="0.3">
      <c r="D130" s="427"/>
      <c r="F130" s="427"/>
      <c r="I130" s="427"/>
    </row>
    <row r="131" spans="4:9" ht="15.75" customHeight="1" x14ac:dyDescent="0.3">
      <c r="D131" s="427"/>
      <c r="F131" s="427"/>
      <c r="I131" s="427"/>
    </row>
    <row r="132" spans="4:9" ht="15.75" customHeight="1" x14ac:dyDescent="0.3">
      <c r="D132" s="427"/>
      <c r="F132" s="427"/>
      <c r="I132" s="427"/>
    </row>
    <row r="133" spans="4:9" ht="15.75" customHeight="1" x14ac:dyDescent="0.3">
      <c r="D133" s="427"/>
      <c r="F133" s="427"/>
      <c r="I133" s="427"/>
    </row>
    <row r="134" spans="4:9" ht="15.75" customHeight="1" x14ac:dyDescent="0.3">
      <c r="D134" s="427"/>
      <c r="F134" s="427"/>
      <c r="I134" s="427"/>
    </row>
    <row r="135" spans="4:9" ht="15.75" customHeight="1" x14ac:dyDescent="0.3">
      <c r="D135" s="427"/>
      <c r="F135" s="427"/>
      <c r="I135" s="427"/>
    </row>
    <row r="136" spans="4:9" ht="15.75" customHeight="1" x14ac:dyDescent="0.3">
      <c r="D136" s="427"/>
      <c r="F136" s="427"/>
      <c r="I136" s="427"/>
    </row>
    <row r="137" spans="4:9" ht="15.75" customHeight="1" x14ac:dyDescent="0.3">
      <c r="D137" s="427"/>
      <c r="F137" s="427"/>
      <c r="I137" s="427"/>
    </row>
    <row r="138" spans="4:9" ht="15.75" customHeight="1" x14ac:dyDescent="0.3">
      <c r="D138" s="427"/>
      <c r="F138" s="427"/>
      <c r="I138" s="427"/>
    </row>
    <row r="139" spans="4:9" ht="15.75" customHeight="1" x14ac:dyDescent="0.3">
      <c r="D139" s="427"/>
      <c r="F139" s="427"/>
      <c r="I139" s="427"/>
    </row>
    <row r="140" spans="4:9" ht="15.75" customHeight="1" x14ac:dyDescent="0.3">
      <c r="D140" s="427"/>
      <c r="F140" s="427"/>
      <c r="I140" s="427"/>
    </row>
    <row r="141" spans="4:9" ht="15.75" customHeight="1" x14ac:dyDescent="0.3">
      <c r="D141" s="427"/>
      <c r="F141" s="427"/>
      <c r="I141" s="427"/>
    </row>
    <row r="142" spans="4:9" ht="15.75" customHeight="1" x14ac:dyDescent="0.3">
      <c r="D142" s="427"/>
      <c r="F142" s="427"/>
      <c r="I142" s="427"/>
    </row>
    <row r="143" spans="4:9" ht="15.75" customHeight="1" x14ac:dyDescent="0.3">
      <c r="D143" s="427"/>
      <c r="F143" s="427"/>
      <c r="I143" s="427"/>
    </row>
    <row r="144" spans="4:9" ht="15.75" customHeight="1" x14ac:dyDescent="0.3">
      <c r="D144" s="427"/>
      <c r="F144" s="427"/>
      <c r="I144" s="427"/>
    </row>
    <row r="145" spans="4:9" ht="15.75" customHeight="1" x14ac:dyDescent="0.3">
      <c r="D145" s="427"/>
      <c r="F145" s="427"/>
      <c r="I145" s="427"/>
    </row>
    <row r="146" spans="4:9" ht="15.75" customHeight="1" x14ac:dyDescent="0.3">
      <c r="D146" s="427"/>
      <c r="F146" s="427"/>
      <c r="I146" s="427"/>
    </row>
    <row r="147" spans="4:9" ht="15.75" customHeight="1" x14ac:dyDescent="0.3">
      <c r="D147" s="427"/>
      <c r="F147" s="427"/>
      <c r="I147" s="427"/>
    </row>
    <row r="148" spans="4:9" ht="15.75" customHeight="1" x14ac:dyDescent="0.3">
      <c r="D148" s="427"/>
      <c r="F148" s="427"/>
      <c r="I148" s="427"/>
    </row>
    <row r="149" spans="4:9" ht="15.75" customHeight="1" x14ac:dyDescent="0.3">
      <c r="D149" s="427"/>
      <c r="F149" s="427"/>
      <c r="I149" s="427"/>
    </row>
    <row r="150" spans="4:9" ht="15.75" customHeight="1" x14ac:dyDescent="0.3">
      <c r="D150" s="427"/>
      <c r="F150" s="427"/>
      <c r="I150" s="427"/>
    </row>
    <row r="151" spans="4:9" ht="15.75" customHeight="1" x14ac:dyDescent="0.3">
      <c r="D151" s="427"/>
      <c r="F151" s="427"/>
      <c r="I151" s="427"/>
    </row>
    <row r="152" spans="4:9" ht="15.75" customHeight="1" x14ac:dyDescent="0.3">
      <c r="D152" s="427"/>
      <c r="F152" s="427"/>
      <c r="I152" s="427"/>
    </row>
    <row r="153" spans="4:9" ht="15.75" customHeight="1" x14ac:dyDescent="0.3">
      <c r="D153" s="427"/>
      <c r="F153" s="427"/>
      <c r="I153" s="427"/>
    </row>
    <row r="154" spans="4:9" ht="15.75" customHeight="1" x14ac:dyDescent="0.3">
      <c r="D154" s="427"/>
      <c r="F154" s="427"/>
      <c r="I154" s="427"/>
    </row>
    <row r="155" spans="4:9" ht="15.75" customHeight="1" x14ac:dyDescent="0.3">
      <c r="D155" s="427"/>
      <c r="F155" s="427"/>
      <c r="I155" s="427"/>
    </row>
    <row r="156" spans="4:9" ht="15.75" customHeight="1" x14ac:dyDescent="0.3">
      <c r="D156" s="427"/>
      <c r="F156" s="427"/>
      <c r="I156" s="427"/>
    </row>
    <row r="157" spans="4:9" ht="15.75" customHeight="1" x14ac:dyDescent="0.3">
      <c r="D157" s="427"/>
      <c r="F157" s="427"/>
      <c r="I157" s="427"/>
    </row>
    <row r="158" spans="4:9" ht="15.75" customHeight="1" x14ac:dyDescent="0.3">
      <c r="D158" s="427"/>
      <c r="F158" s="427"/>
      <c r="I158" s="427"/>
    </row>
    <row r="159" spans="4:9" ht="15.75" customHeight="1" x14ac:dyDescent="0.3">
      <c r="D159" s="427"/>
      <c r="F159" s="427"/>
      <c r="I159" s="427"/>
    </row>
    <row r="160" spans="4:9" ht="15.75" customHeight="1" x14ac:dyDescent="0.3">
      <c r="D160" s="427"/>
      <c r="F160" s="427"/>
      <c r="I160" s="427"/>
    </row>
    <row r="161" spans="4:9" ht="15.75" customHeight="1" x14ac:dyDescent="0.3">
      <c r="D161" s="427"/>
      <c r="F161" s="427"/>
      <c r="I161" s="427"/>
    </row>
    <row r="162" spans="4:9" ht="15.75" customHeight="1" x14ac:dyDescent="0.3">
      <c r="D162" s="427"/>
      <c r="F162" s="427"/>
      <c r="I162" s="427"/>
    </row>
    <row r="163" spans="4:9" ht="15.75" customHeight="1" x14ac:dyDescent="0.3">
      <c r="D163" s="427"/>
      <c r="F163" s="427"/>
      <c r="I163" s="427"/>
    </row>
    <row r="164" spans="4:9" ht="15.75" customHeight="1" x14ac:dyDescent="0.3">
      <c r="D164" s="427"/>
      <c r="F164" s="427"/>
      <c r="I164" s="427"/>
    </row>
    <row r="165" spans="4:9" ht="15.75" customHeight="1" x14ac:dyDescent="0.3">
      <c r="D165" s="427"/>
      <c r="F165" s="427"/>
      <c r="I165" s="427"/>
    </row>
    <row r="166" spans="4:9" ht="15.75" customHeight="1" x14ac:dyDescent="0.3">
      <c r="D166" s="427"/>
      <c r="F166" s="427"/>
      <c r="I166" s="427"/>
    </row>
    <row r="167" spans="4:9" ht="15.75" customHeight="1" x14ac:dyDescent="0.3">
      <c r="D167" s="427"/>
      <c r="F167" s="427"/>
      <c r="I167" s="427"/>
    </row>
    <row r="168" spans="4:9" ht="15.75" customHeight="1" x14ac:dyDescent="0.3">
      <c r="D168" s="427"/>
      <c r="F168" s="427"/>
      <c r="I168" s="427"/>
    </row>
    <row r="169" spans="4:9" ht="15.75" customHeight="1" x14ac:dyDescent="0.3">
      <c r="D169" s="427"/>
      <c r="F169" s="427"/>
      <c r="I169" s="427"/>
    </row>
    <row r="170" spans="4:9" ht="15.75" customHeight="1" x14ac:dyDescent="0.3">
      <c r="D170" s="427"/>
      <c r="F170" s="427"/>
      <c r="I170" s="427"/>
    </row>
    <row r="171" spans="4:9" ht="15.75" customHeight="1" x14ac:dyDescent="0.3">
      <c r="D171" s="427"/>
      <c r="F171" s="427"/>
      <c r="I171" s="427"/>
    </row>
    <row r="172" spans="4:9" ht="15.75" customHeight="1" x14ac:dyDescent="0.3">
      <c r="D172" s="427"/>
      <c r="F172" s="427"/>
      <c r="I172" s="427"/>
    </row>
    <row r="173" spans="4:9" ht="15.75" customHeight="1" x14ac:dyDescent="0.3">
      <c r="D173" s="427"/>
      <c r="F173" s="427"/>
      <c r="I173" s="427"/>
    </row>
    <row r="174" spans="4:9" ht="15.75" customHeight="1" x14ac:dyDescent="0.3">
      <c r="D174" s="427"/>
      <c r="F174" s="427"/>
      <c r="I174" s="427"/>
    </row>
    <row r="175" spans="4:9" ht="15.75" customHeight="1" x14ac:dyDescent="0.3">
      <c r="D175" s="427"/>
      <c r="F175" s="427"/>
      <c r="I175" s="427"/>
    </row>
    <row r="176" spans="4:9" ht="15.75" customHeight="1" x14ac:dyDescent="0.3">
      <c r="D176" s="427"/>
      <c r="F176" s="427"/>
      <c r="I176" s="427"/>
    </row>
    <row r="177" spans="4:9" ht="15.75" customHeight="1" x14ac:dyDescent="0.3">
      <c r="D177" s="427"/>
      <c r="F177" s="427"/>
      <c r="I177" s="427"/>
    </row>
    <row r="178" spans="4:9" ht="15.75" customHeight="1" x14ac:dyDescent="0.3">
      <c r="D178" s="427"/>
      <c r="F178" s="427"/>
      <c r="I178" s="427"/>
    </row>
    <row r="179" spans="4:9" ht="15.75" customHeight="1" x14ac:dyDescent="0.3">
      <c r="D179" s="427"/>
      <c r="F179" s="427"/>
      <c r="I179" s="427"/>
    </row>
    <row r="180" spans="4:9" ht="15.75" customHeight="1" x14ac:dyDescent="0.3">
      <c r="D180" s="427"/>
      <c r="F180" s="427"/>
      <c r="I180" s="427"/>
    </row>
    <row r="181" spans="4:9" ht="15.75" customHeight="1" x14ac:dyDescent="0.3">
      <c r="D181" s="427"/>
      <c r="F181" s="427"/>
      <c r="I181" s="427"/>
    </row>
    <row r="182" spans="4:9" ht="15.75" customHeight="1" x14ac:dyDescent="0.3">
      <c r="D182" s="427"/>
      <c r="F182" s="427"/>
      <c r="I182" s="427"/>
    </row>
    <row r="183" spans="4:9" ht="15.75" customHeight="1" x14ac:dyDescent="0.3">
      <c r="D183" s="427"/>
      <c r="F183" s="427"/>
      <c r="I183" s="427"/>
    </row>
    <row r="184" spans="4:9" ht="15.75" customHeight="1" x14ac:dyDescent="0.3">
      <c r="D184" s="427"/>
      <c r="F184" s="427"/>
      <c r="I184" s="427"/>
    </row>
    <row r="185" spans="4:9" ht="15.75" customHeight="1" x14ac:dyDescent="0.3">
      <c r="D185" s="427"/>
      <c r="F185" s="427"/>
      <c r="I185" s="427"/>
    </row>
    <row r="186" spans="4:9" ht="15.75" customHeight="1" x14ac:dyDescent="0.3">
      <c r="D186" s="427"/>
      <c r="F186" s="427"/>
      <c r="I186" s="427"/>
    </row>
    <row r="187" spans="4:9" ht="15.75" customHeight="1" x14ac:dyDescent="0.3">
      <c r="D187" s="427"/>
      <c r="F187" s="427"/>
      <c r="I187" s="427"/>
    </row>
    <row r="188" spans="4:9" ht="15.75" customHeight="1" x14ac:dyDescent="0.3">
      <c r="D188" s="427"/>
      <c r="F188" s="427"/>
      <c r="I188" s="427"/>
    </row>
    <row r="189" spans="4:9" ht="15.75" customHeight="1" x14ac:dyDescent="0.3">
      <c r="D189" s="427"/>
      <c r="F189" s="427"/>
      <c r="I189" s="427"/>
    </row>
    <row r="190" spans="4:9" ht="15.75" customHeight="1" x14ac:dyDescent="0.3">
      <c r="D190" s="427"/>
      <c r="F190" s="427"/>
      <c r="I190" s="427"/>
    </row>
    <row r="191" spans="4:9" ht="15.75" customHeight="1" x14ac:dyDescent="0.3">
      <c r="D191" s="427"/>
      <c r="F191" s="427"/>
      <c r="I191" s="427"/>
    </row>
    <row r="192" spans="4:9" ht="15.75" customHeight="1" x14ac:dyDescent="0.3">
      <c r="D192" s="427"/>
      <c r="F192" s="427"/>
      <c r="I192" s="427"/>
    </row>
    <row r="193" spans="4:9" ht="15.75" customHeight="1" x14ac:dyDescent="0.3">
      <c r="D193" s="427"/>
      <c r="F193" s="427"/>
      <c r="I193" s="427"/>
    </row>
    <row r="194" spans="4:9" ht="15.75" customHeight="1" x14ac:dyDescent="0.3">
      <c r="D194" s="427"/>
      <c r="F194" s="427"/>
      <c r="I194" s="427"/>
    </row>
    <row r="195" spans="4:9" ht="15.75" customHeight="1" x14ac:dyDescent="0.3">
      <c r="D195" s="427"/>
      <c r="F195" s="427"/>
      <c r="I195" s="427"/>
    </row>
    <row r="196" spans="4:9" ht="15.75" customHeight="1" x14ac:dyDescent="0.3">
      <c r="D196" s="427"/>
      <c r="F196" s="427"/>
      <c r="I196" s="427"/>
    </row>
    <row r="197" spans="4:9" ht="15.75" customHeight="1" x14ac:dyDescent="0.3">
      <c r="D197" s="427"/>
      <c r="F197" s="427"/>
      <c r="I197" s="427"/>
    </row>
    <row r="198" spans="4:9" ht="15.75" customHeight="1" x14ac:dyDescent="0.3">
      <c r="D198" s="427"/>
      <c r="F198" s="427"/>
      <c r="I198" s="427"/>
    </row>
    <row r="199" spans="4:9" ht="15.75" customHeight="1" x14ac:dyDescent="0.3">
      <c r="D199" s="427"/>
      <c r="F199" s="427"/>
      <c r="I199" s="427"/>
    </row>
    <row r="200" spans="4:9" ht="15.75" customHeight="1" x14ac:dyDescent="0.3">
      <c r="D200" s="427"/>
      <c r="F200" s="427"/>
      <c r="I200" s="427"/>
    </row>
    <row r="201" spans="4:9" ht="15.75" customHeight="1" x14ac:dyDescent="0.3">
      <c r="D201" s="427"/>
      <c r="F201" s="427"/>
      <c r="I201" s="427"/>
    </row>
    <row r="202" spans="4:9" ht="15.75" customHeight="1" x14ac:dyDescent="0.3">
      <c r="D202" s="427"/>
      <c r="F202" s="427"/>
      <c r="I202" s="427"/>
    </row>
    <row r="203" spans="4:9" ht="15.75" customHeight="1" x14ac:dyDescent="0.3">
      <c r="D203" s="427"/>
      <c r="F203" s="427"/>
      <c r="I203" s="427"/>
    </row>
    <row r="204" spans="4:9" ht="15.75" customHeight="1" x14ac:dyDescent="0.3">
      <c r="D204" s="427"/>
      <c r="F204" s="427"/>
      <c r="I204" s="427"/>
    </row>
    <row r="205" spans="4:9" ht="15.75" customHeight="1" x14ac:dyDescent="0.3">
      <c r="D205" s="427"/>
      <c r="F205" s="427"/>
      <c r="I205" s="427"/>
    </row>
    <row r="206" spans="4:9" ht="15.75" customHeight="1" x14ac:dyDescent="0.3">
      <c r="D206" s="427"/>
      <c r="F206" s="427"/>
      <c r="I206" s="427"/>
    </row>
    <row r="207" spans="4:9" ht="15.75" customHeight="1" x14ac:dyDescent="0.3">
      <c r="D207" s="427"/>
      <c r="F207" s="427"/>
      <c r="I207" s="427"/>
    </row>
    <row r="208" spans="4:9" ht="15.75" customHeight="1" x14ac:dyDescent="0.3">
      <c r="D208" s="427"/>
      <c r="F208" s="427"/>
      <c r="I208" s="427"/>
    </row>
    <row r="209" spans="4:9" ht="15.75" customHeight="1" x14ac:dyDescent="0.3">
      <c r="D209" s="427"/>
      <c r="F209" s="427"/>
      <c r="I209" s="427"/>
    </row>
    <row r="210" spans="4:9" ht="15.75" customHeight="1" x14ac:dyDescent="0.3">
      <c r="D210" s="427"/>
      <c r="F210" s="427"/>
      <c r="I210" s="427"/>
    </row>
    <row r="211" spans="4:9" ht="15.75" customHeight="1" x14ac:dyDescent="0.3">
      <c r="D211" s="427"/>
      <c r="F211" s="427"/>
      <c r="I211" s="427"/>
    </row>
    <row r="212" spans="4:9" ht="15.75" customHeight="1" x14ac:dyDescent="0.3">
      <c r="D212" s="427"/>
      <c r="F212" s="427"/>
      <c r="I212" s="427"/>
    </row>
    <row r="213" spans="4:9" ht="15.75" customHeight="1" x14ac:dyDescent="0.3">
      <c r="D213" s="427"/>
      <c r="F213" s="427"/>
      <c r="I213" s="427"/>
    </row>
    <row r="214" spans="4:9" ht="15.75" customHeight="1" x14ac:dyDescent="0.3">
      <c r="D214" s="427"/>
      <c r="F214" s="427"/>
      <c r="I214" s="427"/>
    </row>
    <row r="215" spans="4:9" ht="15.75" customHeight="1" x14ac:dyDescent="0.3">
      <c r="D215" s="427"/>
      <c r="F215" s="427"/>
      <c r="I215" s="427"/>
    </row>
    <row r="216" spans="4:9" ht="15.75" customHeight="1" x14ac:dyDescent="0.3">
      <c r="D216" s="427"/>
      <c r="F216" s="427"/>
      <c r="I216" s="427"/>
    </row>
    <row r="217" spans="4:9" ht="15.75" customHeight="1" x14ac:dyDescent="0.3">
      <c r="D217" s="427"/>
      <c r="F217" s="427"/>
      <c r="I217" s="427"/>
    </row>
    <row r="218" spans="4:9" ht="15.75" customHeight="1" x14ac:dyDescent="0.3">
      <c r="D218" s="427"/>
      <c r="F218" s="427"/>
      <c r="I218" s="427"/>
    </row>
    <row r="219" spans="4:9" ht="15.75" customHeight="1" x14ac:dyDescent="0.3">
      <c r="D219" s="427"/>
      <c r="F219" s="427"/>
      <c r="I219" s="427"/>
    </row>
    <row r="220" spans="4:9" ht="15.75" customHeight="1" x14ac:dyDescent="0.3">
      <c r="D220" s="427"/>
      <c r="F220" s="427"/>
      <c r="I220" s="427"/>
    </row>
    <row r="221" spans="4:9" ht="15.75" customHeight="1" x14ac:dyDescent="0.3">
      <c r="D221" s="427"/>
      <c r="F221" s="427"/>
      <c r="I221" s="427"/>
    </row>
    <row r="222" spans="4:9" ht="15.75" customHeight="1" x14ac:dyDescent="0.3">
      <c r="D222" s="427"/>
      <c r="F222" s="427"/>
      <c r="I222" s="427"/>
    </row>
    <row r="223" spans="4:9" ht="15.75" customHeight="1" x14ac:dyDescent="0.3">
      <c r="D223" s="427"/>
      <c r="F223" s="427"/>
      <c r="I223" s="427"/>
    </row>
    <row r="224" spans="4:9" ht="15.75" customHeight="1" x14ac:dyDescent="0.3">
      <c r="D224" s="427"/>
      <c r="F224" s="427"/>
      <c r="I224" s="427"/>
    </row>
    <row r="225" spans="4:9" ht="15.75" customHeight="1" x14ac:dyDescent="0.3">
      <c r="D225" s="427"/>
      <c r="F225" s="427"/>
      <c r="I225" s="427"/>
    </row>
    <row r="226" spans="4:9" ht="15.75" customHeight="1" x14ac:dyDescent="0.3">
      <c r="D226" s="427"/>
      <c r="F226" s="427"/>
      <c r="I226" s="427"/>
    </row>
    <row r="227" spans="4:9" ht="15.75" customHeight="1" x14ac:dyDescent="0.3">
      <c r="D227" s="427"/>
      <c r="F227" s="427"/>
      <c r="I227" s="427"/>
    </row>
    <row r="228" spans="4:9" ht="15.75" customHeight="1" x14ac:dyDescent="0.3">
      <c r="D228" s="427"/>
      <c r="F228" s="427"/>
      <c r="I228" s="427"/>
    </row>
    <row r="229" spans="4:9" ht="15.75" customHeight="1" x14ac:dyDescent="0.3">
      <c r="D229" s="427"/>
      <c r="F229" s="427"/>
      <c r="I229" s="427"/>
    </row>
    <row r="230" spans="4:9" ht="15.75" customHeight="1" x14ac:dyDescent="0.3">
      <c r="D230" s="427"/>
      <c r="F230" s="427"/>
      <c r="I230" s="427"/>
    </row>
    <row r="231" spans="4:9" ht="15.75" customHeight="1" x14ac:dyDescent="0.3">
      <c r="D231" s="427"/>
      <c r="F231" s="427"/>
      <c r="I231" s="427"/>
    </row>
    <row r="232" spans="4:9" ht="15.75" customHeight="1" x14ac:dyDescent="0.3">
      <c r="D232" s="427"/>
      <c r="F232" s="427"/>
      <c r="I232" s="427"/>
    </row>
    <row r="233" spans="4:9" ht="15.75" customHeight="1" x14ac:dyDescent="0.3">
      <c r="D233" s="427"/>
      <c r="F233" s="427"/>
      <c r="I233" s="427"/>
    </row>
    <row r="234" spans="4:9" ht="15.75" customHeight="1" x14ac:dyDescent="0.3">
      <c r="D234" s="427"/>
      <c r="F234" s="427"/>
      <c r="I234" s="427"/>
    </row>
    <row r="235" spans="4:9" ht="15.75" customHeight="1" x14ac:dyDescent="0.3">
      <c r="D235" s="427"/>
      <c r="F235" s="427"/>
      <c r="I235" s="427"/>
    </row>
    <row r="236" spans="4:9" ht="15.75" customHeight="1" x14ac:dyDescent="0.3">
      <c r="D236" s="427"/>
      <c r="F236" s="427"/>
      <c r="I236" s="427"/>
    </row>
    <row r="237" spans="4:9" ht="15.75" customHeight="1" x14ac:dyDescent="0.3">
      <c r="D237" s="427"/>
      <c r="F237" s="427"/>
      <c r="I237" s="427"/>
    </row>
    <row r="238" spans="4:9" ht="15.75" customHeight="1" x14ac:dyDescent="0.3">
      <c r="D238" s="427"/>
      <c r="F238" s="427"/>
      <c r="I238" s="427"/>
    </row>
    <row r="239" spans="4:9" ht="15.75" customHeight="1" x14ac:dyDescent="0.3">
      <c r="D239" s="427"/>
      <c r="F239" s="427"/>
      <c r="I239" s="427"/>
    </row>
    <row r="240" spans="4:9" ht="15.75" customHeight="1" x14ac:dyDescent="0.3">
      <c r="D240" s="427"/>
      <c r="F240" s="427"/>
      <c r="I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dataValidations count="1">
    <dataValidation type="list" allowBlank="1" showErrorMessage="1" sqref="B17 B22" xr:uid="{FF2496AF-D9D3-4989-AF1C-6C3943046DE6}">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82CAB-157C-4CD9-869C-F72D7E277CBA}">
  <dimension ref="A1:AD901"/>
  <sheetViews>
    <sheetView zoomScale="90" zoomScaleNormal="90" workbookViewId="0">
      <selection activeCell="AB22" sqref="AB22"/>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12" width="12.77734375" style="428" customWidth="1"/>
    <col min="13" max="19" width="11.5546875" style="428" customWidth="1"/>
    <col min="20"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2364</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348</v>
      </c>
      <c r="D10" s="531" t="s">
        <v>403</v>
      </c>
      <c r="E10" s="532" t="s">
        <v>350</v>
      </c>
      <c r="F10" s="533" t="s">
        <v>528</v>
      </c>
      <c r="G10" s="534">
        <v>2021</v>
      </c>
      <c r="H10" s="535"/>
      <c r="I10" s="535">
        <v>0</v>
      </c>
      <c r="J10" s="537">
        <v>0</v>
      </c>
      <c r="K10" s="628">
        <v>36050</v>
      </c>
      <c r="L10" s="677">
        <v>63019</v>
      </c>
      <c r="M10" s="537">
        <v>46190</v>
      </c>
      <c r="N10" s="628">
        <v>47490</v>
      </c>
      <c r="O10" s="535"/>
      <c r="P10" s="535"/>
      <c r="Q10" s="535"/>
      <c r="R10" s="535"/>
      <c r="S10" s="535"/>
      <c r="T10" s="535"/>
      <c r="U10" s="542"/>
      <c r="V10" s="535"/>
      <c r="W10" s="542"/>
      <c r="X10" s="535"/>
      <c r="Y10" s="542"/>
      <c r="Z10" s="535"/>
      <c r="AA10" s="528"/>
      <c r="AB10" s="528"/>
      <c r="AC10" s="528"/>
      <c r="AD10" s="528"/>
    </row>
    <row r="11" spans="1:30" ht="24" customHeight="1" x14ac:dyDescent="0.3">
      <c r="A11" s="528"/>
      <c r="B11" s="529"/>
      <c r="C11" s="453" t="s">
        <v>348</v>
      </c>
      <c r="D11" s="453" t="s">
        <v>352</v>
      </c>
      <c r="E11" s="543" t="s">
        <v>353</v>
      </c>
      <c r="F11" s="506" t="s">
        <v>354</v>
      </c>
      <c r="G11" s="496"/>
      <c r="H11" s="544"/>
      <c r="I11" s="545">
        <v>2721600</v>
      </c>
      <c r="J11" s="546">
        <v>2935200</v>
      </c>
      <c r="K11" s="630">
        <v>2481600</v>
      </c>
      <c r="L11" s="630"/>
      <c r="M11" s="630"/>
      <c r="N11" s="630"/>
      <c r="O11" s="544"/>
      <c r="P11" s="544"/>
      <c r="Q11" s="544"/>
      <c r="R11" s="544"/>
      <c r="S11" s="544"/>
      <c r="T11" s="544"/>
      <c r="U11" s="548"/>
      <c r="V11" s="544"/>
      <c r="W11" s="548"/>
      <c r="X11" s="544"/>
      <c r="Y11" s="548"/>
      <c r="Z11" s="544"/>
      <c r="AA11" s="528"/>
      <c r="AB11" s="528"/>
      <c r="AC11" s="528"/>
      <c r="AD11" s="528"/>
    </row>
    <row r="12" spans="1:30" ht="30" customHeight="1" x14ac:dyDescent="0.3">
      <c r="A12" s="528"/>
      <c r="B12" s="529"/>
      <c r="C12" s="531"/>
      <c r="D12" s="531"/>
      <c r="E12" s="532"/>
      <c r="F12" s="533"/>
      <c r="G12" s="549"/>
      <c r="H12" s="550"/>
      <c r="I12" s="550"/>
      <c r="J12" s="550"/>
      <c r="K12" s="550"/>
      <c r="L12" s="550"/>
      <c r="M12" s="550"/>
      <c r="N12" s="550"/>
      <c r="O12" s="550"/>
      <c r="P12" s="550"/>
      <c r="Q12" s="550"/>
      <c r="R12" s="550"/>
      <c r="S12" s="550"/>
      <c r="T12" s="550"/>
      <c r="U12" s="542"/>
      <c r="V12" s="550"/>
      <c r="W12" s="542"/>
      <c r="X12" s="550"/>
      <c r="Y12" s="542"/>
      <c r="Z12" s="550"/>
      <c r="AA12" s="528"/>
      <c r="AB12" s="528"/>
      <c r="AC12" s="528"/>
      <c r="AD12" s="528"/>
    </row>
    <row r="13" spans="1:30" ht="24" customHeight="1" x14ac:dyDescent="0.3">
      <c r="A13" s="528"/>
      <c r="B13" s="552"/>
      <c r="C13" s="462"/>
      <c r="D13" s="462"/>
      <c r="E13" s="553"/>
      <c r="F13" s="554"/>
      <c r="G13" s="555"/>
      <c r="H13" s="556"/>
      <c r="I13" s="556"/>
      <c r="J13" s="556"/>
      <c r="K13" s="556"/>
      <c r="L13" s="556"/>
      <c r="M13" s="556"/>
      <c r="N13" s="556"/>
      <c r="O13" s="556"/>
      <c r="P13" s="556"/>
      <c r="Q13" s="556"/>
      <c r="R13" s="556"/>
      <c r="S13" s="556"/>
      <c r="T13" s="556"/>
      <c r="U13" s="557"/>
      <c r="V13" s="556"/>
      <c r="W13" s="557"/>
      <c r="X13" s="556"/>
      <c r="Y13" s="557"/>
      <c r="Z13" s="556"/>
      <c r="AA13" s="528"/>
      <c r="AB13" s="528"/>
      <c r="AC13" s="528"/>
      <c r="AD13" s="528"/>
    </row>
    <row r="14" spans="1:30" ht="15.75" customHeight="1" x14ac:dyDescent="0.3">
      <c r="A14" s="528"/>
      <c r="B14" s="558"/>
      <c r="C14" s="528"/>
      <c r="D14" s="528"/>
      <c r="E14" s="528"/>
      <c r="F14" s="528"/>
      <c r="G14" s="479"/>
      <c r="H14" s="479"/>
      <c r="I14" s="479"/>
      <c r="J14" s="479"/>
      <c r="K14" s="479"/>
      <c r="L14" s="479"/>
      <c r="M14" s="559"/>
      <c r="N14" s="559"/>
      <c r="O14" s="559"/>
      <c r="P14" s="559"/>
      <c r="Q14" s="559"/>
      <c r="R14" s="559"/>
      <c r="S14" s="559"/>
      <c r="T14" s="559"/>
      <c r="U14" s="559"/>
      <c r="V14" s="559"/>
      <c r="W14" s="559"/>
      <c r="X14" s="559"/>
      <c r="Y14" s="559"/>
      <c r="Z14" s="559"/>
      <c r="AA14" s="528"/>
      <c r="AB14" s="528"/>
      <c r="AC14" s="528"/>
      <c r="AD14" s="528"/>
    </row>
    <row r="15" spans="1:30" ht="15.75" customHeight="1" x14ac:dyDescent="0.3">
      <c r="A15" s="528"/>
      <c r="B15" s="560" t="s">
        <v>355</v>
      </c>
      <c r="C15" s="561" t="s">
        <v>356</v>
      </c>
      <c r="D15" s="528"/>
      <c r="E15" s="528"/>
      <c r="F15" s="528"/>
      <c r="G15" s="479"/>
      <c r="H15" s="479"/>
      <c r="I15" s="479"/>
      <c r="J15" s="479"/>
      <c r="K15" s="479"/>
      <c r="L15" s="479"/>
      <c r="M15" s="559"/>
      <c r="N15" s="559"/>
      <c r="O15" s="559"/>
      <c r="P15" s="559"/>
      <c r="Q15" s="559"/>
      <c r="R15" s="559"/>
      <c r="S15" s="559"/>
      <c r="T15" s="559"/>
      <c r="U15" s="559"/>
      <c r="V15" s="559"/>
      <c r="W15" s="559"/>
      <c r="X15" s="559"/>
      <c r="Y15" s="559"/>
      <c r="Z15" s="559"/>
      <c r="AA15" s="528"/>
      <c r="AB15" s="528"/>
      <c r="AC15" s="528"/>
      <c r="AD15" s="528"/>
    </row>
    <row r="16" spans="1:30" ht="15.75" customHeight="1" x14ac:dyDescent="0.3">
      <c r="A16" s="528"/>
      <c r="B16" s="558"/>
      <c r="C16" s="528"/>
      <c r="D16" s="528"/>
      <c r="E16" s="528"/>
      <c r="F16" s="528"/>
      <c r="G16" s="479"/>
      <c r="H16" s="479"/>
      <c r="I16" s="479"/>
      <c r="J16" s="479"/>
      <c r="K16" s="479"/>
      <c r="L16" s="479"/>
      <c r="M16" s="559"/>
      <c r="N16" s="559"/>
      <c r="O16" s="559"/>
      <c r="P16" s="559"/>
      <c r="Q16" s="559"/>
      <c r="R16" s="559"/>
      <c r="S16" s="559"/>
      <c r="T16" s="559"/>
      <c r="U16" s="559"/>
      <c r="V16" s="559"/>
      <c r="W16" s="559"/>
      <c r="X16" s="559"/>
      <c r="Y16" s="559"/>
      <c r="Z16" s="559"/>
      <c r="AA16" s="528"/>
      <c r="AB16" s="528"/>
      <c r="AC16" s="528"/>
      <c r="AD16" s="528"/>
    </row>
    <row r="17" spans="1:30" ht="15.75" customHeight="1" x14ac:dyDescent="0.3">
      <c r="A17" s="528"/>
      <c r="B17" s="4383" t="s">
        <v>357</v>
      </c>
      <c r="C17" s="4384"/>
      <c r="D17" s="528"/>
      <c r="E17" s="528"/>
      <c r="F17" s="528"/>
      <c r="G17" s="479"/>
      <c r="H17" s="479"/>
      <c r="I17" s="479"/>
      <c r="J17" s="479"/>
      <c r="K17" s="479"/>
      <c r="L17" s="479"/>
      <c r="M17" s="559"/>
      <c r="N17" s="559"/>
      <c r="O17" s="559"/>
      <c r="P17" s="559"/>
      <c r="Q17" s="559"/>
      <c r="R17" s="559"/>
      <c r="S17" s="559"/>
      <c r="T17" s="559"/>
      <c r="U17" s="559"/>
      <c r="V17" s="559"/>
      <c r="W17" s="559"/>
      <c r="X17" s="559"/>
      <c r="Y17" s="559"/>
      <c r="Z17" s="559"/>
      <c r="AA17" s="528"/>
      <c r="AB17" s="528"/>
      <c r="AC17" s="528"/>
      <c r="AD17" s="528"/>
    </row>
    <row r="18" spans="1:30" ht="15.75" customHeight="1" x14ac:dyDescent="0.3">
      <c r="A18" s="528"/>
      <c r="B18" s="562" t="s">
        <v>674</v>
      </c>
      <c r="C18" s="528" t="s">
        <v>675</v>
      </c>
      <c r="D18" s="528"/>
      <c r="E18" s="528"/>
      <c r="F18" s="528"/>
      <c r="G18" s="479"/>
      <c r="H18" s="479"/>
      <c r="I18" s="479"/>
      <c r="J18" s="479">
        <v>0.61692142857142862</v>
      </c>
      <c r="K18" s="479" t="s">
        <v>676</v>
      </c>
      <c r="L18" s="479"/>
      <c r="M18" s="1707" t="s">
        <v>677</v>
      </c>
      <c r="N18" s="559"/>
      <c r="O18" s="559"/>
      <c r="P18" s="559"/>
      <c r="Q18" s="559"/>
      <c r="R18" s="559"/>
      <c r="S18" s="559">
        <v>63019</v>
      </c>
      <c r="T18" s="559"/>
      <c r="U18" s="559"/>
      <c r="V18" s="559"/>
      <c r="W18" s="559"/>
      <c r="X18" s="559"/>
      <c r="Y18" s="559"/>
      <c r="Z18" s="559"/>
      <c r="AA18" s="528"/>
      <c r="AB18" s="528"/>
      <c r="AC18" s="528"/>
      <c r="AD18" s="528"/>
    </row>
    <row r="19" spans="1:30" ht="15.75" customHeight="1" x14ac:dyDescent="0.3">
      <c r="A19" s="528"/>
      <c r="B19" s="562"/>
      <c r="C19" s="528" t="s">
        <v>678</v>
      </c>
      <c r="D19" s="528"/>
      <c r="E19" s="528"/>
      <c r="F19" s="528"/>
      <c r="G19" s="479"/>
      <c r="H19" s="479"/>
      <c r="I19" s="479"/>
      <c r="J19" s="479">
        <v>43366.100000000013</v>
      </c>
      <c r="K19" s="479" t="s">
        <v>679</v>
      </c>
      <c r="L19" s="479"/>
      <c r="M19" s="1707" t="s">
        <v>680</v>
      </c>
      <c r="N19" s="559"/>
      <c r="O19" s="559"/>
      <c r="P19" s="559"/>
      <c r="Q19" s="559"/>
      <c r="R19" s="559"/>
      <c r="S19" s="559">
        <v>67463.577104053547</v>
      </c>
      <c r="T19" s="559"/>
      <c r="U19" s="559"/>
      <c r="V19" s="559"/>
      <c r="W19" s="559"/>
      <c r="X19" s="559"/>
      <c r="Y19" s="559"/>
      <c r="Z19" s="559"/>
      <c r="AA19" s="528"/>
      <c r="AB19" s="528"/>
      <c r="AC19" s="528"/>
      <c r="AD19" s="528"/>
    </row>
    <row r="20" spans="1:30" ht="15.75" customHeight="1" x14ac:dyDescent="0.3">
      <c r="C20" s="428" t="s">
        <v>681</v>
      </c>
      <c r="J20" s="428">
        <v>14866.249999999998</v>
      </c>
      <c r="K20" s="428" t="s">
        <v>371</v>
      </c>
      <c r="Q20" s="428" t="s">
        <v>682</v>
      </c>
      <c r="S20" s="428">
        <v>-4444.5771040535474</v>
      </c>
    </row>
    <row r="21" spans="1:30" ht="15.75" customHeight="1" x14ac:dyDescent="0.3">
      <c r="J21" s="428">
        <v>24097.477104053534</v>
      </c>
      <c r="K21" s="428" t="s">
        <v>679</v>
      </c>
    </row>
    <row r="22" spans="1:30" ht="15.75" customHeight="1" x14ac:dyDescent="0.3"/>
    <row r="23" spans="1:30" ht="21" customHeight="1" x14ac:dyDescent="0.3">
      <c r="B23" s="519" t="s">
        <v>409</v>
      </c>
    </row>
    <row r="24" spans="1:30" ht="9" customHeight="1" x14ac:dyDescent="0.3">
      <c r="B24" s="519"/>
    </row>
    <row r="25" spans="1:30" ht="21" customHeight="1" x14ac:dyDescent="0.3">
      <c r="B25" s="517" t="s">
        <v>410</v>
      </c>
      <c r="C25" s="518"/>
      <c r="D25" s="518"/>
    </row>
    <row r="26" spans="1:30" ht="12" customHeight="1" x14ac:dyDescent="0.3"/>
    <row r="27" spans="1:30" ht="15.75" customHeight="1" x14ac:dyDescent="0.3">
      <c r="B27" s="521" t="s">
        <v>301</v>
      </c>
      <c r="C27" s="522" t="s">
        <v>343</v>
      </c>
      <c r="D27" s="523" t="s">
        <v>344</v>
      </c>
      <c r="E27" s="523" t="s">
        <v>345</v>
      </c>
      <c r="F27" s="523" t="s">
        <v>346</v>
      </c>
      <c r="G27" s="524" t="s">
        <v>347</v>
      </c>
      <c r="H27" s="525">
        <v>2025</v>
      </c>
      <c r="I27" s="525">
        <v>2024</v>
      </c>
      <c r="J27" s="525">
        <v>2023</v>
      </c>
      <c r="K27" s="525">
        <v>2022</v>
      </c>
      <c r="L27" s="525">
        <v>2021</v>
      </c>
      <c r="M27" s="525">
        <v>2020</v>
      </c>
      <c r="N27" s="525">
        <v>2019</v>
      </c>
      <c r="O27" s="526">
        <v>2018</v>
      </c>
      <c r="P27" s="526">
        <v>2017</v>
      </c>
      <c r="Q27" s="526">
        <v>2016</v>
      </c>
      <c r="R27" s="526">
        <v>2015</v>
      </c>
      <c r="S27" s="526">
        <v>2014</v>
      </c>
      <c r="T27" s="526">
        <v>2013</v>
      </c>
      <c r="U27" s="526">
        <v>2012</v>
      </c>
      <c r="V27" s="526">
        <v>2011</v>
      </c>
      <c r="W27" s="526">
        <v>2010</v>
      </c>
      <c r="X27" s="526">
        <v>2009</v>
      </c>
      <c r="Y27" s="526">
        <v>2008</v>
      </c>
      <c r="Z27" s="527" t="s">
        <v>332</v>
      </c>
    </row>
    <row r="28" spans="1:30" ht="24" customHeight="1" x14ac:dyDescent="0.3">
      <c r="B28" s="529">
        <v>1</v>
      </c>
      <c r="C28" s="530" t="s">
        <v>348</v>
      </c>
      <c r="D28" s="531" t="s">
        <v>683</v>
      </c>
      <c r="E28" s="532" t="s">
        <v>684</v>
      </c>
      <c r="F28" s="531" t="s">
        <v>685</v>
      </c>
      <c r="G28" s="534"/>
      <c r="H28" s="635"/>
      <c r="I28" s="536">
        <v>3111.25</v>
      </c>
      <c r="J28" s="537">
        <v>2504.92</v>
      </c>
      <c r="K28" s="628">
        <v>3105.68</v>
      </c>
      <c r="L28" s="628">
        <v>3050.0799999999995</v>
      </c>
      <c r="M28" s="628">
        <v>969.13000000000011</v>
      </c>
      <c r="N28" s="535"/>
      <c r="O28" s="535"/>
      <c r="P28" s="535"/>
      <c r="Q28" s="535"/>
      <c r="R28" s="535"/>
      <c r="S28" s="535"/>
      <c r="T28" s="535"/>
      <c r="U28" s="542"/>
      <c r="V28" s="535"/>
      <c r="W28" s="542"/>
      <c r="X28" s="535"/>
      <c r="Y28" s="542"/>
      <c r="Z28" s="535"/>
    </row>
    <row r="29" spans="1:30" ht="24" customHeight="1" x14ac:dyDescent="0.3">
      <c r="B29" s="529"/>
      <c r="C29" s="453"/>
      <c r="D29" s="453"/>
      <c r="E29" s="543"/>
      <c r="F29" s="453"/>
      <c r="G29" s="479"/>
      <c r="H29" s="638"/>
      <c r="I29" s="638"/>
      <c r="J29" s="545"/>
      <c r="K29" s="544"/>
      <c r="L29" s="544"/>
      <c r="M29" s="544"/>
      <c r="N29" s="544"/>
      <c r="O29" s="544"/>
      <c r="P29" s="544"/>
      <c r="Q29" s="544"/>
      <c r="R29" s="544"/>
      <c r="S29" s="544"/>
      <c r="T29" s="544"/>
      <c r="U29" s="548"/>
      <c r="V29" s="544"/>
      <c r="W29" s="548"/>
      <c r="X29" s="544"/>
      <c r="Y29" s="548"/>
      <c r="Z29" s="544"/>
    </row>
    <row r="30" spans="1:30" ht="24" customHeight="1" x14ac:dyDescent="0.3">
      <c r="B30" s="529"/>
      <c r="C30" s="531"/>
      <c r="D30" s="531"/>
      <c r="E30" s="532"/>
      <c r="F30" s="531"/>
      <c r="G30" s="639"/>
      <c r="H30" s="640"/>
      <c r="I30" s="640"/>
      <c r="J30" s="550"/>
      <c r="K30" s="550"/>
      <c r="L30" s="550"/>
      <c r="M30" s="550"/>
      <c r="N30" s="550"/>
      <c r="O30" s="550"/>
      <c r="P30" s="550"/>
      <c r="Q30" s="550"/>
      <c r="R30" s="550"/>
      <c r="S30" s="550"/>
      <c r="T30" s="550"/>
      <c r="U30" s="542"/>
      <c r="V30" s="550"/>
      <c r="W30" s="542"/>
      <c r="X30" s="550"/>
      <c r="Y30" s="542"/>
      <c r="Z30" s="550"/>
    </row>
    <row r="31" spans="1:30" ht="24" customHeight="1" x14ac:dyDescent="0.3">
      <c r="B31" s="552"/>
      <c r="C31" s="462"/>
      <c r="D31" s="462"/>
      <c r="E31" s="553"/>
      <c r="F31" s="462"/>
      <c r="G31" s="645"/>
      <c r="H31" s="646"/>
      <c r="I31" s="646"/>
      <c r="J31" s="556"/>
      <c r="K31" s="556"/>
      <c r="L31" s="556"/>
      <c r="M31" s="556"/>
      <c r="N31" s="556"/>
      <c r="O31" s="556"/>
      <c r="P31" s="556"/>
      <c r="Q31" s="556"/>
      <c r="R31" s="556"/>
      <c r="S31" s="556"/>
      <c r="T31" s="556"/>
      <c r="U31" s="557"/>
      <c r="V31" s="556"/>
      <c r="W31" s="557"/>
      <c r="X31" s="556"/>
      <c r="Y31" s="557"/>
      <c r="Z31" s="556"/>
    </row>
    <row r="32" spans="1:30" ht="15.75" customHeight="1" x14ac:dyDescent="0.3"/>
    <row r="33" spans="2:3" ht="15.75" customHeight="1" x14ac:dyDescent="0.3">
      <c r="B33" s="560" t="s">
        <v>355</v>
      </c>
      <c r="C33" s="561" t="s">
        <v>356</v>
      </c>
    </row>
    <row r="34" spans="2:3" ht="15.75" customHeight="1" x14ac:dyDescent="0.3"/>
    <row r="35" spans="2:3" ht="15.75" customHeight="1" x14ac:dyDescent="0.3">
      <c r="B35" s="4383" t="s">
        <v>357</v>
      </c>
      <c r="C35" s="4384"/>
    </row>
    <row r="36" spans="2:3" ht="15.75" customHeight="1" x14ac:dyDescent="0.3">
      <c r="B36" s="562" t="s">
        <v>301</v>
      </c>
      <c r="C36" s="428" t="s">
        <v>686</v>
      </c>
    </row>
    <row r="37" spans="2:3" ht="15.75" customHeight="1" x14ac:dyDescent="0.3">
      <c r="B37" s="562"/>
      <c r="C37" s="428" t="s">
        <v>687</v>
      </c>
    </row>
    <row r="38" spans="2:3" ht="15.75" customHeight="1" x14ac:dyDescent="0.3"/>
    <row r="39" spans="2:3" ht="15.75" customHeight="1" x14ac:dyDescent="0.3"/>
    <row r="40" spans="2:3" ht="15.75" customHeight="1" x14ac:dyDescent="0.3"/>
    <row r="41" spans="2:3" ht="15.75" customHeight="1" x14ac:dyDescent="0.3"/>
    <row r="42" spans="2:3" ht="15.75" customHeight="1" x14ac:dyDescent="0.3"/>
    <row r="43" spans="2:3" ht="15.75" customHeight="1" x14ac:dyDescent="0.3"/>
    <row r="44" spans="2:3" ht="15.75" customHeight="1" x14ac:dyDescent="0.3"/>
    <row r="45" spans="2:3" ht="15.75" customHeight="1" x14ac:dyDescent="0.3"/>
    <row r="46" spans="2:3" ht="15.75" customHeight="1" x14ac:dyDescent="0.3"/>
    <row r="47" spans="2:3" ht="15.75" customHeight="1" x14ac:dyDescent="0.3"/>
    <row r="48" spans="2:3"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sheetData>
  <mergeCells count="2">
    <mergeCell ref="B17:C17"/>
    <mergeCell ref="B35:C35"/>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1860-3A39-49A3-B9EE-EFB68544C3A6}">
  <dimension ref="A1:G986"/>
  <sheetViews>
    <sheetView workbookViewId="0">
      <selection activeCell="C30" sqref="C30"/>
    </sheetView>
  </sheetViews>
  <sheetFormatPr defaultColWidth="12.44140625" defaultRowHeight="15" customHeight="1" x14ac:dyDescent="0.3"/>
  <cols>
    <col min="1" max="1" width="2.6640625" style="428" customWidth="1"/>
    <col min="2" max="2" width="35.109375" style="428" customWidth="1"/>
    <col min="3" max="3" width="21.77734375" style="428" customWidth="1"/>
    <col min="4" max="4" width="1.5546875" style="428" customWidth="1"/>
    <col min="5" max="5" width="14.6640625" style="428" customWidth="1"/>
    <col min="6" max="6" width="7.33203125" style="428" customWidth="1"/>
    <col min="7" max="7" width="11.6640625" style="428" customWidth="1"/>
    <col min="8" max="16384" width="12.44140625" style="428"/>
  </cols>
  <sheetData>
    <row r="1" spans="1:7" ht="21.75" customHeight="1" x14ac:dyDescent="0.35">
      <c r="A1" s="424"/>
      <c r="B1" s="425" t="s">
        <v>549</v>
      </c>
      <c r="D1" s="427"/>
      <c r="F1" s="427"/>
    </row>
    <row r="2" spans="1:7" ht="15.75" customHeight="1" x14ac:dyDescent="0.3">
      <c r="A2" s="424"/>
      <c r="B2" s="429" t="s">
        <v>299</v>
      </c>
      <c r="C2" s="430"/>
      <c r="D2" s="430"/>
      <c r="E2" s="430"/>
      <c r="F2" s="430"/>
    </row>
    <row r="3" spans="1:7" ht="9.75" customHeight="1" x14ac:dyDescent="0.3">
      <c r="A3" s="427"/>
      <c r="B3" s="431"/>
      <c r="D3" s="427"/>
      <c r="F3" s="427"/>
    </row>
    <row r="4" spans="1:7" ht="6" customHeight="1" x14ac:dyDescent="0.3">
      <c r="B4" s="427"/>
      <c r="D4" s="427"/>
      <c r="F4" s="427"/>
    </row>
    <row r="5" spans="1:7" ht="6" customHeight="1" x14ac:dyDescent="0.3">
      <c r="A5" s="431"/>
      <c r="D5" s="427"/>
      <c r="F5" s="427"/>
    </row>
    <row r="6" spans="1:7" ht="15.75" customHeight="1" x14ac:dyDescent="0.3">
      <c r="C6" s="428">
        <v>1000000</v>
      </c>
      <c r="D6" s="427"/>
      <c r="E6" s="427"/>
      <c r="F6" s="427"/>
    </row>
    <row r="7" spans="1:7" ht="37.200000000000003" customHeight="1" x14ac:dyDescent="0.3">
      <c r="A7" s="432"/>
      <c r="B7" s="433">
        <v>2024</v>
      </c>
      <c r="C7" s="607"/>
      <c r="D7" s="432"/>
      <c r="E7" s="435" t="s">
        <v>300</v>
      </c>
      <c r="F7" s="432"/>
      <c r="G7" s="432"/>
    </row>
    <row r="8" spans="1:7" ht="18" customHeight="1" x14ac:dyDescent="0.35">
      <c r="B8" s="436" t="s">
        <v>301</v>
      </c>
      <c r="C8" s="572">
        <v>1</v>
      </c>
      <c r="D8" s="427"/>
      <c r="E8" s="438"/>
      <c r="F8" s="427"/>
    </row>
    <row r="9" spans="1:7" ht="46.5" customHeight="1" x14ac:dyDescent="0.3">
      <c r="B9" s="439" t="s">
        <v>302</v>
      </c>
      <c r="C9" s="573" t="s">
        <v>688</v>
      </c>
      <c r="D9" s="574"/>
      <c r="E9" s="442"/>
      <c r="F9" s="443"/>
    </row>
    <row r="10" spans="1:7" ht="46.5" customHeight="1" x14ac:dyDescent="0.3">
      <c r="B10" s="444" t="s">
        <v>304</v>
      </c>
      <c r="C10" s="445" t="s">
        <v>689</v>
      </c>
      <c r="D10" s="574"/>
      <c r="E10" s="446"/>
      <c r="F10" s="443"/>
    </row>
    <row r="11" spans="1:7" ht="18.75" customHeight="1" x14ac:dyDescent="0.3">
      <c r="A11" s="447"/>
      <c r="B11" s="448" t="s">
        <v>306</v>
      </c>
      <c r="C11" s="575">
        <f>(C17*C18)</f>
        <v>450.66180465433592</v>
      </c>
      <c r="D11" s="576"/>
      <c r="E11" s="451">
        <f>SUM(C11:C11)</f>
        <v>450.66180465433592</v>
      </c>
      <c r="F11" s="452"/>
      <c r="G11" s="447"/>
    </row>
    <row r="12" spans="1:7" ht="18.75" customHeight="1" x14ac:dyDescent="0.3">
      <c r="A12" s="447"/>
      <c r="B12" s="453" t="s">
        <v>307</v>
      </c>
      <c r="C12" s="577">
        <f>(C22*C23)</f>
        <v>31.235715000000003</v>
      </c>
      <c r="D12" s="455"/>
      <c r="E12" s="456">
        <f>SUM(C12:C12)</f>
        <v>31.235715000000003</v>
      </c>
      <c r="F12" s="457"/>
      <c r="G12" s="447"/>
    </row>
    <row r="13" spans="1:7" ht="18.75" customHeight="1" x14ac:dyDescent="0.3">
      <c r="A13" s="447"/>
      <c r="B13" s="448" t="s">
        <v>308</v>
      </c>
      <c r="C13" s="578" t="s">
        <v>8</v>
      </c>
      <c r="D13" s="459"/>
      <c r="E13" s="460"/>
      <c r="F13" s="461"/>
      <c r="G13" s="447"/>
    </row>
    <row r="14" spans="1:7" ht="18.75" customHeight="1" x14ac:dyDescent="0.3">
      <c r="A14" s="447"/>
      <c r="B14" s="462" t="s">
        <v>309</v>
      </c>
      <c r="C14" s="579">
        <f t="shared" ref="C14" si="0">C11-C12</f>
        <v>419.4260896543359</v>
      </c>
      <c r="D14" s="455"/>
      <c r="E14" s="464">
        <f>SUM(C14:C14)</f>
        <v>419.4260896543359</v>
      </c>
      <c r="F14" s="457"/>
      <c r="G14" s="447"/>
    </row>
    <row r="15" spans="1:7" ht="19.5" customHeight="1" x14ac:dyDescent="0.4">
      <c r="B15" s="465" t="s">
        <v>310</v>
      </c>
      <c r="C15" s="580"/>
      <c r="D15" s="467"/>
      <c r="E15" s="468"/>
      <c r="F15" s="467"/>
      <c r="G15" s="427"/>
    </row>
    <row r="16" spans="1:7" ht="35.4" customHeight="1" x14ac:dyDescent="0.3">
      <c r="A16" s="447"/>
      <c r="B16" s="469" t="s">
        <v>311</v>
      </c>
      <c r="C16" s="601" t="s">
        <v>403</v>
      </c>
      <c r="D16" s="581"/>
      <c r="E16" s="471"/>
      <c r="F16" s="457"/>
      <c r="G16" s="447"/>
    </row>
    <row r="17" spans="1:7" ht="21" customHeight="1" x14ac:dyDescent="0.3">
      <c r="A17" s="447"/>
      <c r="B17" s="472" t="s">
        <v>313</v>
      </c>
      <c r="C17" s="582">
        <f>'CF-0402|GDS'!I10</f>
        <v>292772.1346270467</v>
      </c>
      <c r="D17" s="583"/>
      <c r="F17" s="475"/>
      <c r="G17" s="447"/>
    </row>
    <row r="18" spans="1:7" ht="18.75" customHeight="1" x14ac:dyDescent="0.3">
      <c r="A18" s="447"/>
      <c r="B18" s="476" t="s">
        <v>314</v>
      </c>
      <c r="C18" s="584">
        <v>1.5392919999999998E-3</v>
      </c>
      <c r="D18" s="478"/>
      <c r="F18" s="479"/>
      <c r="G18" s="447"/>
    </row>
    <row r="19" spans="1:7" ht="19.5" customHeight="1" x14ac:dyDescent="0.3">
      <c r="A19" s="447"/>
      <c r="B19" s="480" t="s">
        <v>315</v>
      </c>
      <c r="C19" s="585">
        <f>C17*C18</f>
        <v>450.66180465433592</v>
      </c>
      <c r="D19" s="586"/>
      <c r="F19" s="479"/>
      <c r="G19" s="447"/>
    </row>
    <row r="20" spans="1:7" ht="21" customHeight="1" x14ac:dyDescent="0.4">
      <c r="B20" s="465" t="s">
        <v>316</v>
      </c>
      <c r="C20" s="587"/>
      <c r="D20" s="483"/>
      <c r="E20" s="484"/>
      <c r="F20" s="483"/>
    </row>
    <row r="21" spans="1:7" ht="32.4" customHeight="1" x14ac:dyDescent="0.3">
      <c r="A21" s="447"/>
      <c r="B21" s="469" t="s">
        <v>183</v>
      </c>
      <c r="C21" s="601" t="s">
        <v>361</v>
      </c>
      <c r="D21" s="588"/>
      <c r="E21" s="485"/>
      <c r="F21" s="479"/>
      <c r="G21" s="447"/>
    </row>
    <row r="22" spans="1:7" ht="21" customHeight="1" x14ac:dyDescent="0.3">
      <c r="A22" s="447"/>
      <c r="B22" s="486" t="s">
        <v>369</v>
      </c>
      <c r="C22" s="589">
        <f>'CF-0402|GDS'!I15</f>
        <v>855000</v>
      </c>
      <c r="D22" s="479"/>
      <c r="E22" s="488"/>
      <c r="F22" s="479"/>
      <c r="G22" s="447"/>
    </row>
    <row r="23" spans="1:7" ht="21" customHeight="1" x14ac:dyDescent="0.3">
      <c r="A23" s="447"/>
      <c r="B23" s="489" t="s">
        <v>314</v>
      </c>
      <c r="C23" s="590">
        <v>3.6533000000000004E-5</v>
      </c>
      <c r="D23" s="588"/>
      <c r="E23" s="491"/>
      <c r="F23" s="479"/>
      <c r="G23" s="447"/>
    </row>
    <row r="24" spans="1:7" ht="21" customHeight="1" x14ac:dyDescent="0.3">
      <c r="A24" s="447"/>
      <c r="B24" s="492" t="s">
        <v>315</v>
      </c>
      <c r="C24" s="591">
        <f t="shared" ref="C24" si="1">C22*C23</f>
        <v>31.235715000000003</v>
      </c>
      <c r="D24" s="588"/>
      <c r="E24" s="494"/>
      <c r="F24" s="479"/>
      <c r="G24" s="447"/>
    </row>
    <row r="25" spans="1:7" ht="28.5" customHeight="1" x14ac:dyDescent="0.3">
      <c r="A25" s="447"/>
      <c r="B25" s="498" t="s">
        <v>320</v>
      </c>
      <c r="C25" s="592" t="s">
        <v>321</v>
      </c>
      <c r="D25" s="593"/>
      <c r="E25" s="501"/>
      <c r="F25" s="500"/>
      <c r="G25" s="447"/>
    </row>
    <row r="26" spans="1:7" ht="24" customHeight="1" x14ac:dyDescent="0.3">
      <c r="B26" s="502" t="s">
        <v>322</v>
      </c>
      <c r="C26" s="594">
        <v>3</v>
      </c>
      <c r="D26" s="504"/>
      <c r="E26" s="505"/>
      <c r="F26" s="504"/>
    </row>
    <row r="27" spans="1:7" ht="33" customHeight="1" x14ac:dyDescent="0.3">
      <c r="A27" s="447"/>
      <c r="B27" s="506" t="s">
        <v>323</v>
      </c>
      <c r="C27" s="595" t="s">
        <v>324</v>
      </c>
      <c r="D27" s="479"/>
      <c r="E27" s="496"/>
      <c r="F27" s="479"/>
      <c r="G27" s="447"/>
    </row>
    <row r="28" spans="1:7" ht="33" customHeight="1" x14ac:dyDescent="0.3">
      <c r="A28" s="447"/>
      <c r="B28" s="508" t="s">
        <v>325</v>
      </c>
      <c r="C28" s="596" t="s">
        <v>326</v>
      </c>
      <c r="D28" s="479"/>
      <c r="E28" s="496"/>
      <c r="F28" s="479"/>
      <c r="G28" s="447"/>
    </row>
    <row r="29" spans="1:7" ht="33" customHeight="1" x14ac:dyDescent="0.3">
      <c r="A29" s="447"/>
      <c r="B29" s="506" t="s">
        <v>327</v>
      </c>
      <c r="C29" s="595" t="s">
        <v>729</v>
      </c>
      <c r="D29" s="479"/>
      <c r="E29" s="496"/>
      <c r="F29" s="479"/>
      <c r="G29" s="447"/>
    </row>
    <row r="30" spans="1:7" ht="21" customHeight="1" x14ac:dyDescent="0.3">
      <c r="B30" s="510" t="s">
        <v>329</v>
      </c>
      <c r="C30" s="596">
        <v>1</v>
      </c>
      <c r="D30" s="467"/>
      <c r="E30" s="467"/>
      <c r="F30" s="467"/>
    </row>
    <row r="31" spans="1:7" ht="21" customHeight="1" x14ac:dyDescent="0.3">
      <c r="B31" s="453" t="s">
        <v>330</v>
      </c>
      <c r="C31" s="595" t="s">
        <v>324</v>
      </c>
      <c r="D31" s="483"/>
      <c r="E31" s="495"/>
      <c r="F31" s="483"/>
    </row>
    <row r="32" spans="1:7" ht="21" customHeight="1" x14ac:dyDescent="0.3">
      <c r="B32" s="510" t="s">
        <v>331</v>
      </c>
      <c r="C32" s="596" t="s">
        <v>324</v>
      </c>
      <c r="D32" s="483"/>
      <c r="E32" s="495"/>
      <c r="F32" s="483"/>
    </row>
    <row r="33" spans="2:6" ht="21" customHeight="1" x14ac:dyDescent="0.3">
      <c r="B33" s="462" t="s">
        <v>332</v>
      </c>
      <c r="C33" s="555" t="s">
        <v>333</v>
      </c>
      <c r="D33" s="483"/>
      <c r="E33" s="495"/>
      <c r="F33" s="483"/>
    </row>
    <row r="34" spans="2:6" ht="15.75" customHeight="1" x14ac:dyDescent="0.3">
      <c r="B34" s="427"/>
      <c r="C34" s="427"/>
      <c r="D34" s="483"/>
      <c r="E34" s="483"/>
      <c r="F34" s="483"/>
    </row>
    <row r="35" spans="2:6" ht="15.75" customHeight="1" x14ac:dyDescent="0.3">
      <c r="B35" s="512" t="s">
        <v>334</v>
      </c>
      <c r="C35" s="427"/>
      <c r="D35" s="483"/>
      <c r="E35" s="483"/>
      <c r="F35" s="483"/>
    </row>
    <row r="36" spans="2:6" ht="15.75" customHeight="1" x14ac:dyDescent="0.3">
      <c r="B36" s="512" t="s">
        <v>335</v>
      </c>
      <c r="C36" s="427"/>
      <c r="D36" s="483"/>
      <c r="E36" s="483"/>
      <c r="F36" s="483"/>
    </row>
    <row r="37" spans="2:6" ht="15.75" customHeight="1" x14ac:dyDescent="0.3">
      <c r="B37" s="512" t="s">
        <v>336</v>
      </c>
      <c r="C37" s="427"/>
      <c r="D37" s="483"/>
      <c r="E37" s="483"/>
      <c r="F37" s="483"/>
    </row>
    <row r="38" spans="2:6" ht="15.75" customHeight="1" x14ac:dyDescent="0.3">
      <c r="B38" s="512" t="s">
        <v>337</v>
      </c>
      <c r="C38" s="427"/>
      <c r="D38" s="483"/>
      <c r="E38" s="483"/>
      <c r="F38" s="483"/>
    </row>
    <row r="39" spans="2:6" ht="15.75" customHeight="1" x14ac:dyDescent="0.3">
      <c r="B39" s="512" t="s">
        <v>338</v>
      </c>
      <c r="D39" s="427"/>
      <c r="F39" s="427"/>
    </row>
    <row r="40" spans="2:6" ht="15.75" customHeight="1" x14ac:dyDescent="0.3">
      <c r="B40" s="512" t="s">
        <v>339</v>
      </c>
      <c r="D40" s="427"/>
      <c r="F40" s="427"/>
    </row>
    <row r="41" spans="2:6" ht="15.75" customHeight="1" x14ac:dyDescent="0.3">
      <c r="D41" s="427"/>
      <c r="F41" s="427"/>
    </row>
    <row r="42" spans="2:6" ht="15.75" customHeight="1" x14ac:dyDescent="0.3">
      <c r="D42" s="427"/>
      <c r="F42" s="427"/>
    </row>
    <row r="43" spans="2:6" ht="15.75" customHeight="1" x14ac:dyDescent="0.3">
      <c r="D43" s="427"/>
      <c r="F43" s="427"/>
    </row>
    <row r="44" spans="2:6" ht="15.75" customHeight="1" x14ac:dyDescent="0.3">
      <c r="D44" s="427"/>
      <c r="F44" s="427"/>
    </row>
    <row r="45" spans="2:6" ht="15.75" customHeight="1" x14ac:dyDescent="0.3">
      <c r="D45" s="427"/>
      <c r="F45" s="427"/>
    </row>
    <row r="46" spans="2:6" ht="15.75" customHeight="1" x14ac:dyDescent="0.3">
      <c r="D46" s="427"/>
      <c r="F46" s="427"/>
    </row>
    <row r="47" spans="2:6" ht="15.75" customHeight="1" x14ac:dyDescent="0.3">
      <c r="D47" s="427"/>
      <c r="F47" s="427"/>
    </row>
    <row r="48" spans="2:6" ht="15.75" customHeight="1" x14ac:dyDescent="0.3">
      <c r="D48" s="427"/>
      <c r="F48" s="427"/>
    </row>
    <row r="49" spans="4:6" ht="15.75" customHeight="1" x14ac:dyDescent="0.3">
      <c r="D49" s="427"/>
      <c r="F49" s="427"/>
    </row>
    <row r="50" spans="4:6" ht="15.75" customHeight="1" x14ac:dyDescent="0.3">
      <c r="D50" s="427"/>
      <c r="F50" s="427"/>
    </row>
    <row r="51" spans="4:6" ht="15.75" customHeight="1" x14ac:dyDescent="0.3">
      <c r="D51" s="427"/>
      <c r="F51" s="427"/>
    </row>
    <row r="52" spans="4:6" ht="15.75" customHeight="1" x14ac:dyDescent="0.3">
      <c r="D52" s="427"/>
      <c r="F52" s="427"/>
    </row>
    <row r="53" spans="4:6" ht="15.75" customHeight="1" x14ac:dyDescent="0.3">
      <c r="D53" s="427"/>
      <c r="F53" s="427"/>
    </row>
    <row r="54" spans="4:6" ht="15.75" customHeight="1" x14ac:dyDescent="0.3">
      <c r="D54" s="427"/>
      <c r="F54" s="427"/>
    </row>
    <row r="55" spans="4:6" ht="15.75" customHeight="1" x14ac:dyDescent="0.3">
      <c r="D55" s="427"/>
      <c r="F55" s="427"/>
    </row>
    <row r="56" spans="4:6" ht="15.75" customHeight="1" x14ac:dyDescent="0.3">
      <c r="D56" s="427"/>
      <c r="F56" s="427"/>
    </row>
    <row r="57" spans="4:6" ht="15.75" customHeight="1" x14ac:dyDescent="0.3">
      <c r="D57" s="427"/>
      <c r="F57" s="427"/>
    </row>
    <row r="58" spans="4:6" ht="15.75" customHeight="1" x14ac:dyDescent="0.3">
      <c r="D58" s="427"/>
      <c r="F58" s="427"/>
    </row>
    <row r="59" spans="4:6" ht="15.75" customHeight="1" x14ac:dyDescent="0.3">
      <c r="D59" s="427"/>
      <c r="F59" s="427"/>
    </row>
    <row r="60" spans="4:6" ht="15.75" customHeight="1" x14ac:dyDescent="0.3">
      <c r="D60" s="427"/>
      <c r="F60" s="427"/>
    </row>
    <row r="61" spans="4:6" ht="15.75" customHeight="1" x14ac:dyDescent="0.3">
      <c r="D61" s="427"/>
      <c r="F61" s="427"/>
    </row>
    <row r="62" spans="4:6" ht="15.75" customHeight="1" x14ac:dyDescent="0.3">
      <c r="D62" s="427"/>
      <c r="F62" s="427"/>
    </row>
    <row r="63" spans="4:6" ht="15.75" customHeight="1" x14ac:dyDescent="0.3">
      <c r="D63" s="427"/>
      <c r="F63" s="427"/>
    </row>
    <row r="64" spans="4:6" ht="15.75" customHeight="1" x14ac:dyDescent="0.3">
      <c r="D64" s="427"/>
      <c r="F64" s="427"/>
    </row>
    <row r="65" spans="4:6" ht="15.75" customHeight="1" x14ac:dyDescent="0.3">
      <c r="D65" s="427"/>
      <c r="F65" s="427"/>
    </row>
    <row r="66" spans="4:6" ht="15.75" customHeight="1" x14ac:dyDescent="0.3">
      <c r="D66" s="427"/>
      <c r="F66" s="427"/>
    </row>
    <row r="67" spans="4:6" ht="15.75" customHeight="1" x14ac:dyDescent="0.3">
      <c r="D67" s="427"/>
      <c r="F67" s="427"/>
    </row>
    <row r="68" spans="4:6" ht="15.75" customHeight="1" x14ac:dyDescent="0.3">
      <c r="D68" s="427"/>
      <c r="F68" s="427"/>
    </row>
    <row r="69" spans="4:6" ht="15.75" customHeight="1" x14ac:dyDescent="0.3">
      <c r="D69" s="427"/>
      <c r="F69" s="427"/>
    </row>
    <row r="70" spans="4:6" ht="15.75" customHeight="1" x14ac:dyDescent="0.3">
      <c r="D70" s="427"/>
      <c r="F70" s="427"/>
    </row>
    <row r="71" spans="4:6" ht="15.75" customHeight="1" x14ac:dyDescent="0.3">
      <c r="D71" s="427"/>
      <c r="F71" s="427"/>
    </row>
    <row r="72" spans="4:6" ht="15.75" customHeight="1" x14ac:dyDescent="0.3">
      <c r="D72" s="427"/>
      <c r="F72" s="427"/>
    </row>
    <row r="73" spans="4:6" ht="15.75" customHeight="1" x14ac:dyDescent="0.3">
      <c r="D73" s="427"/>
      <c r="F73" s="427"/>
    </row>
    <row r="74" spans="4:6" ht="15.75" customHeight="1" x14ac:dyDescent="0.3">
      <c r="D74" s="427"/>
      <c r="F74" s="427"/>
    </row>
    <row r="75" spans="4:6" ht="15.75" customHeight="1" x14ac:dyDescent="0.3">
      <c r="D75" s="427"/>
      <c r="F75" s="427"/>
    </row>
    <row r="76" spans="4:6" ht="15.75" customHeight="1" x14ac:dyDescent="0.3">
      <c r="D76" s="427"/>
      <c r="F76" s="427"/>
    </row>
    <row r="77" spans="4:6" ht="15.75" customHeight="1" x14ac:dyDescent="0.3">
      <c r="D77" s="427"/>
      <c r="F77" s="427"/>
    </row>
    <row r="78" spans="4:6" ht="15.75" customHeight="1" x14ac:dyDescent="0.3">
      <c r="D78" s="427"/>
      <c r="F78" s="427"/>
    </row>
    <row r="79" spans="4:6" ht="15.75" customHeight="1" x14ac:dyDescent="0.3">
      <c r="D79" s="427"/>
      <c r="F79" s="427"/>
    </row>
    <row r="80" spans="4:6" ht="15.75" customHeight="1" x14ac:dyDescent="0.3">
      <c r="D80" s="427"/>
      <c r="F80" s="427"/>
    </row>
    <row r="81" spans="4:6" ht="15.75" customHeight="1" x14ac:dyDescent="0.3">
      <c r="D81" s="427"/>
      <c r="F81" s="427"/>
    </row>
    <row r="82" spans="4:6" ht="15.75" customHeight="1" x14ac:dyDescent="0.3">
      <c r="D82" s="427"/>
      <c r="F82" s="427"/>
    </row>
    <row r="83" spans="4:6" ht="15.75" customHeight="1" x14ac:dyDescent="0.3">
      <c r="D83" s="427"/>
      <c r="F83" s="427"/>
    </row>
    <row r="84" spans="4:6" ht="15.75" customHeight="1" x14ac:dyDescent="0.3">
      <c r="D84" s="427"/>
      <c r="F84" s="427"/>
    </row>
    <row r="85" spans="4:6" ht="15.75" customHeight="1" x14ac:dyDescent="0.3">
      <c r="D85" s="427"/>
      <c r="F85" s="427"/>
    </row>
    <row r="86" spans="4:6" ht="15.75" customHeight="1" x14ac:dyDescent="0.3">
      <c r="D86" s="427"/>
      <c r="F86" s="427"/>
    </row>
    <row r="87" spans="4:6" ht="15.75" customHeight="1" x14ac:dyDescent="0.3">
      <c r="D87" s="427"/>
      <c r="F87" s="427"/>
    </row>
    <row r="88" spans="4:6" ht="15.75" customHeight="1" x14ac:dyDescent="0.3">
      <c r="D88" s="427"/>
      <c r="F88" s="427"/>
    </row>
    <row r="89" spans="4:6" ht="15.75" customHeight="1" x14ac:dyDescent="0.3">
      <c r="D89" s="427"/>
      <c r="F89" s="427"/>
    </row>
    <row r="90" spans="4:6" ht="15.75" customHeight="1" x14ac:dyDescent="0.3">
      <c r="D90" s="427"/>
      <c r="F90" s="427"/>
    </row>
    <row r="91" spans="4:6" ht="15.75" customHeight="1" x14ac:dyDescent="0.3">
      <c r="D91" s="427"/>
      <c r="F91" s="427"/>
    </row>
    <row r="92" spans="4:6" ht="15.75" customHeight="1" x14ac:dyDescent="0.3">
      <c r="D92" s="427"/>
      <c r="F92" s="427"/>
    </row>
    <row r="93" spans="4:6" ht="15.75" customHeight="1" x14ac:dyDescent="0.3">
      <c r="D93" s="427"/>
      <c r="F93" s="427"/>
    </row>
    <row r="94" spans="4:6" ht="15.75" customHeight="1" x14ac:dyDescent="0.3">
      <c r="D94" s="427"/>
      <c r="F94" s="427"/>
    </row>
    <row r="95" spans="4:6" ht="15.75" customHeight="1" x14ac:dyDescent="0.3">
      <c r="D95" s="427"/>
      <c r="F95" s="427"/>
    </row>
    <row r="96" spans="4:6" ht="15.75" customHeight="1" x14ac:dyDescent="0.3">
      <c r="D96" s="427"/>
      <c r="F96" s="427"/>
    </row>
    <row r="97" spans="4:6" ht="15.75" customHeight="1" x14ac:dyDescent="0.3">
      <c r="D97" s="427"/>
      <c r="F97" s="427"/>
    </row>
    <row r="98" spans="4:6" ht="15.75" customHeight="1" x14ac:dyDescent="0.3">
      <c r="D98" s="427"/>
      <c r="F98" s="427"/>
    </row>
    <row r="99" spans="4:6" ht="15.75" customHeight="1" x14ac:dyDescent="0.3">
      <c r="D99" s="427"/>
      <c r="F99" s="427"/>
    </row>
    <row r="100" spans="4:6" ht="15.75" customHeight="1" x14ac:dyDescent="0.3">
      <c r="D100" s="427"/>
      <c r="F100" s="427"/>
    </row>
    <row r="101" spans="4:6" ht="15.75" customHeight="1" x14ac:dyDescent="0.3">
      <c r="D101" s="427"/>
      <c r="F101" s="427"/>
    </row>
    <row r="102" spans="4:6" ht="15.75" customHeight="1" x14ac:dyDescent="0.3">
      <c r="D102" s="427"/>
      <c r="F102" s="427"/>
    </row>
    <row r="103" spans="4:6" ht="15.75" customHeight="1" x14ac:dyDescent="0.3">
      <c r="D103" s="427"/>
      <c r="F103" s="427"/>
    </row>
    <row r="104" spans="4:6" ht="15.75" customHeight="1" x14ac:dyDescent="0.3">
      <c r="D104" s="427"/>
      <c r="F104" s="427"/>
    </row>
    <row r="105" spans="4:6" ht="15.75" customHeight="1" x14ac:dyDescent="0.3">
      <c r="D105" s="427"/>
      <c r="F105" s="427"/>
    </row>
    <row r="106" spans="4:6" ht="15.75" customHeight="1" x14ac:dyDescent="0.3">
      <c r="D106" s="427"/>
      <c r="F106" s="427"/>
    </row>
    <row r="107" spans="4:6" ht="15.75" customHeight="1" x14ac:dyDescent="0.3">
      <c r="D107" s="427"/>
      <c r="F107" s="427"/>
    </row>
    <row r="108" spans="4:6" ht="15.75" customHeight="1" x14ac:dyDescent="0.3">
      <c r="D108" s="427"/>
      <c r="F108" s="427"/>
    </row>
    <row r="109" spans="4:6" ht="15.75" customHeight="1" x14ac:dyDescent="0.3">
      <c r="D109" s="427"/>
      <c r="F109" s="427"/>
    </row>
    <row r="110" spans="4:6" ht="15.75" customHeight="1" x14ac:dyDescent="0.3">
      <c r="D110" s="427"/>
      <c r="F110" s="427"/>
    </row>
    <row r="111" spans="4:6" ht="15.75" customHeight="1" x14ac:dyDescent="0.3">
      <c r="D111" s="427"/>
      <c r="F111" s="427"/>
    </row>
    <row r="112" spans="4:6" ht="15.75" customHeight="1" x14ac:dyDescent="0.3">
      <c r="D112" s="427"/>
      <c r="F112" s="427"/>
    </row>
    <row r="113" spans="4:6" ht="15.75" customHeight="1" x14ac:dyDescent="0.3">
      <c r="D113" s="427"/>
      <c r="F113" s="427"/>
    </row>
    <row r="114" spans="4:6" ht="15.75" customHeight="1" x14ac:dyDescent="0.3">
      <c r="D114" s="427"/>
      <c r="F114" s="427"/>
    </row>
    <row r="115" spans="4:6" ht="15.75" customHeight="1" x14ac:dyDescent="0.3">
      <c r="D115" s="427"/>
      <c r="F115" s="427"/>
    </row>
    <row r="116" spans="4:6" ht="15.75" customHeight="1" x14ac:dyDescent="0.3">
      <c r="D116" s="427"/>
      <c r="F116" s="427"/>
    </row>
    <row r="117" spans="4:6" ht="15.75" customHeight="1" x14ac:dyDescent="0.3">
      <c r="D117" s="427"/>
      <c r="F117" s="427"/>
    </row>
    <row r="118" spans="4:6" ht="15.75" customHeight="1" x14ac:dyDescent="0.3">
      <c r="D118" s="427"/>
      <c r="F118" s="427"/>
    </row>
    <row r="119" spans="4:6" ht="15.75" customHeight="1" x14ac:dyDescent="0.3">
      <c r="D119" s="427"/>
      <c r="F119" s="427"/>
    </row>
    <row r="120" spans="4:6" ht="15.75" customHeight="1" x14ac:dyDescent="0.3">
      <c r="D120" s="427"/>
      <c r="F120" s="427"/>
    </row>
    <row r="121" spans="4:6" ht="15.75" customHeight="1" x14ac:dyDescent="0.3">
      <c r="D121" s="427"/>
      <c r="F121" s="427"/>
    </row>
    <row r="122" spans="4:6" ht="15.75" customHeight="1" x14ac:dyDescent="0.3">
      <c r="D122" s="427"/>
      <c r="F122" s="427"/>
    </row>
    <row r="123" spans="4:6" ht="15.75" customHeight="1" x14ac:dyDescent="0.3">
      <c r="D123" s="427"/>
      <c r="F123" s="427"/>
    </row>
    <row r="124" spans="4:6" ht="15.75" customHeight="1" x14ac:dyDescent="0.3">
      <c r="D124" s="427"/>
      <c r="F124" s="427"/>
    </row>
    <row r="125" spans="4:6" ht="15.75" customHeight="1" x14ac:dyDescent="0.3">
      <c r="D125" s="427"/>
      <c r="F125" s="427"/>
    </row>
    <row r="126" spans="4:6" ht="15.75" customHeight="1" x14ac:dyDescent="0.3">
      <c r="D126" s="427"/>
      <c r="F126" s="427"/>
    </row>
    <row r="127" spans="4:6" ht="15.75" customHeight="1" x14ac:dyDescent="0.3">
      <c r="D127" s="427"/>
      <c r="F127" s="427"/>
    </row>
    <row r="128" spans="4:6" ht="15.75" customHeight="1" x14ac:dyDescent="0.3">
      <c r="D128" s="427"/>
      <c r="F128" s="427"/>
    </row>
    <row r="129" spans="4:6" ht="15.75" customHeight="1" x14ac:dyDescent="0.3">
      <c r="D129" s="427"/>
      <c r="F129" s="427"/>
    </row>
    <row r="130" spans="4:6" ht="15.75" customHeight="1" x14ac:dyDescent="0.3">
      <c r="D130" s="427"/>
      <c r="F130" s="427"/>
    </row>
    <row r="131" spans="4:6" ht="15.75" customHeight="1" x14ac:dyDescent="0.3">
      <c r="D131" s="427"/>
      <c r="F131" s="427"/>
    </row>
    <row r="132" spans="4:6" ht="15.75" customHeight="1" x14ac:dyDescent="0.3">
      <c r="D132" s="427"/>
      <c r="F132" s="427"/>
    </row>
    <row r="133" spans="4:6" ht="15.75" customHeight="1" x14ac:dyDescent="0.3">
      <c r="D133" s="427"/>
      <c r="F133" s="427"/>
    </row>
    <row r="134" spans="4:6" ht="15.75" customHeight="1" x14ac:dyDescent="0.3">
      <c r="D134" s="427"/>
      <c r="F134" s="427"/>
    </row>
    <row r="135" spans="4:6" ht="15.75" customHeight="1" x14ac:dyDescent="0.3">
      <c r="D135" s="427"/>
      <c r="F135" s="427"/>
    </row>
    <row r="136" spans="4:6" ht="15.75" customHeight="1" x14ac:dyDescent="0.3">
      <c r="D136" s="427"/>
      <c r="F136" s="427"/>
    </row>
    <row r="137" spans="4:6" ht="15.75" customHeight="1" x14ac:dyDescent="0.3">
      <c r="D137" s="427"/>
      <c r="F137" s="427"/>
    </row>
    <row r="138" spans="4:6" ht="15.75" customHeight="1" x14ac:dyDescent="0.3">
      <c r="D138" s="427"/>
      <c r="F138" s="427"/>
    </row>
    <row r="139" spans="4:6" ht="15.75" customHeight="1" x14ac:dyDescent="0.3">
      <c r="D139" s="427"/>
      <c r="F139" s="427"/>
    </row>
    <row r="140" spans="4:6" ht="15.75" customHeight="1" x14ac:dyDescent="0.3">
      <c r="D140" s="427"/>
      <c r="F140" s="427"/>
    </row>
    <row r="141" spans="4:6" ht="15.75" customHeight="1" x14ac:dyDescent="0.3">
      <c r="D141" s="427"/>
      <c r="F141" s="427"/>
    </row>
    <row r="142" spans="4:6" ht="15.75" customHeight="1" x14ac:dyDescent="0.3">
      <c r="D142" s="427"/>
      <c r="F142" s="427"/>
    </row>
    <row r="143" spans="4:6" ht="15.75" customHeight="1" x14ac:dyDescent="0.3">
      <c r="D143" s="427"/>
      <c r="F143" s="427"/>
    </row>
    <row r="144" spans="4:6" ht="15.75" customHeight="1" x14ac:dyDescent="0.3">
      <c r="D144" s="427"/>
      <c r="F144" s="427"/>
    </row>
    <row r="145" spans="4:6" ht="15.75" customHeight="1" x14ac:dyDescent="0.3">
      <c r="D145" s="427"/>
      <c r="F145" s="427"/>
    </row>
    <row r="146" spans="4:6" ht="15.75" customHeight="1" x14ac:dyDescent="0.3">
      <c r="D146" s="427"/>
      <c r="F146" s="427"/>
    </row>
    <row r="147" spans="4:6" ht="15.75" customHeight="1" x14ac:dyDescent="0.3">
      <c r="D147" s="427"/>
      <c r="F147" s="427"/>
    </row>
    <row r="148" spans="4:6" ht="15.75" customHeight="1" x14ac:dyDescent="0.3">
      <c r="D148" s="427"/>
      <c r="F148" s="427"/>
    </row>
    <row r="149" spans="4:6" ht="15.75" customHeight="1" x14ac:dyDescent="0.3">
      <c r="D149" s="427"/>
      <c r="F149" s="427"/>
    </row>
    <row r="150" spans="4:6" ht="15.75" customHeight="1" x14ac:dyDescent="0.3">
      <c r="D150" s="427"/>
      <c r="F150" s="427"/>
    </row>
    <row r="151" spans="4:6" ht="15.75" customHeight="1" x14ac:dyDescent="0.3">
      <c r="D151" s="427"/>
      <c r="F151" s="427"/>
    </row>
    <row r="152" spans="4:6" ht="15.75" customHeight="1" x14ac:dyDescent="0.3">
      <c r="D152" s="427"/>
      <c r="F152" s="427"/>
    </row>
    <row r="153" spans="4:6" ht="15.75" customHeight="1" x14ac:dyDescent="0.3">
      <c r="D153" s="427"/>
      <c r="F153" s="427"/>
    </row>
    <row r="154" spans="4:6" ht="15.75" customHeight="1" x14ac:dyDescent="0.3">
      <c r="D154" s="427"/>
      <c r="F154" s="427"/>
    </row>
    <row r="155" spans="4:6" ht="15.75" customHeight="1" x14ac:dyDescent="0.3">
      <c r="D155" s="427"/>
      <c r="F155" s="427"/>
    </row>
    <row r="156" spans="4:6" ht="15.75" customHeight="1" x14ac:dyDescent="0.3">
      <c r="D156" s="427"/>
      <c r="F156" s="427"/>
    </row>
    <row r="157" spans="4:6" ht="15.75" customHeight="1" x14ac:dyDescent="0.3">
      <c r="D157" s="427"/>
      <c r="F157" s="427"/>
    </row>
    <row r="158" spans="4:6" ht="15.75" customHeight="1" x14ac:dyDescent="0.3">
      <c r="D158" s="427"/>
      <c r="F158" s="427"/>
    </row>
    <row r="159" spans="4:6" ht="15.75" customHeight="1" x14ac:dyDescent="0.3">
      <c r="D159" s="427"/>
      <c r="F159" s="427"/>
    </row>
    <row r="160" spans="4:6" ht="15.75" customHeight="1" x14ac:dyDescent="0.3">
      <c r="D160" s="427"/>
      <c r="F160" s="427"/>
    </row>
    <row r="161" spans="4:6" ht="15.75" customHeight="1" x14ac:dyDescent="0.3">
      <c r="D161" s="427"/>
      <c r="F161" s="427"/>
    </row>
    <row r="162" spans="4:6" ht="15.75" customHeight="1" x14ac:dyDescent="0.3">
      <c r="D162" s="427"/>
      <c r="F162" s="427"/>
    </row>
    <row r="163" spans="4:6" ht="15.75" customHeight="1" x14ac:dyDescent="0.3">
      <c r="D163" s="427"/>
      <c r="F163" s="427"/>
    </row>
    <row r="164" spans="4:6" ht="15.75" customHeight="1" x14ac:dyDescent="0.3">
      <c r="D164" s="427"/>
      <c r="F164" s="427"/>
    </row>
    <row r="165" spans="4:6" ht="15.75" customHeight="1" x14ac:dyDescent="0.3">
      <c r="D165" s="427"/>
      <c r="F165" s="427"/>
    </row>
    <row r="166" spans="4:6" ht="15.75" customHeight="1" x14ac:dyDescent="0.3">
      <c r="D166" s="427"/>
      <c r="F166" s="427"/>
    </row>
    <row r="167" spans="4:6" ht="15.75" customHeight="1" x14ac:dyDescent="0.3">
      <c r="D167" s="427"/>
      <c r="F167" s="427"/>
    </row>
    <row r="168" spans="4:6" ht="15.75" customHeight="1" x14ac:dyDescent="0.3">
      <c r="D168" s="427"/>
      <c r="F168" s="427"/>
    </row>
    <row r="169" spans="4:6" ht="15.75" customHeight="1" x14ac:dyDescent="0.3">
      <c r="D169" s="427"/>
      <c r="F169" s="427"/>
    </row>
    <row r="170" spans="4:6" ht="15.75" customHeight="1" x14ac:dyDescent="0.3">
      <c r="D170" s="427"/>
      <c r="F170" s="427"/>
    </row>
    <row r="171" spans="4:6" ht="15.75" customHeight="1" x14ac:dyDescent="0.3">
      <c r="D171" s="427"/>
      <c r="F171" s="427"/>
    </row>
    <row r="172" spans="4:6" ht="15.75" customHeight="1" x14ac:dyDescent="0.3">
      <c r="D172" s="427"/>
      <c r="F172" s="427"/>
    </row>
    <row r="173" spans="4:6" ht="15.75" customHeight="1" x14ac:dyDescent="0.3">
      <c r="D173" s="427"/>
      <c r="F173" s="427"/>
    </row>
    <row r="174" spans="4:6" ht="15.75" customHeight="1" x14ac:dyDescent="0.3">
      <c r="D174" s="427"/>
      <c r="F174" s="427"/>
    </row>
    <row r="175" spans="4:6" ht="15.75" customHeight="1" x14ac:dyDescent="0.3">
      <c r="D175" s="427"/>
      <c r="F175" s="427"/>
    </row>
    <row r="176" spans="4:6" ht="15.75" customHeight="1" x14ac:dyDescent="0.3">
      <c r="D176" s="427"/>
      <c r="F176" s="427"/>
    </row>
    <row r="177" spans="4:6" ht="15.75" customHeight="1" x14ac:dyDescent="0.3">
      <c r="D177" s="427"/>
      <c r="F177" s="427"/>
    </row>
    <row r="178" spans="4:6" ht="15.75" customHeight="1" x14ac:dyDescent="0.3">
      <c r="D178" s="427"/>
      <c r="F178" s="427"/>
    </row>
    <row r="179" spans="4:6" ht="15.75" customHeight="1" x14ac:dyDescent="0.3">
      <c r="D179" s="427"/>
      <c r="F179" s="427"/>
    </row>
    <row r="180" spans="4:6" ht="15.75" customHeight="1" x14ac:dyDescent="0.3">
      <c r="D180" s="427"/>
      <c r="F180" s="427"/>
    </row>
    <row r="181" spans="4:6" ht="15.75" customHeight="1" x14ac:dyDescent="0.3">
      <c r="D181" s="427"/>
      <c r="F181" s="427"/>
    </row>
    <row r="182" spans="4:6" ht="15.75" customHeight="1" x14ac:dyDescent="0.3">
      <c r="D182" s="427"/>
      <c r="F182" s="427"/>
    </row>
    <row r="183" spans="4:6" ht="15.75" customHeight="1" x14ac:dyDescent="0.3">
      <c r="D183" s="427"/>
      <c r="F183" s="427"/>
    </row>
    <row r="184" spans="4:6" ht="15.75" customHeight="1" x14ac:dyDescent="0.3">
      <c r="D184" s="427"/>
      <c r="F184" s="427"/>
    </row>
    <row r="185" spans="4:6" ht="15.75" customHeight="1" x14ac:dyDescent="0.3">
      <c r="D185" s="427"/>
      <c r="F185" s="427"/>
    </row>
    <row r="186" spans="4:6" ht="15.75" customHeight="1" x14ac:dyDescent="0.3">
      <c r="D186" s="427"/>
      <c r="F186" s="427"/>
    </row>
    <row r="187" spans="4:6" ht="15.75" customHeight="1" x14ac:dyDescent="0.3">
      <c r="D187" s="427"/>
      <c r="F187" s="427"/>
    </row>
    <row r="188" spans="4:6" ht="15.75" customHeight="1" x14ac:dyDescent="0.3">
      <c r="D188" s="427"/>
      <c r="F188" s="427"/>
    </row>
    <row r="189" spans="4:6" ht="15.75" customHeight="1" x14ac:dyDescent="0.3">
      <c r="D189" s="427"/>
      <c r="F189" s="427"/>
    </row>
    <row r="190" spans="4:6" ht="15.75" customHeight="1" x14ac:dyDescent="0.3">
      <c r="D190" s="427"/>
      <c r="F190" s="427"/>
    </row>
    <row r="191" spans="4:6" ht="15.75" customHeight="1" x14ac:dyDescent="0.3">
      <c r="D191" s="427"/>
      <c r="F191" s="427"/>
    </row>
    <row r="192" spans="4:6" ht="15.75" customHeight="1" x14ac:dyDescent="0.3">
      <c r="D192" s="427"/>
      <c r="F192" s="427"/>
    </row>
    <row r="193" spans="4:6" ht="15.75" customHeight="1" x14ac:dyDescent="0.3">
      <c r="D193" s="427"/>
      <c r="F193" s="427"/>
    </row>
    <row r="194" spans="4:6" ht="15.75" customHeight="1" x14ac:dyDescent="0.3">
      <c r="D194" s="427"/>
      <c r="F194" s="427"/>
    </row>
    <row r="195" spans="4:6" ht="15.75" customHeight="1" x14ac:dyDescent="0.3">
      <c r="D195" s="427"/>
      <c r="F195" s="427"/>
    </row>
    <row r="196" spans="4:6" ht="15.75" customHeight="1" x14ac:dyDescent="0.3">
      <c r="D196" s="427"/>
      <c r="F196" s="427"/>
    </row>
    <row r="197" spans="4:6" ht="15.75" customHeight="1" x14ac:dyDescent="0.3">
      <c r="D197" s="427"/>
      <c r="F197" s="427"/>
    </row>
    <row r="198" spans="4:6" ht="15.75" customHeight="1" x14ac:dyDescent="0.3">
      <c r="D198" s="427"/>
      <c r="F198" s="427"/>
    </row>
    <row r="199" spans="4:6" ht="15.75" customHeight="1" x14ac:dyDescent="0.3">
      <c r="D199" s="427"/>
      <c r="F199" s="427"/>
    </row>
    <row r="200" spans="4:6" ht="15.75" customHeight="1" x14ac:dyDescent="0.3">
      <c r="D200" s="427"/>
      <c r="F200" s="427"/>
    </row>
    <row r="201" spans="4:6" ht="15.75" customHeight="1" x14ac:dyDescent="0.3">
      <c r="D201" s="427"/>
      <c r="F201" s="427"/>
    </row>
    <row r="202" spans="4:6" ht="15.75" customHeight="1" x14ac:dyDescent="0.3">
      <c r="D202" s="427"/>
      <c r="F202" s="427"/>
    </row>
    <row r="203" spans="4:6" ht="15.75" customHeight="1" x14ac:dyDescent="0.3">
      <c r="D203" s="427"/>
      <c r="F203" s="427"/>
    </row>
    <row r="204" spans="4:6" ht="15.75" customHeight="1" x14ac:dyDescent="0.3">
      <c r="D204" s="427"/>
      <c r="F204" s="427"/>
    </row>
    <row r="205" spans="4:6" ht="15.75" customHeight="1" x14ac:dyDescent="0.3">
      <c r="D205" s="427"/>
      <c r="F205" s="427"/>
    </row>
    <row r="206" spans="4:6" ht="15.75" customHeight="1" x14ac:dyDescent="0.3">
      <c r="D206" s="427"/>
      <c r="F206" s="427"/>
    </row>
    <row r="207" spans="4:6" ht="15.75" customHeight="1" x14ac:dyDescent="0.3">
      <c r="D207" s="427"/>
      <c r="F207" s="427"/>
    </row>
    <row r="208" spans="4:6" ht="15.75" customHeight="1" x14ac:dyDescent="0.3">
      <c r="D208" s="427"/>
      <c r="F208" s="427"/>
    </row>
    <row r="209" spans="4:6" ht="15.75" customHeight="1" x14ac:dyDescent="0.3">
      <c r="D209" s="427"/>
      <c r="F209" s="427"/>
    </row>
    <row r="210" spans="4:6" ht="15.75" customHeight="1" x14ac:dyDescent="0.3">
      <c r="D210" s="427"/>
      <c r="F210" s="427"/>
    </row>
    <row r="211" spans="4:6" ht="15.75" customHeight="1" x14ac:dyDescent="0.3">
      <c r="D211" s="427"/>
      <c r="F211" s="427"/>
    </row>
    <row r="212" spans="4:6" ht="15.75" customHeight="1" x14ac:dyDescent="0.3">
      <c r="D212" s="427"/>
      <c r="F212" s="427"/>
    </row>
    <row r="213" spans="4:6" ht="15.75" customHeight="1" x14ac:dyDescent="0.3">
      <c r="D213" s="427"/>
      <c r="F213" s="427"/>
    </row>
    <row r="214" spans="4:6" ht="15.75" customHeight="1" x14ac:dyDescent="0.3">
      <c r="D214" s="427"/>
      <c r="F214" s="427"/>
    </row>
    <row r="215" spans="4:6" ht="15.75" customHeight="1" x14ac:dyDescent="0.3">
      <c r="D215" s="427"/>
      <c r="F215" s="427"/>
    </row>
    <row r="216" spans="4:6" ht="15.75" customHeight="1" x14ac:dyDescent="0.3">
      <c r="D216" s="427"/>
      <c r="F216" s="427"/>
    </row>
    <row r="217" spans="4:6" ht="15.75" customHeight="1" x14ac:dyDescent="0.3">
      <c r="D217" s="427"/>
      <c r="F217" s="427"/>
    </row>
    <row r="218" spans="4:6" ht="15.75" customHeight="1" x14ac:dyDescent="0.3">
      <c r="D218" s="427"/>
      <c r="F218" s="427"/>
    </row>
    <row r="219" spans="4:6" ht="15.75" customHeight="1" x14ac:dyDescent="0.3">
      <c r="D219" s="427"/>
      <c r="F219" s="427"/>
    </row>
    <row r="220" spans="4:6" ht="15.75" customHeight="1" x14ac:dyDescent="0.3">
      <c r="D220" s="427"/>
      <c r="F220" s="427"/>
    </row>
    <row r="221" spans="4:6" ht="15.75" customHeight="1" x14ac:dyDescent="0.3">
      <c r="D221" s="427"/>
      <c r="F221" s="427"/>
    </row>
    <row r="222" spans="4:6" ht="15.75" customHeight="1" x14ac:dyDescent="0.3">
      <c r="D222" s="427"/>
      <c r="F222" s="427"/>
    </row>
    <row r="223" spans="4:6" ht="15.75" customHeight="1" x14ac:dyDescent="0.3">
      <c r="D223" s="427"/>
      <c r="F223" s="427"/>
    </row>
    <row r="224" spans="4:6" ht="15.75" customHeight="1" x14ac:dyDescent="0.3">
      <c r="D224" s="427"/>
      <c r="F224" s="427"/>
    </row>
    <row r="225" spans="4:6" ht="15.75" customHeight="1" x14ac:dyDescent="0.3">
      <c r="D225" s="427"/>
      <c r="F225" s="427"/>
    </row>
    <row r="226" spans="4:6" ht="15.75" customHeight="1" x14ac:dyDescent="0.3">
      <c r="D226" s="427"/>
      <c r="F226" s="427"/>
    </row>
    <row r="227" spans="4:6" ht="15.75" customHeight="1" x14ac:dyDescent="0.3">
      <c r="D227" s="427"/>
      <c r="F227" s="427"/>
    </row>
    <row r="228" spans="4:6" ht="15.75" customHeight="1" x14ac:dyDescent="0.3">
      <c r="D228" s="427"/>
      <c r="F228" s="427"/>
    </row>
    <row r="229" spans="4:6" ht="15.75" customHeight="1" x14ac:dyDescent="0.3">
      <c r="D229" s="427"/>
      <c r="F229" s="427"/>
    </row>
    <row r="230" spans="4:6" ht="15.75" customHeight="1" x14ac:dyDescent="0.3">
      <c r="D230" s="427"/>
      <c r="F230" s="427"/>
    </row>
    <row r="231" spans="4:6" ht="15.75" customHeight="1" x14ac:dyDescent="0.3">
      <c r="D231" s="427"/>
      <c r="F231" s="427"/>
    </row>
    <row r="232" spans="4:6" ht="15.75" customHeight="1" x14ac:dyDescent="0.3">
      <c r="D232" s="427"/>
      <c r="F232" s="427"/>
    </row>
    <row r="233" spans="4:6" ht="15.75" customHeight="1" x14ac:dyDescent="0.3">
      <c r="D233" s="427"/>
      <c r="F233" s="427"/>
    </row>
    <row r="234" spans="4:6" ht="15.75" customHeight="1" x14ac:dyDescent="0.3">
      <c r="D234" s="427"/>
      <c r="F234" s="427"/>
    </row>
    <row r="235" spans="4:6" ht="15.75" customHeight="1" x14ac:dyDescent="0.3">
      <c r="D235" s="427"/>
      <c r="F235" s="427"/>
    </row>
    <row r="236" spans="4:6" ht="15.75" customHeight="1" x14ac:dyDescent="0.3">
      <c r="D236" s="427"/>
      <c r="F236" s="427"/>
    </row>
    <row r="237" spans="4:6" ht="15.75" customHeight="1" x14ac:dyDescent="0.3">
      <c r="D237" s="427"/>
      <c r="F237" s="427"/>
    </row>
    <row r="238" spans="4:6" ht="15.75" customHeight="1" x14ac:dyDescent="0.3">
      <c r="D238" s="427"/>
      <c r="F238" s="427"/>
    </row>
    <row r="239" spans="4:6" ht="15.75" customHeight="1" x14ac:dyDescent="0.3">
      <c r="D239" s="427"/>
      <c r="F239" s="427"/>
    </row>
    <row r="240" spans="4:6" ht="15.75" customHeight="1" x14ac:dyDescent="0.3">
      <c r="D240" s="427"/>
      <c r="F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dataValidations count="1">
    <dataValidation type="list" allowBlank="1" showErrorMessage="1" sqref="B17 B22" xr:uid="{326B4CC7-CEE0-42FE-B96A-CBED06A4DEE4}">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4FD84-CBC8-4353-86D0-D5820A7EED78}">
  <dimension ref="A1:AD894"/>
  <sheetViews>
    <sheetView topLeftCell="A11" workbookViewId="0">
      <selection activeCell="AB13" sqref="AB13"/>
    </sheetView>
  </sheetViews>
  <sheetFormatPr defaultColWidth="12.44140625" defaultRowHeight="15" customHeight="1" x14ac:dyDescent="0.3"/>
  <cols>
    <col min="1" max="1" width="2.6640625" style="428" customWidth="1"/>
    <col min="2" max="2" width="5.109375" style="428" customWidth="1"/>
    <col min="3"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3" width="11.5546875" style="428" hidden="1" customWidth="1"/>
    <col min="24" max="24" width="11.5546875" style="428" customWidth="1"/>
    <col min="25"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2365</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30" customHeight="1" x14ac:dyDescent="0.3">
      <c r="A10" s="528"/>
      <c r="B10" s="529">
        <v>1</v>
      </c>
      <c r="C10" s="530" t="s">
        <v>474</v>
      </c>
      <c r="D10" s="531"/>
      <c r="E10" s="532" t="s">
        <v>350</v>
      </c>
      <c r="F10" s="1234" t="s">
        <v>690</v>
      </c>
      <c r="G10" s="534">
        <v>2009</v>
      </c>
      <c r="H10" s="535"/>
      <c r="I10" s="677">
        <f>X10*I13</f>
        <v>292772.1346270467</v>
      </c>
      <c r="J10" s="1235">
        <v>292772.1346270467</v>
      </c>
      <c r="K10" s="1235">
        <v>292771.53999999998</v>
      </c>
      <c r="L10" s="1235">
        <v>292771.53999999998</v>
      </c>
      <c r="M10" s="1235">
        <v>249909.79</v>
      </c>
      <c r="N10" s="1235">
        <v>215831.18</v>
      </c>
      <c r="O10" s="1235">
        <v>222442.96</v>
      </c>
      <c r="P10" s="1235">
        <v>178065.31</v>
      </c>
      <c r="Q10" s="1235">
        <v>229931.69</v>
      </c>
      <c r="R10" s="1235">
        <v>225216.57</v>
      </c>
      <c r="S10" s="1235">
        <v>221888.24</v>
      </c>
      <c r="T10" s="1235">
        <v>176955.87</v>
      </c>
      <c r="U10" s="1236">
        <v>158650.09</v>
      </c>
      <c r="V10" s="1235">
        <v>157818.01</v>
      </c>
      <c r="W10" s="1236">
        <v>157818</v>
      </c>
      <c r="X10" s="677">
        <v>154490</v>
      </c>
      <c r="Y10" s="1236"/>
      <c r="Z10" s="535"/>
      <c r="AA10" s="528"/>
      <c r="AB10" s="528"/>
      <c r="AC10" s="528"/>
      <c r="AD10" s="528"/>
    </row>
    <row r="11" spans="1:30" ht="24" customHeight="1" x14ac:dyDescent="0.3">
      <c r="A11" s="528"/>
      <c r="B11" s="529"/>
      <c r="C11" s="453"/>
      <c r="D11" s="453" t="s">
        <v>691</v>
      </c>
      <c r="E11" s="543" t="s">
        <v>692</v>
      </c>
      <c r="F11" s="1237" t="s">
        <v>693</v>
      </c>
      <c r="G11" s="496"/>
      <c r="H11" s="544"/>
      <c r="I11" s="544">
        <f>D33/((2.25+2.6)/2)</f>
        <v>1030927.8350515465</v>
      </c>
      <c r="J11" s="1238">
        <v>1030927.8350515465</v>
      </c>
      <c r="K11" s="1238">
        <v>1030927.84</v>
      </c>
      <c r="L11" s="1238">
        <v>1030927.84</v>
      </c>
      <c r="M11" s="1238">
        <v>880000</v>
      </c>
      <c r="N11" s="1238">
        <v>760000</v>
      </c>
      <c r="O11" s="1238">
        <v>780000</v>
      </c>
      <c r="P11" s="1238">
        <v>620000</v>
      </c>
      <c r="Q11" s="1238">
        <v>805000</v>
      </c>
      <c r="R11" s="1238">
        <v>788000</v>
      </c>
      <c r="S11" s="1238">
        <v>776000</v>
      </c>
      <c r="T11" s="1238">
        <v>614000</v>
      </c>
      <c r="U11" s="1239">
        <v>548000</v>
      </c>
      <c r="V11" s="1238">
        <v>545000</v>
      </c>
      <c r="W11" s="1239">
        <v>533000</v>
      </c>
      <c r="X11" s="1238">
        <v>520000</v>
      </c>
      <c r="Y11" s="1239"/>
      <c r="Z11" s="544"/>
      <c r="AA11" s="528"/>
      <c r="AB11" s="528"/>
      <c r="AC11" s="528"/>
      <c r="AD11" s="528"/>
    </row>
    <row r="12" spans="1:30" ht="30" customHeight="1" x14ac:dyDescent="0.3">
      <c r="A12" s="528"/>
      <c r="B12" s="529"/>
      <c r="C12" s="531"/>
      <c r="D12" s="531" t="s">
        <v>694</v>
      </c>
      <c r="E12" s="532" t="s">
        <v>692</v>
      </c>
      <c r="F12" s="533"/>
      <c r="G12" s="549"/>
      <c r="H12" s="550"/>
      <c r="I12" s="550">
        <v>0</v>
      </c>
      <c r="J12" s="1240">
        <v>0</v>
      </c>
      <c r="K12" s="1240">
        <v>0</v>
      </c>
      <c r="L12" s="1240">
        <v>0</v>
      </c>
      <c r="M12" s="1240">
        <v>0</v>
      </c>
      <c r="N12" s="1240">
        <v>0</v>
      </c>
      <c r="O12" s="1240">
        <v>22000</v>
      </c>
      <c r="P12" s="1240">
        <v>22000</v>
      </c>
      <c r="Q12" s="1240">
        <v>24000</v>
      </c>
      <c r="R12" s="1240">
        <v>24000</v>
      </c>
      <c r="S12" s="1240">
        <v>24000</v>
      </c>
      <c r="T12" s="1240">
        <v>24000</v>
      </c>
      <c r="U12" s="1236">
        <v>24000</v>
      </c>
      <c r="V12" s="1240">
        <v>24000</v>
      </c>
      <c r="W12" s="1236">
        <v>24000</v>
      </c>
      <c r="X12" s="1240">
        <v>24000</v>
      </c>
      <c r="Y12" s="1236"/>
      <c r="Z12" s="550"/>
      <c r="AA12" s="528"/>
      <c r="AB12" s="528"/>
      <c r="AC12" s="528"/>
      <c r="AD12" s="528"/>
    </row>
    <row r="13" spans="1:30" ht="30" customHeight="1" x14ac:dyDescent="0.3">
      <c r="A13" s="528"/>
      <c r="B13" s="529"/>
      <c r="C13" s="453" t="s">
        <v>474</v>
      </c>
      <c r="D13" s="453" t="s">
        <v>695</v>
      </c>
      <c r="E13" s="543" t="s">
        <v>453</v>
      </c>
      <c r="F13" s="506"/>
      <c r="G13" s="496"/>
      <c r="H13" s="544"/>
      <c r="I13" s="1241">
        <f>(I11+I12)/(X11+X12)</f>
        <v>1.8950879320800487</v>
      </c>
      <c r="J13" s="1242">
        <v>1.8950879320800487</v>
      </c>
      <c r="K13" s="1242">
        <v>1.9</v>
      </c>
      <c r="L13" s="1242">
        <v>1.9</v>
      </c>
      <c r="M13" s="1242">
        <v>1.62</v>
      </c>
      <c r="N13" s="1242">
        <v>1.4</v>
      </c>
      <c r="O13" s="1242">
        <v>1.44</v>
      </c>
      <c r="P13" s="1242">
        <v>1.1499999999999999</v>
      </c>
      <c r="Q13" s="1242">
        <v>1.49</v>
      </c>
      <c r="R13" s="1242">
        <v>1.46</v>
      </c>
      <c r="S13" s="1242">
        <v>1.44</v>
      </c>
      <c r="T13" s="1242">
        <v>1.1499999999999999</v>
      </c>
      <c r="U13" s="1243">
        <v>1.03</v>
      </c>
      <c r="V13" s="1242">
        <v>1.02</v>
      </c>
      <c r="W13" s="1243">
        <v>1.02</v>
      </c>
      <c r="X13" s="1242">
        <v>1</v>
      </c>
      <c r="Y13" s="1239"/>
      <c r="Z13" s="544"/>
      <c r="AA13" s="528"/>
      <c r="AB13" s="528"/>
      <c r="AC13" s="528"/>
      <c r="AD13" s="528"/>
    </row>
    <row r="14" spans="1:30" ht="30" customHeight="1" x14ac:dyDescent="0.3">
      <c r="A14" s="528"/>
      <c r="B14" s="529"/>
      <c r="C14" s="1169" t="s">
        <v>474</v>
      </c>
      <c r="D14" s="1169" t="s">
        <v>361</v>
      </c>
      <c r="E14" s="1170" t="s">
        <v>363</v>
      </c>
      <c r="F14" s="1107"/>
      <c r="G14" s="1108"/>
      <c r="H14" s="1110"/>
      <c r="I14" s="1244">
        <v>855</v>
      </c>
      <c r="J14" s="1245"/>
      <c r="K14" s="1245"/>
      <c r="L14" s="1245"/>
      <c r="M14" s="1245"/>
      <c r="N14" s="1245"/>
      <c r="O14" s="1245"/>
      <c r="P14" s="1245"/>
      <c r="Q14" s="1245"/>
      <c r="R14" s="1245"/>
      <c r="S14" s="1245"/>
      <c r="T14" s="1245"/>
      <c r="U14" s="1246"/>
      <c r="V14" s="1245"/>
      <c r="W14" s="1246"/>
      <c r="X14" s="1245"/>
      <c r="Y14" s="1247"/>
      <c r="Z14" s="1110"/>
      <c r="AA14" s="528"/>
      <c r="AB14" s="528"/>
      <c r="AC14" s="528"/>
      <c r="AD14" s="528"/>
    </row>
    <row r="15" spans="1:30" ht="24" customHeight="1" x14ac:dyDescent="0.3">
      <c r="A15" s="528"/>
      <c r="B15" s="529"/>
      <c r="C15" s="531" t="s">
        <v>374</v>
      </c>
      <c r="D15" s="531" t="s">
        <v>384</v>
      </c>
      <c r="E15" s="532" t="s">
        <v>385</v>
      </c>
      <c r="F15" s="533" t="s">
        <v>696</v>
      </c>
      <c r="G15" s="549"/>
      <c r="H15" s="550"/>
      <c r="I15" s="602">
        <f>I14*1000</f>
        <v>855000</v>
      </c>
      <c r="J15" s="1240">
        <v>850000</v>
      </c>
      <c r="K15" s="1240">
        <v>850000</v>
      </c>
      <c r="L15" s="1240">
        <v>850000</v>
      </c>
      <c r="M15" s="1240">
        <v>765083.33</v>
      </c>
      <c r="N15" s="1240">
        <v>629100</v>
      </c>
      <c r="O15" s="1240">
        <v>690000</v>
      </c>
      <c r="P15" s="1240">
        <v>655000</v>
      </c>
      <c r="Q15" s="1240">
        <v>629797.29</v>
      </c>
      <c r="R15" s="1240">
        <v>718477.29</v>
      </c>
      <c r="S15" s="1240">
        <v>1126570.21</v>
      </c>
      <c r="T15" s="1240">
        <v>1023344.44</v>
      </c>
      <c r="U15" s="1236">
        <v>616456.46</v>
      </c>
      <c r="V15" s="1240">
        <v>820697.92</v>
      </c>
      <c r="W15" s="1236">
        <v>443344.45</v>
      </c>
      <c r="X15" s="1240"/>
      <c r="Y15" s="1236"/>
      <c r="Z15" s="550"/>
      <c r="AA15" s="528"/>
      <c r="AB15" s="528"/>
      <c r="AC15" s="528"/>
      <c r="AD15" s="528"/>
    </row>
    <row r="16" spans="1:30" ht="24" customHeight="1" x14ac:dyDescent="0.3">
      <c r="A16" s="528"/>
      <c r="B16" s="529"/>
      <c r="C16" s="453" t="s">
        <v>474</v>
      </c>
      <c r="D16" s="453" t="s">
        <v>403</v>
      </c>
      <c r="E16" s="543" t="s">
        <v>350</v>
      </c>
      <c r="F16" s="506" t="s">
        <v>696</v>
      </c>
      <c r="G16" s="496"/>
      <c r="H16" s="544"/>
      <c r="I16" s="544">
        <v>0</v>
      </c>
      <c r="J16" s="1238">
        <v>0</v>
      </c>
      <c r="K16" s="1238">
        <v>0</v>
      </c>
      <c r="L16" s="1238">
        <v>0</v>
      </c>
      <c r="M16" s="1238">
        <v>0</v>
      </c>
      <c r="N16" s="1238">
        <v>0</v>
      </c>
      <c r="O16" s="1238">
        <v>27862.33</v>
      </c>
      <c r="P16" s="1238">
        <v>27862.33</v>
      </c>
      <c r="Q16" s="1238">
        <v>27862.33</v>
      </c>
      <c r="R16" s="1238">
        <v>66485.88</v>
      </c>
      <c r="S16" s="1238">
        <v>3049.28</v>
      </c>
      <c r="T16" s="1238">
        <v>0</v>
      </c>
      <c r="U16" s="1239">
        <v>0</v>
      </c>
      <c r="V16" s="1238">
        <v>12138.09</v>
      </c>
      <c r="W16" s="1239">
        <v>52131.73</v>
      </c>
      <c r="X16" s="1238">
        <v>154489.69</v>
      </c>
      <c r="Y16" s="1239">
        <v>142532.99</v>
      </c>
      <c r="Z16" s="544"/>
      <c r="AA16" s="528"/>
      <c r="AB16" s="528"/>
      <c r="AC16" s="528"/>
      <c r="AD16" s="528"/>
    </row>
    <row r="17" spans="1:30" ht="24" hidden="1" customHeight="1" x14ac:dyDescent="0.3">
      <c r="A17" s="528"/>
      <c r="B17" s="529"/>
      <c r="C17" s="531"/>
      <c r="D17" s="531" t="s">
        <v>697</v>
      </c>
      <c r="E17" s="532" t="s">
        <v>350</v>
      </c>
      <c r="F17" s="533"/>
      <c r="G17" s="549"/>
      <c r="H17" s="550"/>
      <c r="I17" s="550"/>
      <c r="J17" s="1240"/>
      <c r="K17" s="1240"/>
      <c r="L17" s="1240"/>
      <c r="M17" s="1240"/>
      <c r="N17" s="1240"/>
      <c r="O17" s="1240">
        <v>19904.150000000001</v>
      </c>
      <c r="P17" s="1240">
        <v>19904.150000000001</v>
      </c>
      <c r="Q17" s="1240">
        <v>19904.150000000001</v>
      </c>
      <c r="R17" s="1240">
        <v>58797.06</v>
      </c>
      <c r="S17" s="1240">
        <v>3049.28</v>
      </c>
      <c r="T17" s="1240">
        <v>0</v>
      </c>
      <c r="U17" s="1236">
        <v>0</v>
      </c>
      <c r="V17" s="1240">
        <v>7759.52</v>
      </c>
      <c r="W17" s="1236">
        <v>32029.73</v>
      </c>
      <c r="X17" s="1240">
        <v>134911.69</v>
      </c>
      <c r="Y17" s="1236">
        <v>124119.49</v>
      </c>
      <c r="Z17" s="550"/>
      <c r="AA17" s="528"/>
      <c r="AB17" s="528"/>
      <c r="AC17" s="528"/>
      <c r="AD17" s="528"/>
    </row>
    <row r="18" spans="1:30" ht="24" hidden="1" customHeight="1" x14ac:dyDescent="0.3">
      <c r="A18" s="528"/>
      <c r="B18" s="529"/>
      <c r="C18" s="453"/>
      <c r="D18" s="453" t="s">
        <v>698</v>
      </c>
      <c r="E18" s="543" t="s">
        <v>350</v>
      </c>
      <c r="F18" s="506"/>
      <c r="G18" s="496"/>
      <c r="H18" s="544"/>
      <c r="I18" s="544"/>
      <c r="J18" s="1238"/>
      <c r="K18" s="1238"/>
      <c r="L18" s="1238"/>
      <c r="M18" s="1238"/>
      <c r="N18" s="1238"/>
      <c r="O18" s="1238">
        <v>7958.18</v>
      </c>
      <c r="P18" s="1238">
        <v>7958.18</v>
      </c>
      <c r="Q18" s="1238">
        <v>7958.18</v>
      </c>
      <c r="R18" s="1238">
        <v>7688.82</v>
      </c>
      <c r="S18" s="1238">
        <v>0</v>
      </c>
      <c r="T18" s="1238">
        <v>0</v>
      </c>
      <c r="U18" s="1239">
        <v>0</v>
      </c>
      <c r="V18" s="1238">
        <v>4378.57</v>
      </c>
      <c r="W18" s="1239">
        <v>20102</v>
      </c>
      <c r="X18" s="1238">
        <v>19578</v>
      </c>
      <c r="Y18" s="1239">
        <v>18413.5</v>
      </c>
      <c r="Z18" s="544"/>
      <c r="AA18" s="528"/>
      <c r="AB18" s="528"/>
      <c r="AC18" s="528"/>
      <c r="AD18" s="528"/>
    </row>
    <row r="19" spans="1:30" ht="24" hidden="1" customHeight="1" x14ac:dyDescent="0.3">
      <c r="A19" s="528"/>
      <c r="B19" s="529"/>
      <c r="C19" s="531"/>
      <c r="D19" s="531" t="s">
        <v>699</v>
      </c>
      <c r="E19" s="532" t="s">
        <v>700</v>
      </c>
      <c r="F19" s="533"/>
      <c r="G19" s="549"/>
      <c r="H19" s="550"/>
      <c r="I19" s="550"/>
      <c r="J19" s="1240"/>
      <c r="K19" s="1240"/>
      <c r="L19" s="1240"/>
      <c r="M19" s="1240"/>
      <c r="N19" s="1240"/>
      <c r="O19" s="1240" t="s">
        <v>701</v>
      </c>
      <c r="P19" s="1240" t="s">
        <v>702</v>
      </c>
      <c r="Q19" s="1240" t="s">
        <v>702</v>
      </c>
      <c r="R19" s="1240" t="s">
        <v>702</v>
      </c>
      <c r="S19" s="1240" t="s">
        <v>703</v>
      </c>
      <c r="T19" s="1240" t="s">
        <v>704</v>
      </c>
      <c r="U19" s="1236" t="s">
        <v>704</v>
      </c>
      <c r="V19" s="1240" t="s">
        <v>704</v>
      </c>
      <c r="W19" s="1236" t="s">
        <v>705</v>
      </c>
      <c r="X19" s="1240" t="s">
        <v>706</v>
      </c>
      <c r="Y19" s="1236" t="s">
        <v>705</v>
      </c>
      <c r="Z19" s="550"/>
      <c r="AA19" s="528"/>
      <c r="AB19" s="528"/>
      <c r="AC19" s="528"/>
      <c r="AD19" s="528"/>
    </row>
    <row r="20" spans="1:30" ht="24" hidden="1" customHeight="1" x14ac:dyDescent="0.3">
      <c r="A20" s="528"/>
      <c r="B20" s="529"/>
      <c r="C20" s="453" t="s">
        <v>707</v>
      </c>
      <c r="D20" s="453" t="s">
        <v>708</v>
      </c>
      <c r="E20" s="543" t="s">
        <v>709</v>
      </c>
      <c r="F20" s="506"/>
      <c r="G20" s="496"/>
      <c r="H20" s="544"/>
      <c r="I20" s="544"/>
      <c r="J20" s="1238"/>
      <c r="K20" s="1238"/>
      <c r="L20" s="1238"/>
      <c r="M20" s="1238">
        <v>45905</v>
      </c>
      <c r="N20" s="1238">
        <v>37746</v>
      </c>
      <c r="O20" s="1238" t="s">
        <v>20</v>
      </c>
      <c r="P20" s="1238">
        <v>28472.47</v>
      </c>
      <c r="Q20" s="1238">
        <v>30230.27</v>
      </c>
      <c r="R20" s="1238">
        <v>34486.910000000003</v>
      </c>
      <c r="S20" s="1238">
        <v>54075.37</v>
      </c>
      <c r="T20" s="1238">
        <v>46050.5</v>
      </c>
      <c r="U20" s="1239">
        <v>29589.91</v>
      </c>
      <c r="V20" s="1238">
        <v>39393.5</v>
      </c>
      <c r="W20" s="1239">
        <v>25775.84</v>
      </c>
      <c r="X20" s="1238"/>
      <c r="Y20" s="1239"/>
      <c r="Z20" s="544"/>
      <c r="AA20" s="528"/>
      <c r="AB20" s="528"/>
      <c r="AC20" s="528"/>
      <c r="AD20" s="528"/>
    </row>
    <row r="21" spans="1:30" ht="24" hidden="1" customHeight="1" x14ac:dyDescent="0.3">
      <c r="A21" s="528"/>
      <c r="B21" s="529"/>
      <c r="C21" s="531" t="s">
        <v>474</v>
      </c>
      <c r="D21" s="531" t="s">
        <v>710</v>
      </c>
      <c r="E21" s="532" t="s">
        <v>709</v>
      </c>
      <c r="F21" s="533" t="s">
        <v>711</v>
      </c>
      <c r="G21" s="551"/>
      <c r="H21" s="550"/>
      <c r="I21" s="550"/>
      <c r="J21" s="1240"/>
      <c r="K21" s="1240"/>
      <c r="L21" s="1240"/>
      <c r="M21" s="1240">
        <v>0.06</v>
      </c>
      <c r="N21" s="1240">
        <v>0.06</v>
      </c>
      <c r="O21" s="1240"/>
      <c r="P21" s="1240"/>
      <c r="Q21" s="1240">
        <v>4.8000000000000001E-2</v>
      </c>
      <c r="R21" s="1240">
        <v>4.8000000000000001E-2</v>
      </c>
      <c r="S21" s="1240">
        <v>4.8000000000000001E-2</v>
      </c>
      <c r="T21" s="1240">
        <v>4.4999999999999998E-2</v>
      </c>
      <c r="U21" s="1236">
        <v>4.8000000000000001E-2</v>
      </c>
      <c r="V21" s="1240">
        <v>4.8000000000000001E-2</v>
      </c>
      <c r="W21" s="1236">
        <v>5.8000000000000003E-2</v>
      </c>
      <c r="X21" s="1240"/>
      <c r="Y21" s="1236"/>
      <c r="Z21" s="550"/>
      <c r="AA21" s="528"/>
      <c r="AB21" s="528"/>
      <c r="AC21" s="528"/>
      <c r="AD21" s="528"/>
    </row>
    <row r="22" spans="1:30" ht="24" customHeight="1" x14ac:dyDescent="0.3">
      <c r="A22" s="528"/>
      <c r="B22" s="552"/>
      <c r="C22" s="462"/>
      <c r="D22" s="462"/>
      <c r="E22" s="553"/>
      <c r="F22" s="554"/>
      <c r="G22" s="555"/>
      <c r="H22" s="556"/>
      <c r="I22" s="556"/>
      <c r="J22" s="556"/>
      <c r="K22" s="556"/>
      <c r="L22" s="556"/>
      <c r="M22" s="556"/>
      <c r="N22" s="556"/>
      <c r="O22" s="556"/>
      <c r="P22" s="556"/>
      <c r="Q22" s="556"/>
      <c r="R22" s="556"/>
      <c r="S22" s="556"/>
      <c r="T22" s="556"/>
      <c r="U22" s="557"/>
      <c r="V22" s="556"/>
      <c r="W22" s="557"/>
      <c r="X22" s="556"/>
      <c r="Y22" s="557"/>
      <c r="Z22" s="556"/>
      <c r="AA22" s="528"/>
      <c r="AB22" s="528"/>
      <c r="AC22" s="528"/>
      <c r="AD22" s="528"/>
    </row>
    <row r="23" spans="1:30" ht="15.75" customHeight="1" x14ac:dyDescent="0.3">
      <c r="A23" s="528"/>
      <c r="B23" s="558"/>
      <c r="C23" s="528"/>
      <c r="D23" s="528"/>
      <c r="E23" s="528"/>
      <c r="F23" s="528"/>
      <c r="G23" s="479"/>
      <c r="H23" s="479"/>
      <c r="I23" s="479"/>
      <c r="J23" s="479"/>
      <c r="K23" s="479"/>
      <c r="L23" s="479"/>
      <c r="M23" s="559"/>
      <c r="N23" s="559"/>
      <c r="O23" s="559"/>
      <c r="P23" s="559"/>
      <c r="Q23" s="559"/>
      <c r="R23" s="559"/>
      <c r="S23" s="559"/>
      <c r="T23" s="559"/>
      <c r="U23" s="559"/>
      <c r="V23" s="559"/>
      <c r="W23" s="559"/>
      <c r="X23" s="559"/>
      <c r="Y23" s="559"/>
      <c r="Z23" s="559"/>
      <c r="AA23" s="528"/>
      <c r="AB23" s="528"/>
      <c r="AC23" s="528"/>
      <c r="AD23" s="528"/>
    </row>
    <row r="24" spans="1:30" ht="15.75" customHeight="1" x14ac:dyDescent="0.3">
      <c r="A24" s="528"/>
      <c r="B24" s="560" t="s">
        <v>355</v>
      </c>
      <c r="C24" s="561" t="s">
        <v>356</v>
      </c>
      <c r="D24" s="528"/>
      <c r="E24" s="528"/>
      <c r="F24" s="528"/>
      <c r="G24" s="479"/>
      <c r="H24" s="479"/>
      <c r="I24" s="479"/>
      <c r="J24" s="479"/>
      <c r="K24" s="479"/>
      <c r="L24" s="479"/>
      <c r="M24" s="559"/>
      <c r="N24" s="559"/>
      <c r="O24" s="559"/>
      <c r="P24" s="559"/>
      <c r="Q24" s="559"/>
      <c r="R24" s="559"/>
      <c r="S24" s="559"/>
      <c r="T24" s="559"/>
      <c r="U24" s="559"/>
      <c r="V24" s="559"/>
      <c r="W24" s="559"/>
      <c r="X24" s="559"/>
      <c r="Y24" s="559"/>
      <c r="Z24" s="559"/>
      <c r="AA24" s="528"/>
      <c r="AB24" s="528"/>
      <c r="AC24" s="528"/>
      <c r="AD24" s="528"/>
    </row>
    <row r="25" spans="1:30" ht="15.75" customHeight="1" x14ac:dyDescent="0.3">
      <c r="A25" s="528"/>
      <c r="B25" s="558"/>
      <c r="C25" s="528"/>
      <c r="D25" s="528"/>
      <c r="E25" s="528"/>
      <c r="F25" s="528"/>
      <c r="G25" s="479"/>
      <c r="H25" s="479"/>
      <c r="I25" s="479"/>
      <c r="J25" s="479"/>
      <c r="K25" s="479"/>
      <c r="L25" s="479"/>
      <c r="M25" s="559"/>
      <c r="N25" s="559"/>
      <c r="O25" s="559"/>
      <c r="P25" s="559"/>
      <c r="Q25" s="559"/>
      <c r="R25" s="559"/>
      <c r="S25" s="559"/>
      <c r="T25" s="559"/>
      <c r="U25" s="559"/>
      <c r="V25" s="559"/>
      <c r="W25" s="559"/>
      <c r="X25" s="559"/>
      <c r="Y25" s="559"/>
      <c r="Z25" s="559"/>
      <c r="AA25" s="528"/>
      <c r="AB25" s="528"/>
      <c r="AC25" s="528"/>
      <c r="AD25" s="528"/>
    </row>
    <row r="26" spans="1:30" ht="15.75" customHeight="1" x14ac:dyDescent="0.3">
      <c r="A26" s="528"/>
      <c r="B26" s="4383" t="s">
        <v>357</v>
      </c>
      <c r="C26" s="4384"/>
      <c r="D26" s="528"/>
      <c r="E26" s="528"/>
      <c r="F26" s="528"/>
      <c r="G26" s="479"/>
      <c r="H26" s="479"/>
      <c r="I26" s="479"/>
      <c r="J26" s="479"/>
      <c r="K26" s="479"/>
      <c r="L26" s="479"/>
      <c r="M26" s="559"/>
      <c r="N26" s="559"/>
      <c r="O26" s="559"/>
      <c r="P26" s="559"/>
      <c r="Q26" s="559"/>
      <c r="R26" s="559"/>
      <c r="S26" s="559"/>
      <c r="T26" s="559"/>
      <c r="U26" s="559"/>
      <c r="V26" s="559"/>
      <c r="W26" s="559"/>
      <c r="X26" s="559"/>
      <c r="Y26" s="559"/>
      <c r="Z26" s="559"/>
      <c r="AA26" s="528"/>
      <c r="AB26" s="528"/>
      <c r="AC26" s="528"/>
      <c r="AD26" s="528"/>
    </row>
    <row r="27" spans="1:30" ht="15.75" customHeight="1" x14ac:dyDescent="0.3">
      <c r="A27" s="528"/>
      <c r="B27" s="562" t="s">
        <v>365</v>
      </c>
      <c r="C27" s="1248" t="s">
        <v>712</v>
      </c>
      <c r="D27" s="1248"/>
      <c r="E27" s="1249"/>
      <c r="F27" s="528"/>
      <c r="G27" s="479"/>
      <c r="H27" s="479"/>
      <c r="I27" s="479"/>
      <c r="J27" s="479"/>
      <c r="K27" s="479"/>
      <c r="L27" s="479"/>
      <c r="M27" s="559"/>
      <c r="N27" s="559"/>
      <c r="O27" s="559"/>
      <c r="P27" s="559"/>
      <c r="Q27" s="559"/>
      <c r="R27" s="559"/>
      <c r="S27" s="559"/>
      <c r="T27" s="559"/>
      <c r="U27" s="559"/>
      <c r="V27" s="559"/>
      <c r="W27" s="559"/>
      <c r="X27" s="559"/>
      <c r="Y27" s="559"/>
      <c r="Z27" s="559"/>
      <c r="AA27" s="528"/>
      <c r="AB27" s="528"/>
      <c r="AC27" s="528"/>
      <c r="AD27" s="528"/>
    </row>
    <row r="28" spans="1:30" ht="15.75" customHeight="1" x14ac:dyDescent="0.3">
      <c r="A28" s="528"/>
      <c r="B28" s="562"/>
      <c r="C28" s="1250">
        <v>2019</v>
      </c>
      <c r="D28" s="1251">
        <v>37746</v>
      </c>
      <c r="E28" s="1249"/>
      <c r="F28" s="528"/>
      <c r="G28" s="479"/>
      <c r="H28" s="479"/>
      <c r="I28" s="479"/>
      <c r="J28" s="479"/>
      <c r="K28" s="479"/>
      <c r="L28" s="479"/>
      <c r="M28" s="559"/>
      <c r="N28" s="559"/>
      <c r="O28" s="559"/>
      <c r="P28" s="559"/>
      <c r="Q28" s="559"/>
      <c r="R28" s="559"/>
      <c r="S28" s="559"/>
      <c r="T28" s="559"/>
      <c r="U28" s="559"/>
      <c r="V28" s="559"/>
      <c r="W28" s="559"/>
      <c r="X28" s="559"/>
      <c r="Y28" s="559"/>
      <c r="Z28" s="559"/>
      <c r="AA28" s="528"/>
      <c r="AB28" s="528"/>
      <c r="AC28" s="528"/>
      <c r="AD28" s="528"/>
    </row>
    <row r="29" spans="1:30" ht="15.75" customHeight="1" x14ac:dyDescent="0.3">
      <c r="C29" s="1250">
        <v>2020</v>
      </c>
      <c r="D29" s="1251">
        <v>45905</v>
      </c>
      <c r="E29" s="1248"/>
    </row>
    <row r="30" spans="1:30" ht="15.75" customHeight="1" x14ac:dyDescent="0.3">
      <c r="C30" s="1252" t="s">
        <v>713</v>
      </c>
      <c r="D30" s="1253" t="s">
        <v>714</v>
      </c>
      <c r="E30" s="1248"/>
    </row>
    <row r="31" spans="1:30" ht="15.75" customHeight="1" x14ac:dyDescent="0.3">
      <c r="C31" s="1252" t="s">
        <v>715</v>
      </c>
      <c r="D31" s="1253" t="s">
        <v>716</v>
      </c>
      <c r="E31" s="1248"/>
    </row>
    <row r="32" spans="1:30" ht="15.75" customHeight="1" x14ac:dyDescent="0.3">
      <c r="C32" s="528" t="s">
        <v>717</v>
      </c>
    </row>
    <row r="33" spans="3:4" ht="15.75" customHeight="1" x14ac:dyDescent="0.3">
      <c r="C33" s="1254" t="s">
        <v>718</v>
      </c>
      <c r="D33" s="1254">
        <v>2500000</v>
      </c>
    </row>
    <row r="34" spans="3:4" ht="15.75" customHeight="1" x14ac:dyDescent="0.3"/>
    <row r="35" spans="3:4" ht="15.75" customHeight="1" x14ac:dyDescent="0.3"/>
    <row r="36" spans="3:4" ht="15.75" customHeight="1" x14ac:dyDescent="0.3"/>
    <row r="37" spans="3:4" ht="15.75" customHeight="1" x14ac:dyDescent="0.3"/>
    <row r="38" spans="3:4" ht="15.75" customHeight="1" x14ac:dyDescent="0.3"/>
    <row r="39" spans="3:4" ht="15.75" customHeight="1" x14ac:dyDescent="0.3"/>
    <row r="40" spans="3:4" ht="15.75" customHeight="1" x14ac:dyDescent="0.3"/>
    <row r="41" spans="3:4" ht="15.75" customHeight="1" x14ac:dyDescent="0.3"/>
    <row r="42" spans="3:4" ht="15.75" customHeight="1" x14ac:dyDescent="0.3"/>
    <row r="43" spans="3:4" ht="15.75" customHeight="1" x14ac:dyDescent="0.3"/>
    <row r="44" spans="3:4" ht="15.75" customHeight="1" x14ac:dyDescent="0.3"/>
    <row r="45" spans="3:4" ht="15.75" customHeight="1" x14ac:dyDescent="0.3"/>
    <row r="46" spans="3:4" ht="15.75" customHeight="1" x14ac:dyDescent="0.3"/>
    <row r="47" spans="3:4" ht="15.75" customHeight="1" x14ac:dyDescent="0.3"/>
    <row r="48" spans="3:4"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sheetData>
  <mergeCells count="1">
    <mergeCell ref="B26:C26"/>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8F7FC-DBC5-4B73-B90A-E31DF7C0BD53}">
  <dimension ref="A1:K996"/>
  <sheetViews>
    <sheetView topLeftCell="A27" workbookViewId="0">
      <selection activeCell="C35" sqref="C35"/>
    </sheetView>
  </sheetViews>
  <sheetFormatPr defaultColWidth="12.44140625" defaultRowHeight="15" customHeight="1" x14ac:dyDescent="0.3"/>
  <cols>
    <col min="1" max="1" width="2.6640625" style="428" customWidth="1"/>
    <col min="2" max="2" width="35.109375" style="428" customWidth="1"/>
    <col min="3" max="3" width="23.33203125" style="428" customWidth="1"/>
    <col min="4" max="4" width="1.5546875" style="428" customWidth="1"/>
    <col min="5" max="5" width="14.6640625" style="428" customWidth="1"/>
    <col min="6" max="6" width="7.33203125" style="428" customWidth="1"/>
    <col min="7" max="7" width="34" style="428" customWidth="1"/>
    <col min="8" max="8" width="21.77734375" style="428" customWidth="1"/>
    <col min="9" max="9" width="1.5546875" style="428" customWidth="1"/>
    <col min="10" max="10" width="15.21875" style="428" customWidth="1"/>
    <col min="11" max="11" width="11.6640625" style="428" customWidth="1"/>
    <col min="12" max="16384" width="12.44140625" style="428"/>
  </cols>
  <sheetData>
    <row r="1" spans="1:11" ht="21.75" customHeight="1" x14ac:dyDescent="0.35">
      <c r="A1" s="424"/>
      <c r="B1" s="425" t="s">
        <v>549</v>
      </c>
      <c r="D1" s="427"/>
      <c r="F1" s="427"/>
      <c r="I1" s="427"/>
    </row>
    <row r="2" spans="1:11" ht="15.75" customHeight="1" x14ac:dyDescent="0.3">
      <c r="A2" s="424"/>
      <c r="B2" s="429" t="s">
        <v>299</v>
      </c>
      <c r="C2" s="430"/>
      <c r="D2" s="430"/>
      <c r="E2" s="430"/>
      <c r="F2" s="430"/>
      <c r="G2" s="430"/>
      <c r="H2" s="430"/>
      <c r="I2" s="430"/>
      <c r="J2" s="430"/>
    </row>
    <row r="3" spans="1:11" ht="9.75" customHeight="1" x14ac:dyDescent="0.3">
      <c r="A3" s="427"/>
      <c r="B3" s="431"/>
      <c r="D3" s="427"/>
      <c r="F3" s="427"/>
      <c r="I3" s="427"/>
    </row>
    <row r="4" spans="1:11" ht="6" customHeight="1" x14ac:dyDescent="0.3">
      <c r="B4" s="427"/>
      <c r="D4" s="427"/>
      <c r="F4" s="427"/>
      <c r="I4" s="427"/>
    </row>
    <row r="5" spans="1:11" ht="6" customHeight="1" x14ac:dyDescent="0.3">
      <c r="A5" s="431"/>
      <c r="D5" s="427"/>
      <c r="F5" s="427"/>
      <c r="I5" s="427"/>
    </row>
    <row r="6" spans="1:11" ht="15.75" customHeight="1" x14ac:dyDescent="0.3">
      <c r="C6" s="428">
        <v>1000000</v>
      </c>
      <c r="D6" s="427"/>
      <c r="E6" s="427"/>
      <c r="F6" s="427"/>
      <c r="I6" s="427"/>
    </row>
    <row r="7" spans="1:11" ht="37.200000000000003" customHeight="1" x14ac:dyDescent="0.3">
      <c r="A7" s="432"/>
      <c r="B7" s="433">
        <v>2024</v>
      </c>
      <c r="C7" s="434" t="s">
        <v>22</v>
      </c>
      <c r="D7" s="432"/>
      <c r="E7" s="435" t="s">
        <v>300</v>
      </c>
      <c r="F7" s="432"/>
      <c r="G7" s="433">
        <v>2024</v>
      </c>
      <c r="H7" s="686" t="s">
        <v>23</v>
      </c>
      <c r="I7" s="609"/>
      <c r="J7" s="435" t="s">
        <v>300</v>
      </c>
      <c r="K7" s="432"/>
    </row>
    <row r="8" spans="1:11" ht="18" customHeight="1" x14ac:dyDescent="0.35">
      <c r="B8" s="436" t="s">
        <v>301</v>
      </c>
      <c r="C8" s="572">
        <v>1</v>
      </c>
      <c r="D8" s="427"/>
      <c r="E8" s="438"/>
      <c r="F8" s="427"/>
      <c r="G8" s="436" t="s">
        <v>301</v>
      </c>
      <c r="H8" s="572">
        <v>1</v>
      </c>
      <c r="I8" s="610"/>
      <c r="J8" s="438"/>
    </row>
    <row r="9" spans="1:11" ht="46.5" customHeight="1" x14ac:dyDescent="0.3">
      <c r="B9" s="439" t="s">
        <v>302</v>
      </c>
      <c r="C9" s="573" t="s">
        <v>1121</v>
      </c>
      <c r="D9" s="574"/>
      <c r="E9" s="442"/>
      <c r="F9" s="443"/>
      <c r="G9" s="439" t="s">
        <v>302</v>
      </c>
      <c r="H9" s="573" t="s">
        <v>1122</v>
      </c>
      <c r="I9" s="611"/>
      <c r="J9" s="442"/>
    </row>
    <row r="10" spans="1:11" ht="46.5" customHeight="1" x14ac:dyDescent="0.3">
      <c r="B10" s="444" t="s">
        <v>304</v>
      </c>
      <c r="C10" s="445" t="s">
        <v>1123</v>
      </c>
      <c r="D10" s="574"/>
      <c r="E10" s="446"/>
      <c r="F10" s="443"/>
      <c r="G10" s="444" t="s">
        <v>304</v>
      </c>
      <c r="H10" s="445" t="s">
        <v>1124</v>
      </c>
      <c r="I10" s="612"/>
      <c r="J10" s="446"/>
    </row>
    <row r="11" spans="1:11" ht="18.75" customHeight="1" x14ac:dyDescent="0.3">
      <c r="A11" s="447"/>
      <c r="B11" s="448" t="s">
        <v>306</v>
      </c>
      <c r="C11" s="575">
        <f>(C17*C18)+(C22*C23)</f>
        <v>6525.2161044192453</v>
      </c>
      <c r="D11" s="576"/>
      <c r="E11" s="451">
        <f>SUM(C11:C11)</f>
        <v>6525.2161044192453</v>
      </c>
      <c r="F11" s="452"/>
      <c r="G11" s="448" t="s">
        <v>306</v>
      </c>
      <c r="H11" s="613">
        <f>(H17*H18)</f>
        <v>17547.67530259279</v>
      </c>
      <c r="I11" s="614"/>
      <c r="J11" s="451">
        <f>SUM(H11:H11)</f>
        <v>17547.67530259279</v>
      </c>
      <c r="K11" s="447"/>
    </row>
    <row r="12" spans="1:11" ht="18.75" customHeight="1" x14ac:dyDescent="0.3">
      <c r="A12" s="447"/>
      <c r="B12" s="453" t="s">
        <v>307</v>
      </c>
      <c r="C12" s="577">
        <f>(C27*C28)+(C32*C33)</f>
        <v>6303.121395101145</v>
      </c>
      <c r="D12" s="455"/>
      <c r="E12" s="456">
        <f>SUM(C12:C12)</f>
        <v>6303.121395101145</v>
      </c>
      <c r="F12" s="457"/>
      <c r="G12" s="453" t="s">
        <v>307</v>
      </c>
      <c r="H12" s="577">
        <f>(H27*H28)</f>
        <v>0</v>
      </c>
      <c r="I12" s="614"/>
      <c r="J12" s="456">
        <f>SUM(H12:H12)</f>
        <v>0</v>
      </c>
      <c r="K12" s="447"/>
    </row>
    <row r="13" spans="1:11" ht="18.75" customHeight="1" x14ac:dyDescent="0.3">
      <c r="A13" s="447"/>
      <c r="B13" s="448" t="s">
        <v>308</v>
      </c>
      <c r="C13" s="578" t="s">
        <v>8</v>
      </c>
      <c r="D13" s="459"/>
      <c r="E13" s="460"/>
      <c r="F13" s="461"/>
      <c r="G13" s="448" t="s">
        <v>308</v>
      </c>
      <c r="H13" s="578" t="s">
        <v>8</v>
      </c>
      <c r="I13" s="615"/>
      <c r="J13" s="460"/>
      <c r="K13" s="447"/>
    </row>
    <row r="14" spans="1:11" ht="18.75" customHeight="1" x14ac:dyDescent="0.3">
      <c r="A14" s="447"/>
      <c r="B14" s="462" t="s">
        <v>309</v>
      </c>
      <c r="C14" s="579">
        <f t="shared" ref="C14" si="0">C11-C12</f>
        <v>222.09470931810029</v>
      </c>
      <c r="D14" s="455"/>
      <c r="E14" s="464">
        <f>SUM(C14:C14)</f>
        <v>222.09470931810029</v>
      </c>
      <c r="F14" s="457"/>
      <c r="G14" s="462" t="s">
        <v>309</v>
      </c>
      <c r="H14" s="579">
        <f t="shared" ref="H14" si="1">H11-H12</f>
        <v>17547.67530259279</v>
      </c>
      <c r="I14" s="614"/>
      <c r="J14" s="464">
        <f>SUM(H14:H14)</f>
        <v>17547.67530259279</v>
      </c>
      <c r="K14" s="447"/>
    </row>
    <row r="15" spans="1:11" ht="19.5" customHeight="1" x14ac:dyDescent="0.4">
      <c r="B15" s="465" t="s">
        <v>310</v>
      </c>
      <c r="C15" s="580"/>
      <c r="D15" s="467"/>
      <c r="E15" s="468"/>
      <c r="F15" s="467"/>
      <c r="G15" s="616" t="s">
        <v>395</v>
      </c>
      <c r="H15" s="617"/>
      <c r="I15" s="618"/>
      <c r="J15" s="468"/>
      <c r="K15" s="427"/>
    </row>
    <row r="16" spans="1:11" ht="35.4" customHeight="1" x14ac:dyDescent="0.3">
      <c r="A16" s="447"/>
      <c r="B16" s="469" t="s">
        <v>311</v>
      </c>
      <c r="C16" s="601" t="s">
        <v>634</v>
      </c>
      <c r="D16" s="581"/>
      <c r="E16" s="471"/>
      <c r="F16" s="457"/>
      <c r="G16" s="469" t="s">
        <v>311</v>
      </c>
      <c r="H16" s="601" t="s">
        <v>496</v>
      </c>
      <c r="I16" s="619"/>
      <c r="J16" s="620"/>
      <c r="K16" s="447"/>
    </row>
    <row r="17" spans="1:11" ht="21" customHeight="1" x14ac:dyDescent="0.3">
      <c r="A17" s="447"/>
      <c r="B17" s="472" t="s">
        <v>636</v>
      </c>
      <c r="C17" s="582">
        <f>'CF-0405|GDS'!I14</f>
        <v>3367498.5791638037</v>
      </c>
      <c r="D17" s="583"/>
      <c r="F17" s="475"/>
      <c r="G17" s="472" t="s">
        <v>398</v>
      </c>
      <c r="H17" s="582">
        <f>'CF-0405|GDS'!I50</f>
        <v>21630.227322536852</v>
      </c>
      <c r="I17" s="622"/>
      <c r="J17" s="623"/>
      <c r="K17" s="447"/>
    </row>
    <row r="18" spans="1:11" ht="18.75" customHeight="1" x14ac:dyDescent="0.3">
      <c r="A18" s="447"/>
      <c r="B18" s="476" t="s">
        <v>314</v>
      </c>
      <c r="C18" s="584">
        <v>1.9363110000000002E-3</v>
      </c>
      <c r="D18" s="478"/>
      <c r="F18" s="479"/>
      <c r="G18" s="476" t="s">
        <v>314</v>
      </c>
      <c r="H18" s="584">
        <v>0.81125709133484736</v>
      </c>
      <c r="I18" s="614"/>
      <c r="J18" s="491"/>
      <c r="K18" s="447"/>
    </row>
    <row r="19" spans="1:11" ht="19.5" customHeight="1" x14ac:dyDescent="0.3">
      <c r="A19" s="447"/>
      <c r="B19" s="480" t="s">
        <v>315</v>
      </c>
      <c r="C19" s="585">
        <f>C17*C18</f>
        <v>6520.5245413192451</v>
      </c>
      <c r="D19" s="586"/>
      <c r="F19" s="479"/>
      <c r="G19" s="480" t="s">
        <v>315</v>
      </c>
      <c r="H19" s="585">
        <f>H17*H18</f>
        <v>17547.67530259279</v>
      </c>
      <c r="I19" s="614"/>
      <c r="J19" s="494"/>
      <c r="K19" s="647"/>
    </row>
    <row r="20" spans="1:11" ht="19.5" customHeight="1" x14ac:dyDescent="0.4">
      <c r="A20" s="447"/>
      <c r="B20" s="465" t="s">
        <v>310</v>
      </c>
      <c r="C20" s="580"/>
      <c r="D20" s="478"/>
      <c r="F20" s="479"/>
      <c r="G20" s="1693"/>
      <c r="H20" s="1694"/>
      <c r="I20" s="614"/>
      <c r="J20" s="494"/>
      <c r="K20" s="447"/>
    </row>
    <row r="21" spans="1:11" ht="26.4" customHeight="1" x14ac:dyDescent="0.3">
      <c r="A21" s="447"/>
      <c r="B21" s="469" t="s">
        <v>311</v>
      </c>
      <c r="C21" s="601" t="s">
        <v>1125</v>
      </c>
      <c r="D21" s="478"/>
      <c r="F21" s="479"/>
      <c r="G21" s="1693"/>
      <c r="H21" s="1694"/>
      <c r="I21" s="614"/>
      <c r="J21" s="494"/>
      <c r="K21" s="447"/>
    </row>
    <row r="22" spans="1:11" ht="19.5" customHeight="1" x14ac:dyDescent="0.3">
      <c r="A22" s="447"/>
      <c r="B22" s="472" t="s">
        <v>319</v>
      </c>
      <c r="C22" s="473">
        <f>'CF-0405|GDS'!I15</f>
        <v>2759743</v>
      </c>
      <c r="D22" s="478"/>
      <c r="F22" s="479"/>
      <c r="G22" s="1693"/>
      <c r="H22" s="1694"/>
      <c r="I22" s="614"/>
      <c r="J22" s="494"/>
      <c r="K22" s="447"/>
    </row>
    <row r="23" spans="1:11" ht="19.5" customHeight="1" x14ac:dyDescent="0.3">
      <c r="A23" s="447"/>
      <c r="B23" s="476" t="s">
        <v>314</v>
      </c>
      <c r="C23" s="584">
        <v>1.7E-6</v>
      </c>
      <c r="D23" s="478"/>
      <c r="F23" s="479"/>
      <c r="G23" s="1693"/>
      <c r="H23" s="1694"/>
      <c r="I23" s="614"/>
      <c r="J23" s="494"/>
      <c r="K23" s="447"/>
    </row>
    <row r="24" spans="1:11" ht="19.5" customHeight="1" x14ac:dyDescent="0.3">
      <c r="A24" s="447"/>
      <c r="B24" s="480" t="s">
        <v>315</v>
      </c>
      <c r="C24" s="481">
        <f>C22*C23</f>
        <v>4.6915630999999998</v>
      </c>
      <c r="D24" s="478"/>
      <c r="F24" s="479"/>
      <c r="G24" s="1695"/>
      <c r="H24" s="1696"/>
      <c r="I24" s="614"/>
      <c r="J24" s="494"/>
      <c r="K24" s="447"/>
    </row>
    <row r="25" spans="1:11" ht="21" customHeight="1" x14ac:dyDescent="0.4">
      <c r="B25" s="465" t="s">
        <v>316</v>
      </c>
      <c r="C25" s="587"/>
      <c r="D25" s="483"/>
      <c r="E25" s="484"/>
      <c r="F25" s="483"/>
      <c r="G25" s="465" t="s">
        <v>316</v>
      </c>
      <c r="H25" s="587"/>
      <c r="I25" s="618"/>
      <c r="J25" s="495"/>
    </row>
    <row r="26" spans="1:11" ht="32.4" customHeight="1" x14ac:dyDescent="0.3">
      <c r="A26" s="447"/>
      <c r="B26" s="469" t="s">
        <v>183</v>
      </c>
      <c r="C26" s="601" t="s">
        <v>1126</v>
      </c>
      <c r="D26" s="588"/>
      <c r="E26" s="485"/>
      <c r="F26" s="479"/>
      <c r="G26" s="469" t="s">
        <v>183</v>
      </c>
      <c r="H26" s="601" t="s">
        <v>1127</v>
      </c>
      <c r="I26" s="614"/>
      <c r="J26" s="496"/>
      <c r="K26" s="447"/>
    </row>
    <row r="27" spans="1:11" ht="21" customHeight="1" x14ac:dyDescent="0.3">
      <c r="A27" s="447"/>
      <c r="B27" s="486" t="s">
        <v>636</v>
      </c>
      <c r="C27" s="589">
        <f>'CF-0405|GDS'!I12</f>
        <v>3252115.6949999998</v>
      </c>
      <c r="D27" s="479"/>
      <c r="E27" s="488"/>
      <c r="F27" s="479"/>
      <c r="G27" s="486" t="s">
        <v>398</v>
      </c>
      <c r="H27" s="589">
        <f>H17</f>
        <v>21630.227322536852</v>
      </c>
      <c r="I27" s="622"/>
      <c r="J27" s="623"/>
      <c r="K27" s="447"/>
    </row>
    <row r="28" spans="1:11" ht="21" customHeight="1" x14ac:dyDescent="0.3">
      <c r="A28" s="447"/>
      <c r="B28" s="489" t="s">
        <v>314</v>
      </c>
      <c r="C28" s="590">
        <v>1.9363110000000002E-3</v>
      </c>
      <c r="D28" s="588"/>
      <c r="E28" s="491"/>
      <c r="F28" s="479"/>
      <c r="G28" s="489" t="s">
        <v>314</v>
      </c>
      <c r="H28" s="590">
        <v>0</v>
      </c>
      <c r="I28" s="614"/>
      <c r="J28" s="491"/>
      <c r="K28" s="447"/>
    </row>
    <row r="29" spans="1:11" ht="21" customHeight="1" x14ac:dyDescent="0.3">
      <c r="A29" s="447"/>
      <c r="B29" s="492" t="s">
        <v>315</v>
      </c>
      <c r="C29" s="591">
        <f t="shared" ref="C29" si="2">C27*C28</f>
        <v>6297.1073935011455</v>
      </c>
      <c r="D29" s="588"/>
      <c r="E29" s="494"/>
      <c r="F29" s="479"/>
      <c r="G29" s="492" t="s">
        <v>315</v>
      </c>
      <c r="H29" s="624">
        <f t="shared" ref="H29" si="3">H27*H28</f>
        <v>0</v>
      </c>
      <c r="I29" s="614"/>
      <c r="J29" s="494"/>
      <c r="K29" s="447"/>
    </row>
    <row r="30" spans="1:11" ht="21" customHeight="1" x14ac:dyDescent="0.4">
      <c r="A30" s="447"/>
      <c r="B30" s="465" t="s">
        <v>316</v>
      </c>
      <c r="C30" s="587"/>
      <c r="D30" s="588"/>
      <c r="E30" s="494"/>
      <c r="F30" s="479"/>
      <c r="G30" s="1697"/>
      <c r="H30" s="1698"/>
      <c r="I30" s="614"/>
      <c r="J30" s="494"/>
      <c r="K30" s="447"/>
    </row>
    <row r="31" spans="1:11" ht="21" customHeight="1" x14ac:dyDescent="0.3">
      <c r="A31" s="447"/>
      <c r="B31" s="469" t="s">
        <v>183</v>
      </c>
      <c r="C31" s="601" t="s">
        <v>352</v>
      </c>
      <c r="D31" s="588"/>
      <c r="E31" s="494"/>
      <c r="F31" s="479"/>
      <c r="G31" s="1697"/>
      <c r="H31" s="1698"/>
      <c r="I31" s="614"/>
      <c r="J31" s="494"/>
      <c r="K31" s="447"/>
    </row>
    <row r="32" spans="1:11" ht="21" customHeight="1" x14ac:dyDescent="0.3">
      <c r="A32" s="447"/>
      <c r="B32" s="486" t="s">
        <v>319</v>
      </c>
      <c r="C32" s="589">
        <f>'CF-0405|GDS'!I17</f>
        <v>3537648</v>
      </c>
      <c r="D32" s="588"/>
      <c r="E32" s="494"/>
      <c r="F32" s="479"/>
      <c r="G32" s="1697"/>
      <c r="H32" s="1698"/>
      <c r="I32" s="614"/>
      <c r="J32" s="494"/>
      <c r="K32" s="447"/>
    </row>
    <row r="33" spans="1:11" ht="21" customHeight="1" x14ac:dyDescent="0.3">
      <c r="A33" s="447"/>
      <c r="B33" s="489" t="s">
        <v>314</v>
      </c>
      <c r="C33" s="590">
        <v>1.7E-6</v>
      </c>
      <c r="D33" s="588"/>
      <c r="E33" s="494"/>
      <c r="F33" s="479"/>
      <c r="G33" s="1697"/>
      <c r="H33" s="1698"/>
      <c r="I33" s="614"/>
      <c r="J33" s="494"/>
      <c r="K33" s="447"/>
    </row>
    <row r="34" spans="1:11" ht="21" customHeight="1" x14ac:dyDescent="0.3">
      <c r="A34" s="447"/>
      <c r="B34" s="492" t="s">
        <v>315</v>
      </c>
      <c r="C34" s="591">
        <f t="shared" ref="C34" si="4">C32*C33</f>
        <v>6.0140016000000003</v>
      </c>
      <c r="D34" s="588"/>
      <c r="E34" s="494"/>
      <c r="F34" s="479"/>
      <c r="G34" s="1699"/>
      <c r="H34" s="1698"/>
      <c r="I34" s="614"/>
      <c r="J34" s="494"/>
      <c r="K34" s="447"/>
    </row>
    <row r="35" spans="1:11" ht="28.5" customHeight="1" x14ac:dyDescent="0.3">
      <c r="A35" s="447"/>
      <c r="B35" s="498" t="s">
        <v>320</v>
      </c>
      <c r="C35" s="592" t="s">
        <v>639</v>
      </c>
      <c r="D35" s="593"/>
      <c r="E35" s="501"/>
      <c r="F35" s="500"/>
      <c r="G35" s="498" t="s">
        <v>320</v>
      </c>
      <c r="H35" s="626" t="s">
        <v>401</v>
      </c>
      <c r="I35" s="614"/>
      <c r="J35" s="496"/>
      <c r="K35" s="447"/>
    </row>
    <row r="36" spans="1:11" ht="24" customHeight="1" x14ac:dyDescent="0.3">
      <c r="B36" s="502" t="s">
        <v>322</v>
      </c>
      <c r="C36" s="594">
        <v>3</v>
      </c>
      <c r="D36" s="504"/>
      <c r="E36" s="505"/>
      <c r="F36" s="504"/>
      <c r="G36" s="502" t="s">
        <v>322</v>
      </c>
      <c r="H36" s="596">
        <v>13</v>
      </c>
      <c r="I36" s="618"/>
      <c r="J36" s="495"/>
    </row>
    <row r="37" spans="1:11" ht="33" customHeight="1" x14ac:dyDescent="0.3">
      <c r="A37" s="447"/>
      <c r="B37" s="506" t="s">
        <v>323</v>
      </c>
      <c r="C37" s="595" t="s">
        <v>324</v>
      </c>
      <c r="D37" s="479"/>
      <c r="E37" s="496"/>
      <c r="F37" s="479"/>
      <c r="G37" s="506" t="s">
        <v>323</v>
      </c>
      <c r="H37" s="595" t="s">
        <v>324</v>
      </c>
      <c r="I37" s="614"/>
      <c r="J37" s="496"/>
      <c r="K37" s="447"/>
    </row>
    <row r="38" spans="1:11" ht="33" customHeight="1" x14ac:dyDescent="0.3">
      <c r="A38" s="447"/>
      <c r="B38" s="508" t="s">
        <v>325</v>
      </c>
      <c r="C38" s="596" t="s">
        <v>326</v>
      </c>
      <c r="D38" s="479"/>
      <c r="E38" s="496"/>
      <c r="F38" s="479"/>
      <c r="G38" s="508" t="s">
        <v>325</v>
      </c>
      <c r="H38" s="627" t="s">
        <v>326</v>
      </c>
      <c r="I38" s="614"/>
      <c r="J38" s="496"/>
      <c r="K38" s="447"/>
    </row>
    <row r="39" spans="1:11" ht="33" customHeight="1" x14ac:dyDescent="0.3">
      <c r="A39" s="447"/>
      <c r="B39" s="506" t="s">
        <v>327</v>
      </c>
      <c r="C39" s="595" t="s">
        <v>328</v>
      </c>
      <c r="D39" s="479"/>
      <c r="E39" s="496"/>
      <c r="F39" s="479"/>
      <c r="G39" s="506" t="s">
        <v>327</v>
      </c>
      <c r="H39" s="595" t="s">
        <v>402</v>
      </c>
      <c r="I39" s="614"/>
      <c r="J39" s="496"/>
      <c r="K39" s="447"/>
    </row>
    <row r="40" spans="1:11" ht="21" customHeight="1" x14ac:dyDescent="0.3">
      <c r="B40" s="510" t="s">
        <v>329</v>
      </c>
      <c r="C40" s="596">
        <v>1</v>
      </c>
      <c r="D40" s="467"/>
      <c r="E40" s="467"/>
      <c r="F40" s="467"/>
      <c r="G40" s="510" t="s">
        <v>329</v>
      </c>
      <c r="H40" s="596">
        <v>5</v>
      </c>
      <c r="I40" s="618"/>
      <c r="J40" s="467"/>
    </row>
    <row r="41" spans="1:11" ht="21" customHeight="1" x14ac:dyDescent="0.3">
      <c r="B41" s="453" t="s">
        <v>330</v>
      </c>
      <c r="C41" s="595" t="s">
        <v>324</v>
      </c>
      <c r="D41" s="483"/>
      <c r="E41" s="495"/>
      <c r="F41" s="483"/>
      <c r="G41" s="453" t="s">
        <v>330</v>
      </c>
      <c r="H41" s="595" t="s">
        <v>324</v>
      </c>
      <c r="I41" s="618"/>
      <c r="J41" s="495"/>
    </row>
    <row r="42" spans="1:11" ht="21" customHeight="1" x14ac:dyDescent="0.3">
      <c r="B42" s="510" t="s">
        <v>331</v>
      </c>
      <c r="C42" s="596" t="s">
        <v>324</v>
      </c>
      <c r="D42" s="483"/>
      <c r="E42" s="495"/>
      <c r="F42" s="483"/>
      <c r="G42" s="510" t="s">
        <v>331</v>
      </c>
      <c r="H42" s="596" t="s">
        <v>324</v>
      </c>
      <c r="I42" s="618"/>
      <c r="J42" s="495"/>
    </row>
    <row r="43" spans="1:11" ht="21" customHeight="1" x14ac:dyDescent="0.3">
      <c r="B43" s="462" t="s">
        <v>332</v>
      </c>
      <c r="C43" s="555" t="s">
        <v>333</v>
      </c>
      <c r="D43" s="483"/>
      <c r="E43" s="495"/>
      <c r="F43" s="483"/>
      <c r="G43" s="462" t="s">
        <v>332</v>
      </c>
      <c r="H43" s="555" t="s">
        <v>333</v>
      </c>
      <c r="I43" s="618"/>
      <c r="J43" s="495"/>
    </row>
    <row r="44" spans="1:11" ht="15.75" customHeight="1" x14ac:dyDescent="0.3">
      <c r="B44" s="427"/>
      <c r="C44" s="427"/>
      <c r="D44" s="483"/>
      <c r="E44" s="483"/>
      <c r="F44" s="1700"/>
      <c r="G44" s="1701" t="s">
        <v>1128</v>
      </c>
      <c r="H44" s="4164">
        <f>H14/H40</f>
        <v>3509.5350605185581</v>
      </c>
      <c r="I44" s="427"/>
      <c r="J44" s="427"/>
    </row>
    <row r="45" spans="1:11" ht="15.75" customHeight="1" x14ac:dyDescent="0.3">
      <c r="B45" s="512" t="s">
        <v>334</v>
      </c>
      <c r="C45" s="427"/>
      <c r="D45" s="483"/>
      <c r="E45" s="483"/>
      <c r="F45" s="483"/>
      <c r="I45" s="427"/>
      <c r="J45" s="427"/>
    </row>
    <row r="46" spans="1:11" ht="15.75" customHeight="1" x14ac:dyDescent="0.3">
      <c r="B46" s="512" t="s">
        <v>335</v>
      </c>
      <c r="C46" s="427"/>
      <c r="D46" s="483"/>
      <c r="E46" s="483"/>
      <c r="F46" s="483"/>
      <c r="I46" s="427"/>
      <c r="J46" s="427"/>
    </row>
    <row r="47" spans="1:11" ht="15.75" customHeight="1" x14ac:dyDescent="0.3">
      <c r="B47" s="512" t="s">
        <v>336</v>
      </c>
      <c r="C47" s="427"/>
      <c r="D47" s="483"/>
      <c r="E47" s="483"/>
      <c r="F47" s="483"/>
      <c r="I47" s="427"/>
      <c r="J47" s="427"/>
    </row>
    <row r="48" spans="1:11" ht="15.75" customHeight="1" x14ac:dyDescent="0.3">
      <c r="B48" s="512" t="s">
        <v>337</v>
      </c>
      <c r="C48" s="427"/>
      <c r="D48" s="483"/>
      <c r="E48" s="483"/>
      <c r="F48" s="483"/>
      <c r="I48" s="427"/>
      <c r="J48" s="427"/>
    </row>
    <row r="49" spans="2:10" ht="15.75" customHeight="1" x14ac:dyDescent="0.3">
      <c r="B49" s="512" t="s">
        <v>338</v>
      </c>
      <c r="D49" s="427"/>
      <c r="F49" s="427"/>
      <c r="I49" s="427"/>
      <c r="J49" s="427"/>
    </row>
    <row r="50" spans="2:10" ht="15.75" customHeight="1" x14ac:dyDescent="0.3">
      <c r="B50" s="512" t="s">
        <v>339</v>
      </c>
      <c r="D50" s="427"/>
      <c r="F50" s="427"/>
      <c r="I50" s="427"/>
      <c r="J50" s="427"/>
    </row>
    <row r="51" spans="2:10" ht="15.75" customHeight="1" x14ac:dyDescent="0.3">
      <c r="D51" s="427"/>
      <c r="F51" s="427"/>
      <c r="I51" s="427"/>
      <c r="J51" s="427"/>
    </row>
    <row r="52" spans="2:10" ht="15.75" customHeight="1" x14ac:dyDescent="0.3">
      <c r="D52" s="427"/>
      <c r="F52" s="427"/>
      <c r="I52" s="427"/>
      <c r="J52" s="427"/>
    </row>
    <row r="53" spans="2:10" ht="15.75" customHeight="1" x14ac:dyDescent="0.3">
      <c r="D53" s="427"/>
      <c r="F53" s="427"/>
      <c r="I53" s="427"/>
      <c r="J53" s="427"/>
    </row>
    <row r="54" spans="2:10" ht="15.75" customHeight="1" x14ac:dyDescent="0.3">
      <c r="D54" s="427"/>
      <c r="F54" s="427"/>
      <c r="I54" s="427"/>
    </row>
    <row r="55" spans="2:10" ht="15.75" customHeight="1" x14ac:dyDescent="0.3">
      <c r="D55" s="427"/>
      <c r="F55" s="427"/>
      <c r="I55" s="427"/>
    </row>
    <row r="56" spans="2:10" ht="15.75" customHeight="1" x14ac:dyDescent="0.3">
      <c r="D56" s="427"/>
      <c r="F56" s="427"/>
      <c r="I56" s="427"/>
    </row>
    <row r="57" spans="2:10" ht="15.75" customHeight="1" x14ac:dyDescent="0.3">
      <c r="D57" s="427"/>
      <c r="F57" s="427"/>
      <c r="I57" s="427"/>
    </row>
    <row r="58" spans="2:10" ht="15.75" customHeight="1" x14ac:dyDescent="0.3">
      <c r="D58" s="427"/>
      <c r="F58" s="427"/>
      <c r="I58" s="427"/>
    </row>
    <row r="59" spans="2:10" ht="15.75" customHeight="1" x14ac:dyDescent="0.3">
      <c r="D59" s="427"/>
      <c r="F59" s="427"/>
      <c r="I59" s="427"/>
    </row>
    <row r="60" spans="2:10" ht="15.75" customHeight="1" x14ac:dyDescent="0.3">
      <c r="D60" s="427"/>
      <c r="F60" s="427"/>
      <c r="I60" s="427"/>
    </row>
    <row r="61" spans="2:10" ht="15.75" customHeight="1" x14ac:dyDescent="0.3">
      <c r="D61" s="427"/>
      <c r="F61" s="427"/>
      <c r="I61" s="427"/>
    </row>
    <row r="62" spans="2:10" ht="15.75" customHeight="1" x14ac:dyDescent="0.3">
      <c r="D62" s="427"/>
      <c r="F62" s="427"/>
      <c r="I62" s="427"/>
    </row>
    <row r="63" spans="2:10" ht="15.75" customHeight="1" x14ac:dyDescent="0.3">
      <c r="D63" s="427"/>
      <c r="F63" s="427"/>
      <c r="I63" s="427"/>
    </row>
    <row r="64" spans="2:10" ht="15.75" customHeight="1" x14ac:dyDescent="0.3">
      <c r="D64" s="427"/>
      <c r="F64" s="427"/>
      <c r="I64" s="427"/>
    </row>
    <row r="65" spans="4:9" ht="15.75" customHeight="1" x14ac:dyDescent="0.3">
      <c r="D65" s="427"/>
      <c r="F65" s="427"/>
      <c r="I65" s="427"/>
    </row>
    <row r="66" spans="4:9" ht="15.75" customHeight="1" x14ac:dyDescent="0.3">
      <c r="D66" s="427"/>
      <c r="F66" s="427"/>
      <c r="I66" s="427"/>
    </row>
    <row r="67" spans="4:9" ht="15.75" customHeight="1" x14ac:dyDescent="0.3">
      <c r="D67" s="427"/>
      <c r="F67" s="427"/>
      <c r="I67" s="427"/>
    </row>
    <row r="68" spans="4:9" ht="15.75" customHeight="1" x14ac:dyDescent="0.3">
      <c r="D68" s="427"/>
      <c r="F68" s="427"/>
      <c r="I68" s="427"/>
    </row>
    <row r="69" spans="4:9" ht="15.75" customHeight="1" x14ac:dyDescent="0.3">
      <c r="D69" s="427"/>
      <c r="F69" s="427"/>
      <c r="I69" s="427"/>
    </row>
    <row r="70" spans="4:9" ht="15.75" customHeight="1" x14ac:dyDescent="0.3">
      <c r="D70" s="427"/>
      <c r="F70" s="427"/>
      <c r="I70" s="427"/>
    </row>
    <row r="71" spans="4:9" ht="15.75" customHeight="1" x14ac:dyDescent="0.3">
      <c r="D71" s="427"/>
      <c r="F71" s="427"/>
      <c r="I71" s="427"/>
    </row>
    <row r="72" spans="4:9" ht="15.75" customHeight="1" x14ac:dyDescent="0.3">
      <c r="D72" s="427"/>
      <c r="F72" s="427"/>
      <c r="I72" s="427"/>
    </row>
    <row r="73" spans="4:9" ht="15.75" customHeight="1" x14ac:dyDescent="0.3">
      <c r="D73" s="427"/>
      <c r="F73" s="427"/>
      <c r="I73" s="427"/>
    </row>
    <row r="74" spans="4:9" ht="15.75" customHeight="1" x14ac:dyDescent="0.3">
      <c r="D74" s="427"/>
      <c r="F74" s="427"/>
      <c r="I74" s="427"/>
    </row>
    <row r="75" spans="4:9" ht="15.75" customHeight="1" x14ac:dyDescent="0.3">
      <c r="D75" s="427"/>
      <c r="F75" s="427"/>
      <c r="I75" s="427"/>
    </row>
    <row r="76" spans="4:9" ht="15.75" customHeight="1" x14ac:dyDescent="0.3">
      <c r="D76" s="427"/>
      <c r="F76" s="427"/>
      <c r="I76" s="427"/>
    </row>
    <row r="77" spans="4:9" ht="15.75" customHeight="1" x14ac:dyDescent="0.3">
      <c r="D77" s="427"/>
      <c r="F77" s="427"/>
      <c r="I77" s="427"/>
    </row>
    <row r="78" spans="4:9" ht="15.75" customHeight="1" x14ac:dyDescent="0.3">
      <c r="D78" s="427"/>
      <c r="F78" s="427"/>
      <c r="I78" s="427"/>
    </row>
    <row r="79" spans="4:9" ht="15.75" customHeight="1" x14ac:dyDescent="0.3">
      <c r="D79" s="427"/>
      <c r="F79" s="427"/>
      <c r="I79" s="427"/>
    </row>
    <row r="80" spans="4:9" ht="15.75" customHeight="1" x14ac:dyDescent="0.3">
      <c r="D80" s="427"/>
      <c r="F80" s="427"/>
      <c r="I80" s="427"/>
    </row>
    <row r="81" spans="4:9" ht="15.75" customHeight="1" x14ac:dyDescent="0.3">
      <c r="D81" s="427"/>
      <c r="F81" s="427"/>
      <c r="I81" s="427"/>
    </row>
    <row r="82" spans="4:9" ht="15.75" customHeight="1" x14ac:dyDescent="0.3">
      <c r="D82" s="427"/>
      <c r="F82" s="427"/>
      <c r="I82" s="427"/>
    </row>
    <row r="83" spans="4:9" ht="15.75" customHeight="1" x14ac:dyDescent="0.3">
      <c r="D83" s="427"/>
      <c r="F83" s="427"/>
      <c r="I83" s="427"/>
    </row>
    <row r="84" spans="4:9" ht="15.75" customHeight="1" x14ac:dyDescent="0.3">
      <c r="D84" s="427"/>
      <c r="F84" s="427"/>
      <c r="I84" s="427"/>
    </row>
    <row r="85" spans="4:9" ht="15.75" customHeight="1" x14ac:dyDescent="0.3">
      <c r="D85" s="427"/>
      <c r="F85" s="427"/>
      <c r="I85" s="427"/>
    </row>
    <row r="86" spans="4:9" ht="15.75" customHeight="1" x14ac:dyDescent="0.3">
      <c r="D86" s="427"/>
      <c r="F86" s="427"/>
      <c r="I86" s="427"/>
    </row>
    <row r="87" spans="4:9" ht="15.75" customHeight="1" x14ac:dyDescent="0.3">
      <c r="D87" s="427"/>
      <c r="F87" s="427"/>
      <c r="I87" s="427"/>
    </row>
    <row r="88" spans="4:9" ht="15.75" customHeight="1" x14ac:dyDescent="0.3">
      <c r="D88" s="427"/>
      <c r="F88" s="427"/>
      <c r="I88" s="427"/>
    </row>
    <row r="89" spans="4:9" ht="15.75" customHeight="1" x14ac:dyDescent="0.3">
      <c r="D89" s="427"/>
      <c r="F89" s="427"/>
      <c r="I89" s="427"/>
    </row>
    <row r="90" spans="4:9" ht="15.75" customHeight="1" x14ac:dyDescent="0.3">
      <c r="D90" s="427"/>
      <c r="F90" s="427"/>
      <c r="I90" s="427"/>
    </row>
    <row r="91" spans="4:9" ht="15.75" customHeight="1" x14ac:dyDescent="0.3">
      <c r="D91" s="427"/>
      <c r="F91" s="427"/>
      <c r="I91" s="427"/>
    </row>
    <row r="92" spans="4:9" ht="15.75" customHeight="1" x14ac:dyDescent="0.3">
      <c r="D92" s="427"/>
      <c r="F92" s="427"/>
      <c r="I92" s="427"/>
    </row>
    <row r="93" spans="4:9" ht="15.75" customHeight="1" x14ac:dyDescent="0.3">
      <c r="D93" s="427"/>
      <c r="F93" s="427"/>
      <c r="I93" s="427"/>
    </row>
    <row r="94" spans="4:9" ht="15.75" customHeight="1" x14ac:dyDescent="0.3">
      <c r="D94" s="427"/>
      <c r="F94" s="427"/>
      <c r="I94" s="427"/>
    </row>
    <row r="95" spans="4:9" ht="15.75" customHeight="1" x14ac:dyDescent="0.3">
      <c r="D95" s="427"/>
      <c r="F95" s="427"/>
      <c r="I95" s="427"/>
    </row>
    <row r="96" spans="4:9" ht="15.75" customHeight="1" x14ac:dyDescent="0.3">
      <c r="D96" s="427"/>
      <c r="F96" s="427"/>
      <c r="I96" s="427"/>
    </row>
    <row r="97" spans="4:9" ht="15.75" customHeight="1" x14ac:dyDescent="0.3">
      <c r="D97" s="427"/>
      <c r="F97" s="427"/>
      <c r="I97" s="427"/>
    </row>
    <row r="98" spans="4:9" ht="15.75" customHeight="1" x14ac:dyDescent="0.3">
      <c r="D98" s="427"/>
      <c r="F98" s="427"/>
      <c r="I98" s="427"/>
    </row>
    <row r="99" spans="4:9" ht="15.75" customHeight="1" x14ac:dyDescent="0.3">
      <c r="D99" s="427"/>
      <c r="F99" s="427"/>
      <c r="I99" s="427"/>
    </row>
    <row r="100" spans="4:9" ht="15.75" customHeight="1" x14ac:dyDescent="0.3">
      <c r="D100" s="427"/>
      <c r="F100" s="427"/>
      <c r="I100" s="427"/>
    </row>
    <row r="101" spans="4:9" ht="15.75" customHeight="1" x14ac:dyDescent="0.3">
      <c r="D101" s="427"/>
      <c r="F101" s="427"/>
      <c r="I101" s="427"/>
    </row>
    <row r="102" spans="4:9" ht="15.75" customHeight="1" x14ac:dyDescent="0.3">
      <c r="D102" s="427"/>
      <c r="F102" s="427"/>
      <c r="I102" s="427"/>
    </row>
    <row r="103" spans="4:9" ht="15.75" customHeight="1" x14ac:dyDescent="0.3">
      <c r="D103" s="427"/>
      <c r="F103" s="427"/>
      <c r="I103" s="427"/>
    </row>
    <row r="104" spans="4:9" ht="15.75" customHeight="1" x14ac:dyDescent="0.3">
      <c r="D104" s="427"/>
      <c r="F104" s="427"/>
      <c r="I104" s="427"/>
    </row>
    <row r="105" spans="4:9" ht="15.75" customHeight="1" x14ac:dyDescent="0.3">
      <c r="D105" s="427"/>
      <c r="F105" s="427"/>
      <c r="I105" s="427"/>
    </row>
    <row r="106" spans="4:9" ht="15.75" customHeight="1" x14ac:dyDescent="0.3">
      <c r="D106" s="427"/>
      <c r="F106" s="427"/>
      <c r="I106" s="427"/>
    </row>
    <row r="107" spans="4:9" ht="15.75" customHeight="1" x14ac:dyDescent="0.3">
      <c r="D107" s="427"/>
      <c r="F107" s="427"/>
      <c r="I107" s="427"/>
    </row>
    <row r="108" spans="4:9" ht="15.75" customHeight="1" x14ac:dyDescent="0.3">
      <c r="D108" s="427"/>
      <c r="F108" s="427"/>
      <c r="I108" s="427"/>
    </row>
    <row r="109" spans="4:9" ht="15.75" customHeight="1" x14ac:dyDescent="0.3">
      <c r="D109" s="427"/>
      <c r="F109" s="427"/>
      <c r="I109" s="427"/>
    </row>
    <row r="110" spans="4:9" ht="15.75" customHeight="1" x14ac:dyDescent="0.3">
      <c r="D110" s="427"/>
      <c r="F110" s="427"/>
      <c r="I110" s="427"/>
    </row>
    <row r="111" spans="4:9" ht="15.75" customHeight="1" x14ac:dyDescent="0.3">
      <c r="D111" s="427"/>
      <c r="F111" s="427"/>
      <c r="I111" s="427"/>
    </row>
    <row r="112" spans="4:9" ht="15.75" customHeight="1" x14ac:dyDescent="0.3">
      <c r="D112" s="427"/>
      <c r="F112" s="427"/>
      <c r="I112" s="427"/>
    </row>
    <row r="113" spans="4:9" ht="15.75" customHeight="1" x14ac:dyDescent="0.3">
      <c r="D113" s="427"/>
      <c r="F113" s="427"/>
      <c r="I113" s="427"/>
    </row>
    <row r="114" spans="4:9" ht="15.75" customHeight="1" x14ac:dyDescent="0.3">
      <c r="D114" s="427"/>
      <c r="F114" s="427"/>
      <c r="I114" s="427"/>
    </row>
    <row r="115" spans="4:9" ht="15.75" customHeight="1" x14ac:dyDescent="0.3">
      <c r="D115" s="427"/>
      <c r="F115" s="427"/>
      <c r="I115" s="427"/>
    </row>
    <row r="116" spans="4:9" ht="15.75" customHeight="1" x14ac:dyDescent="0.3">
      <c r="D116" s="427"/>
      <c r="F116" s="427"/>
      <c r="I116" s="427"/>
    </row>
    <row r="117" spans="4:9" ht="15.75" customHeight="1" x14ac:dyDescent="0.3">
      <c r="D117" s="427"/>
      <c r="F117" s="427"/>
      <c r="I117" s="427"/>
    </row>
    <row r="118" spans="4:9" ht="15.75" customHeight="1" x14ac:dyDescent="0.3">
      <c r="D118" s="427"/>
      <c r="F118" s="427"/>
      <c r="I118" s="427"/>
    </row>
    <row r="119" spans="4:9" ht="15.75" customHeight="1" x14ac:dyDescent="0.3">
      <c r="D119" s="427"/>
      <c r="F119" s="427"/>
      <c r="I119" s="427"/>
    </row>
    <row r="120" spans="4:9" ht="15.75" customHeight="1" x14ac:dyDescent="0.3">
      <c r="D120" s="427"/>
      <c r="F120" s="427"/>
      <c r="I120" s="427"/>
    </row>
    <row r="121" spans="4:9" ht="15.75" customHeight="1" x14ac:dyDescent="0.3">
      <c r="D121" s="427"/>
      <c r="F121" s="427"/>
      <c r="I121" s="427"/>
    </row>
    <row r="122" spans="4:9" ht="15.75" customHeight="1" x14ac:dyDescent="0.3">
      <c r="D122" s="427"/>
      <c r="F122" s="427"/>
      <c r="I122" s="427"/>
    </row>
    <row r="123" spans="4:9" ht="15.75" customHeight="1" x14ac:dyDescent="0.3">
      <c r="D123" s="427"/>
      <c r="F123" s="427"/>
      <c r="I123" s="427"/>
    </row>
    <row r="124" spans="4:9" ht="15.75" customHeight="1" x14ac:dyDescent="0.3">
      <c r="D124" s="427"/>
      <c r="F124" s="427"/>
      <c r="I124" s="427"/>
    </row>
    <row r="125" spans="4:9" ht="15.75" customHeight="1" x14ac:dyDescent="0.3">
      <c r="D125" s="427"/>
      <c r="F125" s="427"/>
      <c r="I125" s="427"/>
    </row>
    <row r="126" spans="4:9" ht="15.75" customHeight="1" x14ac:dyDescent="0.3">
      <c r="D126" s="427"/>
      <c r="F126" s="427"/>
      <c r="I126" s="427"/>
    </row>
    <row r="127" spans="4:9" ht="15.75" customHeight="1" x14ac:dyDescent="0.3">
      <c r="D127" s="427"/>
      <c r="F127" s="427"/>
      <c r="I127" s="427"/>
    </row>
    <row r="128" spans="4:9" ht="15.75" customHeight="1" x14ac:dyDescent="0.3">
      <c r="D128" s="427"/>
      <c r="F128" s="427"/>
      <c r="I128" s="427"/>
    </row>
    <row r="129" spans="4:9" ht="15.75" customHeight="1" x14ac:dyDescent="0.3">
      <c r="D129" s="427"/>
      <c r="F129" s="427"/>
      <c r="I129" s="427"/>
    </row>
    <row r="130" spans="4:9" ht="15.75" customHeight="1" x14ac:dyDescent="0.3">
      <c r="D130" s="427"/>
      <c r="F130" s="427"/>
      <c r="I130" s="427"/>
    </row>
    <row r="131" spans="4:9" ht="15.75" customHeight="1" x14ac:dyDescent="0.3">
      <c r="D131" s="427"/>
      <c r="F131" s="427"/>
      <c r="I131" s="427"/>
    </row>
    <row r="132" spans="4:9" ht="15.75" customHeight="1" x14ac:dyDescent="0.3">
      <c r="D132" s="427"/>
      <c r="F132" s="427"/>
      <c r="I132" s="427"/>
    </row>
    <row r="133" spans="4:9" ht="15.75" customHeight="1" x14ac:dyDescent="0.3">
      <c r="D133" s="427"/>
      <c r="F133" s="427"/>
      <c r="I133" s="427"/>
    </row>
    <row r="134" spans="4:9" ht="15.75" customHeight="1" x14ac:dyDescent="0.3">
      <c r="D134" s="427"/>
      <c r="F134" s="427"/>
      <c r="I134" s="427"/>
    </row>
    <row r="135" spans="4:9" ht="15.75" customHeight="1" x14ac:dyDescent="0.3">
      <c r="D135" s="427"/>
      <c r="F135" s="427"/>
      <c r="I135" s="427"/>
    </row>
    <row r="136" spans="4:9" ht="15.75" customHeight="1" x14ac:dyDescent="0.3">
      <c r="D136" s="427"/>
      <c r="F136" s="427"/>
      <c r="I136" s="427"/>
    </row>
    <row r="137" spans="4:9" ht="15.75" customHeight="1" x14ac:dyDescent="0.3">
      <c r="D137" s="427"/>
      <c r="F137" s="427"/>
      <c r="I137" s="427"/>
    </row>
    <row r="138" spans="4:9" ht="15.75" customHeight="1" x14ac:dyDescent="0.3">
      <c r="D138" s="427"/>
      <c r="F138" s="427"/>
      <c r="I138" s="427"/>
    </row>
    <row r="139" spans="4:9" ht="15.75" customHeight="1" x14ac:dyDescent="0.3">
      <c r="D139" s="427"/>
      <c r="F139" s="427"/>
      <c r="I139" s="427"/>
    </row>
    <row r="140" spans="4:9" ht="15.75" customHeight="1" x14ac:dyDescent="0.3">
      <c r="D140" s="427"/>
      <c r="F140" s="427"/>
      <c r="I140" s="427"/>
    </row>
    <row r="141" spans="4:9" ht="15.75" customHeight="1" x14ac:dyDescent="0.3">
      <c r="D141" s="427"/>
      <c r="F141" s="427"/>
      <c r="I141" s="427"/>
    </row>
    <row r="142" spans="4:9" ht="15.75" customHeight="1" x14ac:dyDescent="0.3">
      <c r="D142" s="427"/>
      <c r="F142" s="427"/>
      <c r="I142" s="427"/>
    </row>
    <row r="143" spans="4:9" ht="15.75" customHeight="1" x14ac:dyDescent="0.3">
      <c r="D143" s="427"/>
      <c r="F143" s="427"/>
      <c r="I143" s="427"/>
    </row>
    <row r="144" spans="4:9" ht="15.75" customHeight="1" x14ac:dyDescent="0.3">
      <c r="D144" s="427"/>
      <c r="F144" s="427"/>
      <c r="I144" s="427"/>
    </row>
    <row r="145" spans="4:9" ht="15.75" customHeight="1" x14ac:dyDescent="0.3">
      <c r="D145" s="427"/>
      <c r="F145" s="427"/>
      <c r="I145" s="427"/>
    </row>
    <row r="146" spans="4:9" ht="15.75" customHeight="1" x14ac:dyDescent="0.3">
      <c r="D146" s="427"/>
      <c r="F146" s="427"/>
      <c r="I146" s="427"/>
    </row>
    <row r="147" spans="4:9" ht="15.75" customHeight="1" x14ac:dyDescent="0.3">
      <c r="D147" s="427"/>
      <c r="F147" s="427"/>
      <c r="I147" s="427"/>
    </row>
    <row r="148" spans="4:9" ht="15.75" customHeight="1" x14ac:dyDescent="0.3">
      <c r="D148" s="427"/>
      <c r="F148" s="427"/>
      <c r="I148" s="427"/>
    </row>
    <row r="149" spans="4:9" ht="15.75" customHeight="1" x14ac:dyDescent="0.3">
      <c r="D149" s="427"/>
      <c r="F149" s="427"/>
      <c r="I149" s="427"/>
    </row>
    <row r="150" spans="4:9" ht="15.75" customHeight="1" x14ac:dyDescent="0.3">
      <c r="D150" s="427"/>
      <c r="F150" s="427"/>
      <c r="I150" s="427"/>
    </row>
    <row r="151" spans="4:9" ht="15.75" customHeight="1" x14ac:dyDescent="0.3">
      <c r="D151" s="427"/>
      <c r="F151" s="427"/>
      <c r="I151" s="427"/>
    </row>
    <row r="152" spans="4:9" ht="15.75" customHeight="1" x14ac:dyDescent="0.3">
      <c r="D152" s="427"/>
      <c r="F152" s="427"/>
      <c r="I152" s="427"/>
    </row>
    <row r="153" spans="4:9" ht="15.75" customHeight="1" x14ac:dyDescent="0.3">
      <c r="D153" s="427"/>
      <c r="F153" s="427"/>
      <c r="I153" s="427"/>
    </row>
    <row r="154" spans="4:9" ht="15.75" customHeight="1" x14ac:dyDescent="0.3">
      <c r="D154" s="427"/>
      <c r="F154" s="427"/>
      <c r="I154" s="427"/>
    </row>
    <row r="155" spans="4:9" ht="15.75" customHeight="1" x14ac:dyDescent="0.3">
      <c r="D155" s="427"/>
      <c r="F155" s="427"/>
      <c r="I155" s="427"/>
    </row>
    <row r="156" spans="4:9" ht="15.75" customHeight="1" x14ac:dyDescent="0.3">
      <c r="D156" s="427"/>
      <c r="F156" s="427"/>
      <c r="I156" s="427"/>
    </row>
    <row r="157" spans="4:9" ht="15.75" customHeight="1" x14ac:dyDescent="0.3">
      <c r="D157" s="427"/>
      <c r="F157" s="427"/>
      <c r="I157" s="427"/>
    </row>
    <row r="158" spans="4:9" ht="15.75" customHeight="1" x14ac:dyDescent="0.3">
      <c r="D158" s="427"/>
      <c r="F158" s="427"/>
      <c r="I158" s="427"/>
    </row>
    <row r="159" spans="4:9" ht="15.75" customHeight="1" x14ac:dyDescent="0.3">
      <c r="D159" s="427"/>
      <c r="F159" s="427"/>
      <c r="I159" s="427"/>
    </row>
    <row r="160" spans="4:9" ht="15.75" customHeight="1" x14ac:dyDescent="0.3">
      <c r="D160" s="427"/>
      <c r="F160" s="427"/>
      <c r="I160" s="427"/>
    </row>
    <row r="161" spans="4:9" ht="15.75" customHeight="1" x14ac:dyDescent="0.3">
      <c r="D161" s="427"/>
      <c r="F161" s="427"/>
      <c r="I161" s="427"/>
    </row>
    <row r="162" spans="4:9" ht="15.75" customHeight="1" x14ac:dyDescent="0.3">
      <c r="D162" s="427"/>
      <c r="F162" s="427"/>
      <c r="I162" s="427"/>
    </row>
    <row r="163" spans="4:9" ht="15.75" customHeight="1" x14ac:dyDescent="0.3">
      <c r="D163" s="427"/>
      <c r="F163" s="427"/>
      <c r="I163" s="427"/>
    </row>
    <row r="164" spans="4:9" ht="15.75" customHeight="1" x14ac:dyDescent="0.3">
      <c r="D164" s="427"/>
      <c r="F164" s="427"/>
      <c r="I164" s="427"/>
    </row>
    <row r="165" spans="4:9" ht="15.75" customHeight="1" x14ac:dyDescent="0.3">
      <c r="D165" s="427"/>
      <c r="F165" s="427"/>
      <c r="I165" s="427"/>
    </row>
    <row r="166" spans="4:9" ht="15.75" customHeight="1" x14ac:dyDescent="0.3">
      <c r="D166" s="427"/>
      <c r="F166" s="427"/>
      <c r="I166" s="427"/>
    </row>
    <row r="167" spans="4:9" ht="15.75" customHeight="1" x14ac:dyDescent="0.3">
      <c r="D167" s="427"/>
      <c r="F167" s="427"/>
      <c r="I167" s="427"/>
    </row>
    <row r="168" spans="4:9" ht="15.75" customHeight="1" x14ac:dyDescent="0.3">
      <c r="D168" s="427"/>
      <c r="F168" s="427"/>
      <c r="I168" s="427"/>
    </row>
    <row r="169" spans="4:9" ht="15.75" customHeight="1" x14ac:dyDescent="0.3">
      <c r="D169" s="427"/>
      <c r="F169" s="427"/>
      <c r="I169" s="427"/>
    </row>
    <row r="170" spans="4:9" ht="15.75" customHeight="1" x14ac:dyDescent="0.3">
      <c r="D170" s="427"/>
      <c r="F170" s="427"/>
      <c r="I170" s="427"/>
    </row>
    <row r="171" spans="4:9" ht="15.75" customHeight="1" x14ac:dyDescent="0.3">
      <c r="D171" s="427"/>
      <c r="F171" s="427"/>
      <c r="I171" s="427"/>
    </row>
    <row r="172" spans="4:9" ht="15.75" customHeight="1" x14ac:dyDescent="0.3">
      <c r="D172" s="427"/>
      <c r="F172" s="427"/>
      <c r="I172" s="427"/>
    </row>
    <row r="173" spans="4:9" ht="15.75" customHeight="1" x14ac:dyDescent="0.3">
      <c r="D173" s="427"/>
      <c r="F173" s="427"/>
      <c r="I173" s="427"/>
    </row>
    <row r="174" spans="4:9" ht="15.75" customHeight="1" x14ac:dyDescent="0.3">
      <c r="D174" s="427"/>
      <c r="F174" s="427"/>
      <c r="I174" s="427"/>
    </row>
    <row r="175" spans="4:9" ht="15.75" customHeight="1" x14ac:dyDescent="0.3">
      <c r="D175" s="427"/>
      <c r="F175" s="427"/>
      <c r="I175" s="427"/>
    </row>
    <row r="176" spans="4:9" ht="15.75" customHeight="1" x14ac:dyDescent="0.3">
      <c r="D176" s="427"/>
      <c r="F176" s="427"/>
      <c r="I176" s="427"/>
    </row>
    <row r="177" spans="4:9" ht="15.75" customHeight="1" x14ac:dyDescent="0.3">
      <c r="D177" s="427"/>
      <c r="F177" s="427"/>
      <c r="I177" s="427"/>
    </row>
    <row r="178" spans="4:9" ht="15.75" customHeight="1" x14ac:dyDescent="0.3">
      <c r="D178" s="427"/>
      <c r="F178" s="427"/>
      <c r="I178" s="427"/>
    </row>
    <row r="179" spans="4:9" ht="15.75" customHeight="1" x14ac:dyDescent="0.3">
      <c r="D179" s="427"/>
      <c r="F179" s="427"/>
      <c r="I179" s="427"/>
    </row>
    <row r="180" spans="4:9" ht="15.75" customHeight="1" x14ac:dyDescent="0.3">
      <c r="D180" s="427"/>
      <c r="F180" s="427"/>
      <c r="I180" s="427"/>
    </row>
    <row r="181" spans="4:9" ht="15.75" customHeight="1" x14ac:dyDescent="0.3">
      <c r="D181" s="427"/>
      <c r="F181" s="427"/>
      <c r="I181" s="427"/>
    </row>
    <row r="182" spans="4:9" ht="15.75" customHeight="1" x14ac:dyDescent="0.3">
      <c r="D182" s="427"/>
      <c r="F182" s="427"/>
      <c r="I182" s="427"/>
    </row>
    <row r="183" spans="4:9" ht="15.75" customHeight="1" x14ac:dyDescent="0.3">
      <c r="D183" s="427"/>
      <c r="F183" s="427"/>
      <c r="I183" s="427"/>
    </row>
    <row r="184" spans="4:9" ht="15.75" customHeight="1" x14ac:dyDescent="0.3">
      <c r="D184" s="427"/>
      <c r="F184" s="427"/>
      <c r="I184" s="427"/>
    </row>
    <row r="185" spans="4:9" ht="15.75" customHeight="1" x14ac:dyDescent="0.3">
      <c r="D185" s="427"/>
      <c r="F185" s="427"/>
      <c r="I185" s="427"/>
    </row>
    <row r="186" spans="4:9" ht="15.75" customHeight="1" x14ac:dyDescent="0.3">
      <c r="D186" s="427"/>
      <c r="F186" s="427"/>
      <c r="I186" s="427"/>
    </row>
    <row r="187" spans="4:9" ht="15.75" customHeight="1" x14ac:dyDescent="0.3">
      <c r="D187" s="427"/>
      <c r="F187" s="427"/>
      <c r="I187" s="427"/>
    </row>
    <row r="188" spans="4:9" ht="15.75" customHeight="1" x14ac:dyDescent="0.3">
      <c r="D188" s="427"/>
      <c r="F188" s="427"/>
      <c r="I188" s="427"/>
    </row>
    <row r="189" spans="4:9" ht="15.75" customHeight="1" x14ac:dyDescent="0.3">
      <c r="D189" s="427"/>
      <c r="F189" s="427"/>
      <c r="I189" s="427"/>
    </row>
    <row r="190" spans="4:9" ht="15.75" customHeight="1" x14ac:dyDescent="0.3">
      <c r="D190" s="427"/>
      <c r="F190" s="427"/>
      <c r="I190" s="427"/>
    </row>
    <row r="191" spans="4:9" ht="15.75" customHeight="1" x14ac:dyDescent="0.3">
      <c r="D191" s="427"/>
      <c r="F191" s="427"/>
      <c r="I191" s="427"/>
    </row>
    <row r="192" spans="4:9" ht="15.75" customHeight="1" x14ac:dyDescent="0.3">
      <c r="D192" s="427"/>
      <c r="F192" s="427"/>
      <c r="I192" s="427"/>
    </row>
    <row r="193" spans="4:9" ht="15.75" customHeight="1" x14ac:dyDescent="0.3">
      <c r="D193" s="427"/>
      <c r="F193" s="427"/>
      <c r="I193" s="427"/>
    </row>
    <row r="194" spans="4:9" ht="15.75" customHeight="1" x14ac:dyDescent="0.3">
      <c r="D194" s="427"/>
      <c r="F194" s="427"/>
      <c r="I194" s="427"/>
    </row>
    <row r="195" spans="4:9" ht="15.75" customHeight="1" x14ac:dyDescent="0.3">
      <c r="D195" s="427"/>
      <c r="F195" s="427"/>
      <c r="I195" s="427"/>
    </row>
    <row r="196" spans="4:9" ht="15.75" customHeight="1" x14ac:dyDescent="0.3">
      <c r="D196" s="427"/>
      <c r="F196" s="427"/>
      <c r="I196" s="427"/>
    </row>
    <row r="197" spans="4:9" ht="15.75" customHeight="1" x14ac:dyDescent="0.3">
      <c r="D197" s="427"/>
      <c r="F197" s="427"/>
      <c r="I197" s="427"/>
    </row>
    <row r="198" spans="4:9" ht="15.75" customHeight="1" x14ac:dyDescent="0.3">
      <c r="D198" s="427"/>
      <c r="F198" s="427"/>
      <c r="I198" s="427"/>
    </row>
    <row r="199" spans="4:9" ht="15.75" customHeight="1" x14ac:dyDescent="0.3">
      <c r="D199" s="427"/>
      <c r="F199" s="427"/>
      <c r="I199" s="427"/>
    </row>
    <row r="200" spans="4:9" ht="15.75" customHeight="1" x14ac:dyDescent="0.3">
      <c r="D200" s="427"/>
      <c r="F200" s="427"/>
      <c r="I200" s="427"/>
    </row>
    <row r="201" spans="4:9" ht="15.75" customHeight="1" x14ac:dyDescent="0.3">
      <c r="D201" s="427"/>
      <c r="F201" s="427"/>
      <c r="I201" s="427"/>
    </row>
    <row r="202" spans="4:9" ht="15.75" customHeight="1" x14ac:dyDescent="0.3">
      <c r="D202" s="427"/>
      <c r="F202" s="427"/>
      <c r="I202" s="427"/>
    </row>
    <row r="203" spans="4:9" ht="15.75" customHeight="1" x14ac:dyDescent="0.3">
      <c r="D203" s="427"/>
      <c r="F203" s="427"/>
      <c r="I203" s="427"/>
    </row>
    <row r="204" spans="4:9" ht="15.75" customHeight="1" x14ac:dyDescent="0.3">
      <c r="D204" s="427"/>
      <c r="F204" s="427"/>
      <c r="I204" s="427"/>
    </row>
    <row r="205" spans="4:9" ht="15.75" customHeight="1" x14ac:dyDescent="0.3">
      <c r="D205" s="427"/>
      <c r="F205" s="427"/>
      <c r="I205" s="427"/>
    </row>
    <row r="206" spans="4:9" ht="15.75" customHeight="1" x14ac:dyDescent="0.3">
      <c r="D206" s="427"/>
      <c r="F206" s="427"/>
      <c r="I206" s="427"/>
    </row>
    <row r="207" spans="4:9" ht="15.75" customHeight="1" x14ac:dyDescent="0.3">
      <c r="D207" s="427"/>
      <c r="F207" s="427"/>
      <c r="I207" s="427"/>
    </row>
    <row r="208" spans="4:9" ht="15.75" customHeight="1" x14ac:dyDescent="0.3">
      <c r="D208" s="427"/>
      <c r="F208" s="427"/>
      <c r="I208" s="427"/>
    </row>
    <row r="209" spans="4:9" ht="15.75" customHeight="1" x14ac:dyDescent="0.3">
      <c r="D209" s="427"/>
      <c r="F209" s="427"/>
      <c r="I209" s="427"/>
    </row>
    <row r="210" spans="4:9" ht="15.75" customHeight="1" x14ac:dyDescent="0.3">
      <c r="D210" s="427"/>
      <c r="F210" s="427"/>
      <c r="I210" s="427"/>
    </row>
    <row r="211" spans="4:9" ht="15.75" customHeight="1" x14ac:dyDescent="0.3">
      <c r="D211" s="427"/>
      <c r="F211" s="427"/>
      <c r="I211" s="427"/>
    </row>
    <row r="212" spans="4:9" ht="15.75" customHeight="1" x14ac:dyDescent="0.3">
      <c r="D212" s="427"/>
      <c r="F212" s="427"/>
      <c r="I212" s="427"/>
    </row>
    <row r="213" spans="4:9" ht="15.75" customHeight="1" x14ac:dyDescent="0.3">
      <c r="D213" s="427"/>
      <c r="F213" s="427"/>
      <c r="I213" s="427"/>
    </row>
    <row r="214" spans="4:9" ht="15.75" customHeight="1" x14ac:dyDescent="0.3">
      <c r="D214" s="427"/>
      <c r="F214" s="427"/>
      <c r="I214" s="427"/>
    </row>
    <row r="215" spans="4:9" ht="15.75" customHeight="1" x14ac:dyDescent="0.3">
      <c r="D215" s="427"/>
      <c r="F215" s="427"/>
      <c r="I215" s="427"/>
    </row>
    <row r="216" spans="4:9" ht="15.75" customHeight="1" x14ac:dyDescent="0.3">
      <c r="D216" s="427"/>
      <c r="F216" s="427"/>
      <c r="I216" s="427"/>
    </row>
    <row r="217" spans="4:9" ht="15.75" customHeight="1" x14ac:dyDescent="0.3">
      <c r="D217" s="427"/>
      <c r="F217" s="427"/>
      <c r="I217" s="427"/>
    </row>
    <row r="218" spans="4:9" ht="15.75" customHeight="1" x14ac:dyDescent="0.3">
      <c r="D218" s="427"/>
      <c r="F218" s="427"/>
      <c r="I218" s="427"/>
    </row>
    <row r="219" spans="4:9" ht="15.75" customHeight="1" x14ac:dyDescent="0.3">
      <c r="D219" s="427"/>
      <c r="F219" s="427"/>
      <c r="I219" s="427"/>
    </row>
    <row r="220" spans="4:9" ht="15.75" customHeight="1" x14ac:dyDescent="0.3">
      <c r="D220" s="427"/>
      <c r="F220" s="427"/>
      <c r="I220" s="427"/>
    </row>
    <row r="221" spans="4:9" ht="15.75" customHeight="1" x14ac:dyDescent="0.3">
      <c r="D221" s="427"/>
      <c r="F221" s="427"/>
      <c r="I221" s="427"/>
    </row>
    <row r="222" spans="4:9" ht="15.75" customHeight="1" x14ac:dyDescent="0.3">
      <c r="D222" s="427"/>
      <c r="F222" s="427"/>
      <c r="I222" s="427"/>
    </row>
    <row r="223" spans="4:9" ht="15.75" customHeight="1" x14ac:dyDescent="0.3">
      <c r="D223" s="427"/>
      <c r="F223" s="427"/>
      <c r="I223" s="427"/>
    </row>
    <row r="224" spans="4:9" ht="15.75" customHeight="1" x14ac:dyDescent="0.3">
      <c r="D224" s="427"/>
      <c r="F224" s="427"/>
      <c r="I224" s="427"/>
    </row>
    <row r="225" spans="4:9" ht="15.75" customHeight="1" x14ac:dyDescent="0.3">
      <c r="D225" s="427"/>
      <c r="F225" s="427"/>
      <c r="I225" s="427"/>
    </row>
    <row r="226" spans="4:9" ht="15.75" customHeight="1" x14ac:dyDescent="0.3">
      <c r="D226" s="427"/>
      <c r="F226" s="427"/>
      <c r="I226" s="427"/>
    </row>
    <row r="227" spans="4:9" ht="15.75" customHeight="1" x14ac:dyDescent="0.3">
      <c r="D227" s="427"/>
      <c r="F227" s="427"/>
      <c r="I227" s="427"/>
    </row>
    <row r="228" spans="4:9" ht="15.75" customHeight="1" x14ac:dyDescent="0.3">
      <c r="D228" s="427"/>
      <c r="F228" s="427"/>
      <c r="I228" s="427"/>
    </row>
    <row r="229" spans="4:9" ht="15.75" customHeight="1" x14ac:dyDescent="0.3">
      <c r="D229" s="427"/>
      <c r="F229" s="427"/>
      <c r="I229" s="427"/>
    </row>
    <row r="230" spans="4:9" ht="15.75" customHeight="1" x14ac:dyDescent="0.3">
      <c r="D230" s="427"/>
      <c r="F230" s="427"/>
      <c r="I230" s="427"/>
    </row>
    <row r="231" spans="4:9" ht="15.75" customHeight="1" x14ac:dyDescent="0.3">
      <c r="D231" s="427"/>
      <c r="F231" s="427"/>
      <c r="I231" s="427"/>
    </row>
    <row r="232" spans="4:9" ht="15.75" customHeight="1" x14ac:dyDescent="0.3">
      <c r="D232" s="427"/>
      <c r="F232" s="427"/>
      <c r="I232" s="427"/>
    </row>
    <row r="233" spans="4:9" ht="15.75" customHeight="1" x14ac:dyDescent="0.3">
      <c r="D233" s="427"/>
      <c r="F233" s="427"/>
      <c r="I233" s="427"/>
    </row>
    <row r="234" spans="4:9" ht="15.75" customHeight="1" x14ac:dyDescent="0.3">
      <c r="D234" s="427"/>
      <c r="F234" s="427"/>
      <c r="I234" s="427"/>
    </row>
    <row r="235" spans="4:9" ht="15.75" customHeight="1" x14ac:dyDescent="0.3">
      <c r="D235" s="427"/>
      <c r="F235" s="427"/>
      <c r="I235" s="427"/>
    </row>
    <row r="236" spans="4:9" ht="15.75" customHeight="1" x14ac:dyDescent="0.3">
      <c r="D236" s="427"/>
      <c r="F236" s="427"/>
      <c r="I236" s="427"/>
    </row>
    <row r="237" spans="4:9" ht="15.75" customHeight="1" x14ac:dyDescent="0.3">
      <c r="D237" s="427"/>
      <c r="F237" s="427"/>
      <c r="I237" s="427"/>
    </row>
    <row r="238" spans="4:9" ht="15.75" customHeight="1" x14ac:dyDescent="0.3">
      <c r="D238" s="427"/>
      <c r="F238" s="427"/>
      <c r="I238" s="427"/>
    </row>
    <row r="239" spans="4:9" ht="15.75" customHeight="1" x14ac:dyDescent="0.3">
      <c r="D239" s="427"/>
      <c r="F239" s="427"/>
      <c r="I239" s="427"/>
    </row>
    <row r="240" spans="4:9" ht="15.75" customHeight="1" x14ac:dyDescent="0.3">
      <c r="D240" s="427"/>
      <c r="F240" s="427"/>
      <c r="I240" s="427"/>
    </row>
    <row r="241" spans="4:9" ht="15.75" customHeight="1" x14ac:dyDescent="0.3">
      <c r="D241" s="427"/>
      <c r="F241" s="427"/>
      <c r="I241" s="427"/>
    </row>
    <row r="242" spans="4:9" ht="15.75" customHeight="1" x14ac:dyDescent="0.3">
      <c r="D242" s="427"/>
      <c r="F242" s="427"/>
      <c r="I242" s="427"/>
    </row>
    <row r="243" spans="4:9" ht="15.75" customHeight="1" x14ac:dyDescent="0.3">
      <c r="D243" s="427"/>
      <c r="F243" s="427"/>
      <c r="I243" s="427"/>
    </row>
    <row r="244" spans="4:9" ht="15.75" customHeight="1" x14ac:dyDescent="0.3">
      <c r="D244" s="427"/>
      <c r="F244" s="427"/>
      <c r="I244" s="427"/>
    </row>
    <row r="245" spans="4:9" ht="15.75" customHeight="1" x14ac:dyDescent="0.3">
      <c r="D245" s="427"/>
      <c r="F245" s="427"/>
      <c r="I245" s="427"/>
    </row>
    <row r="246" spans="4:9" ht="15.75" customHeight="1" x14ac:dyDescent="0.3">
      <c r="D246" s="427"/>
      <c r="F246" s="427"/>
      <c r="I246" s="427"/>
    </row>
    <row r="247" spans="4:9" ht="15.75" customHeight="1" x14ac:dyDescent="0.3">
      <c r="D247" s="427"/>
      <c r="F247" s="427"/>
      <c r="I247" s="427"/>
    </row>
    <row r="248" spans="4:9" ht="15.75" customHeight="1" x14ac:dyDescent="0.3">
      <c r="D248" s="427"/>
      <c r="F248" s="427"/>
      <c r="I248" s="427"/>
    </row>
    <row r="249" spans="4:9" ht="15.75" customHeight="1" x14ac:dyDescent="0.3">
      <c r="D249" s="427"/>
      <c r="F249" s="427"/>
      <c r="I249" s="427"/>
    </row>
    <row r="250" spans="4:9" ht="15.75" customHeight="1" x14ac:dyDescent="0.3">
      <c r="D250" s="427"/>
      <c r="F250" s="427"/>
      <c r="I250" s="427"/>
    </row>
    <row r="251" spans="4:9" ht="15.75" customHeight="1" x14ac:dyDescent="0.3"/>
    <row r="252" spans="4:9" ht="15.75" customHeight="1" x14ac:dyDescent="0.3"/>
    <row r="253" spans="4:9" ht="15.75" customHeight="1" x14ac:dyDescent="0.3"/>
    <row r="254" spans="4:9" ht="15.75" customHeight="1" x14ac:dyDescent="0.3"/>
    <row r="255" spans="4:9" ht="15.75" customHeight="1" x14ac:dyDescent="0.3"/>
    <row r="256" spans="4:9"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dataValidations count="1">
    <dataValidation type="list" allowBlank="1" showErrorMessage="1" sqref="B17 B27 B32 B22" xr:uid="{14A16B48-BFAF-4117-A7A3-BB79FBE58306}">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8A8C1-AF2F-4D36-A086-5AE2E74E4B55}">
  <dimension ref="A1:AD928"/>
  <sheetViews>
    <sheetView topLeftCell="A47" workbookViewId="0">
      <selection activeCell="F4" sqref="F4"/>
    </sheetView>
  </sheetViews>
  <sheetFormatPr defaultColWidth="12.44140625" defaultRowHeight="15" customHeight="1" x14ac:dyDescent="0.3"/>
  <cols>
    <col min="1" max="1" width="2.6640625" style="428" customWidth="1"/>
    <col min="2" max="2" width="5.109375" style="428" customWidth="1"/>
    <col min="3" max="3" width="37.44140625" style="428" customWidth="1"/>
    <col min="4" max="4" width="36.6640625" style="428" customWidth="1"/>
    <col min="5" max="5" width="8.88671875" style="428" customWidth="1"/>
    <col min="6" max="6" width="32.44140625" style="428" customWidth="1"/>
    <col min="7" max="7" width="12.77734375" style="428" customWidth="1"/>
    <col min="8" max="8" width="21.77734375" style="428" hidden="1" customWidth="1"/>
    <col min="9" max="12" width="12.77734375" style="428" customWidth="1"/>
    <col min="13" max="18" width="11.5546875" style="428" customWidth="1"/>
    <col min="19" max="19" width="11.77734375" style="428" hidden="1" customWidth="1"/>
    <col min="20"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2366</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c r="I4" s="1702"/>
    </row>
    <row r="5" spans="1:30" ht="19.2" customHeight="1" x14ac:dyDescent="0.3">
      <c r="B5" s="517" t="s">
        <v>341</v>
      </c>
      <c r="C5" s="518"/>
      <c r="D5" s="518"/>
      <c r="I5" s="1703"/>
      <c r="J5" s="1703"/>
    </row>
    <row r="6" spans="1:30" ht="15.75" customHeight="1" x14ac:dyDescent="0.3">
      <c r="B6" s="516"/>
    </row>
    <row r="7" spans="1:30" ht="15.75" customHeight="1" x14ac:dyDescent="0.3">
      <c r="B7" s="519" t="s">
        <v>342</v>
      </c>
    </row>
    <row r="8" spans="1:30" ht="9" customHeight="1" x14ac:dyDescent="0.3">
      <c r="B8" s="520"/>
      <c r="G8" s="427"/>
      <c r="H8" s="427">
        <v>1</v>
      </c>
      <c r="I8" s="427"/>
      <c r="J8" s="427"/>
      <c r="K8" s="427"/>
      <c r="L8" s="427"/>
      <c r="Z8" s="427"/>
    </row>
    <row r="9" spans="1:30" ht="15.75" customHeight="1" x14ac:dyDescent="0.3">
      <c r="B9" s="521" t="s">
        <v>301</v>
      </c>
      <c r="C9" s="522" t="s">
        <v>1121</v>
      </c>
      <c r="D9" s="523" t="s">
        <v>344</v>
      </c>
      <c r="E9" s="523" t="s">
        <v>345</v>
      </c>
      <c r="F9" s="523" t="s">
        <v>346</v>
      </c>
      <c r="G9" s="524" t="s">
        <v>347</v>
      </c>
      <c r="H9" s="525" t="s">
        <v>1122</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31.8" customHeight="1" x14ac:dyDescent="0.3">
      <c r="A10" s="528"/>
      <c r="B10" s="529">
        <v>1</v>
      </c>
      <c r="C10" s="530" t="s">
        <v>348</v>
      </c>
      <c r="D10" s="533" t="s">
        <v>1129</v>
      </c>
      <c r="E10" s="532" t="s">
        <v>1130</v>
      </c>
      <c r="F10" s="533"/>
      <c r="G10" s="534" t="s">
        <v>1131</v>
      </c>
      <c r="H10" s="535" t="s">
        <v>1124</v>
      </c>
      <c r="I10" s="535">
        <v>98036.85</v>
      </c>
      <c r="J10" s="597">
        <v>89263.58</v>
      </c>
      <c r="K10" s="597">
        <v>101088.84</v>
      </c>
      <c r="L10" s="597">
        <v>94975.82</v>
      </c>
      <c r="M10" s="597">
        <v>89528.26</v>
      </c>
      <c r="N10" s="597">
        <v>91507.82</v>
      </c>
      <c r="O10" s="597">
        <v>92484.7</v>
      </c>
      <c r="P10" s="597"/>
      <c r="Q10" s="597"/>
      <c r="R10" s="597"/>
      <c r="S10" s="597"/>
      <c r="T10" s="597"/>
      <c r="U10" s="598"/>
      <c r="V10" s="597"/>
      <c r="W10" s="598"/>
      <c r="X10" s="597"/>
      <c r="Y10" s="542"/>
      <c r="Z10" s="535"/>
      <c r="AA10" s="528"/>
      <c r="AB10" s="528"/>
      <c r="AC10" s="528"/>
      <c r="AD10" s="528"/>
    </row>
    <row r="11" spans="1:30" ht="24" customHeight="1" x14ac:dyDescent="0.3">
      <c r="A11" s="528"/>
      <c r="B11" s="529"/>
      <c r="C11" s="453" t="s">
        <v>348</v>
      </c>
      <c r="D11" s="453" t="s">
        <v>641</v>
      </c>
      <c r="E11" s="543" t="s">
        <v>653</v>
      </c>
      <c r="F11" s="506" t="s">
        <v>1132</v>
      </c>
      <c r="G11" s="496"/>
      <c r="H11" s="544"/>
      <c r="I11" s="1704">
        <v>5287993</v>
      </c>
      <c r="J11" s="599">
        <v>4985598</v>
      </c>
      <c r="K11" s="599">
        <v>5315961</v>
      </c>
      <c r="L11" s="599">
        <v>5269374</v>
      </c>
      <c r="M11" s="599">
        <v>4951696</v>
      </c>
      <c r="N11" s="599">
        <v>4953975</v>
      </c>
      <c r="O11" s="599">
        <v>4731142</v>
      </c>
      <c r="P11" s="599"/>
      <c r="Q11" s="599"/>
      <c r="R11" s="599"/>
      <c r="S11" s="599"/>
      <c r="T11" s="599"/>
      <c r="U11" s="600"/>
      <c r="V11" s="599"/>
      <c r="W11" s="600"/>
      <c r="X11" s="599"/>
      <c r="Y11" s="548"/>
      <c r="Z11" s="544"/>
      <c r="AA11" s="528"/>
      <c r="AB11" s="528"/>
      <c r="AC11" s="528"/>
      <c r="AD11" s="528"/>
    </row>
    <row r="12" spans="1:30" ht="24" customHeight="1" x14ac:dyDescent="0.3">
      <c r="A12" s="528"/>
      <c r="B12" s="529"/>
      <c r="C12" s="453" t="s">
        <v>348</v>
      </c>
      <c r="D12" s="453" t="s">
        <v>641</v>
      </c>
      <c r="E12" s="543" t="s">
        <v>653</v>
      </c>
      <c r="F12" s="506" t="s">
        <v>1133</v>
      </c>
      <c r="G12" s="496"/>
      <c r="H12" s="544"/>
      <c r="I12" s="545">
        <f>I11*G27</f>
        <v>3252115.6949999998</v>
      </c>
      <c r="J12" s="599"/>
      <c r="K12" s="599"/>
      <c r="L12" s="599"/>
      <c r="M12" s="599"/>
      <c r="N12" s="599"/>
      <c r="O12" s="599"/>
      <c r="P12" s="599"/>
      <c r="Q12" s="599"/>
      <c r="R12" s="599"/>
      <c r="S12" s="599"/>
      <c r="T12" s="599"/>
      <c r="U12" s="600"/>
      <c r="V12" s="599"/>
      <c r="W12" s="600"/>
      <c r="X12" s="599"/>
      <c r="Y12" s="548"/>
      <c r="Z12" s="544"/>
      <c r="AA12" s="528"/>
      <c r="AB12" s="528"/>
      <c r="AC12" s="528"/>
      <c r="AD12" s="528"/>
    </row>
    <row r="13" spans="1:30" ht="30" customHeight="1" x14ac:dyDescent="0.3">
      <c r="A13" s="528"/>
      <c r="B13" s="529"/>
      <c r="C13" s="531" t="s">
        <v>374</v>
      </c>
      <c r="D13" s="531" t="s">
        <v>1134</v>
      </c>
      <c r="E13" s="532" t="s">
        <v>1135</v>
      </c>
      <c r="F13" s="533" t="s">
        <v>1136</v>
      </c>
      <c r="G13" s="549"/>
      <c r="H13" s="550"/>
      <c r="I13" s="550">
        <f t="shared" ref="I13:O13" si="0">I11/I10</f>
        <v>53.938830143971373</v>
      </c>
      <c r="J13" s="1617">
        <f t="shared" si="0"/>
        <v>55.852543668985717</v>
      </c>
      <c r="K13" s="603">
        <f t="shared" si="0"/>
        <v>52.587021475367607</v>
      </c>
      <c r="L13" s="603">
        <f t="shared" si="0"/>
        <v>55.48121616638845</v>
      </c>
      <c r="M13" s="603">
        <f t="shared" si="0"/>
        <v>55.308748321479726</v>
      </c>
      <c r="N13" s="603">
        <f t="shared" si="0"/>
        <v>54.137176473005255</v>
      </c>
      <c r="O13" s="603">
        <f t="shared" si="0"/>
        <v>51.155942550497542</v>
      </c>
      <c r="P13" s="550"/>
      <c r="Q13" s="550"/>
      <c r="R13" s="550"/>
      <c r="S13" s="550"/>
      <c r="T13" s="550"/>
      <c r="U13" s="542"/>
      <c r="V13" s="550"/>
      <c r="W13" s="542"/>
      <c r="X13" s="550"/>
      <c r="Y13" s="542"/>
      <c r="Z13" s="550"/>
      <c r="AA13" s="528"/>
      <c r="AB13" s="528"/>
      <c r="AC13" s="528"/>
      <c r="AD13" s="528"/>
    </row>
    <row r="14" spans="1:30" ht="30" customHeight="1" x14ac:dyDescent="0.3">
      <c r="A14" s="528"/>
      <c r="B14" s="529"/>
      <c r="C14" s="453" t="s">
        <v>374</v>
      </c>
      <c r="D14" s="453" t="s">
        <v>634</v>
      </c>
      <c r="E14" s="543" t="s">
        <v>653</v>
      </c>
      <c r="F14" s="506" t="s">
        <v>1133</v>
      </c>
      <c r="G14" s="496"/>
      <c r="H14" s="544"/>
      <c r="I14" s="1611">
        <f>(J13*I10)*G27</f>
        <v>3367498.5791638037</v>
      </c>
      <c r="J14" s="545"/>
      <c r="K14" s="544"/>
      <c r="L14" s="544"/>
      <c r="M14" s="544"/>
      <c r="N14" s="544"/>
      <c r="O14" s="544"/>
      <c r="P14" s="544"/>
      <c r="Q14" s="544"/>
      <c r="R14" s="544"/>
      <c r="S14" s="544"/>
      <c r="T14" s="544"/>
      <c r="U14" s="548"/>
      <c r="V14" s="544"/>
      <c r="W14" s="548"/>
      <c r="X14" s="544"/>
      <c r="Y14" s="548"/>
      <c r="Z14" s="544"/>
      <c r="AA14" s="528"/>
      <c r="AB14" s="528"/>
      <c r="AC14" s="528"/>
      <c r="AD14" s="528"/>
    </row>
    <row r="15" spans="1:30" ht="30" customHeight="1" x14ac:dyDescent="0.3">
      <c r="A15" s="528"/>
      <c r="B15" s="529"/>
      <c r="C15" s="453"/>
      <c r="D15" s="453" t="s">
        <v>1137</v>
      </c>
      <c r="E15" s="543" t="s">
        <v>353</v>
      </c>
      <c r="F15" s="506" t="s">
        <v>1138</v>
      </c>
      <c r="G15" s="496"/>
      <c r="H15" s="544"/>
      <c r="I15" s="1611">
        <f>I17-G25</f>
        <v>2759743</v>
      </c>
      <c r="J15" s="545"/>
      <c r="K15" s="544"/>
      <c r="L15" s="544"/>
      <c r="M15" s="544"/>
      <c r="N15" s="544"/>
      <c r="O15" s="544"/>
      <c r="P15" s="544"/>
      <c r="Q15" s="544"/>
      <c r="R15" s="544"/>
      <c r="S15" s="544"/>
      <c r="T15" s="544"/>
      <c r="U15" s="548"/>
      <c r="V15" s="544"/>
      <c r="W15" s="548"/>
      <c r="X15" s="544"/>
      <c r="Y15" s="548"/>
      <c r="Z15" s="544"/>
      <c r="AA15" s="528"/>
      <c r="AB15" s="528"/>
      <c r="AC15" s="528"/>
      <c r="AD15" s="528"/>
    </row>
    <row r="16" spans="1:30" ht="24" customHeight="1" x14ac:dyDescent="0.3">
      <c r="A16" s="528"/>
      <c r="B16" s="529"/>
      <c r="C16" s="531" t="s">
        <v>348</v>
      </c>
      <c r="D16" s="531" t="s">
        <v>352</v>
      </c>
      <c r="E16" s="532" t="s">
        <v>353</v>
      </c>
      <c r="F16" s="533" t="s">
        <v>1132</v>
      </c>
      <c r="G16" s="549"/>
      <c r="H16" s="550"/>
      <c r="I16" s="550">
        <v>19653600</v>
      </c>
      <c r="J16" s="550">
        <v>17932800</v>
      </c>
      <c r="K16" s="550">
        <v>19504800</v>
      </c>
      <c r="L16" s="550"/>
      <c r="M16" s="550"/>
      <c r="N16" s="550"/>
      <c r="O16" s="550"/>
      <c r="P16" s="550"/>
      <c r="Q16" s="550"/>
      <c r="R16" s="550"/>
      <c r="S16" s="550"/>
      <c r="T16" s="550"/>
      <c r="U16" s="542"/>
      <c r="V16" s="550"/>
      <c r="W16" s="542"/>
      <c r="X16" s="550"/>
      <c r="Y16" s="542"/>
      <c r="Z16" s="550"/>
      <c r="AA16" s="528"/>
      <c r="AB16" s="528"/>
      <c r="AC16" s="528"/>
      <c r="AD16" s="528"/>
    </row>
    <row r="17" spans="1:30" ht="35.4" customHeight="1" x14ac:dyDescent="0.3">
      <c r="A17" s="528"/>
      <c r="B17" s="529"/>
      <c r="C17" s="453"/>
      <c r="D17" s="453" t="s">
        <v>352</v>
      </c>
      <c r="E17" s="543" t="s">
        <v>353</v>
      </c>
      <c r="F17" s="506" t="s">
        <v>1138</v>
      </c>
      <c r="G17" s="496"/>
      <c r="H17" s="544"/>
      <c r="I17" s="545">
        <f>I16*$I$36</f>
        <v>3537648</v>
      </c>
      <c r="J17" s="544">
        <f t="shared" ref="J17:K17" si="1">J16*$I$36</f>
        <v>3227904</v>
      </c>
      <c r="K17" s="544">
        <f t="shared" si="1"/>
        <v>3510864</v>
      </c>
      <c r="L17" s="544"/>
      <c r="M17" s="544"/>
      <c r="N17" s="544"/>
      <c r="O17" s="544"/>
      <c r="P17" s="544"/>
      <c r="Q17" s="544"/>
      <c r="R17" s="544"/>
      <c r="S17" s="544"/>
      <c r="T17" s="544"/>
      <c r="U17" s="548"/>
      <c r="V17" s="544"/>
      <c r="W17" s="548"/>
      <c r="X17" s="544"/>
      <c r="Y17" s="548"/>
      <c r="Z17" s="544"/>
      <c r="AA17" s="528"/>
      <c r="AB17" s="528"/>
      <c r="AC17" s="528"/>
      <c r="AD17" s="528"/>
    </row>
    <row r="18" spans="1:30" ht="24" customHeight="1" x14ac:dyDescent="0.3">
      <c r="A18" s="528"/>
      <c r="B18" s="529"/>
      <c r="C18" s="531"/>
      <c r="D18" s="531"/>
      <c r="E18" s="532"/>
      <c r="F18" s="533"/>
      <c r="G18" s="551"/>
      <c r="H18" s="550"/>
      <c r="I18" s="550"/>
      <c r="J18" s="550"/>
      <c r="K18" s="550"/>
      <c r="L18" s="550"/>
      <c r="M18" s="550"/>
      <c r="N18" s="550"/>
      <c r="O18" s="550"/>
      <c r="P18" s="550"/>
      <c r="Q18" s="550"/>
      <c r="R18" s="550"/>
      <c r="S18" s="550"/>
      <c r="T18" s="550"/>
      <c r="U18" s="542"/>
      <c r="V18" s="550"/>
      <c r="W18" s="542"/>
      <c r="X18" s="550"/>
      <c r="Y18" s="542"/>
      <c r="Z18" s="550"/>
      <c r="AA18" s="528"/>
      <c r="AB18" s="528"/>
      <c r="AC18" s="528"/>
      <c r="AD18" s="528"/>
    </row>
    <row r="19" spans="1:30" ht="24" customHeight="1" x14ac:dyDescent="0.3">
      <c r="A19" s="528"/>
      <c r="B19" s="552"/>
      <c r="C19" s="462"/>
      <c r="D19" s="462"/>
      <c r="E19" s="553"/>
      <c r="F19" s="554"/>
      <c r="G19" s="555"/>
      <c r="H19" s="556"/>
      <c r="I19" s="556"/>
      <c r="J19" s="556"/>
      <c r="K19" s="556"/>
      <c r="L19" s="556"/>
      <c r="M19" s="556"/>
      <c r="N19" s="556"/>
      <c r="O19" s="556"/>
      <c r="P19" s="556"/>
      <c r="Q19" s="556"/>
      <c r="R19" s="556"/>
      <c r="S19" s="556"/>
      <c r="T19" s="556"/>
      <c r="U19" s="557"/>
      <c r="V19" s="556"/>
      <c r="W19" s="557"/>
      <c r="X19" s="556"/>
      <c r="Y19" s="557"/>
      <c r="Z19" s="556"/>
      <c r="AA19" s="528"/>
      <c r="AB19" s="528"/>
      <c r="AC19" s="528"/>
      <c r="AD19" s="528"/>
    </row>
    <row r="20" spans="1:30" ht="15.75" customHeight="1" x14ac:dyDescent="0.3">
      <c r="A20" s="528"/>
      <c r="B20" s="558"/>
      <c r="C20" s="528"/>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560" t="s">
        <v>355</v>
      </c>
      <c r="C21" s="561" t="s">
        <v>356</v>
      </c>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558"/>
      <c r="C22" s="528"/>
      <c r="D22" s="528"/>
      <c r="E22" s="528"/>
      <c r="F22" s="528"/>
      <c r="G22" s="479"/>
      <c r="H22" s="479"/>
      <c r="I22" s="479"/>
      <c r="J22" s="479"/>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4383" t="s">
        <v>357</v>
      </c>
      <c r="C23" s="4384"/>
      <c r="D23" s="528"/>
      <c r="E23" s="528"/>
      <c r="F23" s="528"/>
      <c r="G23" s="479"/>
      <c r="H23" s="479"/>
      <c r="I23" s="1118"/>
      <c r="J23" s="479"/>
      <c r="K23" s="1118"/>
      <c r="L23" s="479"/>
      <c r="M23" s="559"/>
      <c r="N23" s="559"/>
      <c r="O23" s="559"/>
      <c r="P23" s="559"/>
      <c r="Q23" s="559"/>
      <c r="R23" s="559"/>
      <c r="S23" s="559"/>
      <c r="T23" s="559"/>
      <c r="U23" s="559"/>
      <c r="V23" s="559"/>
      <c r="W23" s="559"/>
      <c r="X23" s="559"/>
      <c r="Y23" s="559"/>
      <c r="Z23" s="559"/>
      <c r="AA23" s="528"/>
      <c r="AB23" s="528"/>
      <c r="AC23" s="528"/>
      <c r="AD23" s="528"/>
    </row>
    <row r="24" spans="1:30" ht="19.8" customHeight="1" x14ac:dyDescent="0.3">
      <c r="A24" s="528"/>
      <c r="B24" s="562" t="s">
        <v>365</v>
      </c>
      <c r="C24" s="528" t="s">
        <v>1139</v>
      </c>
      <c r="E24" s="606"/>
      <c r="F24" s="528"/>
      <c r="G24" s="479"/>
      <c r="H24" s="479"/>
      <c r="I24" s="1118"/>
      <c r="J24" s="479"/>
      <c r="K24" s="479"/>
      <c r="L24" s="479"/>
      <c r="M24" s="559"/>
      <c r="N24" s="559"/>
      <c r="O24" s="559"/>
      <c r="P24" s="559"/>
      <c r="Q24" s="559"/>
      <c r="R24" s="559"/>
      <c r="S24" s="559"/>
      <c r="T24" s="559"/>
      <c r="U24" s="559"/>
      <c r="V24" s="559"/>
      <c r="W24" s="559"/>
      <c r="X24" s="559"/>
      <c r="Y24" s="559"/>
      <c r="Z24" s="559"/>
      <c r="AA24" s="528"/>
      <c r="AB24" s="528"/>
      <c r="AC24" s="528"/>
      <c r="AD24" s="528"/>
    </row>
    <row r="25" spans="1:30" ht="22.8" customHeight="1" x14ac:dyDescent="0.3">
      <c r="A25" s="528"/>
      <c r="B25" s="1705" t="s">
        <v>365</v>
      </c>
      <c r="C25" s="528" t="s">
        <v>1140</v>
      </c>
      <c r="E25" s="606"/>
      <c r="F25" s="528"/>
      <c r="G25" s="1706">
        <v>777905</v>
      </c>
      <c r="H25" s="479"/>
      <c r="I25" s="1707" t="s">
        <v>1141</v>
      </c>
      <c r="J25" s="479"/>
      <c r="M25" s="1708">
        <v>1.3224385000000001</v>
      </c>
      <c r="N25" s="1707" t="s">
        <v>1142</v>
      </c>
      <c r="O25" s="559" t="s">
        <v>1143</v>
      </c>
      <c r="P25" s="1709" t="s">
        <v>1144</v>
      </c>
      <c r="Q25" s="559"/>
      <c r="R25" s="559"/>
      <c r="T25" s="559"/>
      <c r="U25" s="559"/>
      <c r="V25" s="559"/>
      <c r="W25" s="559"/>
      <c r="X25" s="559"/>
      <c r="Y25" s="559"/>
      <c r="Z25" s="559"/>
      <c r="AA25" s="528"/>
      <c r="AB25" s="528"/>
      <c r="AC25" s="528"/>
      <c r="AD25" s="528"/>
    </row>
    <row r="26" spans="1:30" ht="15.75" customHeight="1" x14ac:dyDescent="0.3">
      <c r="A26" s="528"/>
      <c r="B26" s="562"/>
      <c r="C26" s="1710" t="s">
        <v>1146</v>
      </c>
      <c r="D26" s="1711"/>
      <c r="E26" s="1712"/>
      <c r="F26" s="528"/>
      <c r="G26" s="479"/>
      <c r="H26" s="479"/>
      <c r="I26" s="1713"/>
      <c r="J26" s="479"/>
      <c r="K26" s="479"/>
      <c r="L26" s="479"/>
      <c r="M26" s="559"/>
      <c r="N26" s="559"/>
      <c r="O26" s="559"/>
      <c r="P26" s="559" t="s">
        <v>1145</v>
      </c>
      <c r="Q26" s="559"/>
      <c r="R26" s="559"/>
      <c r="S26" s="559"/>
      <c r="T26" s="559"/>
      <c r="U26" s="559"/>
      <c r="V26" s="559"/>
      <c r="W26" s="559"/>
      <c r="X26" s="559"/>
      <c r="Y26" s="559"/>
      <c r="Z26" s="559"/>
      <c r="AA26" s="528"/>
      <c r="AB26" s="528"/>
      <c r="AC26" s="528"/>
      <c r="AD26" s="528"/>
    </row>
    <row r="27" spans="1:30" ht="15.75" customHeight="1" x14ac:dyDescent="0.3">
      <c r="A27" s="528"/>
      <c r="B27" s="562"/>
      <c r="C27" s="1714" t="s">
        <v>1147</v>
      </c>
      <c r="D27" s="1715" t="s">
        <v>1148</v>
      </c>
      <c r="E27" s="1716">
        <v>0.246</v>
      </c>
      <c r="F27" s="528" t="s">
        <v>1149</v>
      </c>
      <c r="G27" s="1717">
        <f>E27+E28</f>
        <v>0.61499999999999999</v>
      </c>
      <c r="H27" s="479"/>
      <c r="I27" s="1118" t="s">
        <v>1150</v>
      </c>
      <c r="J27" s="479"/>
      <c r="K27" s="479"/>
      <c r="L27" s="479"/>
      <c r="M27" s="559"/>
      <c r="N27" s="559"/>
      <c r="O27" s="559"/>
      <c r="P27" s="559"/>
      <c r="Q27" s="559"/>
      <c r="R27" s="559"/>
      <c r="S27" s="559"/>
      <c r="T27" s="559"/>
      <c r="U27" s="559"/>
      <c r="V27" s="559"/>
      <c r="W27" s="559"/>
      <c r="X27" s="559"/>
      <c r="Y27" s="559"/>
      <c r="Z27" s="559"/>
      <c r="AA27" s="528"/>
      <c r="AB27" s="528"/>
      <c r="AC27" s="528"/>
      <c r="AD27" s="528"/>
    </row>
    <row r="28" spans="1:30" ht="15.75" customHeight="1" x14ac:dyDescent="0.3">
      <c r="A28" s="528"/>
      <c r="B28" s="562"/>
      <c r="C28" s="1714"/>
      <c r="D28" s="1715" t="s">
        <v>1151</v>
      </c>
      <c r="E28" s="1716">
        <v>0.36899999999999999</v>
      </c>
      <c r="F28" s="528"/>
      <c r="G28" s="479"/>
      <c r="H28" s="479"/>
      <c r="I28" s="1118"/>
      <c r="J28" s="479"/>
      <c r="K28" s="479"/>
      <c r="L28" s="479"/>
      <c r="M28" s="559"/>
      <c r="N28" s="559"/>
      <c r="O28" s="559"/>
      <c r="P28" s="559"/>
      <c r="Q28" s="559"/>
      <c r="R28" s="559"/>
      <c r="S28" s="559"/>
      <c r="T28" s="559"/>
      <c r="U28" s="559"/>
      <c r="V28" s="559"/>
      <c r="W28" s="559"/>
      <c r="X28" s="559"/>
      <c r="Y28" s="559"/>
      <c r="Z28" s="559"/>
      <c r="AA28" s="528"/>
      <c r="AB28" s="528"/>
      <c r="AC28" s="528"/>
      <c r="AD28" s="528"/>
    </row>
    <row r="29" spans="1:30" ht="15.75" customHeight="1" x14ac:dyDescent="0.3">
      <c r="A29" s="528"/>
      <c r="B29" s="562"/>
      <c r="C29" s="1714"/>
      <c r="D29" s="1718" t="s">
        <v>1152</v>
      </c>
      <c r="E29" s="1719">
        <v>3.2000000000000001E-2</v>
      </c>
      <c r="F29" s="528"/>
      <c r="G29" s="479"/>
      <c r="H29" s="479"/>
      <c r="I29" s="1117"/>
      <c r="J29" s="479"/>
      <c r="K29" s="479"/>
      <c r="L29" s="479"/>
      <c r="M29" s="559"/>
      <c r="N29" s="559"/>
      <c r="O29" s="559"/>
      <c r="P29" s="559"/>
      <c r="Q29" s="559"/>
      <c r="R29" s="559"/>
      <c r="S29" s="559"/>
      <c r="T29" s="559"/>
      <c r="U29" s="559"/>
      <c r="V29" s="559"/>
      <c r="W29" s="559"/>
      <c r="X29" s="559"/>
      <c r="Y29" s="559"/>
      <c r="Z29" s="559"/>
      <c r="AA29" s="528"/>
      <c r="AB29" s="528"/>
      <c r="AC29" s="528"/>
      <c r="AD29" s="528"/>
    </row>
    <row r="30" spans="1:30" ht="15.75" customHeight="1" x14ac:dyDescent="0.3">
      <c r="A30" s="528"/>
      <c r="B30" s="562"/>
      <c r="C30" s="1714"/>
      <c r="D30" s="1714" t="s">
        <v>1153</v>
      </c>
      <c r="E30" s="1719">
        <v>0.28799999999999998</v>
      </c>
      <c r="F30" s="528"/>
      <c r="G30" s="479"/>
      <c r="H30" s="479"/>
      <c r="I30" s="479"/>
      <c r="J30" s="479"/>
      <c r="K30" s="479"/>
      <c r="L30" s="479"/>
      <c r="M30" s="559"/>
      <c r="N30" s="559"/>
      <c r="O30" s="559"/>
      <c r="P30" s="559"/>
      <c r="Q30" s="559"/>
      <c r="R30" s="559"/>
      <c r="S30" s="559"/>
      <c r="T30" s="559"/>
      <c r="U30" s="559"/>
      <c r="V30" s="559"/>
      <c r="W30" s="559"/>
      <c r="X30" s="559"/>
      <c r="Y30" s="559"/>
      <c r="Z30" s="559"/>
      <c r="AA30" s="528"/>
      <c r="AB30" s="528"/>
      <c r="AC30" s="528"/>
      <c r="AD30" s="528"/>
    </row>
    <row r="31" spans="1:30" ht="15.75" customHeight="1" x14ac:dyDescent="0.3">
      <c r="C31" s="1714"/>
      <c r="D31" s="1718" t="s">
        <v>1154</v>
      </c>
      <c r="E31" s="1720">
        <v>6.5000000000000002E-2</v>
      </c>
    </row>
    <row r="32" spans="1:30" ht="15.75" customHeight="1" x14ac:dyDescent="0.3">
      <c r="C32" s="1714"/>
      <c r="D32" s="1718"/>
      <c r="E32" s="1720">
        <f>SUM(E27:E31)</f>
        <v>1</v>
      </c>
    </row>
    <row r="33" spans="2:9" ht="15.75" customHeight="1" x14ac:dyDescent="0.3">
      <c r="C33" s="1721" t="s">
        <v>1155</v>
      </c>
      <c r="D33" s="428" t="s">
        <v>1156</v>
      </c>
      <c r="E33" s="1722"/>
    </row>
    <row r="34" spans="2:9" ht="15.75" customHeight="1" x14ac:dyDescent="0.3">
      <c r="C34" s="1721"/>
      <c r="E34" s="1722"/>
    </row>
    <row r="35" spans="2:9" ht="15.75" customHeight="1" x14ac:dyDescent="0.3">
      <c r="C35" s="1710" t="s">
        <v>1146</v>
      </c>
      <c r="D35" s="1711"/>
      <c r="E35" s="1712"/>
    </row>
    <row r="36" spans="2:9" ht="15.75" customHeight="1" x14ac:dyDescent="0.3">
      <c r="C36" s="1714" t="s">
        <v>1157</v>
      </c>
      <c r="D36" s="1715" t="s">
        <v>1158</v>
      </c>
      <c r="E36" s="1716">
        <v>0.05</v>
      </c>
      <c r="F36" s="428" t="s">
        <v>1159</v>
      </c>
      <c r="I36" s="1723">
        <f>E36+E37+E38</f>
        <v>0.18</v>
      </c>
    </row>
    <row r="37" spans="2:9" ht="15.75" customHeight="1" x14ac:dyDescent="0.3">
      <c r="C37" s="1714"/>
      <c r="D37" s="1715" t="s">
        <v>1160</v>
      </c>
      <c r="E37" s="1716">
        <v>0.06</v>
      </c>
    </row>
    <row r="38" spans="2:9" ht="15.75" customHeight="1" x14ac:dyDescent="0.3">
      <c r="C38" s="1714"/>
      <c r="D38" s="1715" t="s">
        <v>1161</v>
      </c>
      <c r="E38" s="1716">
        <v>7.0000000000000007E-2</v>
      </c>
    </row>
    <row r="39" spans="2:9" ht="15.75" customHeight="1" x14ac:dyDescent="0.3">
      <c r="C39" s="1714"/>
      <c r="D39" s="1714" t="s">
        <v>1162</v>
      </c>
      <c r="E39" s="1719">
        <v>0.35</v>
      </c>
    </row>
    <row r="40" spans="2:9" ht="15.75" customHeight="1" x14ac:dyDescent="0.3">
      <c r="C40" s="1714"/>
      <c r="D40" s="1718" t="s">
        <v>1163</v>
      </c>
      <c r="E40" s="1720">
        <v>0.08</v>
      </c>
    </row>
    <row r="41" spans="2:9" ht="15.75" customHeight="1" x14ac:dyDescent="0.3">
      <c r="C41" s="1714"/>
      <c r="D41" s="1718" t="s">
        <v>1164</v>
      </c>
      <c r="E41" s="1720">
        <v>0.39</v>
      </c>
    </row>
    <row r="42" spans="2:9" ht="15.75" customHeight="1" x14ac:dyDescent="0.3">
      <c r="C42" s="1714"/>
      <c r="D42" s="1718"/>
      <c r="E42" s="1720">
        <f>SUM(E36:E41)</f>
        <v>1</v>
      </c>
    </row>
    <row r="43" spans="2:9" ht="15.75" customHeight="1" x14ac:dyDescent="0.3">
      <c r="C43" s="1721" t="s">
        <v>1155</v>
      </c>
      <c r="D43" s="428" t="s">
        <v>1165</v>
      </c>
      <c r="E43" s="1722"/>
    </row>
    <row r="44" spans="2:9" ht="15.75" customHeight="1" x14ac:dyDescent="0.3"/>
    <row r="45" spans="2:9" ht="21" customHeight="1" x14ac:dyDescent="0.3">
      <c r="B45" s="519" t="s">
        <v>409</v>
      </c>
    </row>
    <row r="46" spans="2:9" ht="9" customHeight="1" x14ac:dyDescent="0.3">
      <c r="B46" s="519"/>
    </row>
    <row r="47" spans="2:9" ht="21" customHeight="1" x14ac:dyDescent="0.3">
      <c r="B47" s="517" t="s">
        <v>410</v>
      </c>
      <c r="C47" s="518"/>
      <c r="D47" s="518"/>
    </row>
    <row r="48" spans="2:9" ht="12" customHeight="1" x14ac:dyDescent="0.3"/>
    <row r="49" spans="2:26" ht="15.75" customHeight="1" x14ac:dyDescent="0.3">
      <c r="B49" s="521" t="s">
        <v>301</v>
      </c>
      <c r="C49" s="522" t="s">
        <v>343</v>
      </c>
      <c r="D49" s="523" t="s">
        <v>344</v>
      </c>
      <c r="E49" s="523" t="s">
        <v>345</v>
      </c>
      <c r="F49" s="523" t="s">
        <v>346</v>
      </c>
      <c r="G49" s="524" t="s">
        <v>347</v>
      </c>
      <c r="H49" s="525">
        <v>2025</v>
      </c>
      <c r="I49" s="1724">
        <v>2024</v>
      </c>
      <c r="J49" s="1725">
        <v>2023</v>
      </c>
      <c r="K49" s="525">
        <v>2022</v>
      </c>
      <c r="L49" s="525">
        <v>2021</v>
      </c>
      <c r="M49" s="525">
        <v>2020</v>
      </c>
      <c r="N49" s="525">
        <v>2019</v>
      </c>
      <c r="O49" s="526">
        <v>2018</v>
      </c>
      <c r="P49" s="526">
        <v>2017</v>
      </c>
      <c r="Q49" s="526">
        <v>2016</v>
      </c>
      <c r="R49" s="526">
        <v>2015</v>
      </c>
      <c r="S49" s="526">
        <v>2014</v>
      </c>
      <c r="T49" s="526">
        <v>2013</v>
      </c>
      <c r="U49" s="526">
        <v>2012</v>
      </c>
      <c r="V49" s="526">
        <v>2011</v>
      </c>
      <c r="W49" s="526">
        <v>2010</v>
      </c>
      <c r="X49" s="526">
        <v>2009</v>
      </c>
      <c r="Y49" s="526">
        <v>2008</v>
      </c>
      <c r="Z49" s="527" t="s">
        <v>332</v>
      </c>
    </row>
    <row r="50" spans="2:26" ht="24" customHeight="1" x14ac:dyDescent="0.3">
      <c r="B50" s="529">
        <v>1</v>
      </c>
      <c r="C50" s="530" t="s">
        <v>1166</v>
      </c>
      <c r="D50" s="531" t="s">
        <v>1167</v>
      </c>
      <c r="E50" s="532" t="s">
        <v>363</v>
      </c>
      <c r="F50" s="531" t="s">
        <v>1168</v>
      </c>
      <c r="G50" s="534">
        <v>2011</v>
      </c>
      <c r="H50" s="1726"/>
      <c r="I50" s="1727">
        <f>SUM(I51,I53:I56)</f>
        <v>21630.227322536852</v>
      </c>
      <c r="J50" s="1728">
        <v>33757.927000000003</v>
      </c>
      <c r="K50" s="1729">
        <v>36185.480000000003</v>
      </c>
      <c r="L50" s="597">
        <v>33072.17</v>
      </c>
      <c r="M50" s="597">
        <v>31685.58</v>
      </c>
      <c r="N50" s="597">
        <v>32187.68</v>
      </c>
      <c r="O50" s="597">
        <v>32571.96</v>
      </c>
      <c r="P50" s="597">
        <v>32720.81</v>
      </c>
      <c r="Q50" s="597">
        <v>34051.599999999999</v>
      </c>
      <c r="R50" s="597">
        <v>27848.15</v>
      </c>
      <c r="S50" s="597">
        <v>22196.92</v>
      </c>
      <c r="T50" s="597">
        <v>21783.38</v>
      </c>
      <c r="U50" s="598">
        <v>22544.66</v>
      </c>
      <c r="V50" s="597">
        <v>21836.91</v>
      </c>
      <c r="W50" s="598">
        <v>24111.24</v>
      </c>
      <c r="X50" s="597">
        <v>19173.27</v>
      </c>
      <c r="Y50" s="542"/>
      <c r="Z50" s="535"/>
    </row>
    <row r="51" spans="2:26" ht="24" customHeight="1" x14ac:dyDescent="0.3">
      <c r="B51" s="529"/>
      <c r="C51" s="453"/>
      <c r="D51" s="453"/>
      <c r="E51" s="543"/>
      <c r="F51" s="453" t="s">
        <v>1169</v>
      </c>
      <c r="G51" s="1102"/>
      <c r="H51" s="1730"/>
      <c r="I51" s="1731">
        <v>7561.2929999999997</v>
      </c>
      <c r="J51" s="1732"/>
      <c r="K51" s="1733"/>
      <c r="L51" s="599"/>
      <c r="M51" s="599"/>
      <c r="N51" s="599"/>
      <c r="O51" s="599"/>
      <c r="P51" s="599"/>
      <c r="Q51" s="599"/>
      <c r="R51" s="599"/>
      <c r="S51" s="599"/>
      <c r="T51" s="599"/>
      <c r="U51" s="600"/>
      <c r="V51" s="599"/>
      <c r="W51" s="600"/>
      <c r="X51" s="599"/>
      <c r="Y51" s="548"/>
      <c r="Z51" s="544">
        <f>I51*$Z$58</f>
        <v>6134.1525659105419</v>
      </c>
    </row>
    <row r="52" spans="2:26" ht="24" customHeight="1" x14ac:dyDescent="0.3">
      <c r="B52" s="529"/>
      <c r="C52" s="531"/>
      <c r="D52" s="531"/>
      <c r="E52" s="532"/>
      <c r="F52" s="531" t="s">
        <v>1170</v>
      </c>
      <c r="G52" s="534"/>
      <c r="H52" s="1734"/>
      <c r="I52" s="1735">
        <v>19092.3</v>
      </c>
      <c r="J52" s="1736"/>
      <c r="K52" s="1322"/>
      <c r="L52" s="603"/>
      <c r="M52" s="603"/>
      <c r="N52" s="603"/>
      <c r="O52" s="603"/>
      <c r="P52" s="603"/>
      <c r="Q52" s="603"/>
      <c r="R52" s="603"/>
      <c r="S52" s="603"/>
      <c r="T52" s="603"/>
      <c r="U52" s="598"/>
      <c r="V52" s="603"/>
      <c r="W52" s="598"/>
      <c r="X52" s="603"/>
      <c r="Y52" s="542"/>
      <c r="Z52" s="1110">
        <f t="shared" ref="Z52:Z56" si="2">I52*$Z$58</f>
        <v>15488.763764892306</v>
      </c>
    </row>
    <row r="53" spans="2:26" ht="24" customHeight="1" x14ac:dyDescent="0.3">
      <c r="B53" s="529"/>
      <c r="C53" s="1737"/>
      <c r="D53" s="1737"/>
      <c r="E53" s="1738"/>
      <c r="F53" s="1737" t="s">
        <v>1171</v>
      </c>
      <c r="G53" s="1739"/>
      <c r="H53" s="1740"/>
      <c r="I53" s="1741">
        <f>5000/Z58</f>
        <v>6163.274322536854</v>
      </c>
      <c r="J53" s="1742"/>
      <c r="K53" s="1743"/>
      <c r="L53" s="1744"/>
      <c r="M53" s="1744"/>
      <c r="N53" s="1744"/>
      <c r="O53" s="1744"/>
      <c r="P53" s="1744"/>
      <c r="Q53" s="1744"/>
      <c r="R53" s="1744"/>
      <c r="S53" s="1744"/>
      <c r="T53" s="1744"/>
      <c r="U53" s="1745"/>
      <c r="V53" s="1744"/>
      <c r="W53" s="1745"/>
      <c r="X53" s="1744"/>
      <c r="Y53" s="1746"/>
      <c r="Z53" s="1747">
        <f t="shared" si="2"/>
        <v>5000</v>
      </c>
    </row>
    <row r="54" spans="2:26" ht="24" customHeight="1" x14ac:dyDescent="0.3">
      <c r="B54" s="529"/>
      <c r="C54" s="453"/>
      <c r="D54" s="453"/>
      <c r="E54" s="543"/>
      <c r="F54" s="453" t="s">
        <v>1172</v>
      </c>
      <c r="G54" s="1102"/>
      <c r="H54" s="1730"/>
      <c r="I54" s="1748">
        <v>3814.9859999999999</v>
      </c>
      <c r="J54" s="1749"/>
      <c r="K54" s="1733"/>
      <c r="L54" s="599"/>
      <c r="M54" s="599"/>
      <c r="N54" s="599"/>
      <c r="O54" s="599"/>
      <c r="P54" s="599"/>
      <c r="Q54" s="599"/>
      <c r="R54" s="599"/>
      <c r="S54" s="599"/>
      <c r="T54" s="599"/>
      <c r="U54" s="600"/>
      <c r="V54" s="599"/>
      <c r="W54" s="600"/>
      <c r="X54" s="599"/>
      <c r="Y54" s="548"/>
      <c r="Z54" s="544">
        <f t="shared" si="2"/>
        <v>3094.9344458431638</v>
      </c>
    </row>
    <row r="55" spans="2:26" ht="24" customHeight="1" x14ac:dyDescent="0.3">
      <c r="B55" s="529"/>
      <c r="C55" s="531"/>
      <c r="D55" s="531"/>
      <c r="E55" s="532"/>
      <c r="F55" s="531" t="s">
        <v>1173</v>
      </c>
      <c r="G55" s="534"/>
      <c r="H55" s="1734"/>
      <c r="I55" s="1750">
        <v>2112.6390000000001</v>
      </c>
      <c r="J55" s="1736"/>
      <c r="K55" s="1322"/>
      <c r="L55" s="603"/>
      <c r="M55" s="603"/>
      <c r="N55" s="603"/>
      <c r="O55" s="603"/>
      <c r="P55" s="603"/>
      <c r="Q55" s="603"/>
      <c r="R55" s="603"/>
      <c r="S55" s="603"/>
      <c r="T55" s="603"/>
      <c r="U55" s="598"/>
      <c r="V55" s="603"/>
      <c r="W55" s="598"/>
      <c r="X55" s="603"/>
      <c r="Y55" s="542"/>
      <c r="Z55" s="1110">
        <f t="shared" si="2"/>
        <v>1713.8933701805606</v>
      </c>
    </row>
    <row r="56" spans="2:26" ht="24" customHeight="1" x14ac:dyDescent="0.3">
      <c r="B56" s="529"/>
      <c r="C56" s="453"/>
      <c r="D56" s="453"/>
      <c r="E56" s="543"/>
      <c r="F56" s="453" t="s">
        <v>1174</v>
      </c>
      <c r="G56" s="479"/>
      <c r="H56" s="638"/>
      <c r="I56" s="1751">
        <v>1978.0350000000001</v>
      </c>
      <c r="J56" s="1752"/>
      <c r="K56" s="544"/>
      <c r="L56" s="544"/>
      <c r="M56" s="544"/>
      <c r="N56" s="544"/>
      <c r="O56" s="544"/>
      <c r="P56" s="544"/>
      <c r="Q56" s="544"/>
      <c r="R56" s="544"/>
      <c r="S56" s="544"/>
      <c r="T56" s="544"/>
      <c r="U56" s="548"/>
      <c r="V56" s="544"/>
      <c r="W56" s="548"/>
      <c r="X56" s="544"/>
      <c r="Y56" s="548"/>
      <c r="Z56" s="544">
        <f t="shared" si="2"/>
        <v>1604.6949206585248</v>
      </c>
    </row>
    <row r="57" spans="2:26" ht="24" customHeight="1" x14ac:dyDescent="0.3">
      <c r="B57" s="529"/>
      <c r="C57" s="531"/>
      <c r="D57" s="531"/>
      <c r="E57" s="532"/>
      <c r="F57" s="531"/>
      <c r="G57" s="639"/>
      <c r="H57" s="640"/>
      <c r="I57" s="640"/>
      <c r="J57" s="550"/>
      <c r="K57" s="550"/>
      <c r="L57" s="550"/>
      <c r="M57" s="550"/>
      <c r="N57" s="550"/>
      <c r="O57" s="550"/>
      <c r="P57" s="550"/>
      <c r="Q57" s="550"/>
      <c r="R57" s="550"/>
      <c r="S57" s="550"/>
      <c r="T57" s="550"/>
      <c r="U57" s="542"/>
      <c r="V57" s="550"/>
      <c r="W57" s="542"/>
      <c r="X57" s="550"/>
      <c r="Y57" s="542"/>
      <c r="Z57" s="550"/>
    </row>
    <row r="58" spans="2:26" ht="24" customHeight="1" x14ac:dyDescent="0.3">
      <c r="B58" s="552"/>
      <c r="C58" s="462"/>
      <c r="D58" s="462"/>
      <c r="E58" s="553"/>
      <c r="F58" s="1753" t="s">
        <v>1175</v>
      </c>
      <c r="G58" s="555"/>
      <c r="H58" s="556"/>
      <c r="I58" s="1754">
        <f>ROUNDDOWN((I52-I53)*Z58,0)</f>
        <v>10488</v>
      </c>
      <c r="J58" s="556"/>
      <c r="K58" s="556"/>
      <c r="L58" s="556"/>
      <c r="M58" s="556"/>
      <c r="N58" s="556"/>
      <c r="O58" s="556"/>
      <c r="P58" s="556"/>
      <c r="Q58" s="556"/>
      <c r="R58" s="556"/>
      <c r="S58" s="556"/>
      <c r="T58" s="556"/>
      <c r="U58" s="557"/>
      <c r="V58" s="556"/>
      <c r="W58" s="557"/>
      <c r="X58" s="556"/>
      <c r="Y58" s="557"/>
      <c r="Z58" s="556">
        <f>'CF-0405|2024'!H18-'CF-0405|2024'!H28</f>
        <v>0.81125709133484736</v>
      </c>
    </row>
    <row r="59" spans="2:26" ht="15.75" customHeight="1" x14ac:dyDescent="0.3"/>
    <row r="60" spans="2:26" ht="15.75" customHeight="1" x14ac:dyDescent="0.3">
      <c r="B60" s="560" t="s">
        <v>355</v>
      </c>
      <c r="C60" s="561" t="s">
        <v>356</v>
      </c>
    </row>
    <row r="61" spans="2:26" ht="15.75" customHeight="1" x14ac:dyDescent="0.3"/>
    <row r="62" spans="2:26" ht="15.75" customHeight="1" x14ac:dyDescent="0.3">
      <c r="B62" s="4383" t="s">
        <v>357</v>
      </c>
      <c r="C62" s="4384"/>
    </row>
    <row r="63" spans="2:26" ht="15.75" customHeight="1" x14ac:dyDescent="0.3">
      <c r="B63" s="562" t="s">
        <v>365</v>
      </c>
      <c r="C63" s="428" t="s">
        <v>1176</v>
      </c>
    </row>
    <row r="64" spans="2:26" ht="15.75" customHeight="1" x14ac:dyDescent="0.3">
      <c r="B64" s="562"/>
    </row>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sheetData>
  <mergeCells count="2">
    <mergeCell ref="B23:C23"/>
    <mergeCell ref="B62:C62"/>
  </mergeCells>
  <hyperlinks>
    <hyperlink ref="C33" r:id="rId1" display="../../../../../../../:b:/s/quipe-Quantifs-QC/ETGpFy3QGpFFtrVASkJKSW4B5xyzhybbOLiSHX6RF-6SeQ?e=tZWHoG" xr:uid="{D3B76F28-45F2-4128-AF2A-A992D25FE74C}"/>
    <hyperlink ref="C43" r:id="rId2" display="../../../../../../../:b:/s/quipe-Quantifs-QC/ETGpFy3QGpFFtrVASkJKSW4B5xyzhybbOLiSHX6RF-6SeQ?e=tZWHoG" xr:uid="{4294B512-39C7-4A37-A478-D02C1D50AF9D}"/>
    <hyperlink ref="P25" r:id="rId3" display="../../../../../../../:b:/s/quipe-Quantifs-QC/ERphrg5HsQxJhWh1Qb25w6wBXNPjbXL7qzjd8fBlZSFa8Q?e=p34W2l" xr:uid="{C7B4D558-64DC-4733-A5DB-AA4422AE1504}"/>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4BAA5-352C-48B5-AF66-D0E3A397DC2D}">
  <dimension ref="A1:Z986"/>
  <sheetViews>
    <sheetView topLeftCell="A3" zoomScaleNormal="100" workbookViewId="0">
      <selection activeCell="J10" sqref="J10"/>
    </sheetView>
  </sheetViews>
  <sheetFormatPr defaultColWidth="12.44140625" defaultRowHeight="15" customHeight="1" x14ac:dyDescent="0.3"/>
  <cols>
    <col min="1" max="1" width="2.6640625" style="1336" customWidth="1"/>
    <col min="2" max="2" width="34" style="1336" customWidth="1"/>
    <col min="3" max="23" width="15.21875" style="1336" customWidth="1"/>
    <col min="24" max="24" width="1.5546875" style="1336" customWidth="1"/>
    <col min="25" max="25" width="13.44140625" style="1336" customWidth="1"/>
    <col min="26" max="26" width="11.6640625" style="1336" customWidth="1"/>
    <col min="27" max="16384" width="12.44140625" style="1336"/>
  </cols>
  <sheetData>
    <row r="1" spans="1:26" ht="21.75" customHeight="1" x14ac:dyDescent="0.35">
      <c r="A1" s="1756"/>
      <c r="B1" s="1757" t="s">
        <v>549</v>
      </c>
      <c r="X1" s="1344"/>
    </row>
    <row r="2" spans="1:26" ht="15.75" customHeight="1" x14ac:dyDescent="0.3">
      <c r="A2" s="1756"/>
      <c r="B2" s="1758" t="s">
        <v>299</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row>
    <row r="3" spans="1:26" ht="9.75" customHeight="1" x14ac:dyDescent="0.3">
      <c r="A3" s="1344"/>
      <c r="X3" s="1344"/>
    </row>
    <row r="4" spans="1:26" ht="6" customHeight="1" x14ac:dyDescent="0.3">
      <c r="X4" s="1344"/>
    </row>
    <row r="5" spans="1:26" ht="6" customHeight="1" x14ac:dyDescent="0.3">
      <c r="A5" s="1759"/>
      <c r="X5" s="1344"/>
    </row>
    <row r="6" spans="1:26" ht="15.75" customHeight="1" x14ac:dyDescent="0.3">
      <c r="X6" s="1344"/>
    </row>
    <row r="7" spans="1:26" ht="40.5" customHeight="1" x14ac:dyDescent="0.3">
      <c r="A7" s="1760"/>
      <c r="B7" s="1761">
        <v>2023</v>
      </c>
      <c r="C7" s="4397" t="s">
        <v>23</v>
      </c>
      <c r="D7" s="4398"/>
      <c r="E7" s="4398"/>
      <c r="F7" s="4398"/>
      <c r="G7" s="4398"/>
      <c r="H7" s="4398"/>
      <c r="I7" s="4398"/>
      <c r="J7" s="4398"/>
      <c r="K7" s="4398"/>
      <c r="L7" s="4398"/>
      <c r="M7" s="4398"/>
      <c r="N7" s="4398"/>
      <c r="O7" s="4399"/>
      <c r="P7" s="4398"/>
      <c r="Q7" s="4399"/>
      <c r="R7" s="4398"/>
      <c r="S7" s="4399"/>
      <c r="T7" s="4399"/>
      <c r="U7" s="4400"/>
      <c r="V7" s="4401"/>
      <c r="W7" s="4401"/>
      <c r="X7" s="1762"/>
      <c r="Y7" s="1763" t="s">
        <v>300</v>
      </c>
      <c r="Z7" s="1760"/>
    </row>
    <row r="8" spans="1:26" ht="18" customHeight="1" x14ac:dyDescent="0.35">
      <c r="B8" s="1764" t="s">
        <v>301</v>
      </c>
      <c r="C8" s="1765">
        <v>1</v>
      </c>
      <c r="D8" s="1765">
        <v>2</v>
      </c>
      <c r="E8" s="1765">
        <v>3</v>
      </c>
      <c r="F8" s="1765">
        <v>4</v>
      </c>
      <c r="G8" s="1765">
        <v>5</v>
      </c>
      <c r="H8" s="1765">
        <v>6</v>
      </c>
      <c r="I8" s="1765">
        <v>7</v>
      </c>
      <c r="J8" s="1765">
        <v>8</v>
      </c>
      <c r="K8" s="1765">
        <v>9</v>
      </c>
      <c r="L8" s="1765">
        <v>10</v>
      </c>
      <c r="M8" s="1765">
        <v>11</v>
      </c>
      <c r="N8" s="1765">
        <v>12</v>
      </c>
      <c r="O8" s="1766">
        <v>13</v>
      </c>
      <c r="P8" s="1767">
        <v>14</v>
      </c>
      <c r="Q8" s="1766">
        <v>15</v>
      </c>
      <c r="R8" s="1767">
        <v>16</v>
      </c>
      <c r="S8" s="1766">
        <v>17</v>
      </c>
      <c r="T8" s="1766">
        <v>18</v>
      </c>
      <c r="U8" s="1766">
        <v>19</v>
      </c>
      <c r="V8" s="1767">
        <v>20</v>
      </c>
      <c r="W8" s="1768">
        <v>21</v>
      </c>
      <c r="X8" s="1769"/>
      <c r="Y8" s="1770"/>
    </row>
    <row r="9" spans="1:26" ht="46.5" customHeight="1" x14ac:dyDescent="0.3">
      <c r="B9" s="1771" t="s">
        <v>302</v>
      </c>
      <c r="C9" s="1599" t="s">
        <v>1177</v>
      </c>
      <c r="D9" s="1599" t="s">
        <v>1177</v>
      </c>
      <c r="E9" s="1599" t="s">
        <v>1177</v>
      </c>
      <c r="F9" s="1599" t="s">
        <v>1177</v>
      </c>
      <c r="G9" s="1599" t="s">
        <v>1177</v>
      </c>
      <c r="H9" s="1599" t="s">
        <v>1177</v>
      </c>
      <c r="I9" s="1599" t="s">
        <v>1177</v>
      </c>
      <c r="J9" s="1599" t="s">
        <v>1177</v>
      </c>
      <c r="K9" s="1599" t="s">
        <v>1177</v>
      </c>
      <c r="L9" s="1599" t="s">
        <v>1177</v>
      </c>
      <c r="M9" s="1599" t="s">
        <v>1177</v>
      </c>
      <c r="N9" s="1772" t="s">
        <v>1177</v>
      </c>
      <c r="O9" s="1773" t="s">
        <v>1177</v>
      </c>
      <c r="P9" s="1774" t="s">
        <v>1177</v>
      </c>
      <c r="Q9" s="1773" t="s">
        <v>1177</v>
      </c>
      <c r="R9" s="1774" t="s">
        <v>1177</v>
      </c>
      <c r="S9" s="1773" t="s">
        <v>1177</v>
      </c>
      <c r="T9" s="1773" t="s">
        <v>1177</v>
      </c>
      <c r="U9" s="1773" t="s">
        <v>1177</v>
      </c>
      <c r="V9" s="1775" t="s">
        <v>1177</v>
      </c>
      <c r="W9" s="1599" t="s">
        <v>1177</v>
      </c>
      <c r="X9" s="1776"/>
      <c r="Y9" s="1777"/>
    </row>
    <row r="10" spans="1:26" ht="46.5" customHeight="1" x14ac:dyDescent="0.3">
      <c r="B10" s="1778" t="s">
        <v>304</v>
      </c>
      <c r="C10" s="1600" t="s">
        <v>1958</v>
      </c>
      <c r="D10" s="1600" t="s">
        <v>1959</v>
      </c>
      <c r="E10" s="1600" t="s">
        <v>1960</v>
      </c>
      <c r="F10" s="1600" t="s">
        <v>1961</v>
      </c>
      <c r="G10" s="1600" t="s">
        <v>1962</v>
      </c>
      <c r="H10" s="1600" t="s">
        <v>1963</v>
      </c>
      <c r="I10" s="1600" t="s">
        <v>1964</v>
      </c>
      <c r="J10" s="1600" t="s">
        <v>1965</v>
      </c>
      <c r="K10" s="1600" t="s">
        <v>1966</v>
      </c>
      <c r="L10" s="1600" t="s">
        <v>1967</v>
      </c>
      <c r="M10" s="1600" t="s">
        <v>1968</v>
      </c>
      <c r="N10" s="1600" t="s">
        <v>1969</v>
      </c>
      <c r="O10" s="1600" t="s">
        <v>1970</v>
      </c>
      <c r="P10" s="1600" t="s">
        <v>1971</v>
      </c>
      <c r="Q10" s="1600" t="s">
        <v>1972</v>
      </c>
      <c r="R10" s="1600" t="s">
        <v>1973</v>
      </c>
      <c r="S10" s="1600" t="s">
        <v>1974</v>
      </c>
      <c r="T10" s="1600" t="s">
        <v>1975</v>
      </c>
      <c r="U10" s="1600" t="s">
        <v>1976</v>
      </c>
      <c r="V10" s="1600" t="s">
        <v>1977</v>
      </c>
      <c r="W10" s="1600" t="s">
        <v>1978</v>
      </c>
      <c r="X10" s="1780"/>
      <c r="Y10" s="1781"/>
    </row>
    <row r="11" spans="1:26" ht="18.75" customHeight="1" x14ac:dyDescent="0.3">
      <c r="A11" s="1782"/>
      <c r="B11" s="1783" t="s">
        <v>306</v>
      </c>
      <c r="C11" s="1784">
        <f>(C17*C20)</f>
        <v>809.63457715217771</v>
      </c>
      <c r="D11" s="1784">
        <f t="shared" ref="D11:W11" si="0">(D17*D20)</f>
        <v>5000</v>
      </c>
      <c r="E11" s="1784">
        <f t="shared" si="0"/>
        <v>133.85742007024982</v>
      </c>
      <c r="F11" s="1784">
        <f t="shared" si="0"/>
        <v>0</v>
      </c>
      <c r="G11" s="1784">
        <f t="shared" si="0"/>
        <v>69.768109854796876</v>
      </c>
      <c r="H11" s="1784">
        <f t="shared" si="0"/>
        <v>193.89044482902852</v>
      </c>
      <c r="I11" s="1784">
        <f t="shared" si="0"/>
        <v>0</v>
      </c>
      <c r="J11" s="1784">
        <f t="shared" si="0"/>
        <v>290.52657829174422</v>
      </c>
      <c r="K11" s="1784">
        <f t="shared" si="0"/>
        <v>795.03194950815043</v>
      </c>
      <c r="L11" s="1784">
        <f t="shared" si="0"/>
        <v>3869.696325667222</v>
      </c>
      <c r="M11" s="1784">
        <f t="shared" si="0"/>
        <v>47.864168388755992</v>
      </c>
      <c r="N11" s="1785">
        <f t="shared" si="0"/>
        <v>306.6551805245723</v>
      </c>
      <c r="O11" s="1786">
        <f t="shared" si="0"/>
        <v>111.95347860420894</v>
      </c>
      <c r="P11" s="1787">
        <f t="shared" si="0"/>
        <v>35.695312018733283</v>
      </c>
      <c r="Q11" s="1786">
        <f t="shared" si="0"/>
        <v>1274.4848904870453</v>
      </c>
      <c r="R11" s="1787">
        <f t="shared" si="0"/>
        <v>25.148969831380267</v>
      </c>
      <c r="S11" s="1786">
        <f t="shared" si="0"/>
        <v>18.65891310070149</v>
      </c>
      <c r="T11" s="1786">
        <f t="shared" si="0"/>
        <v>90.049537138168063</v>
      </c>
      <c r="U11" s="1786">
        <f t="shared" si="0"/>
        <v>41.374111658077219</v>
      </c>
      <c r="V11" s="1788">
        <f t="shared" si="0"/>
        <v>2722.5787985197476</v>
      </c>
      <c r="W11" s="1789">
        <f t="shared" si="0"/>
        <v>218.22815756907394</v>
      </c>
      <c r="X11" s="1790"/>
      <c r="Y11" s="1791">
        <f t="shared" ref="Y11:Y12" si="1">SUM(C11:W11)</f>
        <v>16055.096923213834</v>
      </c>
      <c r="Z11" s="1782"/>
    </row>
    <row r="12" spans="1:26" ht="18.75" customHeight="1" x14ac:dyDescent="0.3">
      <c r="A12" s="1782"/>
      <c r="B12" s="1367" t="s">
        <v>307</v>
      </c>
      <c r="C12" s="1792">
        <f>(C24*C25)</f>
        <v>0</v>
      </c>
      <c r="D12" s="1792">
        <f t="shared" ref="D12:W12" si="2">(D24*D25)</f>
        <v>0</v>
      </c>
      <c r="E12" s="1792">
        <f t="shared" si="2"/>
        <v>0</v>
      </c>
      <c r="F12" s="1792">
        <f t="shared" si="2"/>
        <v>0</v>
      </c>
      <c r="G12" s="1792">
        <f t="shared" si="2"/>
        <v>0</v>
      </c>
      <c r="H12" s="1792">
        <f t="shared" si="2"/>
        <v>0</v>
      </c>
      <c r="I12" s="1792">
        <f t="shared" si="2"/>
        <v>0</v>
      </c>
      <c r="J12" s="1792">
        <f t="shared" si="2"/>
        <v>0</v>
      </c>
      <c r="K12" s="1792">
        <f t="shared" si="2"/>
        <v>0</v>
      </c>
      <c r="L12" s="1792">
        <f t="shared" si="2"/>
        <v>0</v>
      </c>
      <c r="M12" s="1792">
        <f t="shared" si="2"/>
        <v>0</v>
      </c>
      <c r="N12" s="1793">
        <f t="shared" si="2"/>
        <v>0</v>
      </c>
      <c r="O12" s="1794">
        <f t="shared" si="2"/>
        <v>0</v>
      </c>
      <c r="P12" s="1795">
        <f t="shared" si="2"/>
        <v>0</v>
      </c>
      <c r="Q12" s="1794">
        <f t="shared" si="2"/>
        <v>0</v>
      </c>
      <c r="R12" s="1795">
        <f t="shared" si="2"/>
        <v>0</v>
      </c>
      <c r="S12" s="1794">
        <f t="shared" si="2"/>
        <v>0</v>
      </c>
      <c r="T12" s="1794">
        <f t="shared" si="2"/>
        <v>0</v>
      </c>
      <c r="U12" s="1794">
        <f t="shared" si="2"/>
        <v>0</v>
      </c>
      <c r="V12" s="1796">
        <f t="shared" si="2"/>
        <v>0</v>
      </c>
      <c r="W12" s="1792">
        <f t="shared" si="2"/>
        <v>0</v>
      </c>
      <c r="X12" s="1790"/>
      <c r="Y12" s="1797">
        <f t="shared" si="1"/>
        <v>0</v>
      </c>
      <c r="Z12" s="1782"/>
    </row>
    <row r="13" spans="1:26" ht="18.75" customHeight="1" x14ac:dyDescent="0.3">
      <c r="A13" s="1782"/>
      <c r="B13" s="1783" t="s">
        <v>308</v>
      </c>
      <c r="C13" s="1798" t="s">
        <v>8</v>
      </c>
      <c r="D13" s="1799" t="s">
        <v>8</v>
      </c>
      <c r="E13" s="1799" t="s">
        <v>8</v>
      </c>
      <c r="F13" s="1800" t="s">
        <v>8</v>
      </c>
      <c r="G13" s="1801" t="s">
        <v>8</v>
      </c>
      <c r="H13" s="1801" t="s">
        <v>8</v>
      </c>
      <c r="I13" s="1801" t="s">
        <v>8</v>
      </c>
      <c r="J13" s="1799" t="s">
        <v>8</v>
      </c>
      <c r="K13" s="1799" t="s">
        <v>8</v>
      </c>
      <c r="L13" s="1800" t="s">
        <v>8</v>
      </c>
      <c r="M13" s="1801" t="s">
        <v>8</v>
      </c>
      <c r="N13" s="1801" t="s">
        <v>8</v>
      </c>
      <c r="O13" s="1799" t="s">
        <v>8</v>
      </c>
      <c r="P13" s="1800" t="s">
        <v>8</v>
      </c>
      <c r="Q13" s="1799" t="s">
        <v>8</v>
      </c>
      <c r="R13" s="1800" t="s">
        <v>8</v>
      </c>
      <c r="S13" s="1799" t="s">
        <v>8</v>
      </c>
      <c r="T13" s="1799" t="s">
        <v>8</v>
      </c>
      <c r="U13" s="1799" t="s">
        <v>8</v>
      </c>
      <c r="V13" s="1800" t="s">
        <v>8</v>
      </c>
      <c r="W13" s="1802" t="s">
        <v>8</v>
      </c>
      <c r="X13" s="1803"/>
      <c r="Y13" s="1804"/>
      <c r="Z13" s="1782"/>
    </row>
    <row r="14" spans="1:26" ht="18.75" customHeight="1" x14ac:dyDescent="0.3">
      <c r="A14" s="1782"/>
      <c r="B14" s="1412" t="s">
        <v>309</v>
      </c>
      <c r="C14" s="1805">
        <f t="shared" ref="C14:W14" si="3">C11-C12</f>
        <v>809.63457715217771</v>
      </c>
      <c r="D14" s="1806">
        <f t="shared" si="3"/>
        <v>5000</v>
      </c>
      <c r="E14" s="1806">
        <f t="shared" si="3"/>
        <v>133.85742007024982</v>
      </c>
      <c r="F14" s="1806">
        <f t="shared" si="3"/>
        <v>0</v>
      </c>
      <c r="G14" s="1807">
        <f t="shared" si="3"/>
        <v>69.768109854796876</v>
      </c>
      <c r="H14" s="1806">
        <f t="shared" si="3"/>
        <v>193.89044482902852</v>
      </c>
      <c r="I14" s="1808">
        <f t="shared" si="3"/>
        <v>0</v>
      </c>
      <c r="J14" s="1808">
        <f t="shared" si="3"/>
        <v>290.52657829174422</v>
      </c>
      <c r="K14" s="1808">
        <f t="shared" si="3"/>
        <v>795.03194950815043</v>
      </c>
      <c r="L14" s="1808">
        <f t="shared" si="3"/>
        <v>3869.696325667222</v>
      </c>
      <c r="M14" s="1808">
        <f t="shared" si="3"/>
        <v>47.864168388755992</v>
      </c>
      <c r="N14" s="1808">
        <f t="shared" si="3"/>
        <v>306.6551805245723</v>
      </c>
      <c r="O14" s="1806">
        <f t="shared" si="3"/>
        <v>111.95347860420894</v>
      </c>
      <c r="P14" s="1807">
        <f t="shared" si="3"/>
        <v>35.695312018733283</v>
      </c>
      <c r="Q14" s="1806">
        <f t="shared" si="3"/>
        <v>1274.4848904870453</v>
      </c>
      <c r="R14" s="1807">
        <f t="shared" si="3"/>
        <v>25.148969831380267</v>
      </c>
      <c r="S14" s="1806">
        <f t="shared" si="3"/>
        <v>18.65891310070149</v>
      </c>
      <c r="T14" s="1806">
        <f t="shared" si="3"/>
        <v>90.049537138168063</v>
      </c>
      <c r="U14" s="1806">
        <f t="shared" si="3"/>
        <v>41.374111658077219</v>
      </c>
      <c r="V14" s="1807">
        <f t="shared" si="3"/>
        <v>2722.5787985197476</v>
      </c>
      <c r="W14" s="1809">
        <f t="shared" si="3"/>
        <v>218.22815756907394</v>
      </c>
      <c r="X14" s="1790"/>
      <c r="Y14" s="1810">
        <f>SUM(C14:W14)</f>
        <v>16055.096923213834</v>
      </c>
      <c r="Z14" s="1782"/>
    </row>
    <row r="15" spans="1:26" ht="19.5" customHeight="1" x14ac:dyDescent="0.4">
      <c r="B15" s="1811" t="s">
        <v>395</v>
      </c>
      <c r="C15" s="1812"/>
      <c r="D15" s="1813"/>
      <c r="E15" s="1813"/>
      <c r="F15" s="1814"/>
      <c r="G15" s="1815"/>
      <c r="H15" s="1815"/>
      <c r="I15" s="1816"/>
      <c r="J15" s="1816"/>
      <c r="K15" s="1816"/>
      <c r="L15" s="1814"/>
      <c r="M15" s="1815"/>
      <c r="N15" s="1815"/>
      <c r="O15" s="1813"/>
      <c r="P15" s="1814"/>
      <c r="Q15" s="1813"/>
      <c r="R15" s="1814"/>
      <c r="S15" s="1813"/>
      <c r="T15" s="1813"/>
      <c r="U15" s="1813"/>
      <c r="V15" s="1814"/>
      <c r="W15" s="1817"/>
      <c r="X15" s="1818"/>
      <c r="Y15" s="1819"/>
      <c r="Z15" s="1344"/>
    </row>
    <row r="16" spans="1:26" ht="30" customHeight="1" x14ac:dyDescent="0.3">
      <c r="A16" s="1782"/>
      <c r="B16" s="1820" t="s">
        <v>311</v>
      </c>
      <c r="C16" s="1601" t="s">
        <v>397</v>
      </c>
      <c r="D16" s="1601" t="s">
        <v>397</v>
      </c>
      <c r="E16" s="1601" t="s">
        <v>397</v>
      </c>
      <c r="F16" s="1601" t="s">
        <v>397</v>
      </c>
      <c r="G16" s="1601" t="s">
        <v>397</v>
      </c>
      <c r="H16" s="1601" t="s">
        <v>397</v>
      </c>
      <c r="I16" s="1601" t="s">
        <v>397</v>
      </c>
      <c r="J16" s="1601" t="s">
        <v>397</v>
      </c>
      <c r="K16" s="1601" t="s">
        <v>397</v>
      </c>
      <c r="L16" s="1601" t="s">
        <v>397</v>
      </c>
      <c r="M16" s="1601" t="s">
        <v>397</v>
      </c>
      <c r="N16" s="1601" t="s">
        <v>397</v>
      </c>
      <c r="O16" s="1601" t="s">
        <v>397</v>
      </c>
      <c r="P16" s="1601" t="s">
        <v>397</v>
      </c>
      <c r="Q16" s="1601" t="s">
        <v>397</v>
      </c>
      <c r="R16" s="1601" t="s">
        <v>397</v>
      </c>
      <c r="S16" s="1601" t="s">
        <v>397</v>
      </c>
      <c r="T16" s="1601" t="s">
        <v>397</v>
      </c>
      <c r="U16" s="1601" t="s">
        <v>397</v>
      </c>
      <c r="V16" s="1601" t="s">
        <v>397</v>
      </c>
      <c r="W16" s="1601" t="s">
        <v>397</v>
      </c>
      <c r="X16" s="1821"/>
      <c r="Y16" s="1822"/>
      <c r="Z16" s="1782"/>
    </row>
    <row r="17" spans="1:26" ht="21" customHeight="1" x14ac:dyDescent="0.3">
      <c r="A17" s="1782"/>
      <c r="B17" s="1823" t="s">
        <v>398</v>
      </c>
      <c r="C17" s="1824">
        <f>'CF-0408|GDS'!I9</f>
        <v>998</v>
      </c>
      <c r="D17" s="1824">
        <f>'CF-0408|GDS'!I11</f>
        <v>6163.274322536854</v>
      </c>
      <c r="E17" s="1824">
        <f>'CF-0408|GDS'!I12</f>
        <v>165</v>
      </c>
      <c r="F17" s="1824">
        <f>'CF-0408|GDS'!I13</f>
        <v>0</v>
      </c>
      <c r="G17" s="1824">
        <f>'CF-0408|GDS'!I14</f>
        <v>86</v>
      </c>
      <c r="H17" s="1824">
        <f>'CF-0408|GDS'!I15</f>
        <v>239</v>
      </c>
      <c r="I17" s="1824">
        <f>'CF-0408|GDS'!I16</f>
        <v>0</v>
      </c>
      <c r="J17" s="1824">
        <f>'CF-0408|GDS'!I17</f>
        <v>358.11900000000003</v>
      </c>
      <c r="K17" s="1824">
        <f>'CF-0408|GDS'!I18</f>
        <v>980</v>
      </c>
      <c r="L17" s="1824">
        <f>'CF-0408|GDS'!I19</f>
        <v>4770</v>
      </c>
      <c r="M17" s="1824">
        <f>'CF-0408|GDS'!I21</f>
        <v>59</v>
      </c>
      <c r="N17" s="1825">
        <f>'CF-0408|GDS'!I22</f>
        <v>378</v>
      </c>
      <c r="O17" s="1826">
        <f>'CF-0408|GDS'!I24</f>
        <v>138</v>
      </c>
      <c r="P17" s="1827">
        <f>'CF-0408|GDS'!I26</f>
        <v>44</v>
      </c>
      <c r="Q17" s="1826">
        <f>'CF-0408|GDS'!I27</f>
        <v>1571</v>
      </c>
      <c r="R17" s="1827">
        <f>'CF-0408|GDS'!I29</f>
        <v>31</v>
      </c>
      <c r="S17" s="1826">
        <f>'CF-0408|GDS'!I30</f>
        <v>23</v>
      </c>
      <c r="T17" s="1826">
        <f>'CF-0408|GDS'!I31</f>
        <v>111</v>
      </c>
      <c r="U17" s="1826">
        <f>'CF-0408|GDS'!I32</f>
        <v>51</v>
      </c>
      <c r="V17" s="1828">
        <f>'CF-0408|GDS'!I35</f>
        <v>3356</v>
      </c>
      <c r="W17" s="1827">
        <f>'CF-0408|GDS'!I36</f>
        <v>269</v>
      </c>
      <c r="X17" s="1829"/>
      <c r="Y17" s="1830"/>
      <c r="Z17" s="1782"/>
    </row>
    <row r="18" spans="1:26" ht="19.5" hidden="1" customHeight="1" x14ac:dyDescent="0.3">
      <c r="A18" s="1782"/>
      <c r="B18" s="1820" t="s">
        <v>1178</v>
      </c>
      <c r="C18" s="1831" t="s">
        <v>324</v>
      </c>
      <c r="D18" s="1831"/>
      <c r="E18" s="1831"/>
      <c r="F18" s="1831"/>
      <c r="G18" s="1831"/>
      <c r="H18" s="1831"/>
      <c r="I18" s="1831"/>
      <c r="J18" s="1831"/>
      <c r="K18" s="1831"/>
      <c r="L18" s="1831"/>
      <c r="M18" s="1831"/>
      <c r="N18" s="1832"/>
      <c r="O18" s="1833"/>
      <c r="P18" s="1834"/>
      <c r="Q18" s="1833"/>
      <c r="R18" s="1834"/>
      <c r="S18" s="1833" t="s">
        <v>324</v>
      </c>
      <c r="T18" s="1833" t="s">
        <v>324</v>
      </c>
      <c r="U18" s="1833" t="s">
        <v>324</v>
      </c>
      <c r="V18" s="1835" t="s">
        <v>324</v>
      </c>
      <c r="W18" s="1835" t="s">
        <v>324</v>
      </c>
      <c r="X18" s="1790"/>
      <c r="Y18" s="1369"/>
      <c r="Z18" s="1782"/>
    </row>
    <row r="19" spans="1:26" ht="19.5" hidden="1" customHeight="1" x14ac:dyDescent="0.3">
      <c r="A19" s="1782"/>
      <c r="B19" s="1820" t="s">
        <v>1179</v>
      </c>
      <c r="C19" s="1831" t="s">
        <v>326</v>
      </c>
      <c r="D19" s="1831"/>
      <c r="E19" s="1831"/>
      <c r="F19" s="1831"/>
      <c r="G19" s="1831"/>
      <c r="H19" s="1831"/>
      <c r="I19" s="1831"/>
      <c r="J19" s="1831"/>
      <c r="K19" s="1831"/>
      <c r="L19" s="1831"/>
      <c r="M19" s="1831"/>
      <c r="N19" s="1832"/>
      <c r="O19" s="1833"/>
      <c r="P19" s="1834"/>
      <c r="Q19" s="1833"/>
      <c r="R19" s="1834"/>
      <c r="S19" s="1833" t="s">
        <v>326</v>
      </c>
      <c r="T19" s="1833" t="s">
        <v>326</v>
      </c>
      <c r="U19" s="1833" t="s">
        <v>326</v>
      </c>
      <c r="V19" s="1835" t="s">
        <v>326</v>
      </c>
      <c r="W19" s="1835" t="s">
        <v>326</v>
      </c>
      <c r="X19" s="1790"/>
      <c r="Y19" s="1369"/>
      <c r="Z19" s="1782"/>
    </row>
    <row r="20" spans="1:26" ht="18.75" customHeight="1" x14ac:dyDescent="0.3">
      <c r="A20" s="1782"/>
      <c r="B20" s="1836" t="s">
        <v>314</v>
      </c>
      <c r="C20" s="1837">
        <v>0.81125709133484736</v>
      </c>
      <c r="D20" s="1837">
        <f t="shared" ref="D20:W20" si="4">C20</f>
        <v>0.81125709133484736</v>
      </c>
      <c r="E20" s="1837">
        <f t="shared" si="4"/>
        <v>0.81125709133484736</v>
      </c>
      <c r="F20" s="1837">
        <f t="shared" si="4"/>
        <v>0.81125709133484736</v>
      </c>
      <c r="G20" s="1837">
        <f t="shared" si="4"/>
        <v>0.81125709133484736</v>
      </c>
      <c r="H20" s="1837">
        <f t="shared" si="4"/>
        <v>0.81125709133484736</v>
      </c>
      <c r="I20" s="1837">
        <f t="shared" si="4"/>
        <v>0.81125709133484736</v>
      </c>
      <c r="J20" s="1837">
        <f t="shared" si="4"/>
        <v>0.81125709133484736</v>
      </c>
      <c r="K20" s="1837">
        <f t="shared" si="4"/>
        <v>0.81125709133484736</v>
      </c>
      <c r="L20" s="1837">
        <f t="shared" si="4"/>
        <v>0.81125709133484736</v>
      </c>
      <c r="M20" s="1837">
        <f t="shared" si="4"/>
        <v>0.81125709133484736</v>
      </c>
      <c r="N20" s="1838">
        <f t="shared" si="4"/>
        <v>0.81125709133484736</v>
      </c>
      <c r="O20" s="1839">
        <f t="shared" si="4"/>
        <v>0.81125709133484736</v>
      </c>
      <c r="P20" s="1840">
        <f t="shared" si="4"/>
        <v>0.81125709133484736</v>
      </c>
      <c r="Q20" s="1839">
        <f t="shared" si="4"/>
        <v>0.81125709133484736</v>
      </c>
      <c r="R20" s="1840">
        <f t="shared" si="4"/>
        <v>0.81125709133484736</v>
      </c>
      <c r="S20" s="1839">
        <f>P20</f>
        <v>0.81125709133484736</v>
      </c>
      <c r="T20" s="1839">
        <f>Q20</f>
        <v>0.81125709133484736</v>
      </c>
      <c r="U20" s="1839">
        <f>R20</f>
        <v>0.81125709133484736</v>
      </c>
      <c r="V20" s="1841">
        <f t="shared" si="4"/>
        <v>0.81125709133484736</v>
      </c>
      <c r="W20" s="1837">
        <f t="shared" si="4"/>
        <v>0.81125709133484736</v>
      </c>
      <c r="X20" s="1790"/>
      <c r="Y20" s="1842"/>
      <c r="Z20" s="1782"/>
    </row>
    <row r="21" spans="1:26" ht="19.5" customHeight="1" x14ac:dyDescent="0.3">
      <c r="A21" s="1782"/>
      <c r="B21" s="1843" t="s">
        <v>315</v>
      </c>
      <c r="C21" s="1844">
        <f t="shared" ref="C21:W21" si="5">C17*C20</f>
        <v>809.63457715217771</v>
      </c>
      <c r="D21" s="1845">
        <f t="shared" si="5"/>
        <v>5000</v>
      </c>
      <c r="E21" s="1846">
        <f t="shared" si="5"/>
        <v>133.85742007024982</v>
      </c>
      <c r="F21" s="1847">
        <f t="shared" si="5"/>
        <v>0</v>
      </c>
      <c r="G21" s="1847">
        <f t="shared" si="5"/>
        <v>69.768109854796876</v>
      </c>
      <c r="H21" s="1847">
        <f t="shared" si="5"/>
        <v>193.89044482902852</v>
      </c>
      <c r="I21" s="1847">
        <f t="shared" si="5"/>
        <v>0</v>
      </c>
      <c r="J21" s="1847">
        <f t="shared" si="5"/>
        <v>290.52657829174422</v>
      </c>
      <c r="K21" s="1847">
        <f t="shared" si="5"/>
        <v>795.03194950815043</v>
      </c>
      <c r="L21" s="1845">
        <f t="shared" si="5"/>
        <v>3869.696325667222</v>
      </c>
      <c r="M21" s="1846">
        <f t="shared" si="5"/>
        <v>47.864168388755992</v>
      </c>
      <c r="N21" s="1845">
        <f t="shared" si="5"/>
        <v>306.6551805245723</v>
      </c>
      <c r="O21" s="1845">
        <f t="shared" si="5"/>
        <v>111.95347860420894</v>
      </c>
      <c r="P21" s="1846">
        <f t="shared" si="5"/>
        <v>35.695312018733283</v>
      </c>
      <c r="Q21" s="1845">
        <f t="shared" si="5"/>
        <v>1274.4848904870453</v>
      </c>
      <c r="R21" s="1846">
        <f t="shared" si="5"/>
        <v>25.148969831380267</v>
      </c>
      <c r="S21" s="1845">
        <f t="shared" si="5"/>
        <v>18.65891310070149</v>
      </c>
      <c r="T21" s="1845">
        <f t="shared" si="5"/>
        <v>90.049537138168063</v>
      </c>
      <c r="U21" s="1845">
        <f t="shared" si="5"/>
        <v>41.374111658077219</v>
      </c>
      <c r="V21" s="1846">
        <f t="shared" si="5"/>
        <v>2722.5787985197476</v>
      </c>
      <c r="W21" s="1848">
        <f t="shared" si="5"/>
        <v>218.22815756907394</v>
      </c>
      <c r="X21" s="1790"/>
      <c r="Y21" s="1849"/>
      <c r="Z21" s="1974"/>
    </row>
    <row r="22" spans="1:26" ht="21" customHeight="1" x14ac:dyDescent="0.4">
      <c r="B22" s="1850" t="s">
        <v>316</v>
      </c>
      <c r="C22" s="1851"/>
      <c r="D22" s="1852"/>
      <c r="E22" s="1853"/>
      <c r="F22" s="1854"/>
      <c r="G22" s="1855"/>
      <c r="H22" s="1853"/>
      <c r="I22" s="1854"/>
      <c r="J22" s="1854"/>
      <c r="K22" s="1854"/>
      <c r="L22" s="1854"/>
      <c r="M22" s="1854"/>
      <c r="N22" s="1854"/>
      <c r="O22" s="1852"/>
      <c r="P22" s="1853"/>
      <c r="Q22" s="1852"/>
      <c r="R22" s="1853"/>
      <c r="S22" s="1852"/>
      <c r="T22" s="1852"/>
      <c r="U22" s="1852"/>
      <c r="V22" s="1853"/>
      <c r="W22" s="1856"/>
      <c r="X22" s="1818"/>
      <c r="Y22" s="1857"/>
    </row>
    <row r="23" spans="1:26" ht="27.6" customHeight="1" x14ac:dyDescent="0.3">
      <c r="A23" s="1782"/>
      <c r="B23" s="1820" t="s">
        <v>183</v>
      </c>
      <c r="C23" s="1601" t="s">
        <v>727</v>
      </c>
      <c r="D23" s="1601" t="s">
        <v>727</v>
      </c>
      <c r="E23" s="1601" t="s">
        <v>727</v>
      </c>
      <c r="F23" s="1601" t="s">
        <v>727</v>
      </c>
      <c r="G23" s="1601" t="s">
        <v>727</v>
      </c>
      <c r="H23" s="1601" t="s">
        <v>727</v>
      </c>
      <c r="I23" s="1601" t="s">
        <v>727</v>
      </c>
      <c r="J23" s="1601" t="s">
        <v>727</v>
      </c>
      <c r="K23" s="1601" t="s">
        <v>727</v>
      </c>
      <c r="L23" s="1601" t="s">
        <v>727</v>
      </c>
      <c r="M23" s="1601" t="s">
        <v>727</v>
      </c>
      <c r="N23" s="1858" t="s">
        <v>727</v>
      </c>
      <c r="O23" s="1859" t="s">
        <v>727</v>
      </c>
      <c r="P23" s="1860" t="s">
        <v>727</v>
      </c>
      <c r="Q23" s="1859" t="s">
        <v>727</v>
      </c>
      <c r="R23" s="1860" t="s">
        <v>727</v>
      </c>
      <c r="S23" s="1859" t="s">
        <v>727</v>
      </c>
      <c r="T23" s="1859" t="s">
        <v>727</v>
      </c>
      <c r="U23" s="1859" t="s">
        <v>727</v>
      </c>
      <c r="V23" s="1861" t="s">
        <v>727</v>
      </c>
      <c r="W23" s="1601" t="s">
        <v>727</v>
      </c>
      <c r="X23" s="1790"/>
      <c r="Y23" s="1369"/>
      <c r="Z23" s="1782"/>
    </row>
    <row r="24" spans="1:26" ht="21" customHeight="1" x14ac:dyDescent="0.3">
      <c r="A24" s="1782"/>
      <c r="B24" s="1862" t="s">
        <v>398</v>
      </c>
      <c r="C24" s="1863">
        <f t="shared" ref="C24:W24" si="6">C17</f>
        <v>998</v>
      </c>
      <c r="D24" s="1864">
        <f>D17</f>
        <v>6163.274322536854</v>
      </c>
      <c r="E24" s="1865">
        <f t="shared" ref="E24:T24" si="7">E17</f>
        <v>165</v>
      </c>
      <c r="F24" s="1864">
        <f t="shared" si="7"/>
        <v>0</v>
      </c>
      <c r="G24" s="1865">
        <f t="shared" si="7"/>
        <v>86</v>
      </c>
      <c r="H24" s="1864">
        <f t="shared" si="7"/>
        <v>239</v>
      </c>
      <c r="I24" s="1866">
        <f t="shared" si="7"/>
        <v>0</v>
      </c>
      <c r="J24" s="1866">
        <f t="shared" si="7"/>
        <v>358.11900000000003</v>
      </c>
      <c r="K24" s="1866">
        <f t="shared" si="7"/>
        <v>980</v>
      </c>
      <c r="L24" s="1865">
        <f t="shared" si="7"/>
        <v>4770</v>
      </c>
      <c r="M24" s="1866">
        <f t="shared" si="7"/>
        <v>59</v>
      </c>
      <c r="N24" s="1866">
        <f t="shared" si="7"/>
        <v>378</v>
      </c>
      <c r="O24" s="1865">
        <f t="shared" si="7"/>
        <v>138</v>
      </c>
      <c r="P24" s="1864">
        <f t="shared" si="7"/>
        <v>44</v>
      </c>
      <c r="Q24" s="1865">
        <f t="shared" si="7"/>
        <v>1571</v>
      </c>
      <c r="R24" s="1864">
        <f t="shared" si="7"/>
        <v>31</v>
      </c>
      <c r="S24" s="1865">
        <f t="shared" si="7"/>
        <v>23</v>
      </c>
      <c r="T24" s="1865">
        <f t="shared" si="7"/>
        <v>111</v>
      </c>
      <c r="U24" s="1865">
        <f t="shared" si="6"/>
        <v>51</v>
      </c>
      <c r="V24" s="1864">
        <f t="shared" si="6"/>
        <v>3356</v>
      </c>
      <c r="W24" s="1867">
        <f t="shared" si="6"/>
        <v>269</v>
      </c>
      <c r="X24" s="1829"/>
      <c r="Y24" s="1830"/>
      <c r="Z24" s="1782"/>
    </row>
    <row r="25" spans="1:26" ht="21" customHeight="1" x14ac:dyDescent="0.3">
      <c r="A25" s="1782"/>
      <c r="B25" s="1868" t="s">
        <v>314</v>
      </c>
      <c r="C25" s="1869">
        <v>0</v>
      </c>
      <c r="D25" s="1869">
        <f t="shared" ref="D25:K25" si="8">C25</f>
        <v>0</v>
      </c>
      <c r="E25" s="1869">
        <f t="shared" si="8"/>
        <v>0</v>
      </c>
      <c r="F25" s="1869">
        <f t="shared" si="8"/>
        <v>0</v>
      </c>
      <c r="G25" s="1869">
        <f t="shared" si="8"/>
        <v>0</v>
      </c>
      <c r="H25" s="1869">
        <f t="shared" si="8"/>
        <v>0</v>
      </c>
      <c r="I25" s="1869">
        <f t="shared" si="8"/>
        <v>0</v>
      </c>
      <c r="J25" s="1869">
        <f t="shared" si="8"/>
        <v>0</v>
      </c>
      <c r="K25" s="1869">
        <f t="shared" si="8"/>
        <v>0</v>
      </c>
      <c r="L25" s="1869">
        <f>K25</f>
        <v>0</v>
      </c>
      <c r="M25" s="1869">
        <f t="shared" ref="M25:W25" si="9">L25</f>
        <v>0</v>
      </c>
      <c r="N25" s="1870">
        <f t="shared" si="9"/>
        <v>0</v>
      </c>
      <c r="O25" s="1871">
        <f t="shared" si="9"/>
        <v>0</v>
      </c>
      <c r="P25" s="1872">
        <f t="shared" si="9"/>
        <v>0</v>
      </c>
      <c r="Q25" s="1871">
        <f t="shared" si="9"/>
        <v>0</v>
      </c>
      <c r="R25" s="1872">
        <f t="shared" si="9"/>
        <v>0</v>
      </c>
      <c r="S25" s="1871">
        <f>P25</f>
        <v>0</v>
      </c>
      <c r="T25" s="1871">
        <f>Q25</f>
        <v>0</v>
      </c>
      <c r="U25" s="1871">
        <f>R25</f>
        <v>0</v>
      </c>
      <c r="V25" s="1873">
        <f t="shared" si="9"/>
        <v>0</v>
      </c>
      <c r="W25" s="1869">
        <f t="shared" si="9"/>
        <v>0</v>
      </c>
      <c r="X25" s="1790"/>
      <c r="Y25" s="1842"/>
      <c r="Z25" s="1782"/>
    </row>
    <row r="26" spans="1:26" ht="21" customHeight="1" x14ac:dyDescent="0.3">
      <c r="A26" s="1782"/>
      <c r="B26" s="1874" t="s">
        <v>315</v>
      </c>
      <c r="C26" s="1875">
        <f t="shared" ref="C26:W26" si="10">C24*C25</f>
        <v>0</v>
      </c>
      <c r="D26" s="1875">
        <f t="shared" si="10"/>
        <v>0</v>
      </c>
      <c r="E26" s="1875">
        <f t="shared" si="10"/>
        <v>0</v>
      </c>
      <c r="F26" s="1875">
        <f t="shared" si="10"/>
        <v>0</v>
      </c>
      <c r="G26" s="1875">
        <f t="shared" si="10"/>
        <v>0</v>
      </c>
      <c r="H26" s="1875">
        <f t="shared" si="10"/>
        <v>0</v>
      </c>
      <c r="I26" s="1875">
        <f t="shared" si="10"/>
        <v>0</v>
      </c>
      <c r="J26" s="1875">
        <f t="shared" si="10"/>
        <v>0</v>
      </c>
      <c r="K26" s="1875">
        <f t="shared" si="10"/>
        <v>0</v>
      </c>
      <c r="L26" s="1875">
        <f t="shared" si="10"/>
        <v>0</v>
      </c>
      <c r="M26" s="1875">
        <f t="shared" si="10"/>
        <v>0</v>
      </c>
      <c r="N26" s="1876">
        <f t="shared" si="10"/>
        <v>0</v>
      </c>
      <c r="O26" s="1877">
        <f t="shared" si="10"/>
        <v>0</v>
      </c>
      <c r="P26" s="1878">
        <f t="shared" si="10"/>
        <v>0</v>
      </c>
      <c r="Q26" s="1877">
        <f t="shared" si="10"/>
        <v>0</v>
      </c>
      <c r="R26" s="1878">
        <f t="shared" si="10"/>
        <v>0</v>
      </c>
      <c r="S26" s="1877">
        <f t="shared" si="10"/>
        <v>0</v>
      </c>
      <c r="T26" s="1877">
        <f t="shared" si="10"/>
        <v>0</v>
      </c>
      <c r="U26" s="1877">
        <f t="shared" si="10"/>
        <v>0</v>
      </c>
      <c r="V26" s="1878">
        <f t="shared" si="10"/>
        <v>0</v>
      </c>
      <c r="W26" s="1876">
        <f t="shared" si="10"/>
        <v>0</v>
      </c>
      <c r="X26" s="1790"/>
      <c r="Y26" s="1849"/>
      <c r="Z26" s="1782"/>
    </row>
    <row r="27" spans="1:26" ht="28.5" customHeight="1" x14ac:dyDescent="0.3">
      <c r="A27" s="1782"/>
      <c r="B27" s="1879" t="s">
        <v>320</v>
      </c>
      <c r="C27" s="1880" t="s">
        <v>1180</v>
      </c>
      <c r="D27" s="1880" t="s">
        <v>1180</v>
      </c>
      <c r="E27" s="1880" t="s">
        <v>1180</v>
      </c>
      <c r="F27" s="1880" t="s">
        <v>1180</v>
      </c>
      <c r="G27" s="1880" t="s">
        <v>1180</v>
      </c>
      <c r="H27" s="1880" t="s">
        <v>1180</v>
      </c>
      <c r="I27" s="1880" t="s">
        <v>1180</v>
      </c>
      <c r="J27" s="1880" t="s">
        <v>1180</v>
      </c>
      <c r="K27" s="1880" t="s">
        <v>1180</v>
      </c>
      <c r="L27" s="1880" t="s">
        <v>1180</v>
      </c>
      <c r="M27" s="1880" t="s">
        <v>1180</v>
      </c>
      <c r="N27" s="1881" t="s">
        <v>1180</v>
      </c>
      <c r="O27" s="1882" t="s">
        <v>1180</v>
      </c>
      <c r="P27" s="1883" t="s">
        <v>1180</v>
      </c>
      <c r="Q27" s="1882" t="s">
        <v>1180</v>
      </c>
      <c r="R27" s="1883" t="s">
        <v>1180</v>
      </c>
      <c r="S27" s="1882" t="s">
        <v>1180</v>
      </c>
      <c r="T27" s="1882" t="s">
        <v>1180</v>
      </c>
      <c r="U27" s="1882" t="s">
        <v>1180</v>
      </c>
      <c r="V27" s="1884" t="s">
        <v>1180</v>
      </c>
      <c r="W27" s="1880" t="s">
        <v>1180</v>
      </c>
      <c r="X27" s="1790"/>
      <c r="Y27" s="1369"/>
      <c r="Z27" s="1782"/>
    </row>
    <row r="28" spans="1:26" ht="33" customHeight="1" x14ac:dyDescent="0.3">
      <c r="A28" s="1782"/>
      <c r="B28" s="1437" t="s">
        <v>1181</v>
      </c>
      <c r="C28" s="1369" t="s">
        <v>324</v>
      </c>
      <c r="D28" s="1885" t="s">
        <v>324</v>
      </c>
      <c r="E28" s="1885" t="s">
        <v>324</v>
      </c>
      <c r="F28" s="1885" t="s">
        <v>324</v>
      </c>
      <c r="G28" s="1885" t="s">
        <v>324</v>
      </c>
      <c r="H28" s="1885" t="s">
        <v>324</v>
      </c>
      <c r="I28" s="1885" t="s">
        <v>324</v>
      </c>
      <c r="J28" s="1885" t="s">
        <v>324</v>
      </c>
      <c r="K28" s="1885" t="s">
        <v>324</v>
      </c>
      <c r="L28" s="1885" t="s">
        <v>324</v>
      </c>
      <c r="M28" s="1886" t="s">
        <v>324</v>
      </c>
      <c r="N28" s="1369" t="s">
        <v>324</v>
      </c>
      <c r="O28" s="1886" t="s">
        <v>324</v>
      </c>
      <c r="P28" s="1369" t="s">
        <v>324</v>
      </c>
      <c r="Q28" s="1886" t="s">
        <v>324</v>
      </c>
      <c r="R28" s="1369" t="s">
        <v>324</v>
      </c>
      <c r="S28" s="1886" t="s">
        <v>324</v>
      </c>
      <c r="T28" s="1886" t="s">
        <v>324</v>
      </c>
      <c r="U28" s="1886" t="s">
        <v>324</v>
      </c>
      <c r="V28" s="1369" t="s">
        <v>324</v>
      </c>
      <c r="W28" s="1397" t="s">
        <v>324</v>
      </c>
      <c r="X28" s="1790"/>
      <c r="Y28" s="1369"/>
      <c r="Z28" s="1782"/>
    </row>
    <row r="29" spans="1:26" ht="33" customHeight="1" x14ac:dyDescent="0.3">
      <c r="A29" s="1782"/>
      <c r="B29" s="1887" t="s">
        <v>1182</v>
      </c>
      <c r="C29" s="1888" t="s">
        <v>326</v>
      </c>
      <c r="D29" s="1889" t="s">
        <v>326</v>
      </c>
      <c r="E29" s="1888" t="s">
        <v>326</v>
      </c>
      <c r="F29" s="1890" t="s">
        <v>326</v>
      </c>
      <c r="G29" s="1889" t="s">
        <v>326</v>
      </c>
      <c r="H29" s="1888" t="s">
        <v>326</v>
      </c>
      <c r="I29" s="1890" t="s">
        <v>326</v>
      </c>
      <c r="J29" s="1889" t="s">
        <v>326</v>
      </c>
      <c r="K29" s="1888" t="s">
        <v>326</v>
      </c>
      <c r="L29" s="1890" t="s">
        <v>326</v>
      </c>
      <c r="M29" s="1891" t="s">
        <v>326</v>
      </c>
      <c r="N29" s="1888" t="s">
        <v>326</v>
      </c>
      <c r="O29" s="1892" t="s">
        <v>326</v>
      </c>
      <c r="P29" s="1888" t="s">
        <v>326</v>
      </c>
      <c r="Q29" s="1892" t="s">
        <v>326</v>
      </c>
      <c r="R29" s="1888" t="s">
        <v>326</v>
      </c>
      <c r="S29" s="1892" t="s">
        <v>326</v>
      </c>
      <c r="T29" s="1892" t="s">
        <v>326</v>
      </c>
      <c r="U29" s="1892" t="s">
        <v>326</v>
      </c>
      <c r="V29" s="1888" t="s">
        <v>326</v>
      </c>
      <c r="W29" s="1890" t="s">
        <v>326</v>
      </c>
      <c r="X29" s="1790"/>
      <c r="Y29" s="1369"/>
      <c r="Z29" s="1782"/>
    </row>
    <row r="30" spans="1:26" ht="33" customHeight="1" x14ac:dyDescent="0.3">
      <c r="A30" s="1782"/>
      <c r="B30" s="1437" t="s">
        <v>1183</v>
      </c>
      <c r="C30" s="1397" t="s">
        <v>402</v>
      </c>
      <c r="D30" s="1397" t="s">
        <v>402</v>
      </c>
      <c r="E30" s="1397" t="s">
        <v>402</v>
      </c>
      <c r="F30" s="1397" t="s">
        <v>402</v>
      </c>
      <c r="G30" s="1397" t="s">
        <v>402</v>
      </c>
      <c r="H30" s="1397" t="s">
        <v>402</v>
      </c>
      <c r="I30" s="1397" t="s">
        <v>402</v>
      </c>
      <c r="J30" s="1397" t="s">
        <v>402</v>
      </c>
      <c r="K30" s="1397" t="s">
        <v>402</v>
      </c>
      <c r="L30" s="1397" t="s">
        <v>402</v>
      </c>
      <c r="M30" s="1893" t="s">
        <v>402</v>
      </c>
      <c r="N30" s="1369" t="s">
        <v>402</v>
      </c>
      <c r="O30" s="1886" t="s">
        <v>402</v>
      </c>
      <c r="P30" s="1369" t="s">
        <v>402</v>
      </c>
      <c r="Q30" s="1886" t="s">
        <v>402</v>
      </c>
      <c r="R30" s="1369" t="s">
        <v>402</v>
      </c>
      <c r="S30" s="1886" t="s">
        <v>402</v>
      </c>
      <c r="T30" s="1886" t="s">
        <v>402</v>
      </c>
      <c r="U30" s="1886" t="s">
        <v>402</v>
      </c>
      <c r="V30" s="1894" t="s">
        <v>402</v>
      </c>
      <c r="W30" s="1397" t="s">
        <v>402</v>
      </c>
      <c r="X30" s="1790"/>
      <c r="Y30" s="1369"/>
      <c r="Z30" s="1782"/>
    </row>
    <row r="31" spans="1:26" ht="21" customHeight="1" x14ac:dyDescent="0.3">
      <c r="B31" s="1895" t="s">
        <v>329</v>
      </c>
      <c r="C31" s="1889">
        <v>1</v>
      </c>
      <c r="D31" s="1889">
        <v>1</v>
      </c>
      <c r="E31" s="1889">
        <v>1</v>
      </c>
      <c r="F31" s="1889">
        <v>0</v>
      </c>
      <c r="G31" s="1889">
        <v>1</v>
      </c>
      <c r="H31" s="1889">
        <v>1</v>
      </c>
      <c r="I31" s="1889">
        <v>0</v>
      </c>
      <c r="J31" s="1889">
        <v>1</v>
      </c>
      <c r="K31" s="1889">
        <v>1</v>
      </c>
      <c r="L31" s="1889">
        <v>1</v>
      </c>
      <c r="M31" s="1891">
        <v>1</v>
      </c>
      <c r="N31" s="1888">
        <v>1</v>
      </c>
      <c r="O31" s="1892">
        <v>1</v>
      </c>
      <c r="P31" s="1888">
        <v>1</v>
      </c>
      <c r="Q31" s="1892">
        <v>1</v>
      </c>
      <c r="R31" s="1888">
        <v>1</v>
      </c>
      <c r="S31" s="1892">
        <v>1</v>
      </c>
      <c r="T31" s="1892">
        <v>1</v>
      </c>
      <c r="U31" s="1892">
        <v>1</v>
      </c>
      <c r="V31" s="1896">
        <v>1</v>
      </c>
      <c r="W31" s="1889">
        <v>1</v>
      </c>
      <c r="X31" s="1818"/>
      <c r="Y31" s="1897"/>
    </row>
    <row r="32" spans="1:26" ht="21" customHeight="1" x14ac:dyDescent="0.3">
      <c r="B32" s="1367" t="s">
        <v>330</v>
      </c>
      <c r="C32" s="1369" t="s">
        <v>324</v>
      </c>
      <c r="D32" s="1885" t="s">
        <v>324</v>
      </c>
      <c r="E32" s="1885" t="s">
        <v>324</v>
      </c>
      <c r="F32" s="1885" t="s">
        <v>324</v>
      </c>
      <c r="G32" s="1885" t="s">
        <v>324</v>
      </c>
      <c r="H32" s="1886" t="s">
        <v>324</v>
      </c>
      <c r="I32" s="1369" t="s">
        <v>324</v>
      </c>
      <c r="J32" s="1885" t="s">
        <v>324</v>
      </c>
      <c r="K32" s="1885" t="s">
        <v>324</v>
      </c>
      <c r="L32" s="1885" t="s">
        <v>324</v>
      </c>
      <c r="M32" s="1886" t="s">
        <v>324</v>
      </c>
      <c r="N32" s="1369" t="s">
        <v>324</v>
      </c>
      <c r="O32" s="1886" t="s">
        <v>324</v>
      </c>
      <c r="P32" s="1369" t="s">
        <v>324</v>
      </c>
      <c r="Q32" s="1886" t="s">
        <v>324</v>
      </c>
      <c r="R32" s="1369" t="s">
        <v>324</v>
      </c>
      <c r="S32" s="1886" t="s">
        <v>324</v>
      </c>
      <c r="T32" s="1886" t="s">
        <v>324</v>
      </c>
      <c r="U32" s="1886" t="s">
        <v>324</v>
      </c>
      <c r="V32" s="1369" t="s">
        <v>324</v>
      </c>
      <c r="W32" s="1397" t="s">
        <v>324</v>
      </c>
      <c r="X32" s="1818"/>
      <c r="Y32" s="1857"/>
    </row>
    <row r="33" spans="2:25" ht="21" customHeight="1" x14ac:dyDescent="0.3">
      <c r="B33" s="1898" t="s">
        <v>331</v>
      </c>
      <c r="C33" s="1899" t="s">
        <v>324</v>
      </c>
      <c r="D33" s="1900" t="s">
        <v>324</v>
      </c>
      <c r="E33" s="1901" t="s">
        <v>324</v>
      </c>
      <c r="F33" s="1900" t="s">
        <v>324</v>
      </c>
      <c r="G33" s="1901" t="s">
        <v>324</v>
      </c>
      <c r="H33" s="1900" t="s">
        <v>324</v>
      </c>
      <c r="I33" s="1902" t="s">
        <v>324</v>
      </c>
      <c r="J33" s="1902" t="s">
        <v>324</v>
      </c>
      <c r="K33" s="1902" t="s">
        <v>324</v>
      </c>
      <c r="L33" s="1902" t="s">
        <v>324</v>
      </c>
      <c r="M33" s="1901" t="s">
        <v>324</v>
      </c>
      <c r="N33" s="1900" t="s">
        <v>324</v>
      </c>
      <c r="O33" s="1901" t="s">
        <v>324</v>
      </c>
      <c r="P33" s="1900" t="s">
        <v>324</v>
      </c>
      <c r="Q33" s="1901" t="s">
        <v>324</v>
      </c>
      <c r="R33" s="1900" t="s">
        <v>324</v>
      </c>
      <c r="S33" s="1901" t="s">
        <v>324</v>
      </c>
      <c r="T33" s="1901" t="s">
        <v>324</v>
      </c>
      <c r="U33" s="1901" t="s">
        <v>324</v>
      </c>
      <c r="V33" s="1900" t="s">
        <v>324</v>
      </c>
      <c r="W33" s="1903" t="s">
        <v>324</v>
      </c>
      <c r="X33" s="1818"/>
      <c r="Y33" s="1857"/>
    </row>
    <row r="34" spans="2:25" ht="15.75" customHeight="1" x14ac:dyDescent="0.3">
      <c r="B34" s="1344"/>
      <c r="X34" s="1344"/>
      <c r="Y34" s="1344"/>
    </row>
    <row r="35" spans="2:25" ht="15.75" customHeight="1" x14ac:dyDescent="0.3">
      <c r="X35" s="1344"/>
      <c r="Y35" s="1344"/>
    </row>
    <row r="36" spans="2:25" ht="15.75" customHeight="1" x14ac:dyDescent="0.3">
      <c r="X36" s="1344"/>
      <c r="Y36" s="1344"/>
    </row>
    <row r="37" spans="2:25" ht="15.75" customHeight="1" x14ac:dyDescent="0.3">
      <c r="X37" s="1344"/>
      <c r="Y37" s="1344"/>
    </row>
    <row r="38" spans="2:25" ht="15.75" customHeight="1" x14ac:dyDescent="0.3">
      <c r="X38" s="1344"/>
      <c r="Y38" s="1344"/>
    </row>
    <row r="39" spans="2:25" ht="15.75" customHeight="1" x14ac:dyDescent="0.3">
      <c r="X39" s="1344"/>
      <c r="Y39" s="1344"/>
    </row>
    <row r="40" spans="2:25" ht="15.75" customHeight="1" x14ac:dyDescent="0.3">
      <c r="X40" s="1344"/>
      <c r="Y40" s="1344"/>
    </row>
    <row r="41" spans="2:25" ht="15.75" customHeight="1" x14ac:dyDescent="0.3">
      <c r="X41" s="1344"/>
      <c r="Y41" s="1344"/>
    </row>
    <row r="42" spans="2:25" ht="15.75" customHeight="1" x14ac:dyDescent="0.3">
      <c r="X42" s="1344"/>
      <c r="Y42" s="1344"/>
    </row>
    <row r="43" spans="2:25" ht="15.75" customHeight="1" x14ac:dyDescent="0.3">
      <c r="X43" s="1344"/>
      <c r="Y43" s="1344"/>
    </row>
    <row r="44" spans="2:25" ht="15.75" customHeight="1" x14ac:dyDescent="0.3">
      <c r="X44" s="1344"/>
    </row>
    <row r="45" spans="2:25" ht="15.75" customHeight="1" x14ac:dyDescent="0.3">
      <c r="X45" s="1344"/>
    </row>
    <row r="46" spans="2:25" ht="15.75" customHeight="1" x14ac:dyDescent="0.3">
      <c r="X46" s="1344"/>
    </row>
    <row r="47" spans="2:25" ht="15.75" customHeight="1" x14ac:dyDescent="0.3">
      <c r="X47" s="1344"/>
    </row>
    <row r="48" spans="2:25" ht="15.75" customHeight="1" x14ac:dyDescent="0.3">
      <c r="X48" s="1344"/>
    </row>
    <row r="49" spans="24:24" ht="15.75" customHeight="1" x14ac:dyDescent="0.3">
      <c r="X49" s="1344"/>
    </row>
    <row r="50" spans="24:24" ht="15.75" customHeight="1" x14ac:dyDescent="0.3">
      <c r="X50" s="1344"/>
    </row>
    <row r="51" spans="24:24" ht="15.75" customHeight="1" x14ac:dyDescent="0.3">
      <c r="X51" s="1344"/>
    </row>
    <row r="52" spans="24:24" ht="15.75" customHeight="1" x14ac:dyDescent="0.3">
      <c r="X52" s="1344"/>
    </row>
    <row r="53" spans="24:24" ht="15.75" customHeight="1" x14ac:dyDescent="0.3">
      <c r="X53" s="1344"/>
    </row>
    <row r="54" spans="24:24" ht="15.75" customHeight="1" x14ac:dyDescent="0.3">
      <c r="X54" s="1344"/>
    </row>
    <row r="55" spans="24:24" ht="15.75" customHeight="1" x14ac:dyDescent="0.3">
      <c r="X55" s="1344"/>
    </row>
    <row r="56" spans="24:24" ht="15.75" customHeight="1" x14ac:dyDescent="0.3">
      <c r="X56" s="1344"/>
    </row>
    <row r="57" spans="24:24" ht="15.75" customHeight="1" x14ac:dyDescent="0.3">
      <c r="X57" s="1344"/>
    </row>
    <row r="58" spans="24:24" ht="15.75" customHeight="1" x14ac:dyDescent="0.3">
      <c r="X58" s="1344"/>
    </row>
    <row r="59" spans="24:24" ht="15.75" customHeight="1" x14ac:dyDescent="0.3">
      <c r="X59" s="1344"/>
    </row>
    <row r="60" spans="24:24" ht="15.75" customHeight="1" x14ac:dyDescent="0.3">
      <c r="X60" s="1344"/>
    </row>
    <row r="61" spans="24:24" ht="15.75" customHeight="1" x14ac:dyDescent="0.3">
      <c r="X61" s="1344"/>
    </row>
    <row r="62" spans="24:24" ht="15.75" customHeight="1" x14ac:dyDescent="0.3">
      <c r="X62" s="1344"/>
    </row>
    <row r="63" spans="24:24" ht="15.75" customHeight="1" x14ac:dyDescent="0.3">
      <c r="X63" s="1344"/>
    </row>
    <row r="64" spans="24:24" ht="15.75" customHeight="1" x14ac:dyDescent="0.3">
      <c r="X64" s="1344"/>
    </row>
    <row r="65" spans="24:24" ht="15.75" customHeight="1" x14ac:dyDescent="0.3">
      <c r="X65" s="1344"/>
    </row>
    <row r="66" spans="24:24" ht="15.75" customHeight="1" x14ac:dyDescent="0.3">
      <c r="X66" s="1344"/>
    </row>
    <row r="67" spans="24:24" ht="15.75" customHeight="1" x14ac:dyDescent="0.3">
      <c r="X67" s="1344"/>
    </row>
    <row r="68" spans="24:24" ht="15.75" customHeight="1" x14ac:dyDescent="0.3">
      <c r="X68" s="1344"/>
    </row>
    <row r="69" spans="24:24" ht="15.75" customHeight="1" x14ac:dyDescent="0.3">
      <c r="X69" s="1344"/>
    </row>
    <row r="70" spans="24:24" ht="15.75" customHeight="1" x14ac:dyDescent="0.3">
      <c r="X70" s="1344"/>
    </row>
    <row r="71" spans="24:24" ht="15.75" customHeight="1" x14ac:dyDescent="0.3">
      <c r="X71" s="1344"/>
    </row>
    <row r="72" spans="24:24" ht="15.75" customHeight="1" x14ac:dyDescent="0.3">
      <c r="X72" s="1344"/>
    </row>
    <row r="73" spans="24:24" ht="15.75" customHeight="1" x14ac:dyDescent="0.3">
      <c r="X73" s="1344"/>
    </row>
    <row r="74" spans="24:24" ht="15.75" customHeight="1" x14ac:dyDescent="0.3">
      <c r="X74" s="1344"/>
    </row>
    <row r="75" spans="24:24" ht="15.75" customHeight="1" x14ac:dyDescent="0.3">
      <c r="X75" s="1344"/>
    </row>
    <row r="76" spans="24:24" ht="15.75" customHeight="1" x14ac:dyDescent="0.3">
      <c r="X76" s="1344"/>
    </row>
    <row r="77" spans="24:24" ht="15.75" customHeight="1" x14ac:dyDescent="0.3">
      <c r="X77" s="1344"/>
    </row>
    <row r="78" spans="24:24" ht="15.75" customHeight="1" x14ac:dyDescent="0.3">
      <c r="X78" s="1344"/>
    </row>
    <row r="79" spans="24:24" ht="15.75" customHeight="1" x14ac:dyDescent="0.3">
      <c r="X79" s="1344"/>
    </row>
    <row r="80" spans="24:24" ht="15.75" customHeight="1" x14ac:dyDescent="0.3">
      <c r="X80" s="1344"/>
    </row>
    <row r="81" spans="24:24" ht="15.75" customHeight="1" x14ac:dyDescent="0.3">
      <c r="X81" s="1344"/>
    </row>
    <row r="82" spans="24:24" ht="15.75" customHeight="1" x14ac:dyDescent="0.3">
      <c r="X82" s="1344"/>
    </row>
    <row r="83" spans="24:24" ht="15.75" customHeight="1" x14ac:dyDescent="0.3">
      <c r="X83" s="1344"/>
    </row>
    <row r="84" spans="24:24" ht="15.75" customHeight="1" x14ac:dyDescent="0.3">
      <c r="X84" s="1344"/>
    </row>
    <row r="85" spans="24:24" ht="15.75" customHeight="1" x14ac:dyDescent="0.3">
      <c r="X85" s="1344"/>
    </row>
    <row r="86" spans="24:24" ht="15.75" customHeight="1" x14ac:dyDescent="0.3">
      <c r="X86" s="1344"/>
    </row>
    <row r="87" spans="24:24" ht="15.75" customHeight="1" x14ac:dyDescent="0.3">
      <c r="X87" s="1344"/>
    </row>
    <row r="88" spans="24:24" ht="15.75" customHeight="1" x14ac:dyDescent="0.3">
      <c r="X88" s="1344"/>
    </row>
    <row r="89" spans="24:24" ht="15.75" customHeight="1" x14ac:dyDescent="0.3">
      <c r="X89" s="1344"/>
    </row>
    <row r="90" spans="24:24" ht="15.75" customHeight="1" x14ac:dyDescent="0.3">
      <c r="X90" s="1344"/>
    </row>
    <row r="91" spans="24:24" ht="15.75" customHeight="1" x14ac:dyDescent="0.3">
      <c r="X91" s="1344"/>
    </row>
    <row r="92" spans="24:24" ht="15.75" customHeight="1" x14ac:dyDescent="0.3">
      <c r="X92" s="1344"/>
    </row>
    <row r="93" spans="24:24" ht="15.75" customHeight="1" x14ac:dyDescent="0.3">
      <c r="X93" s="1344"/>
    </row>
    <row r="94" spans="24:24" ht="15.75" customHeight="1" x14ac:dyDescent="0.3">
      <c r="X94" s="1344"/>
    </row>
    <row r="95" spans="24:24" ht="15.75" customHeight="1" x14ac:dyDescent="0.3">
      <c r="X95" s="1344"/>
    </row>
    <row r="96" spans="24:24" ht="15.75" customHeight="1" x14ac:dyDescent="0.3">
      <c r="X96" s="1344"/>
    </row>
    <row r="97" spans="24:24" ht="15.75" customHeight="1" x14ac:dyDescent="0.3">
      <c r="X97" s="1344"/>
    </row>
    <row r="98" spans="24:24" ht="15.75" customHeight="1" x14ac:dyDescent="0.3">
      <c r="X98" s="1344"/>
    </row>
    <row r="99" spans="24:24" ht="15.75" customHeight="1" x14ac:dyDescent="0.3">
      <c r="X99" s="1344"/>
    </row>
    <row r="100" spans="24:24" ht="15.75" customHeight="1" x14ac:dyDescent="0.3">
      <c r="X100" s="1344"/>
    </row>
    <row r="101" spans="24:24" ht="15.75" customHeight="1" x14ac:dyDescent="0.3">
      <c r="X101" s="1344"/>
    </row>
    <row r="102" spans="24:24" ht="15.75" customHeight="1" x14ac:dyDescent="0.3">
      <c r="X102" s="1344"/>
    </row>
    <row r="103" spans="24:24" ht="15.75" customHeight="1" x14ac:dyDescent="0.3">
      <c r="X103" s="1344"/>
    </row>
    <row r="104" spans="24:24" ht="15.75" customHeight="1" x14ac:dyDescent="0.3">
      <c r="X104" s="1344"/>
    </row>
    <row r="105" spans="24:24" ht="15.75" customHeight="1" x14ac:dyDescent="0.3">
      <c r="X105" s="1344"/>
    </row>
    <row r="106" spans="24:24" ht="15.75" customHeight="1" x14ac:dyDescent="0.3">
      <c r="X106" s="1344"/>
    </row>
    <row r="107" spans="24:24" ht="15.75" customHeight="1" x14ac:dyDescent="0.3">
      <c r="X107" s="1344"/>
    </row>
    <row r="108" spans="24:24" ht="15.75" customHeight="1" x14ac:dyDescent="0.3">
      <c r="X108" s="1344"/>
    </row>
    <row r="109" spans="24:24" ht="15.75" customHeight="1" x14ac:dyDescent="0.3">
      <c r="X109" s="1344"/>
    </row>
    <row r="110" spans="24:24" ht="15.75" customHeight="1" x14ac:dyDescent="0.3">
      <c r="X110" s="1344"/>
    </row>
    <row r="111" spans="24:24" ht="15.75" customHeight="1" x14ac:dyDescent="0.3">
      <c r="X111" s="1344"/>
    </row>
    <row r="112" spans="24:24" ht="15.75" customHeight="1" x14ac:dyDescent="0.3">
      <c r="X112" s="1344"/>
    </row>
    <row r="113" spans="24:24" ht="15.75" customHeight="1" x14ac:dyDescent="0.3">
      <c r="X113" s="1344"/>
    </row>
    <row r="114" spans="24:24" ht="15.75" customHeight="1" x14ac:dyDescent="0.3">
      <c r="X114" s="1344"/>
    </row>
    <row r="115" spans="24:24" ht="15.75" customHeight="1" x14ac:dyDescent="0.3">
      <c r="X115" s="1344"/>
    </row>
    <row r="116" spans="24:24" ht="15.75" customHeight="1" x14ac:dyDescent="0.3">
      <c r="X116" s="1344"/>
    </row>
    <row r="117" spans="24:24" ht="15.75" customHeight="1" x14ac:dyDescent="0.3">
      <c r="X117" s="1344"/>
    </row>
    <row r="118" spans="24:24" ht="15.75" customHeight="1" x14ac:dyDescent="0.3">
      <c r="X118" s="1344"/>
    </row>
    <row r="119" spans="24:24" ht="15.75" customHeight="1" x14ac:dyDescent="0.3">
      <c r="X119" s="1344"/>
    </row>
    <row r="120" spans="24:24" ht="15.75" customHeight="1" x14ac:dyDescent="0.3">
      <c r="X120" s="1344"/>
    </row>
    <row r="121" spans="24:24" ht="15.75" customHeight="1" x14ac:dyDescent="0.3">
      <c r="X121" s="1344"/>
    </row>
    <row r="122" spans="24:24" ht="15.75" customHeight="1" x14ac:dyDescent="0.3">
      <c r="X122" s="1344"/>
    </row>
    <row r="123" spans="24:24" ht="15.75" customHeight="1" x14ac:dyDescent="0.3">
      <c r="X123" s="1344"/>
    </row>
    <row r="124" spans="24:24" ht="15.75" customHeight="1" x14ac:dyDescent="0.3">
      <c r="X124" s="1344"/>
    </row>
    <row r="125" spans="24:24" ht="15.75" customHeight="1" x14ac:dyDescent="0.3">
      <c r="X125" s="1344"/>
    </row>
    <row r="126" spans="24:24" ht="15.75" customHeight="1" x14ac:dyDescent="0.3">
      <c r="X126" s="1344"/>
    </row>
    <row r="127" spans="24:24" ht="15.75" customHeight="1" x14ac:dyDescent="0.3">
      <c r="X127" s="1344"/>
    </row>
    <row r="128" spans="24:24" ht="15.75" customHeight="1" x14ac:dyDescent="0.3">
      <c r="X128" s="1344"/>
    </row>
    <row r="129" spans="24:24" ht="15.75" customHeight="1" x14ac:dyDescent="0.3">
      <c r="X129" s="1344"/>
    </row>
    <row r="130" spans="24:24" ht="15.75" customHeight="1" x14ac:dyDescent="0.3">
      <c r="X130" s="1344"/>
    </row>
    <row r="131" spans="24:24" ht="15.75" customHeight="1" x14ac:dyDescent="0.3">
      <c r="X131" s="1344"/>
    </row>
    <row r="132" spans="24:24" ht="15.75" customHeight="1" x14ac:dyDescent="0.3">
      <c r="X132" s="1344"/>
    </row>
    <row r="133" spans="24:24" ht="15.75" customHeight="1" x14ac:dyDescent="0.3">
      <c r="X133" s="1344"/>
    </row>
    <row r="134" spans="24:24" ht="15.75" customHeight="1" x14ac:dyDescent="0.3">
      <c r="X134" s="1344"/>
    </row>
    <row r="135" spans="24:24" ht="15.75" customHeight="1" x14ac:dyDescent="0.3">
      <c r="X135" s="1344"/>
    </row>
    <row r="136" spans="24:24" ht="15.75" customHeight="1" x14ac:dyDescent="0.3">
      <c r="X136" s="1344"/>
    </row>
    <row r="137" spans="24:24" ht="15.75" customHeight="1" x14ac:dyDescent="0.3">
      <c r="X137" s="1344"/>
    </row>
    <row r="138" spans="24:24" ht="15.75" customHeight="1" x14ac:dyDescent="0.3">
      <c r="X138" s="1344"/>
    </row>
    <row r="139" spans="24:24" ht="15.75" customHeight="1" x14ac:dyDescent="0.3">
      <c r="X139" s="1344"/>
    </row>
    <row r="140" spans="24:24" ht="15.75" customHeight="1" x14ac:dyDescent="0.3">
      <c r="X140" s="1344"/>
    </row>
    <row r="141" spans="24:24" ht="15.75" customHeight="1" x14ac:dyDescent="0.3">
      <c r="X141" s="1344"/>
    </row>
    <row r="142" spans="24:24" ht="15.75" customHeight="1" x14ac:dyDescent="0.3">
      <c r="X142" s="1344"/>
    </row>
    <row r="143" spans="24:24" ht="15.75" customHeight="1" x14ac:dyDescent="0.3">
      <c r="X143" s="1344"/>
    </row>
    <row r="144" spans="24:24" ht="15.75" customHeight="1" x14ac:dyDescent="0.3">
      <c r="X144" s="1344"/>
    </row>
    <row r="145" spans="24:24" ht="15.75" customHeight="1" x14ac:dyDescent="0.3">
      <c r="X145" s="1344"/>
    </row>
    <row r="146" spans="24:24" ht="15.75" customHeight="1" x14ac:dyDescent="0.3">
      <c r="X146" s="1344"/>
    </row>
    <row r="147" spans="24:24" ht="15.75" customHeight="1" x14ac:dyDescent="0.3">
      <c r="X147" s="1344"/>
    </row>
    <row r="148" spans="24:24" ht="15.75" customHeight="1" x14ac:dyDescent="0.3">
      <c r="X148" s="1344"/>
    </row>
    <row r="149" spans="24:24" ht="15.75" customHeight="1" x14ac:dyDescent="0.3">
      <c r="X149" s="1344"/>
    </row>
    <row r="150" spans="24:24" ht="15.75" customHeight="1" x14ac:dyDescent="0.3">
      <c r="X150" s="1344"/>
    </row>
    <row r="151" spans="24:24" ht="15.75" customHeight="1" x14ac:dyDescent="0.3">
      <c r="X151" s="1344"/>
    </row>
    <row r="152" spans="24:24" ht="15.75" customHeight="1" x14ac:dyDescent="0.3">
      <c r="X152" s="1344"/>
    </row>
    <row r="153" spans="24:24" ht="15.75" customHeight="1" x14ac:dyDescent="0.3">
      <c r="X153" s="1344"/>
    </row>
    <row r="154" spans="24:24" ht="15.75" customHeight="1" x14ac:dyDescent="0.3">
      <c r="X154" s="1344"/>
    </row>
    <row r="155" spans="24:24" ht="15.75" customHeight="1" x14ac:dyDescent="0.3">
      <c r="X155" s="1344"/>
    </row>
    <row r="156" spans="24:24" ht="15.75" customHeight="1" x14ac:dyDescent="0.3">
      <c r="X156" s="1344"/>
    </row>
    <row r="157" spans="24:24" ht="15.75" customHeight="1" x14ac:dyDescent="0.3">
      <c r="X157" s="1344"/>
    </row>
    <row r="158" spans="24:24" ht="15.75" customHeight="1" x14ac:dyDescent="0.3">
      <c r="X158" s="1344"/>
    </row>
    <row r="159" spans="24:24" ht="15.75" customHeight="1" x14ac:dyDescent="0.3">
      <c r="X159" s="1344"/>
    </row>
    <row r="160" spans="24:24" ht="15.75" customHeight="1" x14ac:dyDescent="0.3">
      <c r="X160" s="1344"/>
    </row>
    <row r="161" spans="24:24" ht="15.75" customHeight="1" x14ac:dyDescent="0.3">
      <c r="X161" s="1344"/>
    </row>
    <row r="162" spans="24:24" ht="15.75" customHeight="1" x14ac:dyDescent="0.3">
      <c r="X162" s="1344"/>
    </row>
    <row r="163" spans="24:24" ht="15.75" customHeight="1" x14ac:dyDescent="0.3">
      <c r="X163" s="1344"/>
    </row>
    <row r="164" spans="24:24" ht="15.75" customHeight="1" x14ac:dyDescent="0.3">
      <c r="X164" s="1344"/>
    </row>
    <row r="165" spans="24:24" ht="15.75" customHeight="1" x14ac:dyDescent="0.3">
      <c r="X165" s="1344"/>
    </row>
    <row r="166" spans="24:24" ht="15.75" customHeight="1" x14ac:dyDescent="0.3">
      <c r="X166" s="1344"/>
    </row>
    <row r="167" spans="24:24" ht="15.75" customHeight="1" x14ac:dyDescent="0.3">
      <c r="X167" s="1344"/>
    </row>
    <row r="168" spans="24:24" ht="15.75" customHeight="1" x14ac:dyDescent="0.3">
      <c r="X168" s="1344"/>
    </row>
    <row r="169" spans="24:24" ht="15.75" customHeight="1" x14ac:dyDescent="0.3">
      <c r="X169" s="1344"/>
    </row>
    <row r="170" spans="24:24" ht="15.75" customHeight="1" x14ac:dyDescent="0.3">
      <c r="X170" s="1344"/>
    </row>
    <row r="171" spans="24:24" ht="15.75" customHeight="1" x14ac:dyDescent="0.3">
      <c r="X171" s="1344"/>
    </row>
    <row r="172" spans="24:24" ht="15.75" customHeight="1" x14ac:dyDescent="0.3">
      <c r="X172" s="1344"/>
    </row>
    <row r="173" spans="24:24" ht="15.75" customHeight="1" x14ac:dyDescent="0.3">
      <c r="X173" s="1344"/>
    </row>
    <row r="174" spans="24:24" ht="15.75" customHeight="1" x14ac:dyDescent="0.3">
      <c r="X174" s="1344"/>
    </row>
    <row r="175" spans="24:24" ht="15.75" customHeight="1" x14ac:dyDescent="0.3">
      <c r="X175" s="1344"/>
    </row>
    <row r="176" spans="24:24" ht="15.75" customHeight="1" x14ac:dyDescent="0.3">
      <c r="X176" s="1344"/>
    </row>
    <row r="177" spans="24:24" ht="15.75" customHeight="1" x14ac:dyDescent="0.3">
      <c r="X177" s="1344"/>
    </row>
    <row r="178" spans="24:24" ht="15.75" customHeight="1" x14ac:dyDescent="0.3">
      <c r="X178" s="1344"/>
    </row>
    <row r="179" spans="24:24" ht="15.75" customHeight="1" x14ac:dyDescent="0.3">
      <c r="X179" s="1344"/>
    </row>
    <row r="180" spans="24:24" ht="15.75" customHeight="1" x14ac:dyDescent="0.3">
      <c r="X180" s="1344"/>
    </row>
    <row r="181" spans="24:24" ht="15.75" customHeight="1" x14ac:dyDescent="0.3">
      <c r="X181" s="1344"/>
    </row>
    <row r="182" spans="24:24" ht="15.75" customHeight="1" x14ac:dyDescent="0.3">
      <c r="X182" s="1344"/>
    </row>
    <row r="183" spans="24:24" ht="15.75" customHeight="1" x14ac:dyDescent="0.3">
      <c r="X183" s="1344"/>
    </row>
    <row r="184" spans="24:24" ht="15.75" customHeight="1" x14ac:dyDescent="0.3">
      <c r="X184" s="1344"/>
    </row>
    <row r="185" spans="24:24" ht="15.75" customHeight="1" x14ac:dyDescent="0.3">
      <c r="X185" s="1344"/>
    </row>
    <row r="186" spans="24:24" ht="15.75" customHeight="1" x14ac:dyDescent="0.3">
      <c r="X186" s="1344"/>
    </row>
    <row r="187" spans="24:24" ht="15.75" customHeight="1" x14ac:dyDescent="0.3">
      <c r="X187" s="1344"/>
    </row>
    <row r="188" spans="24:24" ht="15.75" customHeight="1" x14ac:dyDescent="0.3">
      <c r="X188" s="1344"/>
    </row>
    <row r="189" spans="24:24" ht="15.75" customHeight="1" x14ac:dyDescent="0.3">
      <c r="X189" s="1344"/>
    </row>
    <row r="190" spans="24:24" ht="15.75" customHeight="1" x14ac:dyDescent="0.3">
      <c r="X190" s="1344"/>
    </row>
    <row r="191" spans="24:24" ht="15.75" customHeight="1" x14ac:dyDescent="0.3">
      <c r="X191" s="1344"/>
    </row>
    <row r="192" spans="24:24" ht="15.75" customHeight="1" x14ac:dyDescent="0.3">
      <c r="X192" s="1344"/>
    </row>
    <row r="193" spans="24:24" ht="15.75" customHeight="1" x14ac:dyDescent="0.3">
      <c r="X193" s="1344"/>
    </row>
    <row r="194" spans="24:24" ht="15.75" customHeight="1" x14ac:dyDescent="0.3">
      <c r="X194" s="1344"/>
    </row>
    <row r="195" spans="24:24" ht="15.75" customHeight="1" x14ac:dyDescent="0.3">
      <c r="X195" s="1344"/>
    </row>
    <row r="196" spans="24:24" ht="15.75" customHeight="1" x14ac:dyDescent="0.3">
      <c r="X196" s="1344"/>
    </row>
    <row r="197" spans="24:24" ht="15.75" customHeight="1" x14ac:dyDescent="0.3">
      <c r="X197" s="1344"/>
    </row>
    <row r="198" spans="24:24" ht="15.75" customHeight="1" x14ac:dyDescent="0.3">
      <c r="X198" s="1344"/>
    </row>
    <row r="199" spans="24:24" ht="15.75" customHeight="1" x14ac:dyDescent="0.3">
      <c r="X199" s="1344"/>
    </row>
    <row r="200" spans="24:24" ht="15.75" customHeight="1" x14ac:dyDescent="0.3">
      <c r="X200" s="1344"/>
    </row>
    <row r="201" spans="24:24" ht="15.75" customHeight="1" x14ac:dyDescent="0.3">
      <c r="X201" s="1344"/>
    </row>
    <row r="202" spans="24:24" ht="15.75" customHeight="1" x14ac:dyDescent="0.3">
      <c r="X202" s="1344"/>
    </row>
    <row r="203" spans="24:24" ht="15.75" customHeight="1" x14ac:dyDescent="0.3">
      <c r="X203" s="1344"/>
    </row>
    <row r="204" spans="24:24" ht="15.75" customHeight="1" x14ac:dyDescent="0.3">
      <c r="X204" s="1344"/>
    </row>
    <row r="205" spans="24:24" ht="15.75" customHeight="1" x14ac:dyDescent="0.3">
      <c r="X205" s="1344"/>
    </row>
    <row r="206" spans="24:24" ht="15.75" customHeight="1" x14ac:dyDescent="0.3">
      <c r="X206" s="1344"/>
    </row>
    <row r="207" spans="24:24" ht="15.75" customHeight="1" x14ac:dyDescent="0.3">
      <c r="X207" s="1344"/>
    </row>
    <row r="208" spans="24:24" ht="15.75" customHeight="1" x14ac:dyDescent="0.3">
      <c r="X208" s="1344"/>
    </row>
    <row r="209" spans="24:24" ht="15.75" customHeight="1" x14ac:dyDescent="0.3">
      <c r="X209" s="1344"/>
    </row>
    <row r="210" spans="24:24" ht="15.75" customHeight="1" x14ac:dyDescent="0.3">
      <c r="X210" s="1344"/>
    </row>
    <row r="211" spans="24:24" ht="15.75" customHeight="1" x14ac:dyDescent="0.3">
      <c r="X211" s="1344"/>
    </row>
    <row r="212" spans="24:24" ht="15.75" customHeight="1" x14ac:dyDescent="0.3">
      <c r="X212" s="1344"/>
    </row>
    <row r="213" spans="24:24" ht="15.75" customHeight="1" x14ac:dyDescent="0.3">
      <c r="X213" s="1344"/>
    </row>
    <row r="214" spans="24:24" ht="15.75" customHeight="1" x14ac:dyDescent="0.3">
      <c r="X214" s="1344"/>
    </row>
    <row r="215" spans="24:24" ht="15.75" customHeight="1" x14ac:dyDescent="0.3">
      <c r="X215" s="1344"/>
    </row>
    <row r="216" spans="24:24" ht="15.75" customHeight="1" x14ac:dyDescent="0.3">
      <c r="X216" s="1344"/>
    </row>
    <row r="217" spans="24:24" ht="15.75" customHeight="1" x14ac:dyDescent="0.3">
      <c r="X217" s="1344"/>
    </row>
    <row r="218" spans="24:24" ht="15.75" customHeight="1" x14ac:dyDescent="0.3">
      <c r="X218" s="1344"/>
    </row>
    <row r="219" spans="24:24" ht="15.75" customHeight="1" x14ac:dyDescent="0.3">
      <c r="X219" s="1344"/>
    </row>
    <row r="220" spans="24:24" ht="15.75" customHeight="1" x14ac:dyDescent="0.3">
      <c r="X220" s="1344"/>
    </row>
    <row r="221" spans="24:24" ht="15.75" customHeight="1" x14ac:dyDescent="0.3">
      <c r="X221" s="1344"/>
    </row>
    <row r="222" spans="24:24" ht="15.75" customHeight="1" x14ac:dyDescent="0.3">
      <c r="X222" s="1344"/>
    </row>
    <row r="223" spans="24:24" ht="15.75" customHeight="1" x14ac:dyDescent="0.3">
      <c r="X223" s="1344"/>
    </row>
    <row r="224" spans="24:24" ht="15.75" customHeight="1" x14ac:dyDescent="0.3">
      <c r="X224" s="1344"/>
    </row>
    <row r="225" spans="24:24" ht="15.75" customHeight="1" x14ac:dyDescent="0.3">
      <c r="X225" s="1344"/>
    </row>
    <row r="226" spans="24:24" ht="15.75" customHeight="1" x14ac:dyDescent="0.3">
      <c r="X226" s="1344"/>
    </row>
    <row r="227" spans="24:24" ht="15.75" customHeight="1" x14ac:dyDescent="0.3">
      <c r="X227" s="1344"/>
    </row>
    <row r="228" spans="24:24" ht="15.75" customHeight="1" x14ac:dyDescent="0.3">
      <c r="X228" s="1344"/>
    </row>
    <row r="229" spans="24:24" ht="15.75" customHeight="1" x14ac:dyDescent="0.3">
      <c r="X229" s="1344"/>
    </row>
    <row r="230" spans="24:24" ht="15.75" customHeight="1" x14ac:dyDescent="0.3">
      <c r="X230" s="1344"/>
    </row>
    <row r="231" spans="24:24" ht="15.75" customHeight="1" x14ac:dyDescent="0.3">
      <c r="X231" s="1344"/>
    </row>
    <row r="232" spans="24:24" ht="15.75" customHeight="1" x14ac:dyDescent="0.3">
      <c r="X232" s="1344"/>
    </row>
    <row r="233" spans="24:24" ht="15.75" customHeight="1" x14ac:dyDescent="0.3">
      <c r="X233" s="1344"/>
    </row>
    <row r="234" spans="24:24" ht="15.75" customHeight="1" x14ac:dyDescent="0.3">
      <c r="X234" s="1344"/>
    </row>
    <row r="235" spans="24:24" ht="15.75" customHeight="1" x14ac:dyDescent="0.3">
      <c r="X235" s="1344"/>
    </row>
    <row r="236" spans="24:24" ht="15.75" customHeight="1" x14ac:dyDescent="0.3">
      <c r="X236" s="1344"/>
    </row>
    <row r="237" spans="24:24" ht="15.75" customHeight="1" x14ac:dyDescent="0.3">
      <c r="X237" s="1344"/>
    </row>
    <row r="238" spans="24:24" ht="15.75" customHeight="1" x14ac:dyDescent="0.3">
      <c r="X238" s="1344"/>
    </row>
    <row r="239" spans="24:24" ht="15.75" customHeight="1" x14ac:dyDescent="0.3">
      <c r="X239" s="1344"/>
    </row>
    <row r="240" spans="24:24" ht="15.75" customHeight="1" x14ac:dyDescent="0.3">
      <c r="X240" s="1344"/>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C7:W7"/>
  </mergeCells>
  <phoneticPr fontId="94" type="noConversion"/>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FB89-3466-4F5D-B4AD-B86E91C4E868}">
  <dimension ref="A1:AD910"/>
  <sheetViews>
    <sheetView workbookViewId="0">
      <selection activeCell="AB14" sqref="AB14"/>
    </sheetView>
  </sheetViews>
  <sheetFormatPr defaultColWidth="12.44140625" defaultRowHeight="15" customHeight="1" x14ac:dyDescent="0.3"/>
  <cols>
    <col min="1" max="1" width="2.6640625" style="1336" customWidth="1"/>
    <col min="2" max="2" width="5.109375" style="1336" customWidth="1"/>
    <col min="3" max="3" width="30.44140625" style="1336" customWidth="1"/>
    <col min="4" max="4" width="38.77734375" style="1336" customWidth="1"/>
    <col min="5" max="5" width="9.5546875" style="1336" customWidth="1"/>
    <col min="6" max="6" width="30" style="1904" customWidth="1"/>
    <col min="7" max="7" width="12.77734375" style="1336" customWidth="1"/>
    <col min="8" max="8" width="12.77734375" style="1336" hidden="1" customWidth="1"/>
    <col min="9" max="9" width="12.77734375" style="1336" customWidth="1"/>
    <col min="10" max="12" width="12.77734375" style="1336" hidden="1" customWidth="1"/>
    <col min="13" max="25" width="11.5546875" style="1336" hidden="1" customWidth="1"/>
    <col min="26" max="26" width="11.5546875" style="1336" customWidth="1"/>
    <col min="27" max="30" width="11.6640625" style="1336" customWidth="1"/>
    <col min="31" max="16384" width="12.44140625" style="1336"/>
  </cols>
  <sheetData>
    <row r="1" spans="1:26" ht="23.25" customHeight="1" x14ac:dyDescent="0.35">
      <c r="A1" s="1334"/>
      <c r="B1" s="1335" t="s">
        <v>2367</v>
      </c>
    </row>
    <row r="2" spans="1:26" ht="13.5" customHeight="1" x14ac:dyDescent="0.3">
      <c r="A2" s="1334"/>
      <c r="B2" s="1337" t="s">
        <v>340</v>
      </c>
      <c r="C2" s="1338"/>
      <c r="D2" s="1338"/>
      <c r="E2" s="1338"/>
      <c r="F2" s="1905"/>
      <c r="G2" s="1338"/>
      <c r="H2" s="1338"/>
      <c r="I2" s="1338"/>
      <c r="J2" s="1338"/>
      <c r="K2" s="1338"/>
      <c r="L2" s="1338"/>
      <c r="M2" s="1338"/>
      <c r="N2" s="1338"/>
      <c r="O2" s="1338"/>
      <c r="P2" s="1338"/>
      <c r="Q2" s="1338"/>
      <c r="R2" s="1338"/>
      <c r="S2" s="1338"/>
      <c r="T2" s="1338"/>
      <c r="U2" s="1338"/>
      <c r="V2" s="1338"/>
      <c r="W2" s="1338"/>
      <c r="X2" s="1338"/>
      <c r="Y2" s="1338"/>
      <c r="Z2" s="1338"/>
    </row>
    <row r="3" spans="1:26" ht="15.75" customHeight="1" x14ac:dyDescent="0.3">
      <c r="B3" s="1339"/>
    </row>
    <row r="4" spans="1:26" ht="19.2" customHeight="1" x14ac:dyDescent="0.3">
      <c r="B4" s="1340" t="s">
        <v>1184</v>
      </c>
      <c r="C4" s="1341"/>
      <c r="D4" s="1341"/>
    </row>
    <row r="5" spans="1:26" ht="15.75" customHeight="1" x14ac:dyDescent="0.3">
      <c r="B5" s="1339"/>
    </row>
    <row r="6" spans="1:26" ht="15.75" customHeight="1" x14ac:dyDescent="0.3">
      <c r="B6" s="1342" t="s">
        <v>1185</v>
      </c>
    </row>
    <row r="7" spans="1:26" ht="9" customHeight="1" x14ac:dyDescent="0.3">
      <c r="B7" s="1343"/>
      <c r="G7" s="1344"/>
      <c r="H7" s="1344"/>
      <c r="I7" s="1344"/>
      <c r="J7" s="1344"/>
      <c r="K7" s="1344"/>
      <c r="L7" s="1344"/>
      <c r="Z7" s="1344"/>
    </row>
    <row r="8" spans="1:26" ht="15.75" customHeight="1" x14ac:dyDescent="0.3">
      <c r="B8" s="1345" t="s">
        <v>301</v>
      </c>
      <c r="C8" s="1346" t="s">
        <v>343</v>
      </c>
      <c r="D8" s="1347" t="s">
        <v>344</v>
      </c>
      <c r="E8" s="1347" t="s">
        <v>345</v>
      </c>
      <c r="F8" s="1906" t="s">
        <v>346</v>
      </c>
      <c r="G8" s="1348" t="s">
        <v>347</v>
      </c>
      <c r="H8" s="1349">
        <v>2025</v>
      </c>
      <c r="I8" s="1349">
        <v>2024</v>
      </c>
      <c r="J8" s="1349">
        <v>2023</v>
      </c>
      <c r="K8" s="1349">
        <v>2022</v>
      </c>
      <c r="L8" s="1349">
        <v>2021</v>
      </c>
      <c r="M8" s="1349">
        <v>2020</v>
      </c>
      <c r="N8" s="1349">
        <v>2019</v>
      </c>
      <c r="O8" s="1350">
        <v>2018</v>
      </c>
      <c r="P8" s="1350">
        <v>2017</v>
      </c>
      <c r="Q8" s="1350">
        <v>2016</v>
      </c>
      <c r="R8" s="1350">
        <v>2015</v>
      </c>
      <c r="S8" s="1350">
        <v>2014</v>
      </c>
      <c r="T8" s="1350">
        <v>2013</v>
      </c>
      <c r="U8" s="1350">
        <v>2012</v>
      </c>
      <c r="V8" s="1350">
        <v>2011</v>
      </c>
      <c r="W8" s="1350">
        <v>2010</v>
      </c>
      <c r="X8" s="1350">
        <v>2009</v>
      </c>
      <c r="Y8" s="1350">
        <v>2008</v>
      </c>
      <c r="Z8" s="1351" t="s">
        <v>332</v>
      </c>
    </row>
    <row r="9" spans="1:26" ht="24" customHeight="1" x14ac:dyDescent="0.3">
      <c r="B9" s="1907">
        <v>1</v>
      </c>
      <c r="C9" s="1908" t="s">
        <v>572</v>
      </c>
      <c r="D9" s="1909" t="s">
        <v>1979</v>
      </c>
      <c r="E9" s="1910" t="s">
        <v>363</v>
      </c>
      <c r="F9" s="1911" t="s">
        <v>1186</v>
      </c>
      <c r="G9" s="1912">
        <v>2013</v>
      </c>
      <c r="H9" s="1431"/>
      <c r="I9" s="1913">
        <v>998</v>
      </c>
      <c r="J9" s="1914">
        <v>931</v>
      </c>
      <c r="K9" s="1915">
        <v>1105</v>
      </c>
      <c r="L9" s="1915">
        <v>0</v>
      </c>
      <c r="M9" s="1915">
        <v>0</v>
      </c>
      <c r="N9" s="1916">
        <v>1487</v>
      </c>
      <c r="O9" s="1916">
        <v>1261</v>
      </c>
      <c r="P9" s="1917">
        <v>2106</v>
      </c>
      <c r="Q9" s="1917">
        <v>2152</v>
      </c>
      <c r="R9" s="1917">
        <v>1650</v>
      </c>
      <c r="S9" s="1917">
        <v>1361</v>
      </c>
      <c r="T9" s="1917">
        <v>1133.23</v>
      </c>
      <c r="U9" s="1918"/>
      <c r="V9" s="1431"/>
      <c r="W9" s="1918"/>
      <c r="X9" s="1431"/>
      <c r="Y9" s="1918"/>
      <c r="Z9" s="1431"/>
    </row>
    <row r="10" spans="1:26" ht="24" customHeight="1" x14ac:dyDescent="0.3">
      <c r="B10" s="1919">
        <v>2</v>
      </c>
      <c r="C10" s="1920" t="s">
        <v>572</v>
      </c>
      <c r="D10" s="1921" t="s">
        <v>1980</v>
      </c>
      <c r="E10" s="1922" t="s">
        <v>363</v>
      </c>
      <c r="F10" s="1923" t="s">
        <v>1186</v>
      </c>
      <c r="G10" s="1924">
        <v>2013</v>
      </c>
      <c r="H10" s="1438"/>
      <c r="I10" s="1370">
        <v>9103</v>
      </c>
      <c r="J10" s="1371">
        <v>9010</v>
      </c>
      <c r="K10" s="1925">
        <v>10337</v>
      </c>
      <c r="L10" s="1925">
        <v>0</v>
      </c>
      <c r="M10" s="1925">
        <v>0</v>
      </c>
      <c r="N10" s="1593">
        <v>8519</v>
      </c>
      <c r="O10" s="1926">
        <v>8494</v>
      </c>
      <c r="P10" s="1926">
        <v>12961</v>
      </c>
      <c r="Q10" s="1926">
        <v>11664</v>
      </c>
      <c r="R10" s="1926">
        <v>12302</v>
      </c>
      <c r="S10" s="1926">
        <v>11795</v>
      </c>
      <c r="T10" s="1926">
        <v>7865.62</v>
      </c>
      <c r="U10" s="1594"/>
      <c r="V10" s="1438"/>
      <c r="W10" s="1420"/>
      <c r="X10" s="1438"/>
      <c r="Y10" s="1420"/>
      <c r="Z10" s="1438"/>
    </row>
    <row r="11" spans="1:26" ht="24" customHeight="1" x14ac:dyDescent="0.3">
      <c r="B11" s="1919"/>
      <c r="C11" s="1920"/>
      <c r="D11" s="1921"/>
      <c r="E11" s="1922"/>
      <c r="F11" s="1923" t="s">
        <v>1187</v>
      </c>
      <c r="G11" s="1924"/>
      <c r="H11" s="1438"/>
      <c r="I11" s="1375">
        <f>D41</f>
        <v>6163.274322536854</v>
      </c>
      <c r="J11" s="1927">
        <v>6163.27</v>
      </c>
      <c r="K11" s="1925"/>
      <c r="L11" s="1925"/>
      <c r="M11" s="1925"/>
      <c r="N11" s="1593"/>
      <c r="O11" s="1926"/>
      <c r="P11" s="1926"/>
      <c r="Q11" s="1926"/>
      <c r="R11" s="1926"/>
      <c r="S11" s="1926"/>
      <c r="T11" s="1926"/>
      <c r="U11" s="1594"/>
      <c r="V11" s="1438"/>
      <c r="W11" s="1420"/>
      <c r="X11" s="1438"/>
      <c r="Y11" s="1420"/>
      <c r="Z11" s="1438"/>
    </row>
    <row r="12" spans="1:26" ht="24" customHeight="1" x14ac:dyDescent="0.3">
      <c r="B12" s="1919">
        <v>3</v>
      </c>
      <c r="C12" s="1928" t="s">
        <v>572</v>
      </c>
      <c r="D12" s="1909" t="s">
        <v>1981</v>
      </c>
      <c r="E12" s="1910" t="s">
        <v>363</v>
      </c>
      <c r="F12" s="1930" t="s">
        <v>1186</v>
      </c>
      <c r="G12" s="1931">
        <v>2013</v>
      </c>
      <c r="H12" s="1444"/>
      <c r="I12" s="1379">
        <v>165</v>
      </c>
      <c r="J12" s="1932">
        <v>202</v>
      </c>
      <c r="K12" s="1933">
        <v>254</v>
      </c>
      <c r="L12" s="1933">
        <v>11750.8</v>
      </c>
      <c r="M12" s="1933">
        <v>12298</v>
      </c>
      <c r="N12" s="1595">
        <v>275</v>
      </c>
      <c r="O12" s="1934">
        <v>264</v>
      </c>
      <c r="P12" s="1934">
        <v>329</v>
      </c>
      <c r="Q12" s="1934">
        <v>399</v>
      </c>
      <c r="R12" s="1934">
        <v>305</v>
      </c>
      <c r="S12" s="1934">
        <v>220</v>
      </c>
      <c r="T12" s="1934">
        <v>201.46</v>
      </c>
      <c r="U12" s="1410"/>
      <c r="V12" s="1444"/>
      <c r="W12" s="1935"/>
      <c r="X12" s="1444"/>
      <c r="Y12" s="1935"/>
      <c r="Z12" s="1444"/>
    </row>
    <row r="13" spans="1:26" ht="21" customHeight="1" x14ac:dyDescent="0.3">
      <c r="B13" s="1919">
        <v>4</v>
      </c>
      <c r="C13" s="1928" t="s">
        <v>572</v>
      </c>
      <c r="D13" s="1909" t="s">
        <v>1982</v>
      </c>
      <c r="E13" s="1910" t="s">
        <v>363</v>
      </c>
      <c r="F13" s="1930" t="s">
        <v>1186</v>
      </c>
      <c r="G13" s="1931">
        <v>2013</v>
      </c>
      <c r="H13" s="1444"/>
      <c r="I13" s="1378"/>
      <c r="J13" s="1936">
        <v>231</v>
      </c>
      <c r="K13" s="1933">
        <v>145</v>
      </c>
      <c r="L13" s="1933">
        <v>0</v>
      </c>
      <c r="M13" s="1933">
        <v>68</v>
      </c>
      <c r="N13" s="1595">
        <v>191</v>
      </c>
      <c r="O13" s="1934">
        <v>217</v>
      </c>
      <c r="P13" s="1934">
        <v>160</v>
      </c>
      <c r="Q13" s="1934">
        <v>173</v>
      </c>
      <c r="R13" s="1934">
        <v>139</v>
      </c>
      <c r="S13" s="1934">
        <v>152</v>
      </c>
      <c r="T13" s="1934">
        <v>119.25</v>
      </c>
      <c r="U13" s="1410"/>
      <c r="V13" s="1444"/>
      <c r="W13" s="1935"/>
      <c r="X13" s="1444"/>
      <c r="Y13" s="1935"/>
      <c r="Z13" s="1444"/>
    </row>
    <row r="14" spans="1:26" ht="24" customHeight="1" x14ac:dyDescent="0.3">
      <c r="B14" s="1919">
        <v>5</v>
      </c>
      <c r="C14" s="1920" t="s">
        <v>572</v>
      </c>
      <c r="D14" s="1920" t="s">
        <v>1983</v>
      </c>
      <c r="E14" s="1922" t="s">
        <v>363</v>
      </c>
      <c r="F14" s="1923" t="s">
        <v>1186</v>
      </c>
      <c r="G14" s="1924">
        <v>2013</v>
      </c>
      <c r="H14" s="1438"/>
      <c r="I14" s="1375">
        <v>86</v>
      </c>
      <c r="J14" s="1927">
        <v>106</v>
      </c>
      <c r="K14" s="1925">
        <v>10337</v>
      </c>
      <c r="L14" s="1925">
        <v>310</v>
      </c>
      <c r="M14" s="1925">
        <v>322</v>
      </c>
      <c r="N14" s="1593">
        <v>180</v>
      </c>
      <c r="O14" s="1926">
        <v>166</v>
      </c>
      <c r="P14" s="1926">
        <v>224</v>
      </c>
      <c r="Q14" s="1926">
        <v>201</v>
      </c>
      <c r="R14" s="1926">
        <v>122</v>
      </c>
      <c r="S14" s="1926">
        <v>137</v>
      </c>
      <c r="T14" s="1926">
        <v>51.78</v>
      </c>
      <c r="U14" s="1417"/>
      <c r="V14" s="1449"/>
      <c r="W14" s="1451"/>
      <c r="X14" s="1449"/>
      <c r="Y14" s="1451"/>
      <c r="Z14" s="1438"/>
    </row>
    <row r="15" spans="1:26" ht="15.75" customHeight="1" x14ac:dyDescent="0.3">
      <c r="B15" s="1919">
        <v>6</v>
      </c>
      <c r="C15" s="1928" t="s">
        <v>572</v>
      </c>
      <c r="D15" s="1929" t="s">
        <v>1984</v>
      </c>
      <c r="E15" s="1910" t="s">
        <v>363</v>
      </c>
      <c r="F15" s="1930" t="s">
        <v>1186</v>
      </c>
      <c r="G15" s="1931">
        <v>2013</v>
      </c>
      <c r="H15" s="1937"/>
      <c r="I15" s="1379">
        <v>239</v>
      </c>
      <c r="J15" s="1936">
        <v>192</v>
      </c>
      <c r="K15" s="1933">
        <v>320</v>
      </c>
      <c r="L15" s="1933">
        <v>374</v>
      </c>
      <c r="M15" s="1933">
        <v>312</v>
      </c>
      <c r="N15" s="1595">
        <v>269</v>
      </c>
      <c r="O15" s="1934">
        <v>326</v>
      </c>
      <c r="P15" s="1934">
        <v>335</v>
      </c>
      <c r="Q15" s="1934">
        <v>388</v>
      </c>
      <c r="R15" s="1934">
        <v>448</v>
      </c>
      <c r="S15" s="1934">
        <v>554</v>
      </c>
      <c r="T15" s="1934">
        <v>677.27</v>
      </c>
      <c r="U15" s="1410"/>
      <c r="V15" s="1935"/>
      <c r="W15" s="1935"/>
      <c r="X15" s="1935"/>
      <c r="Y15" s="1935"/>
      <c r="Z15" s="4184"/>
    </row>
    <row r="16" spans="1:26" ht="15.75" customHeight="1" x14ac:dyDescent="0.3">
      <c r="B16" s="1919">
        <v>7</v>
      </c>
      <c r="C16" s="1928" t="s">
        <v>572</v>
      </c>
      <c r="D16" s="1929" t="s">
        <v>1985</v>
      </c>
      <c r="E16" s="1910" t="s">
        <v>363</v>
      </c>
      <c r="F16" s="1930" t="s">
        <v>1186</v>
      </c>
      <c r="G16" s="1931">
        <v>2013</v>
      </c>
      <c r="H16" s="1444"/>
      <c r="I16" s="1378"/>
      <c r="J16" s="1936">
        <v>191</v>
      </c>
      <c r="K16" s="1933">
        <v>337</v>
      </c>
      <c r="L16" s="1933">
        <v>410</v>
      </c>
      <c r="M16" s="1933">
        <v>223</v>
      </c>
      <c r="N16" s="1595">
        <v>209</v>
      </c>
      <c r="O16" s="1934">
        <v>206</v>
      </c>
      <c r="P16" s="1934">
        <v>223</v>
      </c>
      <c r="Q16" s="1934">
        <v>253</v>
      </c>
      <c r="R16" s="1934">
        <v>212</v>
      </c>
      <c r="S16" s="1934">
        <v>97</v>
      </c>
      <c r="T16" s="1934">
        <v>111.57</v>
      </c>
      <c r="U16" s="1410"/>
      <c r="V16" s="1935"/>
      <c r="W16" s="1935"/>
      <c r="X16" s="1935"/>
      <c r="Y16" s="1935"/>
      <c r="Z16" s="4184"/>
    </row>
    <row r="17" spans="2:26" ht="15.75" customHeight="1" x14ac:dyDescent="0.3">
      <c r="B17" s="1919">
        <v>8</v>
      </c>
      <c r="C17" s="1920" t="s">
        <v>572</v>
      </c>
      <c r="D17" s="1921" t="s">
        <v>1986</v>
      </c>
      <c r="E17" s="1922" t="s">
        <v>363</v>
      </c>
      <c r="F17" s="1923" t="s">
        <v>1186</v>
      </c>
      <c r="G17" s="1924">
        <v>2013</v>
      </c>
      <c r="H17" s="1438"/>
      <c r="I17" s="1375">
        <v>358.11900000000003</v>
      </c>
      <c r="J17" s="1927">
        <v>1307</v>
      </c>
      <c r="K17" s="1925">
        <v>2295</v>
      </c>
      <c r="L17" s="1925">
        <v>2061</v>
      </c>
      <c r="M17" s="1925">
        <v>312</v>
      </c>
      <c r="N17" s="1593">
        <v>1594</v>
      </c>
      <c r="O17" s="1926">
        <v>1779</v>
      </c>
      <c r="P17" s="1926">
        <v>2390</v>
      </c>
      <c r="Q17" s="1926">
        <v>2319</v>
      </c>
      <c r="R17" s="1926">
        <v>2606</v>
      </c>
      <c r="S17" s="1926">
        <v>2374</v>
      </c>
      <c r="T17" s="1926">
        <v>2932.34</v>
      </c>
      <c r="U17" s="1417"/>
      <c r="V17" s="1451"/>
      <c r="W17" s="1451"/>
      <c r="X17" s="1451"/>
      <c r="Y17" s="1451"/>
      <c r="Z17" s="4187"/>
    </row>
    <row r="18" spans="2:26" ht="19.2" customHeight="1" x14ac:dyDescent="0.3">
      <c r="B18" s="1919">
        <v>9</v>
      </c>
      <c r="C18" s="1928" t="s">
        <v>572</v>
      </c>
      <c r="D18" s="1929" t="s">
        <v>1987</v>
      </c>
      <c r="E18" s="1910" t="s">
        <v>363</v>
      </c>
      <c r="F18" s="1930" t="s">
        <v>1186</v>
      </c>
      <c r="G18" s="1931">
        <v>2013</v>
      </c>
      <c r="H18" s="1444"/>
      <c r="I18" s="1379">
        <v>980</v>
      </c>
      <c r="J18" s="1936">
        <v>1096</v>
      </c>
      <c r="K18" s="1933">
        <v>1180</v>
      </c>
      <c r="L18" s="1933">
        <v>3692</v>
      </c>
      <c r="M18" s="1933">
        <v>1348</v>
      </c>
      <c r="N18" s="1595">
        <v>610</v>
      </c>
      <c r="O18" s="1934">
        <v>745</v>
      </c>
      <c r="P18" s="1934">
        <v>1395</v>
      </c>
      <c r="Q18" s="1934">
        <v>4068.9655172413791</v>
      </c>
      <c r="R18" s="1934">
        <v>1542</v>
      </c>
      <c r="S18" s="1934">
        <v>0</v>
      </c>
      <c r="T18" s="1934">
        <v>22.67</v>
      </c>
      <c r="U18" s="1410"/>
      <c r="V18" s="1935"/>
      <c r="W18" s="1935"/>
      <c r="X18" s="1935"/>
      <c r="Y18" s="1935"/>
      <c r="Z18" s="4184"/>
    </row>
    <row r="19" spans="2:26" ht="19.2" customHeight="1" x14ac:dyDescent="0.3">
      <c r="B19" s="1919">
        <v>10</v>
      </c>
      <c r="C19" s="1928" t="s">
        <v>572</v>
      </c>
      <c r="D19" s="1929" t="s">
        <v>1988</v>
      </c>
      <c r="E19" s="1910" t="s">
        <v>363</v>
      </c>
      <c r="F19" s="1930" t="s">
        <v>1186</v>
      </c>
      <c r="G19" s="1931">
        <v>2013</v>
      </c>
      <c r="H19" s="1444"/>
      <c r="I19" s="1379">
        <v>4770</v>
      </c>
      <c r="J19" s="1938">
        <v>7391</v>
      </c>
      <c r="K19" s="1933">
        <v>9640</v>
      </c>
      <c r="L19" s="1933">
        <v>7914</v>
      </c>
      <c r="M19" s="1933">
        <v>1348</v>
      </c>
      <c r="N19" s="1595">
        <v>6264</v>
      </c>
      <c r="O19" s="1934">
        <v>7105</v>
      </c>
      <c r="P19" s="1934">
        <v>2578</v>
      </c>
      <c r="Q19" s="1934">
        <v>0</v>
      </c>
      <c r="R19" s="1939">
        <v>0</v>
      </c>
      <c r="S19" s="1939">
        <v>0</v>
      </c>
      <c r="T19" s="1939">
        <v>0</v>
      </c>
      <c r="U19" s="1410"/>
      <c r="V19" s="1935"/>
      <c r="W19" s="1935"/>
      <c r="X19" s="1935"/>
      <c r="Y19" s="1935"/>
      <c r="Z19" s="4184"/>
    </row>
    <row r="20" spans="2:26" ht="19.2" customHeight="1" x14ac:dyDescent="0.3">
      <c r="B20" s="1919"/>
      <c r="C20" s="1928"/>
      <c r="D20" s="1929"/>
      <c r="E20" s="1910"/>
      <c r="F20" s="1930" t="s">
        <v>1187</v>
      </c>
      <c r="G20" s="1931"/>
      <c r="H20" s="1444"/>
      <c r="I20" s="1378"/>
      <c r="J20" s="1932">
        <v>6163.27</v>
      </c>
      <c r="K20" s="1933"/>
      <c r="L20" s="1933"/>
      <c r="M20" s="1933"/>
      <c r="N20" s="1595"/>
      <c r="O20" s="1934"/>
      <c r="P20" s="1934"/>
      <c r="Q20" s="1934"/>
      <c r="R20" s="1939"/>
      <c r="S20" s="1939"/>
      <c r="T20" s="1939"/>
      <c r="U20" s="1410"/>
      <c r="V20" s="1935"/>
      <c r="W20" s="1935"/>
      <c r="X20" s="1935"/>
      <c r="Y20" s="1935"/>
      <c r="Z20" s="4184"/>
    </row>
    <row r="21" spans="2:26" ht="19.2" customHeight="1" x14ac:dyDescent="0.3">
      <c r="B21" s="1919">
        <v>11</v>
      </c>
      <c r="C21" s="1928" t="s">
        <v>572</v>
      </c>
      <c r="D21" s="1929" t="s">
        <v>1989</v>
      </c>
      <c r="E21" s="1910" t="s">
        <v>363</v>
      </c>
      <c r="F21" s="1930" t="s">
        <v>1186</v>
      </c>
      <c r="G21" s="1931">
        <v>2013</v>
      </c>
      <c r="H21" s="1940"/>
      <c r="I21" s="1379">
        <v>59</v>
      </c>
      <c r="J21" s="1936">
        <v>76</v>
      </c>
      <c r="K21" s="1933">
        <v>95</v>
      </c>
      <c r="L21" s="1933">
        <v>139</v>
      </c>
      <c r="M21" s="1933">
        <v>223</v>
      </c>
      <c r="N21" s="1595">
        <v>94</v>
      </c>
      <c r="O21" s="1934">
        <v>107</v>
      </c>
      <c r="P21" s="1934">
        <v>0</v>
      </c>
      <c r="Q21" s="1939">
        <v>0</v>
      </c>
      <c r="R21" s="1934">
        <v>105</v>
      </c>
      <c r="S21" s="1934">
        <v>107</v>
      </c>
      <c r="T21" s="1934">
        <v>131.63999999999999</v>
      </c>
      <c r="U21" s="1918"/>
      <c r="V21" s="1918"/>
      <c r="W21" s="1918"/>
      <c r="X21" s="1918"/>
      <c r="Y21" s="1918"/>
      <c r="Z21" s="4185"/>
    </row>
    <row r="22" spans="2:26" ht="19.2" customHeight="1" x14ac:dyDescent="0.3">
      <c r="B22" s="1919">
        <v>12</v>
      </c>
      <c r="C22" s="1920" t="s">
        <v>572</v>
      </c>
      <c r="D22" s="1921" t="s">
        <v>1969</v>
      </c>
      <c r="E22" s="1922" t="s">
        <v>363</v>
      </c>
      <c r="F22" s="1923" t="s">
        <v>1186</v>
      </c>
      <c r="G22" s="1924">
        <v>2013</v>
      </c>
      <c r="H22" s="1438"/>
      <c r="I22" s="1375">
        <v>378</v>
      </c>
      <c r="J22" s="1927">
        <v>178</v>
      </c>
      <c r="K22" s="1925">
        <v>1502</v>
      </c>
      <c r="L22" s="1925">
        <v>716</v>
      </c>
      <c r="M22" s="1925">
        <v>77</v>
      </c>
      <c r="N22" s="1593">
        <v>56</v>
      </c>
      <c r="O22" s="1926">
        <v>382</v>
      </c>
      <c r="P22" s="1926">
        <v>0</v>
      </c>
      <c r="Q22" s="1941">
        <v>0</v>
      </c>
      <c r="R22" s="1926">
        <v>629</v>
      </c>
      <c r="S22" s="1941">
        <v>0</v>
      </c>
      <c r="T22" s="1941">
        <v>0</v>
      </c>
      <c r="U22" s="1942"/>
      <c r="Z22" s="3603"/>
    </row>
    <row r="23" spans="2:26" ht="19.2" customHeight="1" x14ac:dyDescent="0.3">
      <c r="B23" s="1919">
        <v>13</v>
      </c>
      <c r="C23" s="1920" t="s">
        <v>572</v>
      </c>
      <c r="D23" s="1921" t="s">
        <v>1970</v>
      </c>
      <c r="E23" s="1922" t="s">
        <v>363</v>
      </c>
      <c r="F23" s="1923" t="s">
        <v>1186</v>
      </c>
      <c r="G23" s="1924">
        <v>2013</v>
      </c>
      <c r="H23" s="1438"/>
      <c r="I23" s="1370"/>
      <c r="J23" s="1927">
        <v>0</v>
      </c>
      <c r="K23" s="1925">
        <v>1027</v>
      </c>
      <c r="L23" s="1925">
        <v>139</v>
      </c>
      <c r="M23" s="1925">
        <v>57</v>
      </c>
      <c r="N23" s="1593">
        <v>175</v>
      </c>
      <c r="O23" s="1926">
        <v>471</v>
      </c>
      <c r="P23" s="1926">
        <v>0</v>
      </c>
      <c r="Q23" s="1941">
        <v>0</v>
      </c>
      <c r="R23" s="1941">
        <v>0</v>
      </c>
      <c r="S23" s="1941">
        <v>0</v>
      </c>
      <c r="T23" s="1941">
        <v>0</v>
      </c>
      <c r="U23" s="1942"/>
      <c r="Z23" s="3603"/>
    </row>
    <row r="24" spans="2:26" ht="19.2" customHeight="1" x14ac:dyDescent="0.3">
      <c r="B24" s="1919">
        <v>14</v>
      </c>
      <c r="C24" s="1928" t="s">
        <v>572</v>
      </c>
      <c r="D24" s="1929" t="s">
        <v>1971</v>
      </c>
      <c r="E24" s="1910" t="s">
        <v>363</v>
      </c>
      <c r="F24" s="1930" t="s">
        <v>1186</v>
      </c>
      <c r="G24" s="1931">
        <v>2013</v>
      </c>
      <c r="H24" s="1444"/>
      <c r="I24" s="1379">
        <v>138</v>
      </c>
      <c r="J24" s="1936">
        <v>574</v>
      </c>
      <c r="K24" s="1933">
        <v>660</v>
      </c>
      <c r="L24" s="1933">
        <v>531</v>
      </c>
      <c r="M24" s="1933">
        <v>88</v>
      </c>
      <c r="N24" s="1595">
        <v>83</v>
      </c>
      <c r="O24" s="1934">
        <v>0</v>
      </c>
      <c r="P24" s="1934">
        <v>0</v>
      </c>
      <c r="Q24" s="1939">
        <v>0</v>
      </c>
      <c r="R24" s="1934">
        <v>63</v>
      </c>
      <c r="S24" s="1934">
        <v>156</v>
      </c>
      <c r="T24" s="1934">
        <v>281.63</v>
      </c>
      <c r="U24" s="1943"/>
      <c r="V24" s="1410"/>
      <c r="W24" s="1410"/>
      <c r="X24" s="1410"/>
      <c r="Y24" s="1410"/>
      <c r="Z24" s="4186"/>
    </row>
    <row r="25" spans="2:26" ht="19.2" customHeight="1" x14ac:dyDescent="0.3">
      <c r="B25" s="1919">
        <v>15</v>
      </c>
      <c r="C25" s="1920" t="s">
        <v>572</v>
      </c>
      <c r="D25" s="1921" t="s">
        <v>1972</v>
      </c>
      <c r="E25" s="1922" t="s">
        <v>363</v>
      </c>
      <c r="F25" s="1923" t="s">
        <v>1186</v>
      </c>
      <c r="G25" s="1924">
        <v>2013</v>
      </c>
      <c r="H25" s="1438"/>
      <c r="I25" s="1370"/>
      <c r="J25" s="1927">
        <v>0</v>
      </c>
      <c r="K25" s="1925">
        <v>30</v>
      </c>
      <c r="L25" s="1925">
        <v>0</v>
      </c>
      <c r="M25" s="1925">
        <v>0</v>
      </c>
      <c r="N25" s="1926">
        <v>0</v>
      </c>
      <c r="O25" s="1926">
        <v>0</v>
      </c>
      <c r="P25" s="1926">
        <v>0</v>
      </c>
      <c r="Q25" s="1941">
        <v>0</v>
      </c>
      <c r="R25" s="1926">
        <v>75</v>
      </c>
      <c r="S25" s="1941">
        <v>0</v>
      </c>
      <c r="T25" s="1941">
        <v>0</v>
      </c>
      <c r="U25" s="1942"/>
      <c r="Z25" s="3603"/>
    </row>
    <row r="26" spans="2:26" ht="19.2" customHeight="1" x14ac:dyDescent="0.3">
      <c r="B26" s="1919">
        <v>16</v>
      </c>
      <c r="C26" s="1920" t="s">
        <v>572</v>
      </c>
      <c r="D26" s="1921" t="s">
        <v>1973</v>
      </c>
      <c r="E26" s="1944" t="s">
        <v>363</v>
      </c>
      <c r="F26" s="1923" t="s">
        <v>1186</v>
      </c>
      <c r="G26" s="1924">
        <v>2013</v>
      </c>
      <c r="H26" s="1438"/>
      <c r="I26" s="1375">
        <v>44</v>
      </c>
      <c r="J26" s="1927">
        <v>60</v>
      </c>
      <c r="K26" s="1945">
        <v>77</v>
      </c>
      <c r="L26" s="1945">
        <v>121</v>
      </c>
      <c r="M26" s="1945">
        <v>88</v>
      </c>
      <c r="N26" s="1946">
        <v>85</v>
      </c>
      <c r="O26" s="1947"/>
      <c r="P26" s="1947"/>
      <c r="Q26" s="1948"/>
      <c r="R26" s="1947"/>
      <c r="S26" s="1948"/>
      <c r="T26" s="1948"/>
      <c r="U26" s="1942"/>
      <c r="Z26" s="3603"/>
    </row>
    <row r="27" spans="2:26" ht="15.75" customHeight="1" x14ac:dyDescent="0.3">
      <c r="B27" s="1919">
        <v>17</v>
      </c>
      <c r="C27" s="1928" t="s">
        <v>572</v>
      </c>
      <c r="D27" s="1928" t="s">
        <v>1974</v>
      </c>
      <c r="E27" s="1949" t="s">
        <v>363</v>
      </c>
      <c r="F27" s="1930" t="s">
        <v>1186</v>
      </c>
      <c r="G27" s="1931">
        <v>2013</v>
      </c>
      <c r="H27" s="1444"/>
      <c r="I27" s="1379">
        <v>1571</v>
      </c>
      <c r="J27" s="1936">
        <v>1927</v>
      </c>
      <c r="K27" s="1933">
        <v>2645</v>
      </c>
      <c r="L27" s="1933">
        <v>531</v>
      </c>
      <c r="M27" s="1933">
        <v>1190</v>
      </c>
      <c r="N27" s="1950">
        <v>0</v>
      </c>
      <c r="O27" s="1951"/>
      <c r="P27" s="1951"/>
      <c r="Q27" s="1952"/>
      <c r="R27" s="1951"/>
      <c r="S27" s="1952"/>
      <c r="T27" s="1952"/>
      <c r="U27" s="1942"/>
      <c r="Z27" s="3603"/>
    </row>
    <row r="28" spans="2:26" ht="15.75" customHeight="1" x14ac:dyDescent="0.3">
      <c r="B28" s="1953">
        <v>18</v>
      </c>
      <c r="C28" s="1920" t="s">
        <v>572</v>
      </c>
      <c r="D28" s="1921" t="s">
        <v>1975</v>
      </c>
      <c r="E28" s="1944" t="s">
        <v>363</v>
      </c>
      <c r="F28" s="1923" t="s">
        <v>1186</v>
      </c>
      <c r="G28" s="1924">
        <v>2013</v>
      </c>
      <c r="H28" s="1438"/>
      <c r="I28" s="1370"/>
      <c r="J28" s="1927">
        <v>0</v>
      </c>
      <c r="K28" s="1925">
        <v>254</v>
      </c>
      <c r="L28" s="1925">
        <v>7914.4</v>
      </c>
      <c r="M28" s="1954" t="s">
        <v>88</v>
      </c>
      <c r="N28" s="1946">
        <v>1237</v>
      </c>
      <c r="O28" s="1955"/>
      <c r="P28" s="1955"/>
      <c r="Q28" s="1948"/>
      <c r="R28" s="1955"/>
      <c r="S28" s="1948"/>
      <c r="T28" s="1956"/>
      <c r="U28" s="1942"/>
      <c r="Z28" s="3603"/>
    </row>
    <row r="29" spans="2:26" ht="24" customHeight="1" x14ac:dyDescent="0.3">
      <c r="B29" s="1366">
        <v>19</v>
      </c>
      <c r="C29" s="1920" t="s">
        <v>572</v>
      </c>
      <c r="D29" s="1921" t="s">
        <v>1976</v>
      </c>
      <c r="E29" s="1957" t="s">
        <v>363</v>
      </c>
      <c r="F29" s="1958" t="s">
        <v>1186</v>
      </c>
      <c r="G29" s="1924">
        <v>2013</v>
      </c>
      <c r="H29" s="1959"/>
      <c r="I29" s="1375">
        <v>31</v>
      </c>
      <c r="J29" s="1927">
        <v>113</v>
      </c>
      <c r="K29" s="1925">
        <v>119</v>
      </c>
      <c r="L29" s="1370"/>
      <c r="M29" s="1370"/>
      <c r="N29" s="1370"/>
      <c r="O29" s="1370"/>
      <c r="P29" s="1370"/>
      <c r="Q29" s="1370"/>
      <c r="R29" s="1370"/>
      <c r="S29" s="1370"/>
      <c r="T29" s="1370"/>
      <c r="U29" s="1594"/>
      <c r="V29" s="1438"/>
      <c r="W29" s="1420"/>
      <c r="X29" s="1438"/>
      <c r="Y29" s="1420"/>
      <c r="Z29" s="4187"/>
    </row>
    <row r="30" spans="2:26" ht="24" customHeight="1" x14ac:dyDescent="0.3">
      <c r="B30" s="1366">
        <v>20</v>
      </c>
      <c r="C30" s="1928" t="s">
        <v>572</v>
      </c>
      <c r="D30" s="1929" t="s">
        <v>1977</v>
      </c>
      <c r="E30" s="1960" t="s">
        <v>363</v>
      </c>
      <c r="F30" s="1961" t="s">
        <v>1186</v>
      </c>
      <c r="G30" s="1931">
        <v>2013</v>
      </c>
      <c r="H30" s="1962"/>
      <c r="I30" s="1379">
        <v>23</v>
      </c>
      <c r="J30" s="1963"/>
      <c r="K30" s="1933">
        <v>39</v>
      </c>
      <c r="L30" s="1940"/>
      <c r="M30" s="1940"/>
      <c r="N30" s="1940"/>
      <c r="O30" s="1940"/>
      <c r="P30" s="1940"/>
      <c r="Q30" s="1940"/>
      <c r="R30" s="1940"/>
      <c r="S30" s="1940"/>
      <c r="T30" s="1940"/>
      <c r="U30" s="1918"/>
      <c r="V30" s="1940"/>
      <c r="W30" s="1918"/>
      <c r="X30" s="1940"/>
      <c r="Y30" s="1918"/>
      <c r="Z30" s="4185"/>
    </row>
    <row r="31" spans="2:26" ht="24" customHeight="1" x14ac:dyDescent="0.3">
      <c r="B31" s="1366">
        <v>21</v>
      </c>
      <c r="C31" s="1920" t="s">
        <v>572</v>
      </c>
      <c r="D31" s="1921" t="s">
        <v>1978</v>
      </c>
      <c r="E31" s="1964" t="s">
        <v>363</v>
      </c>
      <c r="F31" s="1923" t="s">
        <v>1186</v>
      </c>
      <c r="G31" s="1924">
        <v>2013</v>
      </c>
      <c r="H31" s="1965"/>
      <c r="I31" s="1375">
        <v>111</v>
      </c>
      <c r="J31" s="1371"/>
      <c r="K31" s="1925">
        <v>147</v>
      </c>
      <c r="L31" s="1370"/>
      <c r="M31" s="1370"/>
      <c r="N31" s="1370"/>
      <c r="O31" s="1370"/>
      <c r="P31" s="1370"/>
      <c r="Q31" s="1370"/>
      <c r="R31" s="1370"/>
      <c r="S31" s="1370"/>
      <c r="T31" s="1370"/>
      <c r="U31" s="1594"/>
      <c r="V31" s="1438"/>
      <c r="W31" s="1420"/>
      <c r="X31" s="1438"/>
      <c r="Y31" s="1420"/>
      <c r="Z31" s="4187"/>
    </row>
    <row r="32" spans="2:26" ht="24" customHeight="1" x14ac:dyDescent="0.3">
      <c r="B32" s="1366">
        <v>22</v>
      </c>
      <c r="C32" s="1966" t="s">
        <v>572</v>
      </c>
      <c r="D32" s="1966" t="s">
        <v>1991</v>
      </c>
      <c r="E32" s="1376" t="s">
        <v>363</v>
      </c>
      <c r="F32" s="1966" t="s">
        <v>1186</v>
      </c>
      <c r="G32" s="1931">
        <v>2013</v>
      </c>
      <c r="H32" s="1967"/>
      <c r="I32" s="1379">
        <v>51</v>
      </c>
      <c r="J32" s="1936">
        <v>168</v>
      </c>
      <c r="K32" s="1933">
        <v>388</v>
      </c>
      <c r="L32" s="1378"/>
      <c r="M32" s="1378"/>
      <c r="N32" s="1378"/>
      <c r="O32" s="1378"/>
      <c r="P32" s="1378"/>
      <c r="Q32" s="1378"/>
      <c r="R32" s="1378"/>
      <c r="S32" s="1378"/>
      <c r="T32" s="1378"/>
      <c r="U32" s="1410"/>
      <c r="V32" s="1444"/>
      <c r="W32" s="1935"/>
      <c r="X32" s="1444"/>
      <c r="Y32" s="1935"/>
      <c r="Z32" s="4184"/>
    </row>
    <row r="33" spans="1:30" ht="24" customHeight="1" x14ac:dyDescent="0.3">
      <c r="B33" s="1366">
        <v>23</v>
      </c>
      <c r="C33" s="1966" t="s">
        <v>572</v>
      </c>
      <c r="D33" s="1966" t="s">
        <v>1990</v>
      </c>
      <c r="E33" s="1376" t="s">
        <v>363</v>
      </c>
      <c r="F33" s="1966" t="s">
        <v>1186</v>
      </c>
      <c r="G33" s="1931">
        <v>2013</v>
      </c>
      <c r="H33" s="1444"/>
      <c r="I33" s="1378"/>
      <c r="J33" s="1380"/>
      <c r="K33" s="1933">
        <v>27</v>
      </c>
      <c r="L33" s="1378"/>
      <c r="M33" s="1378"/>
      <c r="N33" s="1378"/>
      <c r="O33" s="1378"/>
      <c r="P33" s="1378"/>
      <c r="Q33" s="1378"/>
      <c r="R33" s="1378"/>
      <c r="S33" s="1378"/>
      <c r="T33" s="1378"/>
      <c r="U33" s="1410"/>
      <c r="V33" s="1444"/>
      <c r="W33" s="1935"/>
      <c r="X33" s="1444"/>
      <c r="Y33" s="1935"/>
      <c r="Z33" s="4184"/>
    </row>
    <row r="34" spans="1:30" ht="24" customHeight="1" x14ac:dyDescent="0.3">
      <c r="B34" s="1366">
        <v>24</v>
      </c>
      <c r="C34" s="1920" t="s">
        <v>572</v>
      </c>
      <c r="D34" s="1921" t="s">
        <v>1992</v>
      </c>
      <c r="E34" s="1957" t="s">
        <v>363</v>
      </c>
      <c r="F34" s="1958" t="s">
        <v>1186</v>
      </c>
      <c r="G34" s="1924">
        <v>2013</v>
      </c>
      <c r="H34" s="1968"/>
      <c r="I34" s="1370"/>
      <c r="J34" s="1371"/>
      <c r="K34" s="1925">
        <v>162</v>
      </c>
      <c r="L34" s="1370"/>
      <c r="M34" s="1370"/>
      <c r="N34" s="1370"/>
      <c r="O34" s="1370"/>
      <c r="P34" s="1370"/>
      <c r="Q34" s="1370"/>
      <c r="R34" s="1370"/>
      <c r="S34" s="1370"/>
      <c r="T34" s="1370"/>
      <c r="U34" s="1594"/>
      <c r="V34" s="1438"/>
      <c r="W34" s="1420"/>
      <c r="X34" s="1438"/>
      <c r="Y34" s="4181"/>
      <c r="Z34" s="4187"/>
    </row>
    <row r="35" spans="1:30" ht="24" customHeight="1" x14ac:dyDescent="0.3">
      <c r="B35" s="1366">
        <v>23</v>
      </c>
      <c r="C35" s="1966" t="s">
        <v>572</v>
      </c>
      <c r="D35" s="1966" t="s">
        <v>1993</v>
      </c>
      <c r="E35" s="1376" t="s">
        <v>363</v>
      </c>
      <c r="F35" s="1966" t="s">
        <v>1186</v>
      </c>
      <c r="G35" s="1931">
        <v>2013</v>
      </c>
      <c r="H35" s="1444"/>
      <c r="I35" s="1379">
        <v>3356</v>
      </c>
      <c r="J35" s="1932">
        <v>2671</v>
      </c>
      <c r="K35" s="1933"/>
      <c r="L35" s="1378"/>
      <c r="M35" s="1378"/>
      <c r="N35" s="1378"/>
      <c r="O35" s="1378"/>
      <c r="P35" s="1378"/>
      <c r="Q35" s="1378"/>
      <c r="R35" s="1378"/>
      <c r="S35" s="1378"/>
      <c r="T35" s="1378"/>
      <c r="U35" s="1410"/>
      <c r="V35" s="1444"/>
      <c r="W35" s="1935"/>
      <c r="X35" s="1444"/>
      <c r="Y35" s="4182"/>
      <c r="Z35" s="4184"/>
      <c r="AA35" s="1352"/>
      <c r="AB35" s="1352"/>
      <c r="AC35" s="1352"/>
      <c r="AD35" s="1352"/>
    </row>
    <row r="36" spans="1:30" ht="24" customHeight="1" x14ac:dyDescent="0.3">
      <c r="B36" s="1969">
        <v>24</v>
      </c>
      <c r="C36" s="1920" t="s">
        <v>572</v>
      </c>
      <c r="D36" s="1921" t="s">
        <v>1994</v>
      </c>
      <c r="E36" s="1957" t="s">
        <v>363</v>
      </c>
      <c r="F36" s="1958" t="s">
        <v>1186</v>
      </c>
      <c r="G36" s="1924">
        <v>2013</v>
      </c>
      <c r="H36" s="1968"/>
      <c r="I36" s="1375">
        <v>269</v>
      </c>
      <c r="J36" s="1927">
        <v>122</v>
      </c>
      <c r="K36" s="1925"/>
      <c r="L36" s="1370"/>
      <c r="M36" s="1370"/>
      <c r="N36" s="1370"/>
      <c r="O36" s="1370"/>
      <c r="P36" s="1370"/>
      <c r="Q36" s="1370"/>
      <c r="R36" s="1370"/>
      <c r="S36" s="1370"/>
      <c r="T36" s="1370"/>
      <c r="U36" s="1594"/>
      <c r="V36" s="1438"/>
      <c r="W36" s="1420"/>
      <c r="X36" s="1438"/>
      <c r="Y36" s="4181"/>
      <c r="Z36" s="4187"/>
      <c r="AA36" s="1352"/>
      <c r="AB36" s="1352"/>
      <c r="AC36" s="1352"/>
      <c r="AD36" s="1352"/>
    </row>
    <row r="37" spans="1:30" ht="24" customHeight="1" x14ac:dyDescent="0.3">
      <c r="A37" s="1352"/>
      <c r="B37" s="1366"/>
      <c r="C37" s="1355"/>
      <c r="D37" s="1355"/>
      <c r="E37" s="1376"/>
      <c r="F37" s="1409"/>
      <c r="G37" s="1393"/>
      <c r="H37" s="1378"/>
      <c r="I37" s="1378"/>
      <c r="J37" s="1380"/>
      <c r="K37" s="1378"/>
      <c r="L37" s="1378"/>
      <c r="M37" s="1378"/>
      <c r="N37" s="1378"/>
      <c r="O37" s="1378"/>
      <c r="P37" s="1378"/>
      <c r="Q37" s="1378"/>
      <c r="R37" s="1378"/>
      <c r="S37" s="1378"/>
      <c r="T37" s="1378"/>
      <c r="U37" s="1410"/>
      <c r="V37" s="1378"/>
      <c r="W37" s="1410"/>
      <c r="X37" s="1378"/>
      <c r="Y37" s="1943"/>
      <c r="Z37" s="4186"/>
      <c r="AA37" s="1352"/>
      <c r="AB37" s="1352"/>
      <c r="AC37" s="1352"/>
      <c r="AD37" s="1352"/>
    </row>
    <row r="38" spans="1:30" ht="24" customHeight="1" x14ac:dyDescent="0.3">
      <c r="A38" s="1352"/>
      <c r="B38" s="1411"/>
      <c r="C38" s="1412"/>
      <c r="D38" s="1412"/>
      <c r="E38" s="1413"/>
      <c r="F38" s="1414"/>
      <c r="G38" s="1415"/>
      <c r="H38" s="1416"/>
      <c r="I38" s="1416"/>
      <c r="J38" s="1970"/>
      <c r="K38" s="1416"/>
      <c r="L38" s="1416"/>
      <c r="M38" s="1416"/>
      <c r="N38" s="1416"/>
      <c r="O38" s="1416"/>
      <c r="P38" s="1416"/>
      <c r="Q38" s="1416"/>
      <c r="R38" s="1416"/>
      <c r="S38" s="1416"/>
      <c r="T38" s="1416"/>
      <c r="U38" s="1417"/>
      <c r="V38" s="1416"/>
      <c r="W38" s="1417"/>
      <c r="X38" s="1416"/>
      <c r="Y38" s="1417"/>
      <c r="Z38" s="4188"/>
      <c r="AA38" s="1352"/>
      <c r="AB38" s="1352"/>
      <c r="AC38" s="1352"/>
      <c r="AD38" s="1352"/>
    </row>
    <row r="39" spans="1:30" ht="15.75" customHeight="1" x14ac:dyDescent="0.3">
      <c r="A39" s="1352"/>
      <c r="B39" s="1418"/>
      <c r="C39" s="1352"/>
      <c r="D39" s="1352"/>
      <c r="E39" s="1352"/>
      <c r="F39" s="1352"/>
      <c r="G39" s="1419"/>
      <c r="H39" s="1419"/>
      <c r="I39" s="1971">
        <f>SUM(I9:I38)-I11</f>
        <v>22730.118999999999</v>
      </c>
      <c r="J39" s="1971">
        <f>SUM(J9:J38)</f>
        <v>38872.54</v>
      </c>
      <c r="K39" s="1971">
        <f t="shared" ref="K39:T39" si="0">SUM(K9:K38)</f>
        <v>43122</v>
      </c>
      <c r="L39" s="1971">
        <f t="shared" si="0"/>
        <v>36603.199999999997</v>
      </c>
      <c r="M39" s="1971">
        <f t="shared" si="0"/>
        <v>17954</v>
      </c>
      <c r="N39" s="1971">
        <f t="shared" si="0"/>
        <v>21328</v>
      </c>
      <c r="O39" s="1971">
        <f t="shared" si="0"/>
        <v>21523</v>
      </c>
      <c r="P39" s="1971">
        <f t="shared" si="0"/>
        <v>22701</v>
      </c>
      <c r="Q39" s="1971">
        <f t="shared" si="0"/>
        <v>21617.96551724138</v>
      </c>
      <c r="R39" s="1971">
        <f t="shared" si="0"/>
        <v>20198</v>
      </c>
      <c r="S39" s="1971">
        <f t="shared" si="0"/>
        <v>16953</v>
      </c>
      <c r="T39" s="1971">
        <f t="shared" si="0"/>
        <v>13528.46</v>
      </c>
      <c r="U39" s="1420"/>
      <c r="V39" s="1420"/>
      <c r="W39" s="1420"/>
      <c r="X39" s="1420"/>
      <c r="Y39" s="1420"/>
      <c r="Z39" s="1420"/>
      <c r="AA39" s="1352"/>
      <c r="AB39" s="1352"/>
      <c r="AC39" s="1352"/>
      <c r="AD39" s="1352"/>
    </row>
    <row r="40" spans="1:30" ht="15.75" customHeight="1" x14ac:dyDescent="0.3">
      <c r="A40" s="1352"/>
      <c r="B40" s="1421" t="s">
        <v>355</v>
      </c>
      <c r="C40" s="1422" t="s">
        <v>356</v>
      </c>
      <c r="D40" s="1352"/>
      <c r="E40" s="1352"/>
      <c r="F40" s="1352"/>
      <c r="G40" s="1419"/>
      <c r="H40" s="1419"/>
      <c r="I40" s="1419"/>
      <c r="J40" s="1419"/>
      <c r="K40" s="1419"/>
      <c r="L40" s="1419"/>
      <c r="M40" s="1420"/>
      <c r="N40" s="1420"/>
      <c r="O40" s="1420"/>
      <c r="P40" s="1420"/>
      <c r="Q40" s="1420"/>
      <c r="R40" s="1420"/>
      <c r="S40" s="1420"/>
      <c r="T40" s="1420"/>
      <c r="U40" s="1420"/>
      <c r="V40" s="1420"/>
      <c r="W40" s="1420"/>
      <c r="X40" s="1420"/>
      <c r="Y40" s="1420"/>
      <c r="Z40" s="1420"/>
      <c r="AA40" s="1352"/>
      <c r="AB40" s="1352"/>
      <c r="AC40" s="1352"/>
      <c r="AD40" s="1352"/>
    </row>
    <row r="41" spans="1:30" ht="15.75" customHeight="1" x14ac:dyDescent="0.3">
      <c r="A41" s="1352"/>
      <c r="B41" s="1418"/>
      <c r="C41" s="1352">
        <v>0.81125709133484736</v>
      </c>
      <c r="D41" s="1972">
        <f>5000/C41</f>
        <v>6163.274322536854</v>
      </c>
      <c r="E41" s="1352"/>
      <c r="F41" s="1352"/>
      <c r="G41" s="1419"/>
      <c r="H41" s="1419"/>
      <c r="I41" s="1419"/>
      <c r="J41" s="1419"/>
      <c r="K41" s="1419"/>
      <c r="L41" s="1419"/>
      <c r="M41" s="1420"/>
      <c r="N41" s="1420"/>
      <c r="O41" s="1420"/>
      <c r="P41" s="1420"/>
      <c r="Q41" s="1420"/>
      <c r="R41" s="1420"/>
      <c r="S41" s="1420"/>
      <c r="T41" s="1420"/>
      <c r="U41" s="1420"/>
      <c r="V41" s="1420"/>
      <c r="W41" s="1420"/>
      <c r="X41" s="1420"/>
      <c r="Y41" s="1420"/>
      <c r="Z41" s="1420"/>
      <c r="AA41" s="1352"/>
      <c r="AB41" s="1352"/>
      <c r="AC41" s="1352"/>
      <c r="AD41" s="1352"/>
    </row>
    <row r="42" spans="1:30" ht="15.75" customHeight="1" x14ac:dyDescent="0.3">
      <c r="A42" s="1352"/>
      <c r="B42" s="4402"/>
      <c r="C42" s="4403"/>
      <c r="D42" s="1352"/>
      <c r="E42" s="1352"/>
      <c r="F42" s="1352"/>
      <c r="G42" s="1419"/>
      <c r="H42" s="1419"/>
      <c r="I42" s="1419"/>
      <c r="J42" s="1419"/>
      <c r="K42" s="1419"/>
      <c r="L42" s="1419"/>
      <c r="M42" s="1420"/>
      <c r="N42" s="1420"/>
      <c r="O42" s="1420"/>
      <c r="P42" s="1420"/>
      <c r="Q42" s="1420"/>
      <c r="R42" s="1420"/>
      <c r="S42" s="1420"/>
      <c r="T42" s="1420"/>
      <c r="U42" s="1420"/>
      <c r="V42" s="1420"/>
      <c r="W42" s="1420"/>
      <c r="X42" s="1420"/>
      <c r="Y42" s="1420"/>
      <c r="Z42" s="1420"/>
      <c r="AA42" s="1352"/>
      <c r="AB42" s="1352"/>
      <c r="AC42" s="1352"/>
      <c r="AD42" s="1352"/>
    </row>
    <row r="43" spans="1:30" ht="15.75" customHeight="1" x14ac:dyDescent="0.3">
      <c r="A43" s="1352"/>
      <c r="B43" s="1425"/>
      <c r="C43" s="1287" t="s">
        <v>2326</v>
      </c>
      <c r="D43" s="3387"/>
      <c r="E43" s="2053">
        <v>2384</v>
      </c>
      <c r="F43" s="2053" t="s">
        <v>618</v>
      </c>
      <c r="G43" s="1419"/>
      <c r="H43" s="1419"/>
      <c r="I43" s="1419"/>
      <c r="J43" s="1419"/>
      <c r="K43" s="1419"/>
      <c r="L43" s="1419"/>
      <c r="M43" s="1420"/>
      <c r="N43" s="1420"/>
      <c r="O43" s="1420"/>
      <c r="P43" s="1420"/>
      <c r="Q43" s="1420"/>
      <c r="R43" s="1420"/>
      <c r="S43" s="1420"/>
      <c r="T43" s="1420"/>
      <c r="U43" s="1420"/>
      <c r="V43" s="1420"/>
      <c r="W43" s="1420"/>
      <c r="X43" s="1420"/>
      <c r="Y43" s="1420"/>
      <c r="Z43" s="1420"/>
      <c r="AA43" s="1352"/>
      <c r="AB43" s="1352"/>
      <c r="AC43" s="1352"/>
      <c r="AD43" s="1352"/>
    </row>
    <row r="44" spans="1:30" ht="15.75" customHeight="1" x14ac:dyDescent="0.3">
      <c r="A44" s="1352"/>
      <c r="B44" s="1425"/>
      <c r="C44" s="1352"/>
      <c r="D44" s="1352"/>
      <c r="E44" s="1352"/>
      <c r="F44" s="1352"/>
      <c r="G44" s="1419"/>
      <c r="H44" s="1419"/>
      <c r="I44" s="1419"/>
      <c r="J44" s="1419"/>
      <c r="K44" s="1419"/>
      <c r="L44" s="1419"/>
      <c r="M44" s="1420"/>
      <c r="N44" s="1420"/>
      <c r="O44" s="1420"/>
      <c r="P44" s="1420"/>
      <c r="Q44" s="1420"/>
      <c r="R44" s="1420"/>
      <c r="S44" s="1420"/>
      <c r="T44" s="1420"/>
      <c r="U44" s="1420"/>
      <c r="V44" s="1420"/>
      <c r="W44" s="1420"/>
      <c r="X44" s="1420"/>
      <c r="Y44" s="1420"/>
      <c r="Z44" s="1420"/>
      <c r="AA44" s="1352"/>
      <c r="AB44" s="1352"/>
      <c r="AC44" s="1352"/>
      <c r="AD44" s="1352"/>
    </row>
    <row r="45" spans="1:30" ht="15.75" customHeight="1" x14ac:dyDescent="0.3"/>
    <row r="46" spans="1:30" ht="15.75" customHeight="1" x14ac:dyDescent="0.3"/>
    <row r="47" spans="1:30" ht="15.75" customHeight="1" x14ac:dyDescent="0.3"/>
    <row r="48" spans="1:30"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sheetData>
  <mergeCells count="1">
    <mergeCell ref="B42:C42"/>
  </mergeCells>
  <phoneticPr fontId="94" type="noConversion"/>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7623E-89D8-4F6F-888B-7FEDCC7167E3}">
  <dimension ref="A1:Q996"/>
  <sheetViews>
    <sheetView topLeftCell="A8" workbookViewId="0">
      <selection activeCell="P25" sqref="P25"/>
    </sheetView>
  </sheetViews>
  <sheetFormatPr defaultColWidth="12.44140625" defaultRowHeight="15" customHeight="1" x14ac:dyDescent="0.3"/>
  <cols>
    <col min="1" max="1" width="2.6640625" style="428" customWidth="1"/>
    <col min="2" max="2" width="35.109375" style="428" customWidth="1"/>
    <col min="3" max="3" width="21.6640625" style="428" customWidth="1"/>
    <col min="4" max="6" width="20" style="428" hidden="1" customWidth="1"/>
    <col min="7" max="7" width="1.5546875" style="428" customWidth="1"/>
    <col min="8" max="8" width="14.6640625" style="428" customWidth="1"/>
    <col min="9" max="9" width="7.33203125" style="428" customWidth="1"/>
    <col min="10" max="10" width="34" style="428" customWidth="1"/>
    <col min="11" max="12" width="21.77734375" style="428" customWidth="1"/>
    <col min="13" max="14" width="16" style="428" hidden="1" customWidth="1"/>
    <col min="15" max="15" width="1.5546875" style="428" customWidth="1"/>
    <col min="16" max="16" width="15.21875" style="428" customWidth="1"/>
    <col min="17" max="17" width="11.6640625" style="428" customWidth="1"/>
    <col min="18" max="16384" width="12.44140625" style="428"/>
  </cols>
  <sheetData>
    <row r="1" spans="1:17" ht="21.75" customHeight="1" x14ac:dyDescent="0.35">
      <c r="A1" s="424"/>
      <c r="B1" s="425" t="s">
        <v>549</v>
      </c>
      <c r="C1" s="426"/>
      <c r="G1" s="427"/>
      <c r="I1" s="427"/>
      <c r="O1" s="427"/>
    </row>
    <row r="2" spans="1:17" ht="15.75" customHeight="1" x14ac:dyDescent="0.3">
      <c r="A2" s="424"/>
      <c r="B2" s="429" t="s">
        <v>299</v>
      </c>
      <c r="C2" s="430"/>
      <c r="D2" s="430"/>
      <c r="E2" s="430"/>
      <c r="F2" s="430"/>
      <c r="G2" s="430"/>
      <c r="H2" s="430"/>
      <c r="I2" s="430"/>
      <c r="J2" s="430"/>
      <c r="K2" s="430"/>
      <c r="L2" s="430"/>
      <c r="M2" s="430"/>
      <c r="N2" s="430"/>
      <c r="O2" s="430"/>
      <c r="P2" s="430"/>
    </row>
    <row r="3" spans="1:17" ht="9.75" customHeight="1" x14ac:dyDescent="0.3">
      <c r="A3" s="427"/>
      <c r="B3" s="431"/>
      <c r="G3" s="427"/>
      <c r="I3" s="427"/>
      <c r="O3" s="427"/>
    </row>
    <row r="4" spans="1:17" ht="6" customHeight="1" x14ac:dyDescent="0.3">
      <c r="B4" s="427"/>
      <c r="G4" s="427"/>
      <c r="I4" s="427"/>
      <c r="O4" s="427"/>
    </row>
    <row r="5" spans="1:17" ht="6" customHeight="1" x14ac:dyDescent="0.3">
      <c r="A5" s="431"/>
      <c r="G5" s="427"/>
      <c r="I5" s="427"/>
      <c r="O5" s="427"/>
    </row>
    <row r="6" spans="1:17" ht="15.75" customHeight="1" x14ac:dyDescent="0.3">
      <c r="G6" s="427"/>
      <c r="H6" s="427"/>
      <c r="I6" s="427"/>
      <c r="O6" s="427"/>
    </row>
    <row r="7" spans="1:17" ht="37.200000000000003" customHeight="1" x14ac:dyDescent="0.3">
      <c r="A7" s="432"/>
      <c r="B7" s="433">
        <v>2024</v>
      </c>
      <c r="C7" s="4385" t="s">
        <v>22</v>
      </c>
      <c r="D7" s="4386"/>
      <c r="E7" s="4386"/>
      <c r="F7" s="4386"/>
      <c r="G7" s="1980"/>
      <c r="H7" s="435" t="s">
        <v>300</v>
      </c>
      <c r="I7" s="432"/>
      <c r="J7" s="433">
        <v>2024</v>
      </c>
      <c r="K7" s="4385" t="s">
        <v>23</v>
      </c>
      <c r="L7" s="4386"/>
      <c r="M7" s="4386"/>
      <c r="N7" s="4386"/>
      <c r="O7" s="609"/>
      <c r="P7" s="435" t="s">
        <v>300</v>
      </c>
      <c r="Q7" s="432"/>
    </row>
    <row r="8" spans="1:17" ht="18" customHeight="1" x14ac:dyDescent="0.35">
      <c r="B8" s="436" t="s">
        <v>301</v>
      </c>
      <c r="C8" s="648">
        <v>1</v>
      </c>
      <c r="D8" s="572">
        <v>2</v>
      </c>
      <c r="E8" s="649">
        <v>3</v>
      </c>
      <c r="F8" s="648">
        <v>4</v>
      </c>
      <c r="G8" s="2944"/>
      <c r="H8" s="438"/>
      <c r="I8" s="427"/>
      <c r="J8" s="436" t="s">
        <v>301</v>
      </c>
      <c r="K8" s="648">
        <v>1</v>
      </c>
      <c r="L8" s="572">
        <v>2</v>
      </c>
      <c r="M8" s="649">
        <v>3</v>
      </c>
      <c r="N8" s="572">
        <v>4</v>
      </c>
      <c r="O8" s="610"/>
      <c r="P8" s="438"/>
    </row>
    <row r="9" spans="1:17" ht="46.5" customHeight="1" x14ac:dyDescent="0.3">
      <c r="B9" s="439" t="s">
        <v>302</v>
      </c>
      <c r="C9" s="573" t="s">
        <v>1880</v>
      </c>
      <c r="D9" s="573" t="s">
        <v>2356</v>
      </c>
      <c r="E9" s="573" t="s">
        <v>2356</v>
      </c>
      <c r="F9" s="573" t="s">
        <v>2356</v>
      </c>
      <c r="G9" s="574"/>
      <c r="H9" s="442"/>
      <c r="I9" s="443"/>
      <c r="J9" s="439" t="s">
        <v>302</v>
      </c>
      <c r="K9" s="573" t="s">
        <v>1881</v>
      </c>
      <c r="L9" s="573" t="s">
        <v>1882</v>
      </c>
      <c r="M9" s="573" t="s">
        <v>2356</v>
      </c>
      <c r="N9" s="573" t="s">
        <v>2356</v>
      </c>
      <c r="O9" s="611"/>
      <c r="P9" s="442"/>
    </row>
    <row r="10" spans="1:17" ht="54" customHeight="1" x14ac:dyDescent="0.3">
      <c r="B10" s="444" t="s">
        <v>304</v>
      </c>
      <c r="C10" s="445" t="s">
        <v>1883</v>
      </c>
      <c r="D10" s="445" t="s">
        <v>2357</v>
      </c>
      <c r="E10" s="445" t="s">
        <v>2357</v>
      </c>
      <c r="F10" s="445" t="s">
        <v>2357</v>
      </c>
      <c r="G10" s="574"/>
      <c r="H10" s="446"/>
      <c r="I10" s="443"/>
      <c r="J10" s="444" t="s">
        <v>304</v>
      </c>
      <c r="K10" s="445" t="s">
        <v>1884</v>
      </c>
      <c r="L10" s="445" t="s">
        <v>1885</v>
      </c>
      <c r="M10" s="445" t="s">
        <v>2357</v>
      </c>
      <c r="N10" s="445" t="s">
        <v>2357</v>
      </c>
      <c r="O10" s="612"/>
      <c r="P10" s="446"/>
    </row>
    <row r="11" spans="1:17" ht="18.75" customHeight="1" x14ac:dyDescent="0.3">
      <c r="A11" s="447"/>
      <c r="B11" s="448" t="s">
        <v>306</v>
      </c>
      <c r="C11" s="575">
        <f>(C17*C18)+(C22*C23)</f>
        <v>92.31143999999999</v>
      </c>
      <c r="D11" s="575">
        <f>(D17*D18)+(D22*D23)</f>
        <v>0</v>
      </c>
      <c r="E11" s="575">
        <f>(E17*E18)+(E22*E23)</f>
        <v>0</v>
      </c>
      <c r="F11" s="575">
        <f>(F17*F18)+(F22*F23)</f>
        <v>0</v>
      </c>
      <c r="G11" s="576"/>
      <c r="H11" s="451">
        <f t="shared" ref="H11:H12" si="0">SUM(C11:F11)</f>
        <v>92.31143999999999</v>
      </c>
      <c r="I11" s="452"/>
      <c r="J11" s="448" t="s">
        <v>306</v>
      </c>
      <c r="K11" s="1089">
        <f>(K17*K18)+(K22*K23)</f>
        <v>15725.301995012804</v>
      </c>
      <c r="L11" s="613">
        <f>(L17*L18)+(L22*L23)</f>
        <v>3466.7205753563326</v>
      </c>
      <c r="M11" s="613">
        <f>(M17*M18)+(M22*M23)</f>
        <v>0</v>
      </c>
      <c r="N11" s="613">
        <f>(N17*N18)+(N22*N23)</f>
        <v>0</v>
      </c>
      <c r="O11" s="614"/>
      <c r="P11" s="451">
        <f t="shared" ref="P11:P12" si="1">SUM(K11:N11)</f>
        <v>19192.022570369136</v>
      </c>
      <c r="Q11" s="447"/>
    </row>
    <row r="12" spans="1:17" ht="18.75" customHeight="1" x14ac:dyDescent="0.3">
      <c r="A12" s="447"/>
      <c r="B12" s="453" t="s">
        <v>307</v>
      </c>
      <c r="C12" s="577">
        <f t="shared" ref="C12:F12" si="2">(C27*C28)+(C32*C33)</f>
        <v>0.56428666711809594</v>
      </c>
      <c r="D12" s="652">
        <f t="shared" si="2"/>
        <v>0</v>
      </c>
      <c r="E12" s="653">
        <f t="shared" si="2"/>
        <v>0</v>
      </c>
      <c r="F12" s="577">
        <f t="shared" si="2"/>
        <v>0</v>
      </c>
      <c r="G12" s="455"/>
      <c r="H12" s="456">
        <f t="shared" si="0"/>
        <v>0.56428666711809594</v>
      </c>
      <c r="I12" s="457"/>
      <c r="J12" s="453" t="s">
        <v>307</v>
      </c>
      <c r="K12" s="577">
        <f t="shared" ref="K12:N12" si="3">(K27*K28)+(K32*K33)</f>
        <v>0</v>
      </c>
      <c r="L12" s="577">
        <f t="shared" si="3"/>
        <v>0</v>
      </c>
      <c r="M12" s="577">
        <f t="shared" si="3"/>
        <v>0</v>
      </c>
      <c r="N12" s="577">
        <f t="shared" si="3"/>
        <v>0</v>
      </c>
      <c r="O12" s="614"/>
      <c r="P12" s="456">
        <f t="shared" si="1"/>
        <v>0</v>
      </c>
      <c r="Q12" s="447"/>
    </row>
    <row r="13" spans="1:17" ht="18.75" customHeight="1" x14ac:dyDescent="0.3">
      <c r="A13" s="447"/>
      <c r="B13" s="448" t="s">
        <v>308</v>
      </c>
      <c r="C13" s="654" t="s">
        <v>8</v>
      </c>
      <c r="D13" s="578" t="s">
        <v>8</v>
      </c>
      <c r="E13" s="654" t="s">
        <v>8</v>
      </c>
      <c r="F13" s="2963" t="s">
        <v>8</v>
      </c>
      <c r="G13" s="2964"/>
      <c r="H13" s="460"/>
      <c r="I13" s="461"/>
      <c r="J13" s="448" t="s">
        <v>308</v>
      </c>
      <c r="K13" s="654" t="s">
        <v>8</v>
      </c>
      <c r="L13" s="578" t="s">
        <v>8</v>
      </c>
      <c r="M13" s="654" t="s">
        <v>8</v>
      </c>
      <c r="N13" s="578" t="s">
        <v>8</v>
      </c>
      <c r="O13" s="615"/>
      <c r="P13" s="460"/>
      <c r="Q13" s="447"/>
    </row>
    <row r="14" spans="1:17" ht="18.75" customHeight="1" x14ac:dyDescent="0.3">
      <c r="A14" s="447"/>
      <c r="B14" s="462" t="s">
        <v>309</v>
      </c>
      <c r="C14" s="463">
        <f t="shared" ref="C14:F14" si="4">C11-C12</f>
        <v>91.747153332881894</v>
      </c>
      <c r="D14" s="2024">
        <f t="shared" si="4"/>
        <v>0</v>
      </c>
      <c r="E14" s="655">
        <f t="shared" si="4"/>
        <v>0</v>
      </c>
      <c r="F14" s="579">
        <f t="shared" si="4"/>
        <v>0</v>
      </c>
      <c r="G14" s="455"/>
      <c r="H14" s="464">
        <f>SUM(C14:F14)</f>
        <v>91.747153332881894</v>
      </c>
      <c r="I14" s="457"/>
      <c r="J14" s="462" t="s">
        <v>309</v>
      </c>
      <c r="K14" s="655">
        <f t="shared" ref="K14:N14" si="5">K11-K12</f>
        <v>15725.301995012804</v>
      </c>
      <c r="L14" s="579">
        <f t="shared" si="5"/>
        <v>3466.7205753563326</v>
      </c>
      <c r="M14" s="655">
        <f t="shared" si="5"/>
        <v>0</v>
      </c>
      <c r="N14" s="579">
        <f t="shared" si="5"/>
        <v>0</v>
      </c>
      <c r="O14" s="614"/>
      <c r="P14" s="464">
        <f>SUM(K14:N14)</f>
        <v>19192.022570369136</v>
      </c>
      <c r="Q14" s="447"/>
    </row>
    <row r="15" spans="1:17" ht="19.5" customHeight="1" x14ac:dyDescent="0.4">
      <c r="B15" s="465" t="s">
        <v>310</v>
      </c>
      <c r="C15" s="656"/>
      <c r="D15" s="657"/>
      <c r="E15" s="658"/>
      <c r="F15" s="656"/>
      <c r="G15" s="2947"/>
      <c r="H15" s="468"/>
      <c r="I15" s="467"/>
      <c r="J15" s="616" t="s">
        <v>395</v>
      </c>
      <c r="K15" s="659"/>
      <c r="L15" s="617"/>
      <c r="M15" s="659"/>
      <c r="N15" s="617"/>
      <c r="O15" s="618"/>
      <c r="P15" s="468"/>
      <c r="Q15" s="427"/>
    </row>
    <row r="16" spans="1:17" ht="35.4" customHeight="1" x14ac:dyDescent="0.3">
      <c r="A16" s="447"/>
      <c r="B16" s="469" t="s">
        <v>311</v>
      </c>
      <c r="C16" s="601" t="s">
        <v>1886</v>
      </c>
      <c r="D16" s="601" t="s">
        <v>2358</v>
      </c>
      <c r="E16" s="601" t="s">
        <v>2358</v>
      </c>
      <c r="F16" s="601" t="s">
        <v>2358</v>
      </c>
      <c r="G16" s="581"/>
      <c r="H16" s="471"/>
      <c r="I16" s="457"/>
      <c r="J16" s="469" t="s">
        <v>311</v>
      </c>
      <c r="K16" s="601" t="s">
        <v>1887</v>
      </c>
      <c r="L16" s="601" t="s">
        <v>1407</v>
      </c>
      <c r="M16" s="601" t="s">
        <v>2358</v>
      </c>
      <c r="N16" s="601" t="s">
        <v>2358</v>
      </c>
      <c r="O16" s="619"/>
      <c r="P16" s="620"/>
      <c r="Q16" s="447"/>
    </row>
    <row r="17" spans="1:17" ht="21" customHeight="1" x14ac:dyDescent="0.3">
      <c r="A17" s="447"/>
      <c r="B17" s="472" t="s">
        <v>2342</v>
      </c>
      <c r="C17" s="582">
        <f>'CF-0603|GDS'!I10</f>
        <v>31200</v>
      </c>
      <c r="D17" s="660">
        <v>0</v>
      </c>
      <c r="E17" s="661">
        <v>0</v>
      </c>
      <c r="F17" s="582">
        <v>0</v>
      </c>
      <c r="G17" s="583"/>
      <c r="I17" s="475"/>
      <c r="J17" s="472" t="s">
        <v>398</v>
      </c>
      <c r="K17" s="662">
        <f>'CF-0603|GDS'!I29</f>
        <v>19383.869999999995</v>
      </c>
      <c r="L17" s="662">
        <f>'CF-0603|GDS'!I30</f>
        <v>948.41</v>
      </c>
      <c r="M17" s="662">
        <v>0</v>
      </c>
      <c r="N17" s="621">
        <v>0</v>
      </c>
      <c r="O17" s="622"/>
      <c r="P17" s="623"/>
      <c r="Q17" s="447"/>
    </row>
    <row r="18" spans="1:17" ht="18.75" customHeight="1" x14ac:dyDescent="0.3">
      <c r="A18" s="447"/>
      <c r="B18" s="476" t="s">
        <v>314</v>
      </c>
      <c r="C18" s="584">
        <v>2.9586999999999999E-3</v>
      </c>
      <c r="D18" s="584">
        <v>0</v>
      </c>
      <c r="E18" s="584">
        <v>0</v>
      </c>
      <c r="F18" s="584">
        <v>0</v>
      </c>
      <c r="G18" s="478"/>
      <c r="I18" s="479"/>
      <c r="J18" s="476" t="s">
        <v>314</v>
      </c>
      <c r="K18" s="584">
        <v>0.81125709133484736</v>
      </c>
      <c r="L18" s="584">
        <v>3.6552973664937451</v>
      </c>
      <c r="M18" s="584">
        <v>0</v>
      </c>
      <c r="N18" s="584">
        <v>0</v>
      </c>
      <c r="O18" s="614"/>
      <c r="P18" s="491"/>
      <c r="Q18" s="447"/>
    </row>
    <row r="19" spans="1:17" ht="19.5" customHeight="1" x14ac:dyDescent="0.3">
      <c r="A19" s="447"/>
      <c r="B19" s="480" t="s">
        <v>315</v>
      </c>
      <c r="C19" s="663">
        <f>C17*C18</f>
        <v>92.31143999999999</v>
      </c>
      <c r="D19" s="664">
        <f>D17*D18</f>
        <v>0</v>
      </c>
      <c r="E19" s="585">
        <f>E17*E18</f>
        <v>0</v>
      </c>
      <c r="F19" s="585">
        <f>F17*F18</f>
        <v>0</v>
      </c>
      <c r="G19" s="586"/>
      <c r="I19" s="479"/>
      <c r="J19" s="480" t="s">
        <v>315</v>
      </c>
      <c r="K19" s="664">
        <f>K17*K18</f>
        <v>15725.301995012804</v>
      </c>
      <c r="L19" s="663">
        <f>L17*L18</f>
        <v>3466.7205753563326</v>
      </c>
      <c r="M19" s="664">
        <f>M17*M18</f>
        <v>0</v>
      </c>
      <c r="N19" s="585">
        <f>N17*N18</f>
        <v>0</v>
      </c>
      <c r="O19" s="614"/>
      <c r="P19" s="494"/>
      <c r="Q19" s="447"/>
    </row>
    <row r="20" spans="1:17" ht="19.5" hidden="1" customHeight="1" x14ac:dyDescent="0.4">
      <c r="B20" s="465" t="s">
        <v>310</v>
      </c>
      <c r="C20" s="656"/>
      <c r="D20" s="657"/>
      <c r="E20" s="658"/>
      <c r="F20" s="580"/>
      <c r="G20" s="467"/>
      <c r="I20" s="467"/>
      <c r="J20" s="465"/>
      <c r="K20" s="656"/>
      <c r="L20" s="657"/>
      <c r="M20" s="656"/>
      <c r="N20" s="657"/>
      <c r="O20" s="618"/>
      <c r="P20" s="467"/>
    </row>
    <row r="21" spans="1:17" ht="37.950000000000003" hidden="1" customHeight="1" x14ac:dyDescent="0.3">
      <c r="A21" s="447"/>
      <c r="B21" s="469" t="s">
        <v>311</v>
      </c>
      <c r="C21" s="601" t="s">
        <v>2359</v>
      </c>
      <c r="D21" s="601" t="s">
        <v>2358</v>
      </c>
      <c r="E21" s="601" t="s">
        <v>2358</v>
      </c>
      <c r="F21" s="601" t="s">
        <v>2358</v>
      </c>
      <c r="G21" s="1094"/>
      <c r="I21" s="457"/>
      <c r="J21" s="469"/>
      <c r="K21" s="601"/>
      <c r="L21" s="601"/>
      <c r="M21" s="601"/>
      <c r="N21" s="601"/>
      <c r="O21" s="619"/>
      <c r="P21" s="620"/>
      <c r="Q21" s="447"/>
    </row>
    <row r="22" spans="1:17" ht="21" hidden="1" customHeight="1" x14ac:dyDescent="0.3">
      <c r="A22" s="447"/>
      <c r="B22" s="472" t="s">
        <v>2342</v>
      </c>
      <c r="C22" s="661">
        <v>0</v>
      </c>
      <c r="D22" s="661">
        <v>0</v>
      </c>
      <c r="E22" s="661">
        <v>0</v>
      </c>
      <c r="F22" s="661">
        <v>0</v>
      </c>
      <c r="G22" s="583"/>
      <c r="I22" s="475"/>
      <c r="J22" s="472"/>
      <c r="K22" s="662"/>
      <c r="L22" s="662"/>
      <c r="M22" s="662"/>
      <c r="N22" s="621"/>
      <c r="O22" s="622"/>
      <c r="P22" s="623"/>
      <c r="Q22" s="447"/>
    </row>
    <row r="23" spans="1:17" ht="18.75" hidden="1" customHeight="1" x14ac:dyDescent="0.3">
      <c r="A23" s="447"/>
      <c r="B23" s="476" t="s">
        <v>314</v>
      </c>
      <c r="C23" s="584">
        <v>0</v>
      </c>
      <c r="D23" s="584">
        <v>0</v>
      </c>
      <c r="E23" s="584">
        <v>0</v>
      </c>
      <c r="F23" s="584">
        <v>0</v>
      </c>
      <c r="G23" s="586"/>
      <c r="H23" s="1095"/>
      <c r="I23" s="479"/>
      <c r="J23" s="476"/>
      <c r="K23" s="584"/>
      <c r="L23" s="584"/>
      <c r="M23" s="584"/>
      <c r="N23" s="584"/>
      <c r="O23" s="614"/>
      <c r="P23" s="491"/>
      <c r="Q23" s="447"/>
    </row>
    <row r="24" spans="1:17" ht="19.5" hidden="1" customHeight="1" x14ac:dyDescent="0.3">
      <c r="A24" s="447"/>
      <c r="B24" s="480" t="s">
        <v>315</v>
      </c>
      <c r="C24" s="663">
        <f>C22*C23</f>
        <v>0</v>
      </c>
      <c r="D24" s="664">
        <f>D22*D23</f>
        <v>0</v>
      </c>
      <c r="E24" s="585">
        <f>E22*E23</f>
        <v>0</v>
      </c>
      <c r="F24" s="585">
        <f>F22*F23</f>
        <v>0</v>
      </c>
      <c r="G24" s="586"/>
      <c r="H24" s="1096"/>
      <c r="I24" s="479"/>
      <c r="J24" s="480"/>
      <c r="K24" s="663"/>
      <c r="L24" s="663"/>
      <c r="M24" s="663"/>
      <c r="N24" s="664"/>
      <c r="O24" s="614"/>
      <c r="P24" s="494"/>
      <c r="Q24" s="447"/>
    </row>
    <row r="25" spans="1:17" ht="21" customHeight="1" x14ac:dyDescent="0.4">
      <c r="B25" s="465" t="s">
        <v>316</v>
      </c>
      <c r="C25" s="665"/>
      <c r="D25" s="587"/>
      <c r="E25" s="665"/>
      <c r="F25" s="2965"/>
      <c r="G25" s="2955"/>
      <c r="H25" s="484"/>
      <c r="I25" s="483"/>
      <c r="J25" s="465" t="s">
        <v>316</v>
      </c>
      <c r="K25" s="665"/>
      <c r="L25" s="587"/>
      <c r="M25" s="665"/>
      <c r="N25" s="587"/>
      <c r="O25" s="618"/>
      <c r="P25" s="495"/>
    </row>
    <row r="26" spans="1:17" ht="32.4" customHeight="1" x14ac:dyDescent="0.3">
      <c r="A26" s="447"/>
      <c r="B26" s="469" t="s">
        <v>183</v>
      </c>
      <c r="C26" s="601" t="s">
        <v>1888</v>
      </c>
      <c r="D26" s="601" t="s">
        <v>2359</v>
      </c>
      <c r="E26" s="601" t="s">
        <v>2359</v>
      </c>
      <c r="F26" s="601" t="s">
        <v>2359</v>
      </c>
      <c r="G26" s="588"/>
      <c r="H26" s="485"/>
      <c r="I26" s="479"/>
      <c r="J26" s="469" t="s">
        <v>183</v>
      </c>
      <c r="K26" s="601" t="s">
        <v>2414</v>
      </c>
      <c r="L26" s="601" t="s">
        <v>1889</v>
      </c>
      <c r="M26" s="601" t="s">
        <v>2359</v>
      </c>
      <c r="N26" s="601" t="s">
        <v>2359</v>
      </c>
      <c r="O26" s="614"/>
      <c r="P26" s="496"/>
      <c r="Q26" s="447"/>
    </row>
    <row r="27" spans="1:17" ht="21" customHeight="1" x14ac:dyDescent="0.3">
      <c r="A27" s="447"/>
      <c r="B27" s="486" t="s">
        <v>319</v>
      </c>
      <c r="C27" s="666">
        <f>'CF-0603|GDS'!I11</f>
        <v>331933.33359887998</v>
      </c>
      <c r="D27" s="589">
        <v>0</v>
      </c>
      <c r="E27" s="666">
        <v>0</v>
      </c>
      <c r="F27" s="2950">
        <v>0</v>
      </c>
      <c r="G27" s="2951"/>
      <c r="H27" s="488"/>
      <c r="I27" s="479"/>
      <c r="J27" s="486" t="s">
        <v>398</v>
      </c>
      <c r="K27" s="666">
        <f>K17</f>
        <v>19383.869999999995</v>
      </c>
      <c r="L27" s="589">
        <f>L17</f>
        <v>948.41</v>
      </c>
      <c r="M27" s="666">
        <f>M17</f>
        <v>0</v>
      </c>
      <c r="N27" s="589">
        <f>N17</f>
        <v>0</v>
      </c>
      <c r="O27" s="622"/>
      <c r="P27" s="623"/>
      <c r="Q27" s="447"/>
    </row>
    <row r="28" spans="1:17" ht="21" customHeight="1" x14ac:dyDescent="0.3">
      <c r="A28" s="447"/>
      <c r="B28" s="489" t="s">
        <v>314</v>
      </c>
      <c r="C28" s="590">
        <v>1.7E-6</v>
      </c>
      <c r="D28" s="590">
        <f>C28</f>
        <v>1.7E-6</v>
      </c>
      <c r="E28" s="590">
        <v>0</v>
      </c>
      <c r="F28" s="590">
        <v>0</v>
      </c>
      <c r="G28" s="588"/>
      <c r="H28" s="491"/>
      <c r="I28" s="479"/>
      <c r="J28" s="489" t="s">
        <v>314</v>
      </c>
      <c r="K28" s="590">
        <v>0</v>
      </c>
      <c r="L28" s="590">
        <v>0</v>
      </c>
      <c r="M28" s="590">
        <v>0</v>
      </c>
      <c r="N28" s="590">
        <v>0</v>
      </c>
      <c r="O28" s="614"/>
      <c r="P28" s="491"/>
      <c r="Q28" s="447"/>
    </row>
    <row r="29" spans="1:17" ht="21" customHeight="1" x14ac:dyDescent="0.3">
      <c r="A29" s="447"/>
      <c r="B29" s="492" t="s">
        <v>315</v>
      </c>
      <c r="C29" s="668">
        <f t="shared" ref="C29:F29" si="6">C27*C28</f>
        <v>0.56428666711809594</v>
      </c>
      <c r="D29" s="668">
        <f t="shared" si="6"/>
        <v>0</v>
      </c>
      <c r="E29" s="668">
        <f t="shared" si="6"/>
        <v>0</v>
      </c>
      <c r="F29" s="591">
        <f t="shared" si="6"/>
        <v>0</v>
      </c>
      <c r="G29" s="588"/>
      <c r="H29" s="494"/>
      <c r="I29" s="479"/>
      <c r="J29" s="492" t="s">
        <v>315</v>
      </c>
      <c r="K29" s="668">
        <f t="shared" ref="K29:N29" si="7">K27*K28</f>
        <v>0</v>
      </c>
      <c r="L29" s="591">
        <f t="shared" si="7"/>
        <v>0</v>
      </c>
      <c r="M29" s="624">
        <f t="shared" si="7"/>
        <v>0</v>
      </c>
      <c r="N29" s="624">
        <f t="shared" si="7"/>
        <v>0</v>
      </c>
      <c r="O29" s="614"/>
      <c r="P29" s="494"/>
      <c r="Q29" s="447"/>
    </row>
    <row r="30" spans="1:17" ht="21" hidden="1" customHeight="1" x14ac:dyDescent="0.4">
      <c r="B30" s="465" t="s">
        <v>316</v>
      </c>
      <c r="C30" s="665"/>
      <c r="D30" s="587"/>
      <c r="E30" s="665"/>
      <c r="F30" s="587"/>
      <c r="G30" s="483"/>
      <c r="H30" s="495"/>
      <c r="I30" s="483"/>
      <c r="J30" s="465"/>
      <c r="K30" s="665"/>
      <c r="L30" s="587"/>
      <c r="M30" s="665"/>
      <c r="N30" s="587"/>
      <c r="O30" s="618"/>
      <c r="P30" s="495"/>
    </row>
    <row r="31" spans="1:17" ht="30.6" hidden="1" customHeight="1" x14ac:dyDescent="0.3">
      <c r="A31" s="447"/>
      <c r="B31" s="469" t="s">
        <v>183</v>
      </c>
      <c r="C31" s="601" t="s">
        <v>2359</v>
      </c>
      <c r="D31" s="601" t="s">
        <v>2359</v>
      </c>
      <c r="E31" s="601" t="s">
        <v>2359</v>
      </c>
      <c r="F31" s="601" t="s">
        <v>2359</v>
      </c>
      <c r="G31" s="588"/>
      <c r="H31" s="496"/>
      <c r="I31" s="479"/>
      <c r="J31" s="469"/>
      <c r="K31" s="601"/>
      <c r="L31" s="601"/>
      <c r="M31" s="601"/>
      <c r="N31" s="601"/>
      <c r="O31" s="614"/>
      <c r="P31" s="496"/>
      <c r="Q31" s="447"/>
    </row>
    <row r="32" spans="1:17" ht="21" hidden="1" customHeight="1" x14ac:dyDescent="0.3">
      <c r="A32" s="447"/>
      <c r="B32" s="486" t="s">
        <v>2342</v>
      </c>
      <c r="C32" s="666">
        <v>0</v>
      </c>
      <c r="D32" s="589">
        <v>0</v>
      </c>
      <c r="E32" s="666">
        <v>0</v>
      </c>
      <c r="F32" s="589">
        <v>0</v>
      </c>
      <c r="G32" s="479"/>
      <c r="H32" s="488"/>
      <c r="I32" s="479"/>
      <c r="J32" s="486"/>
      <c r="K32" s="666"/>
      <c r="L32" s="589"/>
      <c r="M32" s="666"/>
      <c r="N32" s="589"/>
      <c r="O32" s="622"/>
      <c r="P32" s="623"/>
      <c r="Q32" s="447"/>
    </row>
    <row r="33" spans="1:17" ht="21" hidden="1" customHeight="1" x14ac:dyDescent="0.3">
      <c r="A33" s="447"/>
      <c r="B33" s="489" t="s">
        <v>314</v>
      </c>
      <c r="C33" s="590">
        <v>0</v>
      </c>
      <c r="D33" s="590">
        <v>0</v>
      </c>
      <c r="E33" s="590">
        <v>0</v>
      </c>
      <c r="F33" s="590">
        <v>0</v>
      </c>
      <c r="G33" s="588"/>
      <c r="H33" s="491"/>
      <c r="I33" s="479"/>
      <c r="J33" s="489"/>
      <c r="K33" s="625"/>
      <c r="L33" s="669"/>
      <c r="M33" s="590"/>
      <c r="N33" s="625"/>
      <c r="O33" s="614"/>
      <c r="P33" s="491"/>
      <c r="Q33" s="447"/>
    </row>
    <row r="34" spans="1:17" ht="21" hidden="1" customHeight="1" x14ac:dyDescent="0.3">
      <c r="A34" s="447"/>
      <c r="B34" s="492" t="s">
        <v>315</v>
      </c>
      <c r="C34" s="668">
        <f t="shared" ref="C34:F34" si="8">C32*C33</f>
        <v>0</v>
      </c>
      <c r="D34" s="668">
        <f t="shared" si="8"/>
        <v>0</v>
      </c>
      <c r="E34" s="668">
        <f t="shared" si="8"/>
        <v>0</v>
      </c>
      <c r="F34" s="591">
        <f t="shared" si="8"/>
        <v>0</v>
      </c>
      <c r="G34" s="588"/>
      <c r="H34" s="494"/>
      <c r="I34" s="479"/>
      <c r="J34" s="492"/>
      <c r="K34" s="591"/>
      <c r="L34" s="624"/>
      <c r="M34" s="668"/>
      <c r="N34" s="591"/>
      <c r="O34" s="614"/>
      <c r="P34" s="494"/>
      <c r="Q34" s="447"/>
    </row>
    <row r="35" spans="1:17" ht="28.5" customHeight="1" x14ac:dyDescent="0.3">
      <c r="A35" s="447"/>
      <c r="B35" s="498" t="s">
        <v>320</v>
      </c>
      <c r="C35" s="592" t="s">
        <v>321</v>
      </c>
      <c r="D35" s="592" t="s">
        <v>1625</v>
      </c>
      <c r="E35" s="592" t="s">
        <v>1625</v>
      </c>
      <c r="F35" s="592" t="s">
        <v>1625</v>
      </c>
      <c r="G35" s="593"/>
      <c r="H35" s="501"/>
      <c r="I35" s="500"/>
      <c r="J35" s="498" t="s">
        <v>320</v>
      </c>
      <c r="K35" s="626" t="s">
        <v>401</v>
      </c>
      <c r="L35" s="626" t="s">
        <v>401</v>
      </c>
      <c r="M35" s="626" t="s">
        <v>1625</v>
      </c>
      <c r="N35" s="626" t="s">
        <v>1625</v>
      </c>
      <c r="O35" s="614"/>
      <c r="P35" s="496"/>
      <c r="Q35" s="447"/>
    </row>
    <row r="36" spans="1:17" ht="24" customHeight="1" x14ac:dyDescent="0.3">
      <c r="B36" s="502" t="s">
        <v>322</v>
      </c>
      <c r="C36" s="673">
        <v>3</v>
      </c>
      <c r="D36" s="594">
        <v>3</v>
      </c>
      <c r="E36" s="673">
        <v>3</v>
      </c>
      <c r="F36" s="2952">
        <v>3</v>
      </c>
      <c r="G36" s="2953"/>
      <c r="H36" s="505"/>
      <c r="I36" s="504"/>
      <c r="J36" s="502" t="s">
        <v>322</v>
      </c>
      <c r="K36" s="674">
        <v>13</v>
      </c>
      <c r="L36" s="596">
        <v>13</v>
      </c>
      <c r="M36" s="674">
        <v>13</v>
      </c>
      <c r="N36" s="596">
        <v>13</v>
      </c>
      <c r="O36" s="618"/>
      <c r="P36" s="495"/>
    </row>
    <row r="37" spans="1:17" ht="33" customHeight="1" x14ac:dyDescent="0.3">
      <c r="A37" s="447"/>
      <c r="B37" s="506" t="s">
        <v>323</v>
      </c>
      <c r="C37" s="496" t="s">
        <v>324</v>
      </c>
      <c r="D37" s="595" t="s">
        <v>324</v>
      </c>
      <c r="E37" s="496" t="s">
        <v>324</v>
      </c>
      <c r="F37" s="2954" t="s">
        <v>324</v>
      </c>
      <c r="G37" s="2951"/>
      <c r="H37" s="496"/>
      <c r="I37" s="479"/>
      <c r="J37" s="506" t="s">
        <v>323</v>
      </c>
      <c r="K37" s="496" t="s">
        <v>324</v>
      </c>
      <c r="L37" s="595" t="s">
        <v>324</v>
      </c>
      <c r="M37" s="496" t="s">
        <v>324</v>
      </c>
      <c r="N37" s="595" t="s">
        <v>324</v>
      </c>
      <c r="O37" s="614"/>
      <c r="P37" s="496"/>
      <c r="Q37" s="447"/>
    </row>
    <row r="38" spans="1:17" ht="33" customHeight="1" x14ac:dyDescent="0.3">
      <c r="A38" s="447"/>
      <c r="B38" s="508" t="s">
        <v>325</v>
      </c>
      <c r="C38" s="509" t="s">
        <v>326</v>
      </c>
      <c r="D38" s="1154" t="s">
        <v>326</v>
      </c>
      <c r="E38" s="674" t="s">
        <v>326</v>
      </c>
      <c r="F38" s="596" t="s">
        <v>326</v>
      </c>
      <c r="G38" s="479"/>
      <c r="H38" s="496"/>
      <c r="I38" s="479"/>
      <c r="J38" s="508" t="s">
        <v>325</v>
      </c>
      <c r="K38" s="674" t="s">
        <v>326</v>
      </c>
      <c r="L38" s="596" t="s">
        <v>326</v>
      </c>
      <c r="M38" s="674" t="s">
        <v>326</v>
      </c>
      <c r="N38" s="627" t="s">
        <v>326</v>
      </c>
      <c r="O38" s="614"/>
      <c r="P38" s="496"/>
      <c r="Q38" s="447"/>
    </row>
    <row r="39" spans="1:17" ht="33" customHeight="1" x14ac:dyDescent="0.3">
      <c r="A39" s="447"/>
      <c r="B39" s="506" t="s">
        <v>327</v>
      </c>
      <c r="C39" s="595" t="s">
        <v>433</v>
      </c>
      <c r="D39" s="595" t="s">
        <v>729</v>
      </c>
      <c r="E39" s="595" t="s">
        <v>729</v>
      </c>
      <c r="F39" s="595" t="s">
        <v>729</v>
      </c>
      <c r="G39" s="479"/>
      <c r="H39" s="496"/>
      <c r="I39" s="479"/>
      <c r="J39" s="506" t="s">
        <v>327</v>
      </c>
      <c r="K39" s="595" t="s">
        <v>402</v>
      </c>
      <c r="L39" s="595" t="s">
        <v>402</v>
      </c>
      <c r="M39" s="595" t="s">
        <v>402</v>
      </c>
      <c r="N39" s="595" t="s">
        <v>402</v>
      </c>
      <c r="O39" s="614"/>
      <c r="P39" s="496"/>
      <c r="Q39" s="447"/>
    </row>
    <row r="40" spans="1:17" ht="21" customHeight="1" x14ac:dyDescent="0.3">
      <c r="B40" s="510" t="s">
        <v>329</v>
      </c>
      <c r="C40" s="596">
        <v>1</v>
      </c>
      <c r="D40" s="596">
        <v>0</v>
      </c>
      <c r="E40" s="596">
        <v>0</v>
      </c>
      <c r="F40" s="596">
        <v>0</v>
      </c>
      <c r="G40" s="467"/>
      <c r="H40" s="467"/>
      <c r="I40" s="467"/>
      <c r="J40" s="510" t="s">
        <v>329</v>
      </c>
      <c r="K40" s="596">
        <f>'CF-0603|GDS'!AE44+'CF-0603|GDS'!AE50+'CF-0603|GDS'!AE60</f>
        <v>13</v>
      </c>
      <c r="L40" s="596">
        <v>1</v>
      </c>
      <c r="M40" s="596">
        <v>0</v>
      </c>
      <c r="N40" s="596">
        <v>0</v>
      </c>
      <c r="O40" s="618"/>
      <c r="P40" s="467"/>
    </row>
    <row r="41" spans="1:17" ht="21" customHeight="1" x14ac:dyDescent="0.3">
      <c r="B41" s="453" t="s">
        <v>330</v>
      </c>
      <c r="C41" s="507" t="s">
        <v>324</v>
      </c>
      <c r="D41" s="1156" t="s">
        <v>324</v>
      </c>
      <c r="E41" s="496" t="s">
        <v>324</v>
      </c>
      <c r="F41" s="595" t="s">
        <v>324</v>
      </c>
      <c r="G41" s="483"/>
      <c r="H41" s="495"/>
      <c r="I41" s="483"/>
      <c r="J41" s="453" t="s">
        <v>330</v>
      </c>
      <c r="K41" s="496" t="s">
        <v>324</v>
      </c>
      <c r="L41" s="595" t="s">
        <v>324</v>
      </c>
      <c r="M41" s="496" t="s">
        <v>324</v>
      </c>
      <c r="N41" s="595" t="s">
        <v>324</v>
      </c>
      <c r="O41" s="618"/>
      <c r="P41" s="495"/>
    </row>
    <row r="42" spans="1:17" ht="21" customHeight="1" x14ac:dyDescent="0.3">
      <c r="B42" s="510" t="s">
        <v>331</v>
      </c>
      <c r="C42" s="674" t="s">
        <v>324</v>
      </c>
      <c r="D42" s="596" t="s">
        <v>324</v>
      </c>
      <c r="E42" s="674" t="s">
        <v>324</v>
      </c>
      <c r="F42" s="627" t="s">
        <v>324</v>
      </c>
      <c r="G42" s="2955"/>
      <c r="H42" s="495"/>
      <c r="I42" s="483"/>
      <c r="J42" s="510" t="s">
        <v>331</v>
      </c>
      <c r="K42" s="674" t="s">
        <v>324</v>
      </c>
      <c r="L42" s="596" t="s">
        <v>324</v>
      </c>
      <c r="M42" s="674" t="s">
        <v>324</v>
      </c>
      <c r="N42" s="596" t="s">
        <v>324</v>
      </c>
      <c r="O42" s="618"/>
      <c r="P42" s="495"/>
    </row>
    <row r="43" spans="1:17" ht="21" customHeight="1" x14ac:dyDescent="0.3">
      <c r="B43" s="462" t="s">
        <v>332</v>
      </c>
      <c r="C43" s="675" t="s">
        <v>333</v>
      </c>
      <c r="D43" s="555" t="s">
        <v>333</v>
      </c>
      <c r="E43" s="676" t="s">
        <v>333</v>
      </c>
      <c r="F43" s="675" t="s">
        <v>333</v>
      </c>
      <c r="G43" s="2955"/>
      <c r="H43" s="495"/>
      <c r="I43" s="483"/>
      <c r="J43" s="453" t="s">
        <v>332</v>
      </c>
      <c r="K43" s="2954" t="s">
        <v>333</v>
      </c>
      <c r="L43" s="555" t="s">
        <v>333</v>
      </c>
      <c r="M43" s="676" t="s">
        <v>333</v>
      </c>
      <c r="N43" s="555" t="s">
        <v>333</v>
      </c>
      <c r="O43" s="618"/>
      <c r="P43" s="495"/>
    </row>
    <row r="44" spans="1:17" ht="15.75" customHeight="1" x14ac:dyDescent="0.3">
      <c r="B44" s="427"/>
      <c r="C44" s="427"/>
      <c r="D44" s="427"/>
      <c r="E44" s="427"/>
      <c r="F44" s="427"/>
      <c r="G44" s="483"/>
      <c r="H44" s="483"/>
      <c r="I44" s="483"/>
      <c r="J44" s="4057" t="s">
        <v>1890</v>
      </c>
      <c r="K44" s="4058">
        <f>K14/K40</f>
        <v>1209.6386150009848</v>
      </c>
      <c r="O44" s="427"/>
      <c r="P44" s="427"/>
    </row>
    <row r="45" spans="1:17" ht="15.75" customHeight="1" x14ac:dyDescent="0.3">
      <c r="B45" s="512" t="s">
        <v>334</v>
      </c>
      <c r="C45" s="427"/>
      <c r="D45" s="427"/>
      <c r="E45" s="427"/>
      <c r="F45" s="427"/>
      <c r="G45" s="483"/>
      <c r="H45" s="483"/>
      <c r="I45" s="483"/>
      <c r="O45" s="427"/>
      <c r="P45" s="427"/>
    </row>
    <row r="46" spans="1:17" ht="15.75" customHeight="1" x14ac:dyDescent="0.3">
      <c r="B46" s="512" t="s">
        <v>335</v>
      </c>
      <c r="C46" s="427"/>
      <c r="D46" s="427"/>
      <c r="E46" s="427"/>
      <c r="F46" s="427"/>
      <c r="G46" s="483"/>
      <c r="H46" s="483"/>
      <c r="I46" s="483"/>
      <c r="O46" s="427"/>
      <c r="P46" s="427"/>
    </row>
    <row r="47" spans="1:17" ht="15.75" customHeight="1" x14ac:dyDescent="0.3">
      <c r="B47" s="512" t="s">
        <v>336</v>
      </c>
      <c r="C47" s="427"/>
      <c r="D47" s="427"/>
      <c r="E47" s="427"/>
      <c r="F47" s="427"/>
      <c r="G47" s="483"/>
      <c r="H47" s="483"/>
      <c r="I47" s="483"/>
      <c r="O47" s="427"/>
      <c r="P47" s="427"/>
    </row>
    <row r="48" spans="1:17" ht="15.75" customHeight="1" x14ac:dyDescent="0.3">
      <c r="B48" s="512" t="s">
        <v>337</v>
      </c>
      <c r="C48" s="427"/>
      <c r="D48" s="427"/>
      <c r="E48" s="427"/>
      <c r="F48" s="427"/>
      <c r="G48" s="483"/>
      <c r="H48" s="483"/>
      <c r="I48" s="483"/>
      <c r="O48" s="427"/>
      <c r="P48" s="427"/>
    </row>
    <row r="49" spans="2:16" ht="15.75" customHeight="1" x14ac:dyDescent="0.3">
      <c r="B49" s="512" t="s">
        <v>338</v>
      </c>
      <c r="G49" s="427"/>
      <c r="I49" s="427"/>
      <c r="O49" s="427"/>
      <c r="P49" s="427"/>
    </row>
    <row r="50" spans="2:16" ht="15.75" customHeight="1" x14ac:dyDescent="0.3">
      <c r="B50" s="512" t="s">
        <v>339</v>
      </c>
      <c r="G50" s="427"/>
      <c r="I50" s="427"/>
      <c r="O50" s="427"/>
      <c r="P50" s="427"/>
    </row>
    <row r="51" spans="2:16" ht="15.75" customHeight="1" x14ac:dyDescent="0.3">
      <c r="G51" s="427"/>
      <c r="I51" s="427"/>
      <c r="O51" s="427"/>
      <c r="P51" s="427"/>
    </row>
    <row r="52" spans="2:16" ht="15.75" customHeight="1" x14ac:dyDescent="0.3">
      <c r="G52" s="427"/>
      <c r="I52" s="427"/>
      <c r="O52" s="427"/>
      <c r="P52" s="427"/>
    </row>
    <row r="53" spans="2:16" ht="15.75" customHeight="1" x14ac:dyDescent="0.3">
      <c r="G53" s="427"/>
      <c r="I53" s="427"/>
      <c r="O53" s="427"/>
      <c r="P53" s="427"/>
    </row>
    <row r="54" spans="2:16" ht="15.75" customHeight="1" x14ac:dyDescent="0.3">
      <c r="G54" s="427"/>
      <c r="I54" s="427"/>
      <c r="O54" s="427"/>
    </row>
    <row r="55" spans="2:16" ht="15.75" customHeight="1" x14ac:dyDescent="0.3">
      <c r="G55" s="427"/>
      <c r="I55" s="427"/>
      <c r="O55" s="427"/>
    </row>
    <row r="56" spans="2:16" ht="15.75" customHeight="1" x14ac:dyDescent="0.3">
      <c r="G56" s="427"/>
      <c r="I56" s="427"/>
      <c r="O56" s="427"/>
    </row>
    <row r="57" spans="2:16" ht="15.75" customHeight="1" x14ac:dyDescent="0.3">
      <c r="G57" s="427"/>
      <c r="I57" s="427"/>
      <c r="O57" s="427"/>
    </row>
    <row r="58" spans="2:16" ht="15.75" customHeight="1" x14ac:dyDescent="0.3">
      <c r="G58" s="427"/>
      <c r="I58" s="427"/>
      <c r="O58" s="427"/>
    </row>
    <row r="59" spans="2:16" ht="15.75" customHeight="1" x14ac:dyDescent="0.3">
      <c r="G59" s="427"/>
      <c r="I59" s="427"/>
      <c r="O59" s="427"/>
    </row>
    <row r="60" spans="2:16" ht="15.75" customHeight="1" x14ac:dyDescent="0.3">
      <c r="G60" s="427"/>
      <c r="I60" s="427"/>
      <c r="O60" s="427"/>
    </row>
    <row r="61" spans="2:16" ht="15.75" customHeight="1" x14ac:dyDescent="0.3">
      <c r="G61" s="427"/>
      <c r="I61" s="427"/>
      <c r="O61" s="427"/>
    </row>
    <row r="62" spans="2:16" ht="15.75" customHeight="1" x14ac:dyDescent="0.3">
      <c r="G62" s="427"/>
      <c r="I62" s="427"/>
      <c r="O62" s="427"/>
    </row>
    <row r="63" spans="2:16" ht="15.75" customHeight="1" x14ac:dyDescent="0.3">
      <c r="G63" s="427"/>
      <c r="I63" s="427"/>
      <c r="O63" s="427"/>
    </row>
    <row r="64" spans="2:16" ht="15.75" customHeight="1" x14ac:dyDescent="0.3">
      <c r="G64" s="427"/>
      <c r="I64" s="427"/>
      <c r="O64" s="427"/>
    </row>
    <row r="65" spans="7:15" ht="15.75" customHeight="1" x14ac:dyDescent="0.3">
      <c r="G65" s="427"/>
      <c r="I65" s="427"/>
      <c r="O65" s="427"/>
    </row>
    <row r="66" spans="7:15" ht="15.75" customHeight="1" x14ac:dyDescent="0.3">
      <c r="G66" s="427"/>
      <c r="I66" s="427"/>
      <c r="O66" s="427"/>
    </row>
    <row r="67" spans="7:15" ht="15.75" customHeight="1" x14ac:dyDescent="0.3">
      <c r="G67" s="427"/>
      <c r="I67" s="427"/>
      <c r="O67" s="427"/>
    </row>
    <row r="68" spans="7:15" ht="15.75" customHeight="1" x14ac:dyDescent="0.3">
      <c r="G68" s="427"/>
      <c r="I68" s="427"/>
      <c r="O68" s="427"/>
    </row>
    <row r="69" spans="7:15" ht="15.75" customHeight="1" x14ac:dyDescent="0.3">
      <c r="G69" s="427"/>
      <c r="I69" s="427"/>
      <c r="O69" s="427"/>
    </row>
    <row r="70" spans="7:15" ht="15.75" customHeight="1" x14ac:dyDescent="0.3">
      <c r="G70" s="427"/>
      <c r="I70" s="427"/>
      <c r="O70" s="427"/>
    </row>
    <row r="71" spans="7:15" ht="15.75" customHeight="1" x14ac:dyDescent="0.3">
      <c r="G71" s="427"/>
      <c r="I71" s="427"/>
      <c r="O71" s="427"/>
    </row>
    <row r="72" spans="7:15" ht="15.75" customHeight="1" x14ac:dyDescent="0.3">
      <c r="G72" s="427"/>
      <c r="I72" s="427"/>
      <c r="O72" s="427"/>
    </row>
    <row r="73" spans="7:15" ht="15.75" customHeight="1" x14ac:dyDescent="0.3">
      <c r="G73" s="427"/>
      <c r="I73" s="427"/>
      <c r="O73" s="427"/>
    </row>
    <row r="74" spans="7:15" ht="15.75" customHeight="1" x14ac:dyDescent="0.3">
      <c r="G74" s="427"/>
      <c r="I74" s="427"/>
      <c r="O74" s="427"/>
    </row>
    <row r="75" spans="7:15" ht="15.75" customHeight="1" x14ac:dyDescent="0.3">
      <c r="G75" s="427"/>
      <c r="I75" s="427"/>
      <c r="O75" s="427"/>
    </row>
    <row r="76" spans="7:15" ht="15.75" customHeight="1" x14ac:dyDescent="0.3">
      <c r="G76" s="427"/>
      <c r="I76" s="427"/>
      <c r="O76" s="427"/>
    </row>
    <row r="77" spans="7:15" ht="15.75" customHeight="1" x14ac:dyDescent="0.3">
      <c r="G77" s="427"/>
      <c r="I77" s="427"/>
      <c r="O77" s="427"/>
    </row>
    <row r="78" spans="7:15" ht="15.75" customHeight="1" x14ac:dyDescent="0.3">
      <c r="G78" s="427"/>
      <c r="I78" s="427"/>
      <c r="O78" s="427"/>
    </row>
    <row r="79" spans="7:15" ht="15.75" customHeight="1" x14ac:dyDescent="0.3">
      <c r="G79" s="427"/>
      <c r="I79" s="427"/>
      <c r="O79" s="427"/>
    </row>
    <row r="80" spans="7:15" ht="15.75" customHeight="1" x14ac:dyDescent="0.3">
      <c r="G80" s="427"/>
      <c r="I80" s="427"/>
      <c r="O80" s="427"/>
    </row>
    <row r="81" spans="7:15" ht="15.75" customHeight="1" x14ac:dyDescent="0.3">
      <c r="G81" s="427"/>
      <c r="I81" s="427"/>
      <c r="O81" s="427"/>
    </row>
    <row r="82" spans="7:15" ht="15.75" customHeight="1" x14ac:dyDescent="0.3">
      <c r="G82" s="427"/>
      <c r="I82" s="427"/>
      <c r="O82" s="427"/>
    </row>
    <row r="83" spans="7:15" ht="15.75" customHeight="1" x14ac:dyDescent="0.3">
      <c r="G83" s="427"/>
      <c r="I83" s="427"/>
      <c r="O83" s="427"/>
    </row>
    <row r="84" spans="7:15" ht="15.75" customHeight="1" x14ac:dyDescent="0.3">
      <c r="G84" s="427"/>
      <c r="I84" s="427"/>
      <c r="O84" s="427"/>
    </row>
    <row r="85" spans="7:15" ht="15.75" customHeight="1" x14ac:dyDescent="0.3">
      <c r="G85" s="427"/>
      <c r="I85" s="427"/>
      <c r="O85" s="427"/>
    </row>
    <row r="86" spans="7:15" ht="15.75" customHeight="1" x14ac:dyDescent="0.3">
      <c r="G86" s="427"/>
      <c r="I86" s="427"/>
      <c r="O86" s="427"/>
    </row>
    <row r="87" spans="7:15" ht="15.75" customHeight="1" x14ac:dyDescent="0.3">
      <c r="G87" s="427"/>
      <c r="I87" s="427"/>
      <c r="O87" s="427"/>
    </row>
    <row r="88" spans="7:15" ht="15.75" customHeight="1" x14ac:dyDescent="0.3">
      <c r="G88" s="427"/>
      <c r="I88" s="427"/>
      <c r="O88" s="427"/>
    </row>
    <row r="89" spans="7:15" ht="15.75" customHeight="1" x14ac:dyDescent="0.3">
      <c r="G89" s="427"/>
      <c r="I89" s="427"/>
      <c r="O89" s="427"/>
    </row>
    <row r="90" spans="7:15" ht="15.75" customHeight="1" x14ac:dyDescent="0.3">
      <c r="G90" s="427"/>
      <c r="I90" s="427"/>
      <c r="O90" s="427"/>
    </row>
    <row r="91" spans="7:15" ht="15.75" customHeight="1" x14ac:dyDescent="0.3">
      <c r="G91" s="427"/>
      <c r="I91" s="427"/>
      <c r="O91" s="427"/>
    </row>
    <row r="92" spans="7:15" ht="15.75" customHeight="1" x14ac:dyDescent="0.3">
      <c r="G92" s="427"/>
      <c r="I92" s="427"/>
      <c r="O92" s="427"/>
    </row>
    <row r="93" spans="7:15" ht="15.75" customHeight="1" x14ac:dyDescent="0.3">
      <c r="G93" s="427"/>
      <c r="I93" s="427"/>
      <c r="O93" s="427"/>
    </row>
    <row r="94" spans="7:15" ht="15.75" customHeight="1" x14ac:dyDescent="0.3">
      <c r="G94" s="427"/>
      <c r="I94" s="427"/>
      <c r="O94" s="427"/>
    </row>
    <row r="95" spans="7:15" ht="15.75" customHeight="1" x14ac:dyDescent="0.3">
      <c r="G95" s="427"/>
      <c r="I95" s="427"/>
      <c r="O95" s="427"/>
    </row>
    <row r="96" spans="7:15" ht="15.75" customHeight="1" x14ac:dyDescent="0.3">
      <c r="G96" s="427"/>
      <c r="I96" s="427"/>
      <c r="O96" s="427"/>
    </row>
    <row r="97" spans="7:15" ht="15.75" customHeight="1" x14ac:dyDescent="0.3">
      <c r="G97" s="427"/>
      <c r="I97" s="427"/>
      <c r="O97" s="427"/>
    </row>
    <row r="98" spans="7:15" ht="15.75" customHeight="1" x14ac:dyDescent="0.3">
      <c r="G98" s="427"/>
      <c r="I98" s="427"/>
      <c r="O98" s="427"/>
    </row>
    <row r="99" spans="7:15" ht="15.75" customHeight="1" x14ac:dyDescent="0.3">
      <c r="G99" s="427"/>
      <c r="I99" s="427"/>
      <c r="O99" s="427"/>
    </row>
    <row r="100" spans="7:15" ht="15.75" customHeight="1" x14ac:dyDescent="0.3">
      <c r="G100" s="427"/>
      <c r="I100" s="427"/>
      <c r="O100" s="427"/>
    </row>
    <row r="101" spans="7:15" ht="15.75" customHeight="1" x14ac:dyDescent="0.3">
      <c r="G101" s="427"/>
      <c r="I101" s="427"/>
      <c r="O101" s="427"/>
    </row>
    <row r="102" spans="7:15" ht="15.75" customHeight="1" x14ac:dyDescent="0.3">
      <c r="G102" s="427"/>
      <c r="I102" s="427"/>
      <c r="O102" s="427"/>
    </row>
    <row r="103" spans="7:15" ht="15.75" customHeight="1" x14ac:dyDescent="0.3">
      <c r="G103" s="427"/>
      <c r="I103" s="427"/>
      <c r="O103" s="427"/>
    </row>
    <row r="104" spans="7:15" ht="15.75" customHeight="1" x14ac:dyDescent="0.3">
      <c r="G104" s="427"/>
      <c r="I104" s="427"/>
      <c r="O104" s="427"/>
    </row>
    <row r="105" spans="7:15" ht="15.75" customHeight="1" x14ac:dyDescent="0.3">
      <c r="G105" s="427"/>
      <c r="I105" s="427"/>
      <c r="O105" s="427"/>
    </row>
    <row r="106" spans="7:15" ht="15.75" customHeight="1" x14ac:dyDescent="0.3">
      <c r="G106" s="427"/>
      <c r="I106" s="427"/>
      <c r="O106" s="427"/>
    </row>
    <row r="107" spans="7:15" ht="15.75" customHeight="1" x14ac:dyDescent="0.3">
      <c r="G107" s="427"/>
      <c r="I107" s="427"/>
      <c r="O107" s="427"/>
    </row>
    <row r="108" spans="7:15" ht="15.75" customHeight="1" x14ac:dyDescent="0.3">
      <c r="G108" s="427"/>
      <c r="I108" s="427"/>
      <c r="O108" s="427"/>
    </row>
    <row r="109" spans="7:15" ht="15.75" customHeight="1" x14ac:dyDescent="0.3">
      <c r="G109" s="427"/>
      <c r="I109" s="427"/>
      <c r="O109" s="427"/>
    </row>
    <row r="110" spans="7:15" ht="15.75" customHeight="1" x14ac:dyDescent="0.3">
      <c r="G110" s="427"/>
      <c r="I110" s="427"/>
      <c r="O110" s="427"/>
    </row>
    <row r="111" spans="7:15" ht="15.75" customHeight="1" x14ac:dyDescent="0.3">
      <c r="G111" s="427"/>
      <c r="I111" s="427"/>
      <c r="O111" s="427"/>
    </row>
    <row r="112" spans="7:15" ht="15.75" customHeight="1" x14ac:dyDescent="0.3">
      <c r="G112" s="427"/>
      <c r="I112" s="427"/>
      <c r="O112" s="427"/>
    </row>
    <row r="113" spans="7:15" ht="15.75" customHeight="1" x14ac:dyDescent="0.3">
      <c r="G113" s="427"/>
      <c r="I113" s="427"/>
      <c r="O113" s="427"/>
    </row>
    <row r="114" spans="7:15" ht="15.75" customHeight="1" x14ac:dyDescent="0.3">
      <c r="G114" s="427"/>
      <c r="I114" s="427"/>
      <c r="O114" s="427"/>
    </row>
    <row r="115" spans="7:15" ht="15.75" customHeight="1" x14ac:dyDescent="0.3">
      <c r="G115" s="427"/>
      <c r="I115" s="427"/>
      <c r="O115" s="427"/>
    </row>
    <row r="116" spans="7:15" ht="15.75" customHeight="1" x14ac:dyDescent="0.3">
      <c r="G116" s="427"/>
      <c r="I116" s="427"/>
      <c r="O116" s="427"/>
    </row>
    <row r="117" spans="7:15" ht="15.75" customHeight="1" x14ac:dyDescent="0.3">
      <c r="G117" s="427"/>
      <c r="I117" s="427"/>
      <c r="O117" s="427"/>
    </row>
    <row r="118" spans="7:15" ht="15.75" customHeight="1" x14ac:dyDescent="0.3">
      <c r="G118" s="427"/>
      <c r="I118" s="427"/>
      <c r="O118" s="427"/>
    </row>
    <row r="119" spans="7:15" ht="15.75" customHeight="1" x14ac:dyDescent="0.3">
      <c r="G119" s="427"/>
      <c r="I119" s="427"/>
      <c r="O119" s="427"/>
    </row>
    <row r="120" spans="7:15" ht="15.75" customHeight="1" x14ac:dyDescent="0.3">
      <c r="G120" s="427"/>
      <c r="I120" s="427"/>
      <c r="O120" s="427"/>
    </row>
    <row r="121" spans="7:15" ht="15.75" customHeight="1" x14ac:dyDescent="0.3">
      <c r="G121" s="427"/>
      <c r="I121" s="427"/>
      <c r="O121" s="427"/>
    </row>
    <row r="122" spans="7:15" ht="15.75" customHeight="1" x14ac:dyDescent="0.3">
      <c r="G122" s="427"/>
      <c r="I122" s="427"/>
      <c r="O122" s="427"/>
    </row>
    <row r="123" spans="7:15" ht="15.75" customHeight="1" x14ac:dyDescent="0.3">
      <c r="G123" s="427"/>
      <c r="I123" s="427"/>
      <c r="O123" s="427"/>
    </row>
    <row r="124" spans="7:15" ht="15.75" customHeight="1" x14ac:dyDescent="0.3">
      <c r="G124" s="427"/>
      <c r="I124" s="427"/>
      <c r="O124" s="427"/>
    </row>
    <row r="125" spans="7:15" ht="15.75" customHeight="1" x14ac:dyDescent="0.3">
      <c r="G125" s="427"/>
      <c r="I125" s="427"/>
      <c r="O125" s="427"/>
    </row>
    <row r="126" spans="7:15" ht="15.75" customHeight="1" x14ac:dyDescent="0.3">
      <c r="G126" s="427"/>
      <c r="I126" s="427"/>
      <c r="O126" s="427"/>
    </row>
    <row r="127" spans="7:15" ht="15.75" customHeight="1" x14ac:dyDescent="0.3">
      <c r="G127" s="427"/>
      <c r="I127" s="427"/>
      <c r="O127" s="427"/>
    </row>
    <row r="128" spans="7:15" ht="15.75" customHeight="1" x14ac:dyDescent="0.3">
      <c r="G128" s="427"/>
      <c r="I128" s="427"/>
      <c r="O128" s="427"/>
    </row>
    <row r="129" spans="7:15" ht="15.75" customHeight="1" x14ac:dyDescent="0.3">
      <c r="G129" s="427"/>
      <c r="I129" s="427"/>
      <c r="O129" s="427"/>
    </row>
    <row r="130" spans="7:15" ht="15.75" customHeight="1" x14ac:dyDescent="0.3">
      <c r="G130" s="427"/>
      <c r="I130" s="427"/>
      <c r="O130" s="427"/>
    </row>
    <row r="131" spans="7:15" ht="15.75" customHeight="1" x14ac:dyDescent="0.3">
      <c r="G131" s="427"/>
      <c r="I131" s="427"/>
      <c r="O131" s="427"/>
    </row>
    <row r="132" spans="7:15" ht="15.75" customHeight="1" x14ac:dyDescent="0.3">
      <c r="G132" s="427"/>
      <c r="I132" s="427"/>
      <c r="O132" s="427"/>
    </row>
    <row r="133" spans="7:15" ht="15.75" customHeight="1" x14ac:dyDescent="0.3">
      <c r="G133" s="427"/>
      <c r="I133" s="427"/>
      <c r="O133" s="427"/>
    </row>
    <row r="134" spans="7:15" ht="15.75" customHeight="1" x14ac:dyDescent="0.3">
      <c r="G134" s="427"/>
      <c r="I134" s="427"/>
      <c r="O134" s="427"/>
    </row>
    <row r="135" spans="7:15" ht="15.75" customHeight="1" x14ac:dyDescent="0.3">
      <c r="G135" s="427"/>
      <c r="I135" s="427"/>
      <c r="O135" s="427"/>
    </row>
    <row r="136" spans="7:15" ht="15.75" customHeight="1" x14ac:dyDescent="0.3">
      <c r="G136" s="427"/>
      <c r="I136" s="427"/>
      <c r="O136" s="427"/>
    </row>
    <row r="137" spans="7:15" ht="15.75" customHeight="1" x14ac:dyDescent="0.3">
      <c r="G137" s="427"/>
      <c r="I137" s="427"/>
      <c r="O137" s="427"/>
    </row>
    <row r="138" spans="7:15" ht="15.75" customHeight="1" x14ac:dyDescent="0.3">
      <c r="G138" s="427"/>
      <c r="I138" s="427"/>
      <c r="O138" s="427"/>
    </row>
    <row r="139" spans="7:15" ht="15.75" customHeight="1" x14ac:dyDescent="0.3">
      <c r="G139" s="427"/>
      <c r="I139" s="427"/>
      <c r="O139" s="427"/>
    </row>
    <row r="140" spans="7:15" ht="15.75" customHeight="1" x14ac:dyDescent="0.3">
      <c r="G140" s="427"/>
      <c r="I140" s="427"/>
      <c r="O140" s="427"/>
    </row>
    <row r="141" spans="7:15" ht="15.75" customHeight="1" x14ac:dyDescent="0.3">
      <c r="G141" s="427"/>
      <c r="I141" s="427"/>
      <c r="O141" s="427"/>
    </row>
    <row r="142" spans="7:15" ht="15.75" customHeight="1" x14ac:dyDescent="0.3">
      <c r="G142" s="427"/>
      <c r="I142" s="427"/>
      <c r="O142" s="427"/>
    </row>
    <row r="143" spans="7:15" ht="15.75" customHeight="1" x14ac:dyDescent="0.3">
      <c r="G143" s="427"/>
      <c r="I143" s="427"/>
      <c r="O143" s="427"/>
    </row>
    <row r="144" spans="7:15" ht="15.75" customHeight="1" x14ac:dyDescent="0.3">
      <c r="G144" s="427"/>
      <c r="I144" s="427"/>
      <c r="O144" s="427"/>
    </row>
    <row r="145" spans="7:15" ht="15.75" customHeight="1" x14ac:dyDescent="0.3">
      <c r="G145" s="427"/>
      <c r="I145" s="427"/>
      <c r="O145" s="427"/>
    </row>
    <row r="146" spans="7:15" ht="15.75" customHeight="1" x14ac:dyDescent="0.3">
      <c r="G146" s="427"/>
      <c r="I146" s="427"/>
      <c r="O146" s="427"/>
    </row>
    <row r="147" spans="7:15" ht="15.75" customHeight="1" x14ac:dyDescent="0.3">
      <c r="G147" s="427"/>
      <c r="I147" s="427"/>
      <c r="O147" s="427"/>
    </row>
    <row r="148" spans="7:15" ht="15.75" customHeight="1" x14ac:dyDescent="0.3">
      <c r="G148" s="427"/>
      <c r="I148" s="427"/>
      <c r="O148" s="427"/>
    </row>
    <row r="149" spans="7:15" ht="15.75" customHeight="1" x14ac:dyDescent="0.3">
      <c r="G149" s="427"/>
      <c r="I149" s="427"/>
      <c r="O149" s="427"/>
    </row>
    <row r="150" spans="7:15" ht="15.75" customHeight="1" x14ac:dyDescent="0.3">
      <c r="G150" s="427"/>
      <c r="I150" s="427"/>
      <c r="O150" s="427"/>
    </row>
    <row r="151" spans="7:15" ht="15.75" customHeight="1" x14ac:dyDescent="0.3">
      <c r="G151" s="427"/>
      <c r="I151" s="427"/>
      <c r="O151" s="427"/>
    </row>
    <row r="152" spans="7:15" ht="15.75" customHeight="1" x14ac:dyDescent="0.3">
      <c r="G152" s="427"/>
      <c r="I152" s="427"/>
      <c r="O152" s="427"/>
    </row>
    <row r="153" spans="7:15" ht="15.75" customHeight="1" x14ac:dyDescent="0.3">
      <c r="G153" s="427"/>
      <c r="I153" s="427"/>
      <c r="O153" s="427"/>
    </row>
    <row r="154" spans="7:15" ht="15.75" customHeight="1" x14ac:dyDescent="0.3">
      <c r="G154" s="427"/>
      <c r="I154" s="427"/>
      <c r="O154" s="427"/>
    </row>
    <row r="155" spans="7:15" ht="15.75" customHeight="1" x14ac:dyDescent="0.3">
      <c r="G155" s="427"/>
      <c r="I155" s="427"/>
      <c r="O155" s="427"/>
    </row>
    <row r="156" spans="7:15" ht="15.75" customHeight="1" x14ac:dyDescent="0.3">
      <c r="G156" s="427"/>
      <c r="I156" s="427"/>
      <c r="O156" s="427"/>
    </row>
    <row r="157" spans="7:15" ht="15.75" customHeight="1" x14ac:dyDescent="0.3">
      <c r="G157" s="427"/>
      <c r="I157" s="427"/>
      <c r="O157" s="427"/>
    </row>
    <row r="158" spans="7:15" ht="15.75" customHeight="1" x14ac:dyDescent="0.3">
      <c r="G158" s="427"/>
      <c r="I158" s="427"/>
      <c r="O158" s="427"/>
    </row>
    <row r="159" spans="7:15" ht="15.75" customHeight="1" x14ac:dyDescent="0.3">
      <c r="G159" s="427"/>
      <c r="I159" s="427"/>
      <c r="O159" s="427"/>
    </row>
    <row r="160" spans="7:15" ht="15.75" customHeight="1" x14ac:dyDescent="0.3">
      <c r="G160" s="427"/>
      <c r="I160" s="427"/>
      <c r="O160" s="427"/>
    </row>
    <row r="161" spans="7:15" ht="15.75" customHeight="1" x14ac:dyDescent="0.3">
      <c r="G161" s="427"/>
      <c r="I161" s="427"/>
      <c r="O161" s="427"/>
    </row>
    <row r="162" spans="7:15" ht="15.75" customHeight="1" x14ac:dyDescent="0.3">
      <c r="G162" s="427"/>
      <c r="I162" s="427"/>
      <c r="O162" s="427"/>
    </row>
    <row r="163" spans="7:15" ht="15.75" customHeight="1" x14ac:dyDescent="0.3">
      <c r="G163" s="427"/>
      <c r="I163" s="427"/>
      <c r="O163" s="427"/>
    </row>
    <row r="164" spans="7:15" ht="15.75" customHeight="1" x14ac:dyDescent="0.3">
      <c r="G164" s="427"/>
      <c r="I164" s="427"/>
      <c r="O164" s="427"/>
    </row>
    <row r="165" spans="7:15" ht="15.75" customHeight="1" x14ac:dyDescent="0.3">
      <c r="G165" s="427"/>
      <c r="I165" s="427"/>
      <c r="O165" s="427"/>
    </row>
    <row r="166" spans="7:15" ht="15.75" customHeight="1" x14ac:dyDescent="0.3">
      <c r="G166" s="427"/>
      <c r="I166" s="427"/>
      <c r="O166" s="427"/>
    </row>
    <row r="167" spans="7:15" ht="15.75" customHeight="1" x14ac:dyDescent="0.3">
      <c r="G167" s="427"/>
      <c r="I167" s="427"/>
      <c r="O167" s="427"/>
    </row>
    <row r="168" spans="7:15" ht="15.75" customHeight="1" x14ac:dyDescent="0.3">
      <c r="G168" s="427"/>
      <c r="I168" s="427"/>
      <c r="O168" s="427"/>
    </row>
    <row r="169" spans="7:15" ht="15.75" customHeight="1" x14ac:dyDescent="0.3">
      <c r="G169" s="427"/>
      <c r="I169" s="427"/>
      <c r="O169" s="427"/>
    </row>
    <row r="170" spans="7:15" ht="15.75" customHeight="1" x14ac:dyDescent="0.3">
      <c r="G170" s="427"/>
      <c r="I170" s="427"/>
      <c r="O170" s="427"/>
    </row>
    <row r="171" spans="7:15" ht="15.75" customHeight="1" x14ac:dyDescent="0.3">
      <c r="G171" s="427"/>
      <c r="I171" s="427"/>
      <c r="O171" s="427"/>
    </row>
    <row r="172" spans="7:15" ht="15.75" customHeight="1" x14ac:dyDescent="0.3">
      <c r="G172" s="427"/>
      <c r="I172" s="427"/>
      <c r="O172" s="427"/>
    </row>
    <row r="173" spans="7:15" ht="15.75" customHeight="1" x14ac:dyDescent="0.3">
      <c r="G173" s="427"/>
      <c r="I173" s="427"/>
      <c r="O173" s="427"/>
    </row>
    <row r="174" spans="7:15" ht="15.75" customHeight="1" x14ac:dyDescent="0.3">
      <c r="G174" s="427"/>
      <c r="I174" s="427"/>
      <c r="O174" s="427"/>
    </row>
    <row r="175" spans="7:15" ht="15.75" customHeight="1" x14ac:dyDescent="0.3">
      <c r="G175" s="427"/>
      <c r="I175" s="427"/>
      <c r="O175" s="427"/>
    </row>
    <row r="176" spans="7:15" ht="15.75" customHeight="1" x14ac:dyDescent="0.3">
      <c r="G176" s="427"/>
      <c r="I176" s="427"/>
      <c r="O176" s="427"/>
    </row>
    <row r="177" spans="7:15" ht="15.75" customHeight="1" x14ac:dyDescent="0.3">
      <c r="G177" s="427"/>
      <c r="I177" s="427"/>
      <c r="O177" s="427"/>
    </row>
    <row r="178" spans="7:15" ht="15.75" customHeight="1" x14ac:dyDescent="0.3">
      <c r="G178" s="427"/>
      <c r="I178" s="427"/>
      <c r="O178" s="427"/>
    </row>
    <row r="179" spans="7:15" ht="15.75" customHeight="1" x14ac:dyDescent="0.3">
      <c r="G179" s="427"/>
      <c r="I179" s="427"/>
      <c r="O179" s="427"/>
    </row>
    <row r="180" spans="7:15" ht="15.75" customHeight="1" x14ac:dyDescent="0.3">
      <c r="G180" s="427"/>
      <c r="I180" s="427"/>
      <c r="O180" s="427"/>
    </row>
    <row r="181" spans="7:15" ht="15.75" customHeight="1" x14ac:dyDescent="0.3">
      <c r="G181" s="427"/>
      <c r="I181" s="427"/>
      <c r="O181" s="427"/>
    </row>
    <row r="182" spans="7:15" ht="15.75" customHeight="1" x14ac:dyDescent="0.3">
      <c r="G182" s="427"/>
      <c r="I182" s="427"/>
      <c r="O182" s="427"/>
    </row>
    <row r="183" spans="7:15" ht="15.75" customHeight="1" x14ac:dyDescent="0.3">
      <c r="G183" s="427"/>
      <c r="I183" s="427"/>
      <c r="O183" s="427"/>
    </row>
    <row r="184" spans="7:15" ht="15.75" customHeight="1" x14ac:dyDescent="0.3">
      <c r="G184" s="427"/>
      <c r="I184" s="427"/>
      <c r="O184" s="427"/>
    </row>
    <row r="185" spans="7:15" ht="15.75" customHeight="1" x14ac:dyDescent="0.3">
      <c r="G185" s="427"/>
      <c r="I185" s="427"/>
      <c r="O185" s="427"/>
    </row>
    <row r="186" spans="7:15" ht="15.75" customHeight="1" x14ac:dyDescent="0.3">
      <c r="G186" s="427"/>
      <c r="I186" s="427"/>
      <c r="O186" s="427"/>
    </row>
    <row r="187" spans="7:15" ht="15.75" customHeight="1" x14ac:dyDescent="0.3">
      <c r="G187" s="427"/>
      <c r="I187" s="427"/>
      <c r="O187" s="427"/>
    </row>
    <row r="188" spans="7:15" ht="15.75" customHeight="1" x14ac:dyDescent="0.3">
      <c r="G188" s="427"/>
      <c r="I188" s="427"/>
      <c r="O188" s="427"/>
    </row>
    <row r="189" spans="7:15" ht="15.75" customHeight="1" x14ac:dyDescent="0.3">
      <c r="G189" s="427"/>
      <c r="I189" s="427"/>
      <c r="O189" s="427"/>
    </row>
    <row r="190" spans="7:15" ht="15.75" customHeight="1" x14ac:dyDescent="0.3">
      <c r="G190" s="427"/>
      <c r="I190" s="427"/>
      <c r="O190" s="427"/>
    </row>
    <row r="191" spans="7:15" ht="15.75" customHeight="1" x14ac:dyDescent="0.3">
      <c r="G191" s="427"/>
      <c r="I191" s="427"/>
      <c r="O191" s="427"/>
    </row>
    <row r="192" spans="7:15" ht="15.75" customHeight="1" x14ac:dyDescent="0.3">
      <c r="G192" s="427"/>
      <c r="I192" s="427"/>
      <c r="O192" s="427"/>
    </row>
    <row r="193" spans="7:15" ht="15.75" customHeight="1" x14ac:dyDescent="0.3">
      <c r="G193" s="427"/>
      <c r="I193" s="427"/>
      <c r="O193" s="427"/>
    </row>
    <row r="194" spans="7:15" ht="15.75" customHeight="1" x14ac:dyDescent="0.3">
      <c r="G194" s="427"/>
      <c r="I194" s="427"/>
      <c r="O194" s="427"/>
    </row>
    <row r="195" spans="7:15" ht="15.75" customHeight="1" x14ac:dyDescent="0.3">
      <c r="G195" s="427"/>
      <c r="I195" s="427"/>
      <c r="O195" s="427"/>
    </row>
    <row r="196" spans="7:15" ht="15.75" customHeight="1" x14ac:dyDescent="0.3">
      <c r="G196" s="427"/>
      <c r="I196" s="427"/>
      <c r="O196" s="427"/>
    </row>
    <row r="197" spans="7:15" ht="15.75" customHeight="1" x14ac:dyDescent="0.3">
      <c r="G197" s="427"/>
      <c r="I197" s="427"/>
      <c r="O197" s="427"/>
    </row>
    <row r="198" spans="7:15" ht="15.75" customHeight="1" x14ac:dyDescent="0.3">
      <c r="G198" s="427"/>
      <c r="I198" s="427"/>
      <c r="O198" s="427"/>
    </row>
    <row r="199" spans="7:15" ht="15.75" customHeight="1" x14ac:dyDescent="0.3">
      <c r="G199" s="427"/>
      <c r="I199" s="427"/>
      <c r="O199" s="427"/>
    </row>
    <row r="200" spans="7:15" ht="15.75" customHeight="1" x14ac:dyDescent="0.3">
      <c r="G200" s="427"/>
      <c r="I200" s="427"/>
      <c r="O200" s="427"/>
    </row>
    <row r="201" spans="7:15" ht="15.75" customHeight="1" x14ac:dyDescent="0.3">
      <c r="G201" s="427"/>
      <c r="I201" s="427"/>
      <c r="O201" s="427"/>
    </row>
    <row r="202" spans="7:15" ht="15.75" customHeight="1" x14ac:dyDescent="0.3">
      <c r="G202" s="427"/>
      <c r="I202" s="427"/>
      <c r="O202" s="427"/>
    </row>
    <row r="203" spans="7:15" ht="15.75" customHeight="1" x14ac:dyDescent="0.3">
      <c r="G203" s="427"/>
      <c r="I203" s="427"/>
      <c r="O203" s="427"/>
    </row>
    <row r="204" spans="7:15" ht="15.75" customHeight="1" x14ac:dyDescent="0.3">
      <c r="G204" s="427"/>
      <c r="I204" s="427"/>
      <c r="O204" s="427"/>
    </row>
    <row r="205" spans="7:15" ht="15.75" customHeight="1" x14ac:dyDescent="0.3">
      <c r="G205" s="427"/>
      <c r="I205" s="427"/>
      <c r="O205" s="427"/>
    </row>
    <row r="206" spans="7:15" ht="15.75" customHeight="1" x14ac:dyDescent="0.3">
      <c r="G206" s="427"/>
      <c r="I206" s="427"/>
      <c r="O206" s="427"/>
    </row>
    <row r="207" spans="7:15" ht="15.75" customHeight="1" x14ac:dyDescent="0.3">
      <c r="G207" s="427"/>
      <c r="I207" s="427"/>
      <c r="O207" s="427"/>
    </row>
    <row r="208" spans="7:15" ht="15.75" customHeight="1" x14ac:dyDescent="0.3">
      <c r="G208" s="427"/>
      <c r="I208" s="427"/>
      <c r="O208" s="427"/>
    </row>
    <row r="209" spans="7:15" ht="15.75" customHeight="1" x14ac:dyDescent="0.3">
      <c r="G209" s="427"/>
      <c r="I209" s="427"/>
      <c r="O209" s="427"/>
    </row>
    <row r="210" spans="7:15" ht="15.75" customHeight="1" x14ac:dyDescent="0.3">
      <c r="G210" s="427"/>
      <c r="I210" s="427"/>
      <c r="O210" s="427"/>
    </row>
    <row r="211" spans="7:15" ht="15.75" customHeight="1" x14ac:dyDescent="0.3">
      <c r="G211" s="427"/>
      <c r="I211" s="427"/>
      <c r="O211" s="427"/>
    </row>
    <row r="212" spans="7:15" ht="15.75" customHeight="1" x14ac:dyDescent="0.3">
      <c r="G212" s="427"/>
      <c r="I212" s="427"/>
      <c r="O212" s="427"/>
    </row>
    <row r="213" spans="7:15" ht="15.75" customHeight="1" x14ac:dyDescent="0.3">
      <c r="G213" s="427"/>
      <c r="I213" s="427"/>
      <c r="O213" s="427"/>
    </row>
    <row r="214" spans="7:15" ht="15.75" customHeight="1" x14ac:dyDescent="0.3">
      <c r="G214" s="427"/>
      <c r="I214" s="427"/>
      <c r="O214" s="427"/>
    </row>
    <row r="215" spans="7:15" ht="15.75" customHeight="1" x14ac:dyDescent="0.3">
      <c r="G215" s="427"/>
      <c r="I215" s="427"/>
      <c r="O215" s="427"/>
    </row>
    <row r="216" spans="7:15" ht="15.75" customHeight="1" x14ac:dyDescent="0.3">
      <c r="G216" s="427"/>
      <c r="I216" s="427"/>
      <c r="O216" s="427"/>
    </row>
    <row r="217" spans="7:15" ht="15.75" customHeight="1" x14ac:dyDescent="0.3">
      <c r="G217" s="427"/>
      <c r="I217" s="427"/>
      <c r="O217" s="427"/>
    </row>
    <row r="218" spans="7:15" ht="15.75" customHeight="1" x14ac:dyDescent="0.3">
      <c r="G218" s="427"/>
      <c r="I218" s="427"/>
      <c r="O218" s="427"/>
    </row>
    <row r="219" spans="7:15" ht="15.75" customHeight="1" x14ac:dyDescent="0.3">
      <c r="G219" s="427"/>
      <c r="I219" s="427"/>
      <c r="O219" s="427"/>
    </row>
    <row r="220" spans="7:15" ht="15.75" customHeight="1" x14ac:dyDescent="0.3">
      <c r="G220" s="427"/>
      <c r="I220" s="427"/>
      <c r="O220" s="427"/>
    </row>
    <row r="221" spans="7:15" ht="15.75" customHeight="1" x14ac:dyDescent="0.3">
      <c r="G221" s="427"/>
      <c r="I221" s="427"/>
      <c r="O221" s="427"/>
    </row>
    <row r="222" spans="7:15" ht="15.75" customHeight="1" x14ac:dyDescent="0.3">
      <c r="G222" s="427"/>
      <c r="I222" s="427"/>
      <c r="O222" s="427"/>
    </row>
    <row r="223" spans="7:15" ht="15.75" customHeight="1" x14ac:dyDescent="0.3">
      <c r="G223" s="427"/>
      <c r="I223" s="427"/>
      <c r="O223" s="427"/>
    </row>
    <row r="224" spans="7:15" ht="15.75" customHeight="1" x14ac:dyDescent="0.3">
      <c r="G224" s="427"/>
      <c r="I224" s="427"/>
      <c r="O224" s="427"/>
    </row>
    <row r="225" spans="7:15" ht="15.75" customHeight="1" x14ac:dyDescent="0.3">
      <c r="G225" s="427"/>
      <c r="I225" s="427"/>
      <c r="O225" s="427"/>
    </row>
    <row r="226" spans="7:15" ht="15.75" customHeight="1" x14ac:dyDescent="0.3">
      <c r="G226" s="427"/>
      <c r="I226" s="427"/>
      <c r="O226" s="427"/>
    </row>
    <row r="227" spans="7:15" ht="15.75" customHeight="1" x14ac:dyDescent="0.3">
      <c r="G227" s="427"/>
      <c r="I227" s="427"/>
      <c r="O227" s="427"/>
    </row>
    <row r="228" spans="7:15" ht="15.75" customHeight="1" x14ac:dyDescent="0.3">
      <c r="G228" s="427"/>
      <c r="I228" s="427"/>
      <c r="O228" s="427"/>
    </row>
    <row r="229" spans="7:15" ht="15.75" customHeight="1" x14ac:dyDescent="0.3">
      <c r="G229" s="427"/>
      <c r="I229" s="427"/>
      <c r="O229" s="427"/>
    </row>
    <row r="230" spans="7:15" ht="15.75" customHeight="1" x14ac:dyDescent="0.3">
      <c r="G230" s="427"/>
      <c r="I230" s="427"/>
      <c r="O230" s="427"/>
    </row>
    <row r="231" spans="7:15" ht="15.75" customHeight="1" x14ac:dyDescent="0.3">
      <c r="G231" s="427"/>
      <c r="I231" s="427"/>
      <c r="O231" s="427"/>
    </row>
    <row r="232" spans="7:15" ht="15.75" customHeight="1" x14ac:dyDescent="0.3">
      <c r="G232" s="427"/>
      <c r="I232" s="427"/>
      <c r="O232" s="427"/>
    </row>
    <row r="233" spans="7:15" ht="15.75" customHeight="1" x14ac:dyDescent="0.3">
      <c r="G233" s="427"/>
      <c r="I233" s="427"/>
      <c r="O233" s="427"/>
    </row>
    <row r="234" spans="7:15" ht="15.75" customHeight="1" x14ac:dyDescent="0.3">
      <c r="G234" s="427"/>
      <c r="I234" s="427"/>
      <c r="O234" s="427"/>
    </row>
    <row r="235" spans="7:15" ht="15.75" customHeight="1" x14ac:dyDescent="0.3">
      <c r="G235" s="427"/>
      <c r="I235" s="427"/>
      <c r="O235" s="427"/>
    </row>
    <row r="236" spans="7:15" ht="15.75" customHeight="1" x14ac:dyDescent="0.3">
      <c r="G236" s="427"/>
      <c r="I236" s="427"/>
      <c r="O236" s="427"/>
    </row>
    <row r="237" spans="7:15" ht="15.75" customHeight="1" x14ac:dyDescent="0.3">
      <c r="G237" s="427"/>
      <c r="I237" s="427"/>
      <c r="O237" s="427"/>
    </row>
    <row r="238" spans="7:15" ht="15.75" customHeight="1" x14ac:dyDescent="0.3">
      <c r="G238" s="427"/>
      <c r="I238" s="427"/>
      <c r="O238" s="427"/>
    </row>
    <row r="239" spans="7:15" ht="15.75" customHeight="1" x14ac:dyDescent="0.3">
      <c r="G239" s="427"/>
      <c r="I239" s="427"/>
      <c r="O239" s="427"/>
    </row>
    <row r="240" spans="7:15" ht="15.75" customHeight="1" x14ac:dyDescent="0.3">
      <c r="G240" s="427"/>
      <c r="I240" s="427"/>
      <c r="O240" s="427"/>
    </row>
    <row r="241" spans="7:15" ht="15.75" customHeight="1" x14ac:dyDescent="0.3">
      <c r="G241" s="427"/>
      <c r="I241" s="427"/>
      <c r="O241" s="427"/>
    </row>
    <row r="242" spans="7:15" ht="15.75" customHeight="1" x14ac:dyDescent="0.3">
      <c r="G242" s="427"/>
      <c r="I242" s="427"/>
      <c r="O242" s="427"/>
    </row>
    <row r="243" spans="7:15" ht="15.75" customHeight="1" x14ac:dyDescent="0.3">
      <c r="G243" s="427"/>
      <c r="I243" s="427"/>
      <c r="O243" s="427"/>
    </row>
    <row r="244" spans="7:15" ht="15.75" customHeight="1" x14ac:dyDescent="0.3">
      <c r="G244" s="427"/>
      <c r="I244" s="427"/>
      <c r="O244" s="427"/>
    </row>
    <row r="245" spans="7:15" ht="15.75" customHeight="1" x14ac:dyDescent="0.3">
      <c r="G245" s="427"/>
      <c r="I245" s="427"/>
      <c r="O245" s="427"/>
    </row>
    <row r="246" spans="7:15" ht="15.75" customHeight="1" x14ac:dyDescent="0.3">
      <c r="G246" s="427"/>
      <c r="I246" s="427"/>
      <c r="O246" s="427"/>
    </row>
    <row r="247" spans="7:15" ht="15.75" customHeight="1" x14ac:dyDescent="0.3">
      <c r="G247" s="427"/>
      <c r="I247" s="427"/>
      <c r="O247" s="427"/>
    </row>
    <row r="248" spans="7:15" ht="15.75" customHeight="1" x14ac:dyDescent="0.3">
      <c r="G248" s="427"/>
      <c r="I248" s="427"/>
      <c r="O248" s="427"/>
    </row>
    <row r="249" spans="7:15" ht="15.75" customHeight="1" x14ac:dyDescent="0.3">
      <c r="G249" s="427"/>
      <c r="I249" s="427"/>
      <c r="O249" s="427"/>
    </row>
    <row r="250" spans="7:15" ht="15.75" customHeight="1" x14ac:dyDescent="0.3">
      <c r="G250" s="427"/>
      <c r="I250" s="427"/>
      <c r="O250" s="427"/>
    </row>
    <row r="251" spans="7:15" ht="15.75" customHeight="1" x14ac:dyDescent="0.3"/>
    <row r="252" spans="7:15" ht="15.75" customHeight="1" x14ac:dyDescent="0.3"/>
    <row r="253" spans="7:15" ht="15.75" customHeight="1" x14ac:dyDescent="0.3"/>
    <row r="254" spans="7:15" ht="15.75" customHeight="1" x14ac:dyDescent="0.3"/>
    <row r="255" spans="7:15" ht="15.75" customHeight="1" x14ac:dyDescent="0.3"/>
    <row r="256" spans="7:15"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2">
    <mergeCell ref="C7:F7"/>
    <mergeCell ref="K7:N7"/>
  </mergeCells>
  <dataValidations count="1">
    <dataValidation type="list" allowBlank="1" showErrorMessage="1" sqref="B17 B22 B27 B32" xr:uid="{E5C16E14-6778-43D2-8C4B-B246B2FCB564}">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E135B-B66E-46AB-85DE-D8DADA8C468F}">
  <sheetPr codeName="Sheet7">
    <tabColor theme="9" tint="0.79998168889431442"/>
  </sheetPr>
  <dimension ref="A1:K91"/>
  <sheetViews>
    <sheetView topLeftCell="A64" workbookViewId="0">
      <selection activeCell="C79" sqref="C79"/>
    </sheetView>
  </sheetViews>
  <sheetFormatPr defaultColWidth="11.5546875" defaultRowHeight="14.4" x14ac:dyDescent="0.3"/>
  <cols>
    <col min="1" max="1" width="2.109375" customWidth="1"/>
    <col min="2" max="2" width="4.109375" customWidth="1"/>
    <col min="3" max="3" width="28.44140625" customWidth="1"/>
    <col min="4" max="5" width="8.109375" style="105" customWidth="1"/>
    <col min="6" max="6" width="9.21875" customWidth="1"/>
    <col min="7" max="9" width="8.77734375" customWidth="1"/>
    <col min="10" max="10" width="7.21875" customWidth="1"/>
    <col min="11" max="11" width="37" customWidth="1"/>
  </cols>
  <sheetData>
    <row r="1" spans="1:11" ht="21" x14ac:dyDescent="0.4">
      <c r="A1" s="295" t="s">
        <v>272</v>
      </c>
    </row>
    <row r="2" spans="1:11" s="12" customFormat="1" ht="24" customHeight="1" x14ac:dyDescent="0.3">
      <c r="A2" s="49" t="s">
        <v>189</v>
      </c>
      <c r="C2" s="49"/>
      <c r="D2" s="292"/>
      <c r="E2" s="292"/>
      <c r="G2" s="105"/>
    </row>
    <row r="3" spans="1:11" ht="7.8" customHeight="1" x14ac:dyDescent="0.3">
      <c r="A3" s="77"/>
      <c r="F3" s="61"/>
      <c r="G3" s="61"/>
    </row>
    <row r="4" spans="1:11" x14ac:dyDescent="0.3">
      <c r="B4" s="12"/>
      <c r="C4" s="12"/>
      <c r="F4" s="12"/>
      <c r="G4" s="12"/>
    </row>
    <row r="5" spans="1:11" ht="19.8" customHeight="1" x14ac:dyDescent="0.4">
      <c r="A5" t="str">
        <f>'Annex B - Summary'!B7</f>
        <v>Last revised version: October 10, 2025</v>
      </c>
      <c r="H5" s="295"/>
      <c r="K5" s="296"/>
    </row>
    <row r="6" spans="1:11" ht="10.199999999999999" customHeight="1" x14ac:dyDescent="0.3"/>
    <row r="7" spans="1:11" ht="10.199999999999999" customHeight="1" x14ac:dyDescent="0.3"/>
    <row r="8" spans="1:11" ht="22.8" customHeight="1" x14ac:dyDescent="0.3">
      <c r="B8" s="4317">
        <f>'Annex B - Summary'!B9</f>
        <v>2024</v>
      </c>
      <c r="C8" s="4317"/>
      <c r="D8" s="76"/>
      <c r="E8" s="76"/>
      <c r="K8" s="296"/>
    </row>
    <row r="9" spans="1:11" ht="12.6" customHeight="1" thickBot="1" x14ac:dyDescent="0.35"/>
    <row r="10" spans="1:11" ht="11.4" customHeight="1" x14ac:dyDescent="0.3">
      <c r="F10" s="4358" t="s">
        <v>284</v>
      </c>
      <c r="G10" s="4359"/>
      <c r="H10" s="4359"/>
      <c r="I10" s="4359"/>
      <c r="J10" s="4360"/>
    </row>
    <row r="11" spans="1:11" ht="6.6" customHeight="1" x14ac:dyDescent="0.3">
      <c r="F11" s="4361"/>
      <c r="G11" s="4362"/>
      <c r="H11" s="4362"/>
      <c r="I11" s="4362"/>
      <c r="J11" s="4363"/>
    </row>
    <row r="12" spans="1:11" ht="24" customHeight="1" x14ac:dyDescent="0.3">
      <c r="A12" s="12"/>
      <c r="B12" s="297"/>
      <c r="C12" s="298" t="s">
        <v>190</v>
      </c>
      <c r="D12" s="299" t="s">
        <v>191</v>
      </c>
      <c r="E12" s="300" t="s">
        <v>192</v>
      </c>
      <c r="F12" s="301" t="s">
        <v>193</v>
      </c>
      <c r="G12" s="302" t="s">
        <v>194</v>
      </c>
      <c r="H12" s="302" t="s">
        <v>195</v>
      </c>
      <c r="I12" s="303" t="s">
        <v>196</v>
      </c>
      <c r="J12" s="303" t="s">
        <v>197</v>
      </c>
      <c r="K12" s="304" t="s">
        <v>198</v>
      </c>
    </row>
    <row r="13" spans="1:11" x14ac:dyDescent="0.3">
      <c r="B13" s="305"/>
      <c r="C13" s="306" t="str">
        <f>'ER 2024 scope 3 &amp; 13'!C13</f>
        <v>01-Bas-Saint-Laurent</v>
      </c>
      <c r="D13" s="307"/>
      <c r="E13" s="308"/>
      <c r="F13" s="309"/>
      <c r="G13" s="309"/>
      <c r="H13" s="309"/>
      <c r="I13" s="310"/>
      <c r="J13" s="310"/>
      <c r="K13" s="311"/>
    </row>
    <row r="14" spans="1:11" ht="15" x14ac:dyDescent="0.3">
      <c r="B14" s="312">
        <v>4</v>
      </c>
      <c r="C14" s="4080" t="s">
        <v>96</v>
      </c>
      <c r="D14" s="314">
        <v>5</v>
      </c>
      <c r="E14" s="315">
        <v>0</v>
      </c>
      <c r="J14" s="61" t="s">
        <v>199</v>
      </c>
      <c r="K14" s="316" t="s">
        <v>200</v>
      </c>
    </row>
    <row r="15" spans="1:11" x14ac:dyDescent="0.3">
      <c r="B15" s="312">
        <v>5</v>
      </c>
      <c r="C15" s="4081" t="s">
        <v>97</v>
      </c>
      <c r="D15" s="314">
        <v>1</v>
      </c>
      <c r="E15" s="315">
        <v>0</v>
      </c>
      <c r="J15" s="61"/>
      <c r="K15" s="316" t="s">
        <v>281</v>
      </c>
    </row>
    <row r="16" spans="1:11" ht="15" x14ac:dyDescent="0.3">
      <c r="B16" s="312">
        <v>6</v>
      </c>
      <c r="C16" s="4081" t="s">
        <v>98</v>
      </c>
      <c r="D16" s="314">
        <v>5</v>
      </c>
      <c r="E16" s="315">
        <v>2</v>
      </c>
      <c r="J16" s="61" t="s">
        <v>199</v>
      </c>
      <c r="K16" s="316" t="s">
        <v>200</v>
      </c>
    </row>
    <row r="17" spans="2:11" ht="15" x14ac:dyDescent="0.3">
      <c r="B17" s="312">
        <v>7</v>
      </c>
      <c r="C17" s="317" t="s">
        <v>99</v>
      </c>
      <c r="D17" s="314">
        <v>14</v>
      </c>
      <c r="E17" s="315">
        <v>0</v>
      </c>
      <c r="J17" s="61" t="s">
        <v>199</v>
      </c>
      <c r="K17" s="316" t="s">
        <v>201</v>
      </c>
    </row>
    <row r="18" spans="2:11" x14ac:dyDescent="0.3">
      <c r="B18" s="312">
        <v>8</v>
      </c>
      <c r="C18" s="317" t="s">
        <v>100</v>
      </c>
      <c r="D18" s="314">
        <v>0</v>
      </c>
      <c r="E18" s="315">
        <v>1</v>
      </c>
      <c r="J18" s="61"/>
      <c r="K18" s="316" t="s">
        <v>282</v>
      </c>
    </row>
    <row r="19" spans="2:11" ht="15" x14ac:dyDescent="0.3">
      <c r="B19" s="312">
        <v>9</v>
      </c>
      <c r="C19" s="317" t="s">
        <v>101</v>
      </c>
      <c r="D19" s="314">
        <v>1</v>
      </c>
      <c r="E19" s="315">
        <v>0</v>
      </c>
      <c r="J19" s="61" t="s">
        <v>199</v>
      </c>
      <c r="K19" s="316" t="s">
        <v>200</v>
      </c>
    </row>
    <row r="20" spans="2:11" ht="15" x14ac:dyDescent="0.3">
      <c r="B20" s="312">
        <v>13</v>
      </c>
      <c r="C20" s="317" t="s">
        <v>103</v>
      </c>
      <c r="D20" s="314">
        <f>61+2</f>
        <v>63</v>
      </c>
      <c r="E20" s="315">
        <v>0</v>
      </c>
      <c r="J20" s="61" t="s">
        <v>199</v>
      </c>
      <c r="K20" s="316" t="s">
        <v>201</v>
      </c>
    </row>
    <row r="21" spans="2:11" ht="15" x14ac:dyDescent="0.3">
      <c r="B21" s="312">
        <v>16</v>
      </c>
      <c r="C21" s="318" t="s">
        <v>106</v>
      </c>
      <c r="D21" s="314">
        <v>6</v>
      </c>
      <c r="E21" s="315">
        <v>0</v>
      </c>
      <c r="J21" s="61" t="s">
        <v>199</v>
      </c>
      <c r="K21" s="316" t="s">
        <v>200</v>
      </c>
    </row>
    <row r="22" spans="2:11" ht="15" x14ac:dyDescent="0.3">
      <c r="B22" s="312">
        <v>17</v>
      </c>
      <c r="C22" s="317" t="s">
        <v>107</v>
      </c>
      <c r="D22" s="314">
        <v>2</v>
      </c>
      <c r="E22" s="315">
        <v>0</v>
      </c>
      <c r="J22" s="61" t="s">
        <v>199</v>
      </c>
      <c r="K22" s="316" t="s">
        <v>200</v>
      </c>
    </row>
    <row r="23" spans="2:11" x14ac:dyDescent="0.3">
      <c r="B23" s="319">
        <v>19</v>
      </c>
      <c r="C23" s="320" t="s">
        <v>109</v>
      </c>
      <c r="D23" s="314">
        <v>1</v>
      </c>
      <c r="E23" s="315">
        <v>0</v>
      </c>
      <c r="G23" s="61"/>
      <c r="J23" s="61"/>
      <c r="K23" s="321" t="s">
        <v>202</v>
      </c>
    </row>
    <row r="24" spans="2:11" x14ac:dyDescent="0.3">
      <c r="B24" s="319">
        <v>20</v>
      </c>
      <c r="C24" s="320" t="s">
        <v>110</v>
      </c>
      <c r="D24" s="314">
        <v>1</v>
      </c>
      <c r="E24" s="315">
        <v>1</v>
      </c>
      <c r="J24" s="61"/>
      <c r="K24" s="411" t="s">
        <v>283</v>
      </c>
    </row>
    <row r="25" spans="2:11" ht="15" x14ac:dyDescent="0.3">
      <c r="B25" s="319">
        <v>22</v>
      </c>
      <c r="C25" s="4065" t="s">
        <v>262</v>
      </c>
      <c r="D25" s="314">
        <v>4</v>
      </c>
      <c r="E25" s="315">
        <v>0</v>
      </c>
      <c r="J25" s="61" t="s">
        <v>199</v>
      </c>
      <c r="K25" s="316" t="s">
        <v>201</v>
      </c>
    </row>
    <row r="26" spans="2:11" ht="15.6" x14ac:dyDescent="0.3">
      <c r="B26" s="322"/>
      <c r="C26" s="293" t="str">
        <f>'ER 2024 scope 3 &amp; 13'!C34</f>
        <v>02-Saguenay Lac-Saint-Jean</v>
      </c>
      <c r="D26" s="323"/>
      <c r="E26" s="324"/>
      <c r="F26" s="325"/>
      <c r="G26" s="325"/>
      <c r="H26" s="325"/>
      <c r="I26" s="326"/>
      <c r="J26" s="325"/>
      <c r="K26" s="327"/>
    </row>
    <row r="27" spans="2:11" ht="15" x14ac:dyDescent="0.3">
      <c r="B27" s="312">
        <v>1</v>
      </c>
      <c r="C27" s="328" t="s">
        <v>113</v>
      </c>
      <c r="D27" s="314">
        <v>1</v>
      </c>
      <c r="E27" s="315">
        <v>0</v>
      </c>
      <c r="J27" s="61" t="s">
        <v>199</v>
      </c>
      <c r="K27" s="316" t="s">
        <v>200</v>
      </c>
    </row>
    <row r="28" spans="2:11" ht="15" x14ac:dyDescent="0.3">
      <c r="B28" s="312">
        <v>2</v>
      </c>
      <c r="C28" s="328" t="s">
        <v>114</v>
      </c>
      <c r="D28" s="314">
        <v>2</v>
      </c>
      <c r="E28" s="315">
        <v>1</v>
      </c>
      <c r="J28" s="61" t="s">
        <v>199</v>
      </c>
      <c r="K28" s="316" t="s">
        <v>1912</v>
      </c>
    </row>
    <row r="29" spans="2:11" ht="15" x14ac:dyDescent="0.3">
      <c r="B29" s="312">
        <v>3</v>
      </c>
      <c r="C29" s="328" t="s">
        <v>115</v>
      </c>
      <c r="D29" s="314">
        <v>2</v>
      </c>
      <c r="E29" s="315">
        <v>0</v>
      </c>
      <c r="J29" s="61" t="s">
        <v>199</v>
      </c>
      <c r="K29" s="316" t="s">
        <v>200</v>
      </c>
    </row>
    <row r="30" spans="2:11" ht="15" x14ac:dyDescent="0.3">
      <c r="B30" s="312">
        <v>5</v>
      </c>
      <c r="C30" s="328" t="s">
        <v>117</v>
      </c>
      <c r="D30" s="314">
        <v>1</v>
      </c>
      <c r="E30" s="315">
        <v>0</v>
      </c>
      <c r="J30" s="61" t="s">
        <v>199</v>
      </c>
      <c r="K30" s="316" t="s">
        <v>200</v>
      </c>
    </row>
    <row r="31" spans="2:11" x14ac:dyDescent="0.3">
      <c r="B31" s="312">
        <v>6</v>
      </c>
      <c r="C31" s="328" t="s">
        <v>118</v>
      </c>
      <c r="D31" s="314">
        <v>1</v>
      </c>
      <c r="E31" s="315">
        <v>0</v>
      </c>
      <c r="J31" s="61"/>
      <c r="K31" s="316" t="s">
        <v>285</v>
      </c>
    </row>
    <row r="32" spans="2:11" ht="15" x14ac:dyDescent="0.3">
      <c r="B32" s="312">
        <v>10</v>
      </c>
      <c r="C32" s="328" t="s">
        <v>120</v>
      </c>
      <c r="D32" s="314">
        <v>0</v>
      </c>
      <c r="E32" s="315">
        <v>1</v>
      </c>
      <c r="I32" s="61" t="s">
        <v>199</v>
      </c>
      <c r="J32" s="61"/>
      <c r="K32" s="316" t="s">
        <v>203</v>
      </c>
    </row>
    <row r="33" spans="2:11" ht="15" x14ac:dyDescent="0.3">
      <c r="B33" s="312">
        <v>12</v>
      </c>
      <c r="C33" s="328" t="s">
        <v>122</v>
      </c>
      <c r="D33" s="314">
        <v>0</v>
      </c>
      <c r="E33" s="315">
        <v>3</v>
      </c>
      <c r="H33" s="61" t="s">
        <v>199</v>
      </c>
      <c r="I33" s="61"/>
      <c r="J33" s="61"/>
      <c r="K33" s="316" t="s">
        <v>204</v>
      </c>
    </row>
    <row r="34" spans="2:11" ht="15" x14ac:dyDescent="0.3">
      <c r="B34" s="312">
        <v>14</v>
      </c>
      <c r="C34" s="328" t="s">
        <v>124</v>
      </c>
      <c r="D34" s="314">
        <v>1</v>
      </c>
      <c r="E34" s="315">
        <v>0</v>
      </c>
      <c r="J34" s="61" t="s">
        <v>199</v>
      </c>
      <c r="K34" s="316" t="s">
        <v>200</v>
      </c>
    </row>
    <row r="35" spans="2:11" ht="15" x14ac:dyDescent="0.3">
      <c r="B35" s="312">
        <v>15</v>
      </c>
      <c r="C35" s="328" t="s">
        <v>125</v>
      </c>
      <c r="D35" s="314">
        <v>1</v>
      </c>
      <c r="E35" s="315">
        <v>0</v>
      </c>
      <c r="J35" s="61" t="s">
        <v>199</v>
      </c>
      <c r="K35" s="316" t="s">
        <v>200</v>
      </c>
    </row>
    <row r="36" spans="2:11" ht="15.6" x14ac:dyDescent="0.3">
      <c r="B36" s="322"/>
      <c r="C36" s="293" t="str">
        <f>'ER 2024 scope 3 &amp; 13'!C49</f>
        <v>04-Mauricie</v>
      </c>
      <c r="D36" s="323"/>
      <c r="E36" s="324"/>
      <c r="F36" s="325"/>
      <c r="G36" s="325"/>
      <c r="H36" s="325"/>
      <c r="I36" s="326"/>
      <c r="J36" s="325"/>
      <c r="K36" s="327"/>
    </row>
    <row r="37" spans="2:11" ht="15" x14ac:dyDescent="0.3">
      <c r="B37" s="312">
        <v>1</v>
      </c>
      <c r="C37" s="313" t="s">
        <v>126</v>
      </c>
      <c r="D37" s="314">
        <v>2</v>
      </c>
      <c r="E37" s="315">
        <v>0</v>
      </c>
      <c r="J37" s="61" t="s">
        <v>199</v>
      </c>
      <c r="K37" s="316" t="s">
        <v>200</v>
      </c>
    </row>
    <row r="38" spans="2:11" ht="15" x14ac:dyDescent="0.3">
      <c r="B38" s="312">
        <v>3</v>
      </c>
      <c r="C38" s="313" t="s">
        <v>128</v>
      </c>
      <c r="D38" s="314">
        <v>1</v>
      </c>
      <c r="E38" s="315">
        <v>0</v>
      </c>
      <c r="J38" s="61" t="s">
        <v>199</v>
      </c>
      <c r="K38" s="316" t="s">
        <v>200</v>
      </c>
    </row>
    <row r="39" spans="2:11" ht="15" x14ac:dyDescent="0.3">
      <c r="B39" s="312">
        <v>4</v>
      </c>
      <c r="C39" s="318" t="s">
        <v>129</v>
      </c>
      <c r="D39" s="314">
        <v>2</v>
      </c>
      <c r="E39" s="315">
        <v>1</v>
      </c>
      <c r="J39" s="61" t="s">
        <v>199</v>
      </c>
      <c r="K39" s="316" t="s">
        <v>200</v>
      </c>
    </row>
    <row r="40" spans="2:11" x14ac:dyDescent="0.3">
      <c r="B40" s="312">
        <v>5</v>
      </c>
      <c r="C40" s="318" t="s">
        <v>130</v>
      </c>
      <c r="D40" s="314">
        <v>0</v>
      </c>
      <c r="E40" s="315">
        <v>8</v>
      </c>
      <c r="J40" s="61"/>
      <c r="K40" s="316" t="s">
        <v>286</v>
      </c>
    </row>
    <row r="41" spans="2:11" ht="15" x14ac:dyDescent="0.3">
      <c r="B41" s="312">
        <v>6</v>
      </c>
      <c r="C41" s="318" t="s">
        <v>131</v>
      </c>
      <c r="D41" s="314">
        <v>0</v>
      </c>
      <c r="E41" s="315">
        <v>39</v>
      </c>
      <c r="J41" s="61" t="s">
        <v>199</v>
      </c>
      <c r="K41" s="316" t="s">
        <v>200</v>
      </c>
    </row>
    <row r="42" spans="2:11" x14ac:dyDescent="0.3">
      <c r="B42" s="312">
        <v>8</v>
      </c>
      <c r="C42" s="318" t="s">
        <v>132</v>
      </c>
      <c r="D42" s="314">
        <v>0</v>
      </c>
      <c r="E42" s="315">
        <v>5</v>
      </c>
      <c r="J42" s="61"/>
      <c r="K42" s="316" t="s">
        <v>287</v>
      </c>
    </row>
    <row r="43" spans="2:11" ht="15.6" x14ac:dyDescent="0.3">
      <c r="B43" s="322"/>
      <c r="C43" s="293" t="str">
        <f>'ER 2024 scope 3 &amp; 13'!C57</f>
        <v>06-Montréal</v>
      </c>
      <c r="D43" s="323"/>
      <c r="E43" s="324"/>
      <c r="F43" s="325"/>
      <c r="G43" s="325"/>
      <c r="H43" s="325"/>
      <c r="I43" s="326"/>
      <c r="J43" s="325"/>
      <c r="K43" s="327"/>
    </row>
    <row r="44" spans="2:11" ht="15" x14ac:dyDescent="0.3">
      <c r="B44" s="312">
        <v>1</v>
      </c>
      <c r="C44" s="313" t="s">
        <v>133</v>
      </c>
      <c r="D44" s="314">
        <v>2</v>
      </c>
      <c r="E44" s="315">
        <v>2</v>
      </c>
      <c r="J44" s="61" t="s">
        <v>199</v>
      </c>
      <c r="K44" s="316" t="s">
        <v>200</v>
      </c>
    </row>
    <row r="45" spans="2:11" x14ac:dyDescent="0.3">
      <c r="B45" s="329"/>
      <c r="C45" s="330" t="str">
        <f>'ER 2024 scope 3 &amp; 13'!C60</f>
        <v>07-Outaouais</v>
      </c>
      <c r="D45" s="323"/>
      <c r="E45" s="324"/>
      <c r="F45" s="293"/>
      <c r="G45" s="293"/>
      <c r="H45" s="293"/>
      <c r="I45" s="293"/>
      <c r="J45" s="331"/>
      <c r="K45" s="332"/>
    </row>
    <row r="46" spans="2:11" ht="15" x14ac:dyDescent="0.3">
      <c r="B46" s="312">
        <v>3</v>
      </c>
      <c r="C46" s="313" t="s">
        <v>136</v>
      </c>
      <c r="D46" s="314">
        <v>0</v>
      </c>
      <c r="E46" s="315">
        <v>3</v>
      </c>
      <c r="J46" s="61" t="s">
        <v>199</v>
      </c>
      <c r="K46" s="316" t="s">
        <v>1910</v>
      </c>
    </row>
    <row r="47" spans="2:11" ht="15" x14ac:dyDescent="0.3">
      <c r="B47" s="312">
        <v>4</v>
      </c>
      <c r="C47" s="313" t="s">
        <v>137</v>
      </c>
      <c r="D47" s="314">
        <v>1</v>
      </c>
      <c r="E47" s="315">
        <v>0</v>
      </c>
      <c r="J47" s="61" t="s">
        <v>199</v>
      </c>
      <c r="K47" s="316" t="s">
        <v>201</v>
      </c>
    </row>
    <row r="48" spans="2:11" ht="15" x14ac:dyDescent="0.3">
      <c r="B48" s="312">
        <v>5</v>
      </c>
      <c r="C48" s="313" t="s">
        <v>138</v>
      </c>
      <c r="D48" s="314">
        <v>0</v>
      </c>
      <c r="E48" s="315">
        <v>2</v>
      </c>
      <c r="J48" s="61" t="s">
        <v>199</v>
      </c>
      <c r="K48" s="316" t="s">
        <v>201</v>
      </c>
    </row>
    <row r="49" spans="2:11" x14ac:dyDescent="0.3">
      <c r="B49" s="312">
        <v>8</v>
      </c>
      <c r="C49" s="318" t="s">
        <v>141</v>
      </c>
      <c r="D49" s="314">
        <v>0</v>
      </c>
      <c r="E49" s="315">
        <v>6</v>
      </c>
      <c r="J49" s="61"/>
      <c r="K49" s="316" t="s">
        <v>1908</v>
      </c>
    </row>
    <row r="50" spans="2:11" ht="15" x14ac:dyDescent="0.3">
      <c r="B50" s="312">
        <v>9</v>
      </c>
      <c r="C50" s="313" t="s">
        <v>142</v>
      </c>
      <c r="D50" s="314">
        <v>2</v>
      </c>
      <c r="E50" s="315">
        <v>1</v>
      </c>
      <c r="J50" s="61" t="s">
        <v>199</v>
      </c>
      <c r="K50" s="316" t="s">
        <v>200</v>
      </c>
    </row>
    <row r="51" spans="2:11" x14ac:dyDescent="0.3">
      <c r="B51" s="329"/>
      <c r="C51" s="330" t="str">
        <f>'ER 2024 scope 3 &amp; 13'!C71</f>
        <v>08-Abitibi-Témiscamingue</v>
      </c>
      <c r="D51" s="323"/>
      <c r="E51" s="324"/>
      <c r="F51" s="293"/>
      <c r="G51" s="293"/>
      <c r="H51" s="293"/>
      <c r="I51" s="293"/>
      <c r="J51" s="331"/>
      <c r="K51" s="332"/>
    </row>
    <row r="52" spans="2:11" ht="15" x14ac:dyDescent="0.3">
      <c r="B52" s="312">
        <v>4</v>
      </c>
      <c r="C52" s="333" t="s">
        <v>144</v>
      </c>
      <c r="D52" s="314">
        <v>1</v>
      </c>
      <c r="E52" s="315">
        <v>0</v>
      </c>
      <c r="J52" s="61" t="s">
        <v>199</v>
      </c>
      <c r="K52" s="316" t="s">
        <v>200</v>
      </c>
    </row>
    <row r="53" spans="2:11" ht="15" x14ac:dyDescent="0.3">
      <c r="B53" s="312">
        <v>5</v>
      </c>
      <c r="C53" s="416" t="s">
        <v>145</v>
      </c>
      <c r="D53" s="314">
        <v>1</v>
      </c>
      <c r="E53" s="315">
        <v>0</v>
      </c>
      <c r="J53" s="61" t="s">
        <v>199</v>
      </c>
      <c r="K53" s="316" t="s">
        <v>1911</v>
      </c>
    </row>
    <row r="54" spans="2:11" ht="15" x14ac:dyDescent="0.3">
      <c r="B54" s="312">
        <v>6</v>
      </c>
      <c r="C54" s="313" t="s">
        <v>146</v>
      </c>
      <c r="D54" s="314">
        <v>1</v>
      </c>
      <c r="E54" s="315">
        <v>0</v>
      </c>
      <c r="G54" s="61" t="s">
        <v>199</v>
      </c>
      <c r="K54" s="316" t="s">
        <v>205</v>
      </c>
    </row>
    <row r="55" spans="2:11" ht="15" x14ac:dyDescent="0.3">
      <c r="B55" s="312">
        <v>8</v>
      </c>
      <c r="C55" s="313" t="s">
        <v>148</v>
      </c>
      <c r="D55" s="314">
        <v>1</v>
      </c>
      <c r="E55" s="315">
        <v>0</v>
      </c>
      <c r="G55" s="61"/>
      <c r="J55" s="61" t="s">
        <v>199</v>
      </c>
      <c r="K55" s="316" t="s">
        <v>200</v>
      </c>
    </row>
    <row r="56" spans="2:11" ht="15" x14ac:dyDescent="0.3">
      <c r="B56" s="312">
        <v>9</v>
      </c>
      <c r="C56" s="318" t="s">
        <v>149</v>
      </c>
      <c r="D56" s="314">
        <v>1</v>
      </c>
      <c r="E56" s="315">
        <v>0</v>
      </c>
      <c r="G56" s="61"/>
      <c r="J56" s="61" t="s">
        <v>199</v>
      </c>
      <c r="K56" s="316" t="s">
        <v>201</v>
      </c>
    </row>
    <row r="57" spans="2:11" x14ac:dyDescent="0.3">
      <c r="B57" s="329"/>
      <c r="C57" s="330" t="str">
        <f>'ER 2024 scope 3 &amp; 13'!C80</f>
        <v>09-Côte-Nord</v>
      </c>
      <c r="D57" s="323"/>
      <c r="E57" s="324"/>
      <c r="F57" s="293"/>
      <c r="G57" s="293"/>
      <c r="H57" s="293"/>
      <c r="I57" s="293"/>
      <c r="J57" s="331"/>
      <c r="K57" s="332"/>
    </row>
    <row r="58" spans="2:11" x14ac:dyDescent="0.3">
      <c r="B58" s="312">
        <v>1</v>
      </c>
      <c r="C58" s="318" t="s">
        <v>151</v>
      </c>
      <c r="D58" s="314">
        <v>0</v>
      </c>
      <c r="E58" s="315">
        <v>4</v>
      </c>
      <c r="G58" s="61"/>
      <c r="J58" s="61"/>
      <c r="K58" s="316" t="s">
        <v>1909</v>
      </c>
    </row>
    <row r="59" spans="2:11" x14ac:dyDescent="0.3">
      <c r="B59" s="329"/>
      <c r="C59" s="330" t="str">
        <f>'ER 2024 scope 3 &amp; 13'!C85</f>
        <v>12- Chaudière-Appalaches</v>
      </c>
      <c r="D59" s="323"/>
      <c r="E59" s="324"/>
      <c r="F59" s="293"/>
      <c r="G59" s="293"/>
      <c r="H59" s="293"/>
      <c r="I59" s="293"/>
      <c r="J59" s="331"/>
      <c r="K59" s="332"/>
    </row>
    <row r="60" spans="2:11" ht="15" x14ac:dyDescent="0.3">
      <c r="B60" s="312">
        <v>6</v>
      </c>
      <c r="C60" s="318" t="s">
        <v>157</v>
      </c>
      <c r="D60" s="314">
        <v>1</v>
      </c>
      <c r="E60" s="315">
        <v>0</v>
      </c>
      <c r="J60" s="61" t="s">
        <v>199</v>
      </c>
      <c r="K60" s="316" t="s">
        <v>200</v>
      </c>
    </row>
    <row r="61" spans="2:11" x14ac:dyDescent="0.3">
      <c r="B61" s="329"/>
      <c r="C61" s="330" t="str">
        <f>'ER 2024 scope 3 &amp; 13'!C95</f>
        <v>14- Lanaudière</v>
      </c>
      <c r="D61" s="323"/>
      <c r="E61" s="324"/>
      <c r="F61" s="293"/>
      <c r="G61" s="293"/>
      <c r="H61" s="293"/>
      <c r="I61" s="293"/>
      <c r="J61" s="331"/>
      <c r="K61" s="332"/>
    </row>
    <row r="62" spans="2:11" ht="15" x14ac:dyDescent="0.3">
      <c r="B62" s="312">
        <v>1</v>
      </c>
      <c r="C62" s="334" t="s">
        <v>158</v>
      </c>
      <c r="D62" s="335">
        <v>0</v>
      </c>
      <c r="E62" s="315">
        <v>1</v>
      </c>
      <c r="J62" s="61" t="s">
        <v>199</v>
      </c>
      <c r="K62" s="316" t="s">
        <v>200</v>
      </c>
    </row>
    <row r="63" spans="2:11" ht="15" x14ac:dyDescent="0.3">
      <c r="B63" s="312">
        <v>2</v>
      </c>
      <c r="C63" s="313" t="s">
        <v>159</v>
      </c>
      <c r="D63" s="314">
        <v>1</v>
      </c>
      <c r="E63" s="315">
        <v>2</v>
      </c>
      <c r="J63" s="61" t="s">
        <v>199</v>
      </c>
      <c r="K63" s="316" t="s">
        <v>200</v>
      </c>
    </row>
    <row r="64" spans="2:11" ht="15" x14ac:dyDescent="0.3">
      <c r="B64" s="312">
        <v>3</v>
      </c>
      <c r="C64" s="313" t="s">
        <v>160</v>
      </c>
      <c r="D64" s="314">
        <v>8</v>
      </c>
      <c r="E64" s="315">
        <v>0</v>
      </c>
      <c r="J64" s="61" t="s">
        <v>199</v>
      </c>
      <c r="K64" s="316" t="s">
        <v>200</v>
      </c>
    </row>
    <row r="65" spans="1:11" x14ac:dyDescent="0.3">
      <c r="B65" s="336"/>
      <c r="C65" s="330" t="str">
        <f>'ER 2024 scope 3 &amp; 13'!C99</f>
        <v>15- Laurentides</v>
      </c>
      <c r="D65" s="323"/>
      <c r="E65" s="324"/>
      <c r="F65" s="293"/>
      <c r="G65" s="293"/>
      <c r="H65" s="293"/>
      <c r="I65" s="293"/>
      <c r="J65" s="331"/>
      <c r="K65" s="332"/>
    </row>
    <row r="66" spans="1:11" x14ac:dyDescent="0.3">
      <c r="B66" s="312">
        <v>1</v>
      </c>
      <c r="C66" s="334" t="s">
        <v>161</v>
      </c>
      <c r="D66" s="335">
        <v>0</v>
      </c>
      <c r="E66" s="315">
        <v>2</v>
      </c>
      <c r="J66" s="61"/>
      <c r="K66" s="316" t="s">
        <v>288</v>
      </c>
    </row>
    <row r="67" spans="1:11" ht="15" x14ac:dyDescent="0.3">
      <c r="B67" s="312">
        <v>2</v>
      </c>
      <c r="C67" s="334" t="s">
        <v>162</v>
      </c>
      <c r="D67" s="335">
        <v>1</v>
      </c>
      <c r="E67" s="315">
        <v>0</v>
      </c>
      <c r="J67" s="61" t="s">
        <v>199</v>
      </c>
      <c r="K67" s="316" t="s">
        <v>200</v>
      </c>
    </row>
    <row r="68" spans="1:11" ht="15" x14ac:dyDescent="0.3">
      <c r="A68" s="337"/>
      <c r="B68" s="294">
        <v>3</v>
      </c>
      <c r="C68" s="328" t="s">
        <v>163</v>
      </c>
      <c r="D68" s="314">
        <v>2</v>
      </c>
      <c r="E68" s="315">
        <v>1</v>
      </c>
      <c r="J68" s="61" t="s">
        <v>199</v>
      </c>
      <c r="K68" s="316" t="s">
        <v>200</v>
      </c>
    </row>
    <row r="69" spans="1:11" ht="15" x14ac:dyDescent="0.3">
      <c r="A69" s="337"/>
      <c r="B69" s="294">
        <v>9</v>
      </c>
      <c r="C69" s="412" t="s">
        <v>169</v>
      </c>
      <c r="D69" s="314">
        <v>1</v>
      </c>
      <c r="E69" s="315">
        <v>6</v>
      </c>
      <c r="F69" s="61" t="s">
        <v>199</v>
      </c>
      <c r="J69" s="61"/>
      <c r="K69" s="316" t="s">
        <v>1906</v>
      </c>
    </row>
    <row r="70" spans="1:11" x14ac:dyDescent="0.3">
      <c r="A70" s="337"/>
      <c r="B70" s="294">
        <v>10</v>
      </c>
      <c r="C70" s="412" t="s">
        <v>170</v>
      </c>
      <c r="D70" s="314">
        <v>0</v>
      </c>
      <c r="E70" s="315">
        <v>5</v>
      </c>
      <c r="J70" s="61"/>
      <c r="K70" s="316" t="s">
        <v>289</v>
      </c>
    </row>
    <row r="71" spans="1:11" ht="15" x14ac:dyDescent="0.3">
      <c r="A71" s="337"/>
      <c r="B71" s="338">
        <v>12</v>
      </c>
      <c r="C71" s="318" t="s">
        <v>172</v>
      </c>
      <c r="D71" s="314">
        <v>9</v>
      </c>
      <c r="E71" s="315">
        <v>0</v>
      </c>
      <c r="J71" s="61" t="s">
        <v>199</v>
      </c>
      <c r="K71" s="316" t="s">
        <v>201</v>
      </c>
    </row>
    <row r="72" spans="1:11" ht="15" x14ac:dyDescent="0.3">
      <c r="A72" s="337"/>
      <c r="B72" s="294">
        <v>14</v>
      </c>
      <c r="C72" s="313" t="s">
        <v>173</v>
      </c>
      <c r="D72" s="314">
        <v>0</v>
      </c>
      <c r="E72" s="315">
        <v>1</v>
      </c>
      <c r="H72" s="61" t="s">
        <v>199</v>
      </c>
      <c r="J72" s="61"/>
      <c r="K72" s="316" t="s">
        <v>206</v>
      </c>
    </row>
    <row r="73" spans="1:11" ht="15" x14ac:dyDescent="0.3">
      <c r="A73" s="337"/>
      <c r="B73" s="294">
        <v>15</v>
      </c>
      <c r="C73" s="313" t="s">
        <v>174</v>
      </c>
      <c r="D73" s="314">
        <v>12</v>
      </c>
      <c r="E73" s="315">
        <v>0</v>
      </c>
      <c r="J73" s="61" t="s">
        <v>199</v>
      </c>
      <c r="K73" s="316" t="s">
        <v>200</v>
      </c>
    </row>
    <row r="74" spans="1:11" ht="15" x14ac:dyDescent="0.3">
      <c r="A74" s="337"/>
      <c r="B74" s="294">
        <v>16</v>
      </c>
      <c r="C74" s="313" t="s">
        <v>175</v>
      </c>
      <c r="D74" s="314">
        <v>10</v>
      </c>
      <c r="E74" s="315">
        <v>1</v>
      </c>
      <c r="J74" s="61" t="s">
        <v>199</v>
      </c>
      <c r="K74" s="316" t="s">
        <v>200</v>
      </c>
    </row>
    <row r="75" spans="1:11" x14ac:dyDescent="0.3">
      <c r="B75" s="336"/>
      <c r="C75" s="330" t="str">
        <f>'ER 2024 scope 3 &amp; 13'!C115</f>
        <v>16- Montérégie</v>
      </c>
      <c r="D75" s="323"/>
      <c r="E75" s="324"/>
      <c r="F75" s="293"/>
      <c r="G75" s="293"/>
      <c r="H75" s="293"/>
      <c r="I75" s="293"/>
      <c r="J75" s="331"/>
      <c r="K75" s="332"/>
    </row>
    <row r="76" spans="1:11" x14ac:dyDescent="0.3">
      <c r="B76" s="4066">
        <v>1</v>
      </c>
      <c r="C76" s="318" t="s">
        <v>176</v>
      </c>
      <c r="D76" s="314">
        <v>0</v>
      </c>
      <c r="E76" s="315">
        <v>4</v>
      </c>
      <c r="J76" s="4067"/>
      <c r="K76" s="316" t="s">
        <v>1909</v>
      </c>
    </row>
    <row r="77" spans="1:11" x14ac:dyDescent="0.3">
      <c r="B77" s="4069">
        <v>3</v>
      </c>
      <c r="C77" s="412" t="s">
        <v>178</v>
      </c>
      <c r="D77" s="314">
        <v>2</v>
      </c>
      <c r="E77" s="315">
        <v>2</v>
      </c>
      <c r="J77" s="4068"/>
      <c r="K77" s="316" t="s">
        <v>1909</v>
      </c>
    </row>
    <row r="78" spans="1:11" x14ac:dyDescent="0.3">
      <c r="B78" s="336"/>
      <c r="C78" s="330" t="str">
        <f>'ER 2024 scope 3 &amp; 13'!C121</f>
        <v>17-Centre du Québec</v>
      </c>
      <c r="D78" s="323"/>
      <c r="E78" s="324"/>
      <c r="F78" s="293"/>
      <c r="G78" s="293"/>
      <c r="H78" s="293"/>
      <c r="I78" s="293"/>
      <c r="J78" s="331"/>
      <c r="K78" s="332"/>
    </row>
    <row r="79" spans="1:11" ht="15" x14ac:dyDescent="0.3">
      <c r="B79" s="413">
        <v>1</v>
      </c>
      <c r="C79" s="318" t="s">
        <v>180</v>
      </c>
      <c r="D79" s="314">
        <v>4</v>
      </c>
      <c r="E79" s="315">
        <v>0</v>
      </c>
      <c r="J79" s="61" t="s">
        <v>199</v>
      </c>
      <c r="K79" s="316" t="s">
        <v>201</v>
      </c>
    </row>
    <row r="80" spans="1:11" x14ac:dyDescent="0.3">
      <c r="B80" s="4364" t="s">
        <v>9</v>
      </c>
      <c r="C80" s="4365"/>
      <c r="D80" s="339">
        <f>SUM(D14:D79)</f>
        <v>178</v>
      </c>
      <c r="E80" s="414">
        <f>SUM(E14:E79)</f>
        <v>105</v>
      </c>
      <c r="F80" s="340">
        <f>COUNTA(F14:F79)</f>
        <v>1</v>
      </c>
      <c r="G80" s="340">
        <f t="shared" ref="G80:J80" si="0">COUNTA(G14:G79)</f>
        <v>1</v>
      </c>
      <c r="H80" s="340">
        <f t="shared" si="0"/>
        <v>2</v>
      </c>
      <c r="I80" s="340">
        <f t="shared" si="0"/>
        <v>1</v>
      </c>
      <c r="J80" s="340">
        <f t="shared" si="0"/>
        <v>37</v>
      </c>
      <c r="K80" s="341"/>
    </row>
    <row r="81" spans="2:10" x14ac:dyDescent="0.3">
      <c r="F81" s="4366"/>
      <c r="G81" s="4366"/>
      <c r="H81" s="4366"/>
      <c r="I81" s="4366"/>
      <c r="J81" s="4366"/>
    </row>
    <row r="83" spans="2:10" ht="16.2" customHeight="1" x14ac:dyDescent="0.3">
      <c r="C83" s="342" t="s">
        <v>207</v>
      </c>
      <c r="D83" s="343"/>
      <c r="E83"/>
    </row>
    <row r="84" spans="2:10" ht="15.6" customHeight="1" x14ac:dyDescent="0.3">
      <c r="B84" s="344"/>
      <c r="D84" s="345">
        <v>2019</v>
      </c>
      <c r="E84" s="345">
        <v>2020</v>
      </c>
      <c r="F84" s="346">
        <v>2021</v>
      </c>
      <c r="G84" s="346">
        <v>2022</v>
      </c>
      <c r="H84" s="346">
        <v>2023</v>
      </c>
      <c r="I84" s="346">
        <v>2024</v>
      </c>
      <c r="J84" s="346">
        <v>2025</v>
      </c>
    </row>
    <row r="85" spans="2:10" x14ac:dyDescent="0.3">
      <c r="B85" s="105"/>
      <c r="C85" s="347" t="s">
        <v>208</v>
      </c>
      <c r="D85" s="291">
        <v>73</v>
      </c>
      <c r="E85" s="291">
        <v>66</v>
      </c>
      <c r="F85" s="291">
        <v>129</v>
      </c>
      <c r="G85" s="391">
        <v>104</v>
      </c>
      <c r="H85" s="391">
        <v>189</v>
      </c>
      <c r="I85" s="348">
        <f>SUM(D80:E80)</f>
        <v>283</v>
      </c>
      <c r="J85" s="391"/>
    </row>
    <row r="86" spans="2:10" x14ac:dyDescent="0.3">
      <c r="B86" s="105"/>
      <c r="C86" s="347" t="s">
        <v>209</v>
      </c>
      <c r="D86" s="291">
        <v>24</v>
      </c>
      <c r="E86" s="291">
        <v>21</v>
      </c>
      <c r="F86" s="291">
        <v>30</v>
      </c>
      <c r="G86" s="391">
        <v>30</v>
      </c>
      <c r="H86" s="391">
        <v>33</v>
      </c>
      <c r="I86" s="348">
        <f>SUM(F80:J80)</f>
        <v>42</v>
      </c>
      <c r="J86" s="391"/>
    </row>
    <row r="87" spans="2:10" x14ac:dyDescent="0.3">
      <c r="B87" s="105"/>
    </row>
    <row r="88" spans="2:10" x14ac:dyDescent="0.3">
      <c r="B88" s="105"/>
    </row>
    <row r="89" spans="2:10" x14ac:dyDescent="0.3">
      <c r="B89" s="105"/>
    </row>
    <row r="90" spans="2:10" x14ac:dyDescent="0.3">
      <c r="B90" s="105"/>
    </row>
    <row r="91" spans="2:10" x14ac:dyDescent="0.3">
      <c r="B91" s="105"/>
    </row>
  </sheetData>
  <mergeCells count="4">
    <mergeCell ref="B8:C8"/>
    <mergeCell ref="F10:J11"/>
    <mergeCell ref="B80:C80"/>
    <mergeCell ref="F81:J81"/>
  </mergeCells>
  <pageMargins left="0.65" right="0.625" top="0.75" bottom="0.75" header="0.3" footer="0.3"/>
  <pageSetup orientation="landscape" r:id="rId1"/>
  <headerFooter>
    <oddHeader>&amp;L&amp;G | Confidential &amp; Property of WILL Solutions Inc.</oddHeader>
  </headerFooter>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9DA16-7847-49A5-B6CC-FCDECF5B302A}">
  <dimension ref="A1:AG906"/>
  <sheetViews>
    <sheetView topLeftCell="A9" workbookViewId="0">
      <selection activeCell="AB13" sqref="AB13"/>
    </sheetView>
  </sheetViews>
  <sheetFormatPr defaultColWidth="12.44140625" defaultRowHeight="15" customHeight="1" x14ac:dyDescent="0.3"/>
  <cols>
    <col min="1" max="1" width="2.6640625" style="428" customWidth="1"/>
    <col min="2" max="2" width="5.109375" style="428" customWidth="1"/>
    <col min="3" max="3" width="32.3320312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3" style="428" customWidth="1"/>
    <col min="10" max="10" width="12.77734375" style="428" customWidth="1"/>
    <col min="11" max="12" width="12.77734375" style="428" hidden="1" customWidth="1"/>
    <col min="13" max="25" width="11.5546875" style="428" hidden="1" customWidth="1"/>
    <col min="26" max="26" width="11.5546875" style="428" customWidth="1"/>
    <col min="27" max="29" width="11.6640625" style="428" customWidth="1"/>
    <col min="30" max="30" width="32.6640625" style="4059" customWidth="1"/>
    <col min="31" max="16384" width="12.44140625" style="428"/>
  </cols>
  <sheetData>
    <row r="1" spans="1:30" ht="23.25" customHeight="1" x14ac:dyDescent="0.35">
      <c r="A1" s="513"/>
      <c r="B1" s="514" t="s">
        <v>2369</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348</v>
      </c>
      <c r="D10" s="531" t="s">
        <v>1108</v>
      </c>
      <c r="E10" s="532" t="s">
        <v>350</v>
      </c>
      <c r="F10" s="533" t="s">
        <v>1891</v>
      </c>
      <c r="G10" s="534" t="s">
        <v>1200</v>
      </c>
      <c r="H10" s="535"/>
      <c r="I10" s="677">
        <f>(J10/12)*10</f>
        <v>31200</v>
      </c>
      <c r="J10" s="4063">
        <f>4160*9</f>
        <v>37440</v>
      </c>
      <c r="K10" s="628">
        <f>4160*9</f>
        <v>37440</v>
      </c>
      <c r="L10" s="628"/>
      <c r="M10" s="538"/>
      <c r="N10" s="535"/>
      <c r="O10" s="535"/>
      <c r="P10" s="535"/>
      <c r="Q10" s="535"/>
      <c r="R10" s="535"/>
      <c r="S10" s="535"/>
      <c r="T10" s="535"/>
      <c r="U10" s="542"/>
      <c r="V10" s="535"/>
      <c r="W10" s="542"/>
      <c r="X10" s="535"/>
      <c r="Y10" s="542"/>
      <c r="Z10" s="535"/>
      <c r="AA10" s="528"/>
      <c r="AB10" s="528"/>
      <c r="AC10" s="528"/>
      <c r="AD10" s="561"/>
    </row>
    <row r="11" spans="1:30" ht="24" customHeight="1" x14ac:dyDescent="0.3">
      <c r="A11" s="528"/>
      <c r="B11" s="529"/>
      <c r="C11" s="453" t="s">
        <v>1892</v>
      </c>
      <c r="D11" s="453" t="s">
        <v>1888</v>
      </c>
      <c r="E11" s="543" t="s">
        <v>353</v>
      </c>
      <c r="F11" s="506"/>
      <c r="G11" s="496"/>
      <c r="H11" s="544"/>
      <c r="I11" s="545">
        <f>I10*10.6388888974</f>
        <v>331933.33359887998</v>
      </c>
      <c r="J11" s="545"/>
      <c r="K11" s="630"/>
      <c r="L11" s="630"/>
      <c r="M11" s="544"/>
      <c r="N11" s="544"/>
      <c r="O11" s="544"/>
      <c r="P11" s="544"/>
      <c r="Q11" s="544"/>
      <c r="R11" s="544"/>
      <c r="S11" s="544"/>
      <c r="T11" s="544"/>
      <c r="U11" s="548"/>
      <c r="V11" s="544"/>
      <c r="W11" s="548"/>
      <c r="X11" s="544"/>
      <c r="Y11" s="548"/>
      <c r="Z11" s="544"/>
      <c r="AA11" s="528"/>
      <c r="AB11" s="528"/>
      <c r="AC11" s="528"/>
      <c r="AD11" s="561"/>
    </row>
    <row r="12" spans="1:30" ht="30" customHeight="1" x14ac:dyDescent="0.3">
      <c r="A12" s="528"/>
      <c r="B12" s="529"/>
      <c r="C12" s="531" t="s">
        <v>348</v>
      </c>
      <c r="D12" s="531" t="s">
        <v>743</v>
      </c>
      <c r="E12" s="532" t="s">
        <v>353</v>
      </c>
      <c r="F12" s="533" t="s">
        <v>1893</v>
      </c>
      <c r="G12" s="549"/>
      <c r="H12" s="550"/>
      <c r="I12" s="550">
        <f>144000+144000+144000+165600+194400+194400+187200+216000+252000+360000+763200</f>
        <v>2764800</v>
      </c>
      <c r="J12" s="631">
        <f>21600+21600+57600+50400+50400+43200+43200+43200+57600+64800+86400+108000</f>
        <v>648000</v>
      </c>
      <c r="K12" s="631"/>
      <c r="L12" s="631"/>
      <c r="M12" s="550"/>
      <c r="N12" s="550"/>
      <c r="O12" s="550"/>
      <c r="P12" s="550"/>
      <c r="Q12" s="550"/>
      <c r="R12" s="550"/>
      <c r="S12" s="550"/>
      <c r="T12" s="550"/>
      <c r="U12" s="542"/>
      <c r="V12" s="550"/>
      <c r="W12" s="542"/>
      <c r="X12" s="550"/>
      <c r="Y12" s="542"/>
      <c r="Z12" s="550"/>
      <c r="AA12" s="528"/>
      <c r="AB12" s="528"/>
      <c r="AC12" s="528"/>
      <c r="AD12" s="561"/>
    </row>
    <row r="13" spans="1:30" ht="30" customHeight="1" x14ac:dyDescent="0.3">
      <c r="A13" s="528"/>
      <c r="B13" s="529"/>
      <c r="C13" s="453" t="s">
        <v>348</v>
      </c>
      <c r="D13" s="453" t="s">
        <v>1894</v>
      </c>
      <c r="E13" s="543" t="s">
        <v>350</v>
      </c>
      <c r="F13" s="506" t="s">
        <v>1893</v>
      </c>
      <c r="G13" s="496"/>
      <c r="H13" s="544"/>
      <c r="I13" s="544"/>
      <c r="J13" s="545"/>
      <c r="K13" s="630">
        <v>49101.03</v>
      </c>
      <c r="L13" s="630">
        <v>76875.63</v>
      </c>
      <c r="M13" s="544"/>
      <c r="N13" s="544"/>
      <c r="O13" s="544"/>
      <c r="P13" s="544"/>
      <c r="Q13" s="544"/>
      <c r="R13" s="544"/>
      <c r="S13" s="544"/>
      <c r="T13" s="544"/>
      <c r="U13" s="548"/>
      <c r="V13" s="544"/>
      <c r="W13" s="548"/>
      <c r="X13" s="544"/>
      <c r="Y13" s="548"/>
      <c r="Z13" s="544"/>
      <c r="AA13" s="528"/>
      <c r="AB13" s="528"/>
      <c r="AC13" s="528"/>
      <c r="AD13" s="561"/>
    </row>
    <row r="14" spans="1:30" ht="24" customHeight="1" x14ac:dyDescent="0.3">
      <c r="A14" s="528"/>
      <c r="B14" s="529"/>
      <c r="C14" s="531"/>
      <c r="D14" s="531"/>
      <c r="E14" s="532"/>
      <c r="F14" s="533"/>
      <c r="G14" s="551"/>
      <c r="H14" s="550"/>
      <c r="I14" s="550"/>
      <c r="J14" s="550"/>
      <c r="K14" s="550"/>
      <c r="L14" s="550"/>
      <c r="M14" s="550"/>
      <c r="N14" s="550"/>
      <c r="O14" s="550"/>
      <c r="P14" s="550"/>
      <c r="Q14" s="550"/>
      <c r="R14" s="550"/>
      <c r="S14" s="550"/>
      <c r="T14" s="550"/>
      <c r="U14" s="542"/>
      <c r="V14" s="550"/>
      <c r="W14" s="542"/>
      <c r="X14" s="550"/>
      <c r="Y14" s="542"/>
      <c r="Z14" s="550"/>
      <c r="AA14" s="528"/>
      <c r="AB14" s="528"/>
      <c r="AC14" s="528"/>
      <c r="AD14" s="561"/>
    </row>
    <row r="15" spans="1:30" ht="24" customHeight="1" x14ac:dyDescent="0.3">
      <c r="A15" s="528"/>
      <c r="B15" s="552"/>
      <c r="C15" s="462"/>
      <c r="D15" s="462"/>
      <c r="E15" s="553"/>
      <c r="F15" s="554"/>
      <c r="G15" s="555"/>
      <c r="H15" s="556"/>
      <c r="I15" s="556"/>
      <c r="J15" s="556"/>
      <c r="K15" s="556"/>
      <c r="L15" s="556"/>
      <c r="M15" s="556"/>
      <c r="N15" s="556"/>
      <c r="O15" s="556"/>
      <c r="P15" s="556"/>
      <c r="Q15" s="556"/>
      <c r="R15" s="556"/>
      <c r="S15" s="556"/>
      <c r="T15" s="556"/>
      <c r="U15" s="557"/>
      <c r="V15" s="556"/>
      <c r="W15" s="557"/>
      <c r="X15" s="556"/>
      <c r="Y15" s="557"/>
      <c r="Z15" s="556"/>
      <c r="AA15" s="528"/>
      <c r="AB15" s="528"/>
      <c r="AC15" s="528"/>
      <c r="AD15" s="561"/>
    </row>
    <row r="16" spans="1:30" ht="15.75" customHeight="1" x14ac:dyDescent="0.3">
      <c r="A16" s="528"/>
      <c r="B16" s="558"/>
      <c r="C16" s="528"/>
      <c r="D16" s="528"/>
      <c r="E16" s="528"/>
      <c r="F16" s="528"/>
      <c r="G16" s="479"/>
      <c r="H16" s="479"/>
      <c r="I16" s="479"/>
      <c r="J16" s="479"/>
      <c r="K16" s="479"/>
      <c r="L16" s="479"/>
      <c r="M16" s="559"/>
      <c r="N16" s="559"/>
      <c r="O16" s="559"/>
      <c r="P16" s="559"/>
      <c r="Q16" s="559"/>
      <c r="R16" s="559"/>
      <c r="S16" s="559"/>
      <c r="T16" s="559"/>
      <c r="U16" s="559"/>
      <c r="V16" s="559"/>
      <c r="W16" s="559"/>
      <c r="X16" s="559"/>
      <c r="Y16" s="559"/>
      <c r="Z16" s="559"/>
      <c r="AA16" s="528"/>
      <c r="AB16" s="528"/>
      <c r="AC16" s="528"/>
      <c r="AD16" s="561"/>
    </row>
    <row r="17" spans="1:30" ht="15.75" customHeight="1" x14ac:dyDescent="0.3">
      <c r="A17" s="528"/>
      <c r="B17" s="560" t="s">
        <v>355</v>
      </c>
      <c r="C17" s="561" t="s">
        <v>356</v>
      </c>
      <c r="D17" s="528"/>
      <c r="E17" s="528"/>
      <c r="F17" s="528"/>
      <c r="G17" s="479"/>
      <c r="H17" s="479"/>
      <c r="I17" s="479"/>
      <c r="J17" s="479"/>
      <c r="K17" s="479"/>
      <c r="L17" s="479"/>
      <c r="M17" s="559"/>
      <c r="N17" s="559"/>
      <c r="O17" s="559"/>
      <c r="P17" s="559"/>
      <c r="Q17" s="559"/>
      <c r="R17" s="559"/>
      <c r="S17" s="559"/>
      <c r="T17" s="559"/>
      <c r="U17" s="559"/>
      <c r="V17" s="559"/>
      <c r="W17" s="559"/>
      <c r="X17" s="559"/>
      <c r="Y17" s="559"/>
      <c r="Z17" s="559"/>
      <c r="AA17" s="528"/>
      <c r="AB17" s="528"/>
      <c r="AC17" s="528"/>
      <c r="AD17" s="561"/>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61"/>
    </row>
    <row r="19" spans="1:30" ht="15.75" customHeight="1" x14ac:dyDescent="0.3">
      <c r="A19" s="528"/>
      <c r="B19" s="4383" t="s">
        <v>357</v>
      </c>
      <c r="C19" s="4384"/>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61"/>
    </row>
    <row r="20" spans="1:30" ht="15.75" customHeight="1" x14ac:dyDescent="0.3">
      <c r="A20" s="528"/>
      <c r="B20" s="562" t="s">
        <v>365</v>
      </c>
      <c r="C20" s="528" t="s">
        <v>1895</v>
      </c>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61"/>
    </row>
    <row r="21" spans="1:30" ht="15.75" customHeight="1" x14ac:dyDescent="0.3">
      <c r="A21" s="528"/>
      <c r="B21" s="562" t="s">
        <v>365</v>
      </c>
      <c r="C21" s="528" t="s">
        <v>1916</v>
      </c>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61"/>
    </row>
    <row r="22" spans="1:30" ht="15.75" customHeight="1" x14ac:dyDescent="0.3"/>
    <row r="23" spans="1:30" ht="15.75" customHeight="1" x14ac:dyDescent="0.3"/>
    <row r="24" spans="1:30" ht="21" customHeight="1" x14ac:dyDescent="0.3">
      <c r="B24" s="519" t="s">
        <v>409</v>
      </c>
    </row>
    <row r="25" spans="1:30" ht="9" customHeight="1" x14ac:dyDescent="0.3">
      <c r="B25" s="519"/>
    </row>
    <row r="26" spans="1:30" ht="21" customHeight="1" x14ac:dyDescent="0.3">
      <c r="B26" s="517" t="s">
        <v>410</v>
      </c>
      <c r="C26" s="518"/>
      <c r="D26" s="518"/>
    </row>
    <row r="27" spans="1:30" ht="12" customHeight="1" x14ac:dyDescent="0.3"/>
    <row r="28" spans="1:30" ht="15.75" customHeight="1" x14ac:dyDescent="0.3">
      <c r="B28" s="521" t="s">
        <v>301</v>
      </c>
      <c r="C28" s="522" t="s">
        <v>343</v>
      </c>
      <c r="D28" s="523" t="s">
        <v>344</v>
      </c>
      <c r="E28" s="523" t="s">
        <v>345</v>
      </c>
      <c r="F28" s="523" t="s">
        <v>346</v>
      </c>
      <c r="G28" s="524" t="s">
        <v>347</v>
      </c>
      <c r="H28" s="525">
        <v>2025</v>
      </c>
      <c r="I28" s="525">
        <v>2024</v>
      </c>
      <c r="J28" s="525">
        <v>2023</v>
      </c>
      <c r="K28" s="525">
        <v>2022</v>
      </c>
      <c r="L28" s="525">
        <v>2021</v>
      </c>
      <c r="M28" s="525">
        <v>2020</v>
      </c>
      <c r="N28" s="525">
        <v>2019</v>
      </c>
      <c r="O28" s="526">
        <v>2018</v>
      </c>
      <c r="P28" s="526">
        <v>2017</v>
      </c>
      <c r="Q28" s="526">
        <v>2016</v>
      </c>
      <c r="R28" s="526">
        <v>2015</v>
      </c>
      <c r="S28" s="526">
        <v>2014</v>
      </c>
      <c r="T28" s="526">
        <v>2013</v>
      </c>
      <c r="U28" s="526">
        <v>2012</v>
      </c>
      <c r="V28" s="526">
        <v>2011</v>
      </c>
      <c r="W28" s="526">
        <v>2010</v>
      </c>
      <c r="X28" s="526">
        <v>2009</v>
      </c>
      <c r="Y28" s="526">
        <v>2008</v>
      </c>
      <c r="Z28" s="527" t="s">
        <v>332</v>
      </c>
    </row>
    <row r="29" spans="1:30" ht="24" customHeight="1" x14ac:dyDescent="0.3">
      <c r="B29" s="529">
        <v>1</v>
      </c>
      <c r="C29" s="530" t="s">
        <v>348</v>
      </c>
      <c r="D29" s="531" t="s">
        <v>1896</v>
      </c>
      <c r="E29" s="532" t="s">
        <v>363</v>
      </c>
      <c r="F29" s="531" t="s">
        <v>1897</v>
      </c>
      <c r="G29" s="534">
        <v>2024</v>
      </c>
      <c r="H29" s="635"/>
      <c r="I29" s="1284">
        <f>AF44+AF50+AF60</f>
        <v>19383.869999999995</v>
      </c>
      <c r="J29" s="536"/>
      <c r="K29" s="535"/>
      <c r="L29" s="535"/>
      <c r="M29" s="535"/>
      <c r="N29" s="535"/>
      <c r="O29" s="535"/>
      <c r="P29" s="535"/>
      <c r="Q29" s="535"/>
      <c r="R29" s="535"/>
      <c r="S29" s="535"/>
      <c r="T29" s="535"/>
      <c r="U29" s="542"/>
      <c r="V29" s="535"/>
      <c r="W29" s="542"/>
      <c r="X29" s="535"/>
      <c r="Y29" s="542"/>
      <c r="Z29" s="535"/>
    </row>
    <row r="30" spans="1:30" ht="24" customHeight="1" x14ac:dyDescent="0.3">
      <c r="B30" s="529">
        <v>2</v>
      </c>
      <c r="C30" s="453" t="s">
        <v>348</v>
      </c>
      <c r="D30" s="453" t="s">
        <v>1898</v>
      </c>
      <c r="E30" s="543" t="s">
        <v>363</v>
      </c>
      <c r="F30" s="453" t="s">
        <v>1897</v>
      </c>
      <c r="G30" s="496">
        <v>2024</v>
      </c>
      <c r="H30" s="638"/>
      <c r="I30" s="1285">
        <v>948.41</v>
      </c>
      <c r="J30" s="545"/>
      <c r="K30" s="544"/>
      <c r="L30" s="544"/>
      <c r="M30" s="544"/>
      <c r="N30" s="544"/>
      <c r="O30" s="544"/>
      <c r="P30" s="544"/>
      <c r="Q30" s="544"/>
      <c r="R30" s="544"/>
      <c r="S30" s="544"/>
      <c r="T30" s="544"/>
      <c r="U30" s="548"/>
      <c r="V30" s="544"/>
      <c r="W30" s="548"/>
      <c r="X30" s="544"/>
      <c r="Y30" s="548"/>
      <c r="Z30" s="544"/>
    </row>
    <row r="31" spans="1:30" ht="24" customHeight="1" x14ac:dyDescent="0.3">
      <c r="B31" s="529"/>
      <c r="C31" s="531"/>
      <c r="D31" s="531"/>
      <c r="E31" s="532"/>
      <c r="F31" s="531"/>
      <c r="G31" s="639"/>
      <c r="H31" s="640"/>
      <c r="I31" s="2021"/>
      <c r="J31" s="550"/>
      <c r="K31" s="550"/>
      <c r="L31" s="550"/>
      <c r="M31" s="550"/>
      <c r="N31" s="550"/>
      <c r="O31" s="550"/>
      <c r="P31" s="550"/>
      <c r="Q31" s="550"/>
      <c r="R31" s="550"/>
      <c r="S31" s="550"/>
      <c r="T31" s="550"/>
      <c r="U31" s="542"/>
      <c r="V31" s="550"/>
      <c r="W31" s="542"/>
      <c r="X31" s="550"/>
      <c r="Y31" s="542"/>
      <c r="Z31" s="550"/>
    </row>
    <row r="32" spans="1:30" ht="24" hidden="1" customHeight="1" x14ac:dyDescent="0.3">
      <c r="B32" s="529"/>
      <c r="C32" s="453"/>
      <c r="D32" s="453"/>
      <c r="E32" s="543"/>
      <c r="F32" s="453"/>
      <c r="G32" s="479"/>
      <c r="H32" s="638"/>
      <c r="I32" s="638"/>
      <c r="J32" s="544"/>
      <c r="K32" s="544"/>
      <c r="L32" s="544"/>
      <c r="M32" s="544"/>
      <c r="N32" s="544"/>
      <c r="O32" s="544"/>
      <c r="P32" s="544"/>
      <c r="Q32" s="544"/>
      <c r="R32" s="544"/>
      <c r="S32" s="544"/>
      <c r="T32" s="544"/>
      <c r="U32" s="548"/>
      <c r="V32" s="544"/>
      <c r="W32" s="548"/>
      <c r="X32" s="544"/>
      <c r="Y32" s="548"/>
      <c r="Z32" s="544"/>
    </row>
    <row r="33" spans="2:33" ht="24" hidden="1" customHeight="1" x14ac:dyDescent="0.3">
      <c r="B33" s="529"/>
      <c r="C33" s="531"/>
      <c r="D33" s="531"/>
      <c r="E33" s="532"/>
      <c r="F33" s="531"/>
      <c r="G33" s="639"/>
      <c r="H33" s="640"/>
      <c r="I33" s="640"/>
      <c r="J33" s="550"/>
      <c r="K33" s="550"/>
      <c r="L33" s="550"/>
      <c r="M33" s="550"/>
      <c r="N33" s="550"/>
      <c r="O33" s="550"/>
      <c r="P33" s="550"/>
      <c r="Q33" s="550"/>
      <c r="R33" s="550"/>
      <c r="S33" s="550"/>
      <c r="T33" s="550"/>
      <c r="U33" s="542"/>
      <c r="V33" s="550"/>
      <c r="W33" s="542"/>
      <c r="X33" s="550"/>
      <c r="Y33" s="542"/>
      <c r="Z33" s="550"/>
    </row>
    <row r="34" spans="2:33" ht="24" hidden="1" customHeight="1" x14ac:dyDescent="0.3">
      <c r="B34" s="529"/>
      <c r="C34" s="453"/>
      <c r="D34" s="453"/>
      <c r="E34" s="543"/>
      <c r="F34" s="453"/>
      <c r="G34" s="479"/>
      <c r="H34" s="638"/>
      <c r="I34" s="638"/>
      <c r="J34" s="544"/>
      <c r="K34" s="544"/>
      <c r="L34" s="544"/>
      <c r="M34" s="544"/>
      <c r="N34" s="544"/>
      <c r="O34" s="544"/>
      <c r="P34" s="544"/>
      <c r="Q34" s="544"/>
      <c r="R34" s="544"/>
      <c r="S34" s="544"/>
      <c r="T34" s="544"/>
      <c r="U34" s="548"/>
      <c r="V34" s="544"/>
      <c r="W34" s="548"/>
      <c r="X34" s="544"/>
      <c r="Y34" s="548"/>
      <c r="Z34" s="544"/>
    </row>
    <row r="35" spans="2:33" ht="24" hidden="1" customHeight="1" x14ac:dyDescent="0.3">
      <c r="B35" s="529"/>
      <c r="C35" s="531" t="s">
        <v>451</v>
      </c>
      <c r="D35" s="531" t="s">
        <v>452</v>
      </c>
      <c r="E35" s="532" t="s">
        <v>453</v>
      </c>
      <c r="F35" s="531" t="s">
        <v>454</v>
      </c>
      <c r="G35" s="641"/>
      <c r="H35" s="640"/>
      <c r="I35" s="640"/>
      <c r="J35" s="642">
        <v>0.71</v>
      </c>
      <c r="K35" s="642">
        <v>0.71</v>
      </c>
      <c r="L35" s="642">
        <v>0.71</v>
      </c>
      <c r="M35" s="642">
        <v>0.71</v>
      </c>
      <c r="N35" s="642">
        <v>0.71</v>
      </c>
      <c r="O35" s="642">
        <v>0.71</v>
      </c>
      <c r="P35" s="642">
        <v>0.79</v>
      </c>
      <c r="Q35" s="642">
        <v>0.79</v>
      </c>
      <c r="R35" s="642">
        <v>0.79</v>
      </c>
      <c r="S35" s="643"/>
      <c r="T35" s="643"/>
      <c r="U35" s="644"/>
      <c r="V35" s="643"/>
      <c r="W35" s="644"/>
      <c r="X35" s="643"/>
      <c r="Y35" s="644"/>
      <c r="Z35" s="550"/>
    </row>
    <row r="36" spans="2:33" ht="24" customHeight="1" x14ac:dyDescent="0.3">
      <c r="B36" s="552"/>
      <c r="C36" s="462"/>
      <c r="D36" s="462"/>
      <c r="E36" s="553"/>
      <c r="F36" s="462"/>
      <c r="G36" s="645"/>
      <c r="H36" s="646"/>
      <c r="I36" s="646"/>
      <c r="J36" s="556"/>
      <c r="K36" s="556"/>
      <c r="L36" s="556"/>
      <c r="M36" s="556"/>
      <c r="N36" s="556"/>
      <c r="O36" s="556"/>
      <c r="P36" s="556"/>
      <c r="Q36" s="556"/>
      <c r="R36" s="556"/>
      <c r="S36" s="556"/>
      <c r="T36" s="556"/>
      <c r="U36" s="557"/>
      <c r="V36" s="556"/>
      <c r="W36" s="557"/>
      <c r="X36" s="556"/>
      <c r="Y36" s="557"/>
      <c r="Z36" s="556"/>
    </row>
    <row r="37" spans="2:33" ht="15.75" customHeight="1" x14ac:dyDescent="0.3"/>
    <row r="38" spans="2:33" ht="15.75" customHeight="1" x14ac:dyDescent="0.3">
      <c r="B38" s="560" t="s">
        <v>355</v>
      </c>
      <c r="C38" s="561" t="s">
        <v>356</v>
      </c>
      <c r="AD38" s="4060" t="s">
        <v>1899</v>
      </c>
      <c r="AE38" s="1080" t="s">
        <v>1900</v>
      </c>
      <c r="AF38" s="1324" t="s">
        <v>1901</v>
      </c>
    </row>
    <row r="39" spans="2:33" ht="15.75" customHeight="1" x14ac:dyDescent="0.3">
      <c r="AD39" s="4059" t="s">
        <v>1169</v>
      </c>
      <c r="AE39" s="428">
        <v>0</v>
      </c>
      <c r="AF39" s="4061">
        <v>1204.17</v>
      </c>
      <c r="AG39" s="4062" t="s">
        <v>1902</v>
      </c>
    </row>
    <row r="40" spans="2:33" ht="15.75" customHeight="1" x14ac:dyDescent="0.3">
      <c r="B40" s="4383" t="s">
        <v>357</v>
      </c>
      <c r="C40" s="4384"/>
      <c r="AD40" s="4059" t="s">
        <v>1170</v>
      </c>
      <c r="AE40" s="428">
        <v>1</v>
      </c>
      <c r="AF40" s="428">
        <v>1917.2400000000009</v>
      </c>
    </row>
    <row r="41" spans="2:33" ht="15.75" customHeight="1" x14ac:dyDescent="0.3">
      <c r="B41" s="562" t="s">
        <v>365</v>
      </c>
      <c r="C41" s="428" t="s">
        <v>1903</v>
      </c>
      <c r="AD41" s="4059" t="s">
        <v>1172</v>
      </c>
      <c r="AE41" s="428">
        <v>1</v>
      </c>
      <c r="AF41" s="428">
        <v>31.369999999999997</v>
      </c>
    </row>
    <row r="42" spans="2:33" ht="15.75" customHeight="1" x14ac:dyDescent="0.3">
      <c r="B42" s="562" t="s">
        <v>301</v>
      </c>
      <c r="AD42" s="4059" t="s">
        <v>1173</v>
      </c>
      <c r="AE42" s="428">
        <v>1</v>
      </c>
      <c r="AF42" s="428">
        <v>2611.5299999999993</v>
      </c>
    </row>
    <row r="43" spans="2:33" ht="15.75" customHeight="1" x14ac:dyDescent="0.3">
      <c r="AD43" s="4059" t="s">
        <v>1174</v>
      </c>
      <c r="AE43" s="428">
        <v>1</v>
      </c>
      <c r="AF43" s="428">
        <v>28.61</v>
      </c>
    </row>
    <row r="44" spans="2:33" ht="15.75" customHeight="1" x14ac:dyDescent="0.3">
      <c r="AE44" s="1080">
        <v>4</v>
      </c>
      <c r="AF44" s="1080">
        <f>SUM(AF40:AF43)</f>
        <v>4588.75</v>
      </c>
    </row>
    <row r="45" spans="2:33" ht="15.75" customHeight="1" x14ac:dyDescent="0.3">
      <c r="AE45" s="1080"/>
      <c r="AF45" s="1080"/>
    </row>
    <row r="46" spans="2:33" ht="15.75" customHeight="1" x14ac:dyDescent="0.3">
      <c r="AD46" s="4060" t="s">
        <v>1904</v>
      </c>
      <c r="AE46" s="1080" t="s">
        <v>1900</v>
      </c>
      <c r="AF46" s="1324" t="s">
        <v>1901</v>
      </c>
    </row>
    <row r="47" spans="2:33" ht="15.75" customHeight="1" x14ac:dyDescent="0.3">
      <c r="AD47" s="4059" t="s">
        <v>1169</v>
      </c>
      <c r="AE47" s="428">
        <v>0</v>
      </c>
      <c r="AF47" s="428">
        <v>3935.7800000000007</v>
      </c>
    </row>
    <row r="48" spans="2:33" ht="15.75" customHeight="1" x14ac:dyDescent="0.3">
      <c r="AD48" s="4059" t="s">
        <v>1170</v>
      </c>
      <c r="AE48" s="428">
        <v>1</v>
      </c>
      <c r="AF48" s="428">
        <v>509.23</v>
      </c>
    </row>
    <row r="49" spans="30:32" ht="15.75" customHeight="1" x14ac:dyDescent="0.3">
      <c r="AD49" s="4059" t="s">
        <v>1172</v>
      </c>
      <c r="AE49" s="428">
        <v>1</v>
      </c>
      <c r="AF49" s="428">
        <v>23.19</v>
      </c>
    </row>
    <row r="50" spans="30:32" ht="15.75" customHeight="1" x14ac:dyDescent="0.3">
      <c r="AE50" s="1080">
        <v>2</v>
      </c>
      <c r="AF50" s="1080">
        <f>SUM(AF47:AF49)</f>
        <v>4468.2</v>
      </c>
    </row>
    <row r="51" spans="30:32" ht="15.75" customHeight="1" x14ac:dyDescent="0.3"/>
    <row r="52" spans="30:32" ht="15.75" customHeight="1" x14ac:dyDescent="0.3">
      <c r="AD52" s="4060" t="s">
        <v>1905</v>
      </c>
      <c r="AE52" s="1080" t="s">
        <v>1900</v>
      </c>
      <c r="AF52" s="1324" t="s">
        <v>1901</v>
      </c>
    </row>
    <row r="53" spans="30:32" ht="15.75" customHeight="1" x14ac:dyDescent="0.3">
      <c r="AD53" s="4059" t="s">
        <v>1169</v>
      </c>
      <c r="AE53" s="428">
        <v>1</v>
      </c>
      <c r="AF53" s="428">
        <v>4256.87</v>
      </c>
    </row>
    <row r="54" spans="30:32" ht="15.75" customHeight="1" x14ac:dyDescent="0.3">
      <c r="AD54" s="4059" t="s">
        <v>1170</v>
      </c>
      <c r="AE54" s="428">
        <v>1</v>
      </c>
      <c r="AF54" s="428">
        <v>117.10000000000001</v>
      </c>
    </row>
    <row r="55" spans="30:32" ht="15.75" customHeight="1" x14ac:dyDescent="0.3">
      <c r="AD55" s="4059" t="s">
        <v>1172</v>
      </c>
      <c r="AE55" s="428">
        <v>1</v>
      </c>
      <c r="AF55" s="428">
        <v>5539.2899999999972</v>
      </c>
    </row>
    <row r="56" spans="30:32" ht="15.75" customHeight="1" x14ac:dyDescent="0.3">
      <c r="AD56" s="4059" t="s">
        <v>1173</v>
      </c>
      <c r="AE56" s="428">
        <v>1</v>
      </c>
      <c r="AF56" s="428">
        <v>285.70999999999998</v>
      </c>
    </row>
    <row r="57" spans="30:32" ht="15.75" customHeight="1" x14ac:dyDescent="0.3">
      <c r="AD57" s="4059" t="s">
        <v>1174</v>
      </c>
      <c r="AE57" s="428">
        <v>1</v>
      </c>
      <c r="AF57" s="428">
        <v>92.6</v>
      </c>
    </row>
    <row r="58" spans="30:32" ht="15.75" customHeight="1" x14ac:dyDescent="0.3">
      <c r="AD58" s="4059" t="s">
        <v>2191</v>
      </c>
      <c r="AE58" s="428">
        <v>1</v>
      </c>
      <c r="AF58" s="428">
        <v>22.55</v>
      </c>
    </row>
    <row r="59" spans="30:32" ht="15.75" customHeight="1" x14ac:dyDescent="0.3">
      <c r="AD59" s="4059" t="s">
        <v>2192</v>
      </c>
      <c r="AE59" s="428">
        <v>1</v>
      </c>
      <c r="AF59" s="428">
        <v>12.8</v>
      </c>
    </row>
    <row r="60" spans="30:32" ht="15.75" customHeight="1" x14ac:dyDescent="0.3">
      <c r="AE60" s="1080">
        <v>7</v>
      </c>
      <c r="AF60" s="1080">
        <f>SUM(AF53:AF59)</f>
        <v>10326.919999999996</v>
      </c>
    </row>
    <row r="61" spans="30:32" ht="15.75" customHeight="1" x14ac:dyDescent="0.3"/>
    <row r="62" spans="30:32" ht="15.75" customHeight="1" x14ac:dyDescent="0.3"/>
    <row r="63" spans="30:32" ht="15.75" customHeight="1" x14ac:dyDescent="0.3"/>
    <row r="64" spans="30:32"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sheetData>
  <mergeCells count="2">
    <mergeCell ref="B19:C19"/>
    <mergeCell ref="B40:C40"/>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AAD8B-7C5C-4CDA-B263-23679C79C833}">
  <dimension ref="A1:G986"/>
  <sheetViews>
    <sheetView topLeftCell="A17" workbookViewId="0">
      <selection activeCell="C29" sqref="C29"/>
    </sheetView>
  </sheetViews>
  <sheetFormatPr defaultColWidth="12.44140625" defaultRowHeight="15" customHeight="1" x14ac:dyDescent="0.3"/>
  <cols>
    <col min="1" max="1" width="2.6640625" style="428" customWidth="1"/>
    <col min="2" max="2" width="34" style="428" customWidth="1"/>
    <col min="3" max="4" width="21.44140625" style="428" customWidth="1"/>
    <col min="5" max="5" width="1.5546875" style="428" customWidth="1"/>
    <col min="6" max="6" width="15.21875" style="428" customWidth="1"/>
    <col min="7" max="7" width="11.6640625" style="428" customWidth="1"/>
    <col min="8" max="16384" width="12.44140625" style="428"/>
  </cols>
  <sheetData>
    <row r="1" spans="1:7" ht="21.75" customHeight="1" x14ac:dyDescent="0.35">
      <c r="A1" s="424"/>
      <c r="B1" s="425" t="s">
        <v>549</v>
      </c>
      <c r="E1" s="427"/>
    </row>
    <row r="2" spans="1:7" ht="15.75" customHeight="1" x14ac:dyDescent="0.3">
      <c r="A2" s="424"/>
      <c r="B2" s="429" t="s">
        <v>299</v>
      </c>
      <c r="C2" s="430"/>
      <c r="D2" s="430"/>
      <c r="E2" s="430"/>
      <c r="F2" s="430"/>
    </row>
    <row r="3" spans="1:7" ht="9.75" customHeight="1" x14ac:dyDescent="0.3">
      <c r="A3" s="427"/>
      <c r="E3" s="427"/>
    </row>
    <row r="4" spans="1:7" ht="6" customHeight="1" x14ac:dyDescent="0.3">
      <c r="E4" s="427"/>
    </row>
    <row r="5" spans="1:7" ht="6" customHeight="1" x14ac:dyDescent="0.3">
      <c r="A5" s="431"/>
      <c r="E5" s="427"/>
    </row>
    <row r="6" spans="1:7" ht="15.75" customHeight="1" x14ac:dyDescent="0.3">
      <c r="E6" s="427"/>
    </row>
    <row r="7" spans="1:7" ht="37.200000000000003" customHeight="1" x14ac:dyDescent="0.3">
      <c r="A7" s="432"/>
      <c r="B7" s="433">
        <v>2024</v>
      </c>
      <c r="C7" s="4385" t="s">
        <v>23</v>
      </c>
      <c r="D7" s="4386"/>
      <c r="E7" s="609"/>
      <c r="F7" s="435" t="s">
        <v>300</v>
      </c>
      <c r="G7" s="432"/>
    </row>
    <row r="8" spans="1:7" ht="18" customHeight="1" x14ac:dyDescent="0.35">
      <c r="B8" s="436" t="s">
        <v>301</v>
      </c>
      <c r="C8" s="648">
        <v>1</v>
      </c>
      <c r="D8" s="572">
        <v>2</v>
      </c>
      <c r="E8" s="610"/>
      <c r="F8" s="438"/>
    </row>
    <row r="9" spans="1:7" ht="46.5" customHeight="1" x14ac:dyDescent="0.3">
      <c r="B9" s="439" t="s">
        <v>302</v>
      </c>
      <c r="C9" s="1295" t="s">
        <v>764</v>
      </c>
      <c r="D9" s="1295" t="s">
        <v>765</v>
      </c>
      <c r="E9" s="611"/>
      <c r="F9" s="442"/>
    </row>
    <row r="10" spans="1:7" ht="46.5" customHeight="1" x14ac:dyDescent="0.3">
      <c r="B10" s="444" t="s">
        <v>304</v>
      </c>
      <c r="C10" s="1296" t="s">
        <v>766</v>
      </c>
      <c r="D10" s="1296" t="s">
        <v>767</v>
      </c>
      <c r="E10" s="612"/>
      <c r="F10" s="446"/>
    </row>
    <row r="11" spans="1:7" ht="18.75" customHeight="1" x14ac:dyDescent="0.3">
      <c r="A11" s="447"/>
      <c r="B11" s="448" t="s">
        <v>306</v>
      </c>
      <c r="C11" s="1089">
        <f>(C17*C18)</f>
        <v>441.13336087750486</v>
      </c>
      <c r="D11" s="651">
        <f>(D17*D18)</f>
        <v>98.164789750399393</v>
      </c>
      <c r="E11" s="614"/>
      <c r="F11" s="451">
        <f>SUM(C11:D11)</f>
        <v>539.29815062790431</v>
      </c>
      <c r="G11" s="447"/>
    </row>
    <row r="12" spans="1:7" ht="18.75" customHeight="1" x14ac:dyDescent="0.3">
      <c r="A12" s="447"/>
      <c r="B12" s="453" t="s">
        <v>307</v>
      </c>
      <c r="C12" s="577">
        <f>(C22*C23)</f>
        <v>0</v>
      </c>
      <c r="D12" s="577">
        <f>(D22*D23)</f>
        <v>0</v>
      </c>
      <c r="E12" s="614"/>
      <c r="F12" s="456">
        <f>SUM(C12:D12)</f>
        <v>0</v>
      </c>
      <c r="G12" s="447"/>
    </row>
    <row r="13" spans="1:7" ht="18.75" customHeight="1" x14ac:dyDescent="0.3">
      <c r="A13" s="447"/>
      <c r="B13" s="448" t="s">
        <v>308</v>
      </c>
      <c r="C13" s="654" t="s">
        <v>8</v>
      </c>
      <c r="D13" s="578" t="s">
        <v>8</v>
      </c>
      <c r="E13" s="615"/>
      <c r="F13" s="460"/>
      <c r="G13" s="447"/>
    </row>
    <row r="14" spans="1:7" ht="18.75" customHeight="1" x14ac:dyDescent="0.3">
      <c r="A14" s="447"/>
      <c r="B14" s="462" t="s">
        <v>309</v>
      </c>
      <c r="C14" s="655">
        <f t="shared" ref="C14:D14" si="0">C11-C12</f>
        <v>441.13336087750486</v>
      </c>
      <c r="D14" s="579">
        <f t="shared" si="0"/>
        <v>98.164789750399393</v>
      </c>
      <c r="E14" s="614"/>
      <c r="F14" s="464">
        <f>SUM(C14:D14)</f>
        <v>539.29815062790431</v>
      </c>
      <c r="G14" s="447"/>
    </row>
    <row r="15" spans="1:7" ht="19.5" customHeight="1" x14ac:dyDescent="0.4">
      <c r="B15" s="616" t="s">
        <v>395</v>
      </c>
      <c r="C15" s="659"/>
      <c r="D15" s="617"/>
      <c r="E15" s="618"/>
      <c r="F15" s="468"/>
      <c r="G15" s="427"/>
    </row>
    <row r="16" spans="1:7" ht="35.4" customHeight="1" x14ac:dyDescent="0.3">
      <c r="A16" s="447"/>
      <c r="B16" s="469" t="s">
        <v>311</v>
      </c>
      <c r="C16" s="601" t="s">
        <v>397</v>
      </c>
      <c r="D16" s="601" t="s">
        <v>397</v>
      </c>
      <c r="E16" s="619"/>
      <c r="F16" s="620"/>
      <c r="G16" s="447"/>
    </row>
    <row r="17" spans="1:7" ht="21" customHeight="1" x14ac:dyDescent="0.3">
      <c r="A17" s="447"/>
      <c r="B17" s="472" t="s">
        <v>398</v>
      </c>
      <c r="C17" s="662">
        <f>'CF-0701|GDS'!I9*'CF-0701|GDS'!I13</f>
        <v>141.19336899999996</v>
      </c>
      <c r="D17" s="662">
        <f>'CF-0701|GDS'!I10</f>
        <v>136.29</v>
      </c>
      <c r="E17" s="622"/>
      <c r="F17" s="623"/>
      <c r="G17" s="447"/>
    </row>
    <row r="18" spans="1:7" ht="18.75" customHeight="1" x14ac:dyDescent="0.3">
      <c r="A18" s="447"/>
      <c r="B18" s="476" t="s">
        <v>314</v>
      </c>
      <c r="C18" s="584">
        <v>3.1243206674776984</v>
      </c>
      <c r="D18" s="584">
        <v>0.7202640674326759</v>
      </c>
      <c r="E18" s="614"/>
      <c r="F18" s="491"/>
      <c r="G18" s="447"/>
    </row>
    <row r="19" spans="1:7" ht="19.5" customHeight="1" x14ac:dyDescent="0.3">
      <c r="A19" s="447"/>
      <c r="B19" s="480" t="s">
        <v>315</v>
      </c>
      <c r="C19" s="664">
        <f>C17*C18</f>
        <v>441.13336087750486</v>
      </c>
      <c r="D19" s="663">
        <f>D17*D18</f>
        <v>98.164789750399393</v>
      </c>
      <c r="E19" s="614"/>
      <c r="F19" s="494"/>
      <c r="G19" s="447"/>
    </row>
    <row r="20" spans="1:7" ht="21" customHeight="1" x14ac:dyDescent="0.4">
      <c r="B20" s="465" t="s">
        <v>316</v>
      </c>
      <c r="C20" s="665"/>
      <c r="D20" s="587"/>
      <c r="E20" s="618"/>
      <c r="F20" s="495"/>
    </row>
    <row r="21" spans="1:7" ht="32.4" customHeight="1" x14ac:dyDescent="0.3">
      <c r="A21" s="447"/>
      <c r="B21" s="469" t="s">
        <v>183</v>
      </c>
      <c r="C21" s="601" t="s">
        <v>770</v>
      </c>
      <c r="D21" s="601" t="s">
        <v>771</v>
      </c>
      <c r="E21" s="614"/>
      <c r="F21" s="496"/>
      <c r="G21" s="647"/>
    </row>
    <row r="22" spans="1:7" ht="21" customHeight="1" x14ac:dyDescent="0.3">
      <c r="A22" s="447"/>
      <c r="B22" s="486" t="s">
        <v>398</v>
      </c>
      <c r="C22" s="666">
        <f>C17</f>
        <v>141.19336899999996</v>
      </c>
      <c r="D22" s="589">
        <f>D17</f>
        <v>136.29</v>
      </c>
      <c r="E22" s="622"/>
      <c r="F22" s="623"/>
      <c r="G22" s="447"/>
    </row>
    <row r="23" spans="1:7" ht="21" customHeight="1" x14ac:dyDescent="0.3">
      <c r="A23" s="447"/>
      <c r="B23" s="489" t="s">
        <v>314</v>
      </c>
      <c r="C23" s="590">
        <v>0</v>
      </c>
      <c r="D23" s="590">
        <v>0</v>
      </c>
      <c r="E23" s="614"/>
      <c r="F23" s="491"/>
      <c r="G23" s="447"/>
    </row>
    <row r="24" spans="1:7" ht="21" customHeight="1" x14ac:dyDescent="0.3">
      <c r="A24" s="447"/>
      <c r="B24" s="492" t="s">
        <v>315</v>
      </c>
      <c r="C24" s="668">
        <f t="shared" ref="C24:D24" si="1">C22*C23</f>
        <v>0</v>
      </c>
      <c r="D24" s="591">
        <f t="shared" si="1"/>
        <v>0</v>
      </c>
      <c r="E24" s="614"/>
      <c r="F24" s="494"/>
      <c r="G24" s="447"/>
    </row>
    <row r="25" spans="1:7" ht="28.5" customHeight="1" x14ac:dyDescent="0.3">
      <c r="A25" s="447"/>
      <c r="B25" s="498" t="s">
        <v>320</v>
      </c>
      <c r="C25" s="626" t="s">
        <v>401</v>
      </c>
      <c r="D25" s="626" t="s">
        <v>401</v>
      </c>
      <c r="E25" s="614"/>
      <c r="F25" s="496"/>
      <c r="G25" s="447"/>
    </row>
    <row r="26" spans="1:7" ht="24" customHeight="1" x14ac:dyDescent="0.3">
      <c r="B26" s="502" t="s">
        <v>322</v>
      </c>
      <c r="C26" s="674">
        <v>13</v>
      </c>
      <c r="D26" s="596">
        <v>13</v>
      </c>
      <c r="E26" s="618"/>
      <c r="F26" s="495"/>
    </row>
    <row r="27" spans="1:7" ht="33" customHeight="1" x14ac:dyDescent="0.3">
      <c r="A27" s="447"/>
      <c r="B27" s="506" t="s">
        <v>323</v>
      </c>
      <c r="C27" s="496" t="s">
        <v>324</v>
      </c>
      <c r="D27" s="595" t="s">
        <v>324</v>
      </c>
      <c r="E27" s="614"/>
      <c r="F27" s="496"/>
      <c r="G27" s="447"/>
    </row>
    <row r="28" spans="1:7" ht="33" customHeight="1" x14ac:dyDescent="0.3">
      <c r="A28" s="447"/>
      <c r="B28" s="508" t="s">
        <v>325</v>
      </c>
      <c r="C28" s="674" t="s">
        <v>326</v>
      </c>
      <c r="D28" s="596" t="s">
        <v>326</v>
      </c>
      <c r="E28" s="614"/>
      <c r="F28" s="496"/>
      <c r="G28" s="447"/>
    </row>
    <row r="29" spans="1:7" ht="33" customHeight="1" x14ac:dyDescent="0.3">
      <c r="A29" s="447"/>
      <c r="B29" s="506" t="s">
        <v>327</v>
      </c>
      <c r="C29" s="595" t="s">
        <v>402</v>
      </c>
      <c r="D29" s="595" t="s">
        <v>402</v>
      </c>
      <c r="E29" s="614"/>
      <c r="F29" s="496"/>
      <c r="G29" s="447"/>
    </row>
    <row r="30" spans="1:7" ht="21" customHeight="1" x14ac:dyDescent="0.3">
      <c r="B30" s="510" t="s">
        <v>329</v>
      </c>
      <c r="C30" s="596">
        <v>1</v>
      </c>
      <c r="D30" s="596">
        <v>1</v>
      </c>
      <c r="E30" s="618"/>
      <c r="F30" s="467"/>
    </row>
    <row r="31" spans="1:7" ht="21" customHeight="1" x14ac:dyDescent="0.3">
      <c r="B31" s="453" t="s">
        <v>330</v>
      </c>
      <c r="C31" s="496" t="s">
        <v>324</v>
      </c>
      <c r="D31" s="595" t="s">
        <v>324</v>
      </c>
      <c r="E31" s="618"/>
      <c r="F31" s="495"/>
    </row>
    <row r="32" spans="1:7" ht="21" customHeight="1" x14ac:dyDescent="0.3">
      <c r="B32" s="510" t="s">
        <v>331</v>
      </c>
      <c r="C32" s="674" t="s">
        <v>324</v>
      </c>
      <c r="D32" s="596" t="s">
        <v>324</v>
      </c>
      <c r="E32" s="618"/>
      <c r="F32" s="495"/>
    </row>
    <row r="33" spans="2:6" ht="21" customHeight="1" x14ac:dyDescent="0.3">
      <c r="B33" s="462" t="s">
        <v>332</v>
      </c>
      <c r="C33" s="675" t="s">
        <v>333</v>
      </c>
      <c r="D33" s="555" t="s">
        <v>333</v>
      </c>
      <c r="E33" s="618"/>
      <c r="F33" s="495"/>
    </row>
    <row r="34" spans="2:6" ht="15.75" customHeight="1" x14ac:dyDescent="0.3">
      <c r="B34" s="427"/>
      <c r="E34" s="427"/>
      <c r="F34" s="427"/>
    </row>
    <row r="35" spans="2:6" ht="15.75" customHeight="1" x14ac:dyDescent="0.3">
      <c r="E35" s="427"/>
      <c r="F35" s="427"/>
    </row>
    <row r="36" spans="2:6" ht="15.75" customHeight="1" x14ac:dyDescent="0.3">
      <c r="E36" s="427"/>
      <c r="F36" s="427"/>
    </row>
    <row r="37" spans="2:6" ht="15.75" customHeight="1" x14ac:dyDescent="0.3">
      <c r="E37" s="427"/>
      <c r="F37" s="427"/>
    </row>
    <row r="38" spans="2:6" ht="15.75" customHeight="1" x14ac:dyDescent="0.3">
      <c r="E38" s="427"/>
      <c r="F38" s="427"/>
    </row>
    <row r="39" spans="2:6" ht="15.75" customHeight="1" x14ac:dyDescent="0.3">
      <c r="E39" s="427"/>
      <c r="F39" s="427"/>
    </row>
    <row r="40" spans="2:6" ht="15.75" customHeight="1" x14ac:dyDescent="0.3">
      <c r="E40" s="427"/>
      <c r="F40" s="427"/>
    </row>
    <row r="41" spans="2:6" ht="15.75" customHeight="1" x14ac:dyDescent="0.3">
      <c r="E41" s="427"/>
      <c r="F41" s="427"/>
    </row>
    <row r="42" spans="2:6" ht="15.75" customHeight="1" x14ac:dyDescent="0.3">
      <c r="E42" s="427"/>
      <c r="F42" s="427"/>
    </row>
    <row r="43" spans="2:6" ht="15.75" customHeight="1" x14ac:dyDescent="0.3">
      <c r="E43" s="427"/>
      <c r="F43" s="427"/>
    </row>
    <row r="44" spans="2:6" ht="15.75" customHeight="1" x14ac:dyDescent="0.3">
      <c r="E44" s="427"/>
    </row>
    <row r="45" spans="2:6" ht="15.75" customHeight="1" x14ac:dyDescent="0.3">
      <c r="E45" s="427"/>
    </row>
    <row r="46" spans="2:6" ht="15.75" customHeight="1" x14ac:dyDescent="0.3">
      <c r="E46" s="427"/>
    </row>
    <row r="47" spans="2:6" ht="15.75" customHeight="1" x14ac:dyDescent="0.3">
      <c r="E47" s="427"/>
    </row>
    <row r="48" spans="2:6" ht="15.75" customHeight="1" x14ac:dyDescent="0.3">
      <c r="E48" s="427"/>
    </row>
    <row r="49" spans="5:5" ht="15.75" customHeight="1" x14ac:dyDescent="0.3">
      <c r="E49" s="427"/>
    </row>
    <row r="50" spans="5:5" ht="15.75" customHeight="1" x14ac:dyDescent="0.3">
      <c r="E50" s="427"/>
    </row>
    <row r="51" spans="5:5" ht="15.75" customHeight="1" x14ac:dyDescent="0.3">
      <c r="E51" s="427"/>
    </row>
    <row r="52" spans="5:5" ht="15.75" customHeight="1" x14ac:dyDescent="0.3">
      <c r="E52" s="427"/>
    </row>
    <row r="53" spans="5:5" ht="15.75" customHeight="1" x14ac:dyDescent="0.3">
      <c r="E53" s="427"/>
    </row>
    <row r="54" spans="5:5" ht="15.75" customHeight="1" x14ac:dyDescent="0.3">
      <c r="E54" s="427"/>
    </row>
    <row r="55" spans="5:5" ht="15.75" customHeight="1" x14ac:dyDescent="0.3">
      <c r="E55" s="427"/>
    </row>
    <row r="56" spans="5:5" ht="15.75" customHeight="1" x14ac:dyDescent="0.3">
      <c r="E56" s="427"/>
    </row>
    <row r="57" spans="5:5" ht="15.75" customHeight="1" x14ac:dyDescent="0.3">
      <c r="E57" s="427"/>
    </row>
    <row r="58" spans="5:5" ht="15.75" customHeight="1" x14ac:dyDescent="0.3">
      <c r="E58" s="427"/>
    </row>
    <row r="59" spans="5:5" ht="15.75" customHeight="1" x14ac:dyDescent="0.3">
      <c r="E59" s="427"/>
    </row>
    <row r="60" spans="5:5" ht="15.75" customHeight="1" x14ac:dyDescent="0.3">
      <c r="E60" s="427"/>
    </row>
    <row r="61" spans="5:5" ht="15.75" customHeight="1" x14ac:dyDescent="0.3">
      <c r="E61" s="427"/>
    </row>
    <row r="62" spans="5:5" ht="15.75" customHeight="1" x14ac:dyDescent="0.3">
      <c r="E62" s="427"/>
    </row>
    <row r="63" spans="5:5" ht="15.75" customHeight="1" x14ac:dyDescent="0.3">
      <c r="E63" s="427"/>
    </row>
    <row r="64" spans="5:5" ht="15.75" customHeight="1" x14ac:dyDescent="0.3">
      <c r="E64" s="427"/>
    </row>
    <row r="65" spans="5:5" ht="15.75" customHeight="1" x14ac:dyDescent="0.3">
      <c r="E65" s="427"/>
    </row>
    <row r="66" spans="5:5" ht="15.75" customHeight="1" x14ac:dyDescent="0.3">
      <c r="E66" s="427"/>
    </row>
    <row r="67" spans="5:5" ht="15.75" customHeight="1" x14ac:dyDescent="0.3">
      <c r="E67" s="427"/>
    </row>
    <row r="68" spans="5:5" ht="15.75" customHeight="1" x14ac:dyDescent="0.3">
      <c r="E68" s="427"/>
    </row>
    <row r="69" spans="5:5" ht="15.75" customHeight="1" x14ac:dyDescent="0.3">
      <c r="E69" s="427"/>
    </row>
    <row r="70" spans="5:5" ht="15.75" customHeight="1" x14ac:dyDescent="0.3">
      <c r="E70" s="427"/>
    </row>
    <row r="71" spans="5:5" ht="15.75" customHeight="1" x14ac:dyDescent="0.3">
      <c r="E71" s="427"/>
    </row>
    <row r="72" spans="5:5" ht="15.75" customHeight="1" x14ac:dyDescent="0.3">
      <c r="E72" s="427"/>
    </row>
    <row r="73" spans="5:5" ht="15.75" customHeight="1" x14ac:dyDescent="0.3">
      <c r="E73" s="427"/>
    </row>
    <row r="74" spans="5:5" ht="15.75" customHeight="1" x14ac:dyDescent="0.3">
      <c r="E74" s="427"/>
    </row>
    <row r="75" spans="5:5" ht="15.75" customHeight="1" x14ac:dyDescent="0.3">
      <c r="E75" s="427"/>
    </row>
    <row r="76" spans="5:5" ht="15.75" customHeight="1" x14ac:dyDescent="0.3">
      <c r="E76" s="427"/>
    </row>
    <row r="77" spans="5:5" ht="15.75" customHeight="1" x14ac:dyDescent="0.3">
      <c r="E77" s="427"/>
    </row>
    <row r="78" spans="5:5" ht="15.75" customHeight="1" x14ac:dyDescent="0.3">
      <c r="E78" s="427"/>
    </row>
    <row r="79" spans="5:5" ht="15.75" customHeight="1" x14ac:dyDescent="0.3">
      <c r="E79" s="427"/>
    </row>
    <row r="80" spans="5:5" ht="15.75" customHeight="1" x14ac:dyDescent="0.3">
      <c r="E80" s="427"/>
    </row>
    <row r="81" spans="5:5" ht="15.75" customHeight="1" x14ac:dyDescent="0.3">
      <c r="E81" s="427"/>
    </row>
    <row r="82" spans="5:5" ht="15.75" customHeight="1" x14ac:dyDescent="0.3">
      <c r="E82" s="427"/>
    </row>
    <row r="83" spans="5:5" ht="15.75" customHeight="1" x14ac:dyDescent="0.3">
      <c r="E83" s="427"/>
    </row>
    <row r="84" spans="5:5" ht="15.75" customHeight="1" x14ac:dyDescent="0.3">
      <c r="E84" s="427"/>
    </row>
    <row r="85" spans="5:5" ht="15.75" customHeight="1" x14ac:dyDescent="0.3">
      <c r="E85" s="427"/>
    </row>
    <row r="86" spans="5:5" ht="15.75" customHeight="1" x14ac:dyDescent="0.3">
      <c r="E86" s="427"/>
    </row>
    <row r="87" spans="5:5" ht="15.75" customHeight="1" x14ac:dyDescent="0.3">
      <c r="E87" s="427"/>
    </row>
    <row r="88" spans="5:5" ht="15.75" customHeight="1" x14ac:dyDescent="0.3">
      <c r="E88" s="427"/>
    </row>
    <row r="89" spans="5:5" ht="15.75" customHeight="1" x14ac:dyDescent="0.3">
      <c r="E89" s="427"/>
    </row>
    <row r="90" spans="5:5" ht="15.75" customHeight="1" x14ac:dyDescent="0.3">
      <c r="E90" s="427"/>
    </row>
    <row r="91" spans="5:5" ht="15.75" customHeight="1" x14ac:dyDescent="0.3">
      <c r="E91" s="427"/>
    </row>
    <row r="92" spans="5:5" ht="15.75" customHeight="1" x14ac:dyDescent="0.3">
      <c r="E92" s="427"/>
    </row>
    <row r="93" spans="5:5" ht="15.75" customHeight="1" x14ac:dyDescent="0.3">
      <c r="E93" s="427"/>
    </row>
    <row r="94" spans="5:5" ht="15.75" customHeight="1" x14ac:dyDescent="0.3">
      <c r="E94" s="427"/>
    </row>
    <row r="95" spans="5:5" ht="15.75" customHeight="1" x14ac:dyDescent="0.3">
      <c r="E95" s="427"/>
    </row>
    <row r="96" spans="5:5" ht="15.75" customHeight="1" x14ac:dyDescent="0.3">
      <c r="E96" s="427"/>
    </row>
    <row r="97" spans="5:5" ht="15.75" customHeight="1" x14ac:dyDescent="0.3">
      <c r="E97" s="427"/>
    </row>
    <row r="98" spans="5:5" ht="15.75" customHeight="1" x14ac:dyDescent="0.3">
      <c r="E98" s="427"/>
    </row>
    <row r="99" spans="5:5" ht="15.75" customHeight="1" x14ac:dyDescent="0.3">
      <c r="E99" s="427"/>
    </row>
    <row r="100" spans="5:5" ht="15.75" customHeight="1" x14ac:dyDescent="0.3">
      <c r="E100" s="427"/>
    </row>
    <row r="101" spans="5:5" ht="15.75" customHeight="1" x14ac:dyDescent="0.3">
      <c r="E101" s="427"/>
    </row>
    <row r="102" spans="5:5" ht="15.75" customHeight="1" x14ac:dyDescent="0.3">
      <c r="E102" s="427"/>
    </row>
    <row r="103" spans="5:5" ht="15.75" customHeight="1" x14ac:dyDescent="0.3">
      <c r="E103" s="427"/>
    </row>
    <row r="104" spans="5:5" ht="15.75" customHeight="1" x14ac:dyDescent="0.3">
      <c r="E104" s="427"/>
    </row>
    <row r="105" spans="5:5" ht="15.75" customHeight="1" x14ac:dyDescent="0.3">
      <c r="E105" s="427"/>
    </row>
    <row r="106" spans="5:5" ht="15.75" customHeight="1" x14ac:dyDescent="0.3">
      <c r="E106" s="427"/>
    </row>
    <row r="107" spans="5:5" ht="15.75" customHeight="1" x14ac:dyDescent="0.3">
      <c r="E107" s="427"/>
    </row>
    <row r="108" spans="5:5" ht="15.75" customHeight="1" x14ac:dyDescent="0.3">
      <c r="E108" s="427"/>
    </row>
    <row r="109" spans="5:5" ht="15.75" customHeight="1" x14ac:dyDescent="0.3">
      <c r="E109" s="427"/>
    </row>
    <row r="110" spans="5:5" ht="15.75" customHeight="1" x14ac:dyDescent="0.3">
      <c r="E110" s="427"/>
    </row>
    <row r="111" spans="5:5" ht="15.75" customHeight="1" x14ac:dyDescent="0.3">
      <c r="E111" s="427"/>
    </row>
    <row r="112" spans="5:5" ht="15.75" customHeight="1" x14ac:dyDescent="0.3">
      <c r="E112" s="427"/>
    </row>
    <row r="113" spans="5:5" ht="15.75" customHeight="1" x14ac:dyDescent="0.3">
      <c r="E113" s="427"/>
    </row>
    <row r="114" spans="5:5" ht="15.75" customHeight="1" x14ac:dyDescent="0.3">
      <c r="E114" s="427"/>
    </row>
    <row r="115" spans="5:5" ht="15.75" customHeight="1" x14ac:dyDescent="0.3">
      <c r="E115" s="427"/>
    </row>
    <row r="116" spans="5:5" ht="15.75" customHeight="1" x14ac:dyDescent="0.3">
      <c r="E116" s="427"/>
    </row>
    <row r="117" spans="5:5" ht="15.75" customHeight="1" x14ac:dyDescent="0.3">
      <c r="E117" s="427"/>
    </row>
    <row r="118" spans="5:5" ht="15.75" customHeight="1" x14ac:dyDescent="0.3">
      <c r="E118" s="427"/>
    </row>
    <row r="119" spans="5:5" ht="15.75" customHeight="1" x14ac:dyDescent="0.3">
      <c r="E119" s="427"/>
    </row>
    <row r="120" spans="5:5" ht="15.75" customHeight="1" x14ac:dyDescent="0.3">
      <c r="E120" s="427"/>
    </row>
    <row r="121" spans="5:5" ht="15.75" customHeight="1" x14ac:dyDescent="0.3">
      <c r="E121" s="427"/>
    </row>
    <row r="122" spans="5:5" ht="15.75" customHeight="1" x14ac:dyDescent="0.3">
      <c r="E122" s="427"/>
    </row>
    <row r="123" spans="5:5" ht="15.75" customHeight="1" x14ac:dyDescent="0.3">
      <c r="E123" s="427"/>
    </row>
    <row r="124" spans="5:5" ht="15.75" customHeight="1" x14ac:dyDescent="0.3">
      <c r="E124" s="427"/>
    </row>
    <row r="125" spans="5:5" ht="15.75" customHeight="1" x14ac:dyDescent="0.3">
      <c r="E125" s="427"/>
    </row>
    <row r="126" spans="5:5" ht="15.75" customHeight="1" x14ac:dyDescent="0.3">
      <c r="E126" s="427"/>
    </row>
    <row r="127" spans="5:5" ht="15.75" customHeight="1" x14ac:dyDescent="0.3">
      <c r="E127" s="427"/>
    </row>
    <row r="128" spans="5:5" ht="15.75" customHeight="1" x14ac:dyDescent="0.3">
      <c r="E128" s="427"/>
    </row>
    <row r="129" spans="5:5" ht="15.75" customHeight="1" x14ac:dyDescent="0.3">
      <c r="E129" s="427"/>
    </row>
    <row r="130" spans="5:5" ht="15.75" customHeight="1" x14ac:dyDescent="0.3">
      <c r="E130" s="427"/>
    </row>
    <row r="131" spans="5:5" ht="15.75" customHeight="1" x14ac:dyDescent="0.3">
      <c r="E131" s="427"/>
    </row>
    <row r="132" spans="5:5" ht="15.75" customHeight="1" x14ac:dyDescent="0.3">
      <c r="E132" s="427"/>
    </row>
    <row r="133" spans="5:5" ht="15.75" customHeight="1" x14ac:dyDescent="0.3">
      <c r="E133" s="427"/>
    </row>
    <row r="134" spans="5:5" ht="15.75" customHeight="1" x14ac:dyDescent="0.3">
      <c r="E134" s="427"/>
    </row>
    <row r="135" spans="5:5" ht="15.75" customHeight="1" x14ac:dyDescent="0.3">
      <c r="E135" s="427"/>
    </row>
    <row r="136" spans="5:5" ht="15.75" customHeight="1" x14ac:dyDescent="0.3">
      <c r="E136" s="427"/>
    </row>
    <row r="137" spans="5:5" ht="15.75" customHeight="1" x14ac:dyDescent="0.3">
      <c r="E137" s="427"/>
    </row>
    <row r="138" spans="5:5" ht="15.75" customHeight="1" x14ac:dyDescent="0.3">
      <c r="E138" s="427"/>
    </row>
    <row r="139" spans="5:5" ht="15.75" customHeight="1" x14ac:dyDescent="0.3">
      <c r="E139" s="427"/>
    </row>
    <row r="140" spans="5:5" ht="15.75" customHeight="1" x14ac:dyDescent="0.3">
      <c r="E140" s="427"/>
    </row>
    <row r="141" spans="5:5" ht="15.75" customHeight="1" x14ac:dyDescent="0.3">
      <c r="E141" s="427"/>
    </row>
    <row r="142" spans="5:5" ht="15.75" customHeight="1" x14ac:dyDescent="0.3">
      <c r="E142" s="427"/>
    </row>
    <row r="143" spans="5:5" ht="15.75" customHeight="1" x14ac:dyDescent="0.3">
      <c r="E143" s="427"/>
    </row>
    <row r="144" spans="5:5" ht="15.75" customHeight="1" x14ac:dyDescent="0.3">
      <c r="E144" s="427"/>
    </row>
    <row r="145" spans="5:5" ht="15.75" customHeight="1" x14ac:dyDescent="0.3">
      <c r="E145" s="427"/>
    </row>
    <row r="146" spans="5:5" ht="15.75" customHeight="1" x14ac:dyDescent="0.3">
      <c r="E146" s="427"/>
    </row>
    <row r="147" spans="5:5" ht="15.75" customHeight="1" x14ac:dyDescent="0.3">
      <c r="E147" s="427"/>
    </row>
    <row r="148" spans="5:5" ht="15.75" customHeight="1" x14ac:dyDescent="0.3">
      <c r="E148" s="427"/>
    </row>
    <row r="149" spans="5:5" ht="15.75" customHeight="1" x14ac:dyDescent="0.3">
      <c r="E149" s="427"/>
    </row>
    <row r="150" spans="5:5" ht="15.75" customHeight="1" x14ac:dyDescent="0.3">
      <c r="E150" s="427"/>
    </row>
    <row r="151" spans="5:5" ht="15.75" customHeight="1" x14ac:dyDescent="0.3">
      <c r="E151" s="427"/>
    </row>
    <row r="152" spans="5:5" ht="15.75" customHeight="1" x14ac:dyDescent="0.3">
      <c r="E152" s="427"/>
    </row>
    <row r="153" spans="5:5" ht="15.75" customHeight="1" x14ac:dyDescent="0.3">
      <c r="E153" s="427"/>
    </row>
    <row r="154" spans="5:5" ht="15.75" customHeight="1" x14ac:dyDescent="0.3">
      <c r="E154" s="427"/>
    </row>
    <row r="155" spans="5:5" ht="15.75" customHeight="1" x14ac:dyDescent="0.3">
      <c r="E155" s="427"/>
    </row>
    <row r="156" spans="5:5" ht="15.75" customHeight="1" x14ac:dyDescent="0.3">
      <c r="E156" s="427"/>
    </row>
    <row r="157" spans="5:5" ht="15.75" customHeight="1" x14ac:dyDescent="0.3">
      <c r="E157" s="427"/>
    </row>
    <row r="158" spans="5:5" ht="15.75" customHeight="1" x14ac:dyDescent="0.3">
      <c r="E158" s="427"/>
    </row>
    <row r="159" spans="5:5" ht="15.75" customHeight="1" x14ac:dyDescent="0.3">
      <c r="E159" s="427"/>
    </row>
    <row r="160" spans="5:5" ht="15.75" customHeight="1" x14ac:dyDescent="0.3">
      <c r="E160" s="427"/>
    </row>
    <row r="161" spans="5:5" ht="15.75" customHeight="1" x14ac:dyDescent="0.3">
      <c r="E161" s="427"/>
    </row>
    <row r="162" spans="5:5" ht="15.75" customHeight="1" x14ac:dyDescent="0.3">
      <c r="E162" s="427"/>
    </row>
    <row r="163" spans="5:5" ht="15.75" customHeight="1" x14ac:dyDescent="0.3">
      <c r="E163" s="427"/>
    </row>
    <row r="164" spans="5:5" ht="15.75" customHeight="1" x14ac:dyDescent="0.3">
      <c r="E164" s="427"/>
    </row>
    <row r="165" spans="5:5" ht="15.75" customHeight="1" x14ac:dyDescent="0.3">
      <c r="E165" s="427"/>
    </row>
    <row r="166" spans="5:5" ht="15.75" customHeight="1" x14ac:dyDescent="0.3">
      <c r="E166" s="427"/>
    </row>
    <row r="167" spans="5:5" ht="15.75" customHeight="1" x14ac:dyDescent="0.3">
      <c r="E167" s="427"/>
    </row>
    <row r="168" spans="5:5" ht="15.75" customHeight="1" x14ac:dyDescent="0.3">
      <c r="E168" s="427"/>
    </row>
    <row r="169" spans="5:5" ht="15.75" customHeight="1" x14ac:dyDescent="0.3">
      <c r="E169" s="427"/>
    </row>
    <row r="170" spans="5:5" ht="15.75" customHeight="1" x14ac:dyDescent="0.3">
      <c r="E170" s="427"/>
    </row>
    <row r="171" spans="5:5" ht="15.75" customHeight="1" x14ac:dyDescent="0.3">
      <c r="E171" s="427"/>
    </row>
    <row r="172" spans="5:5" ht="15.75" customHeight="1" x14ac:dyDescent="0.3">
      <c r="E172" s="427"/>
    </row>
    <row r="173" spans="5:5" ht="15.75" customHeight="1" x14ac:dyDescent="0.3">
      <c r="E173" s="427"/>
    </row>
    <row r="174" spans="5:5" ht="15.75" customHeight="1" x14ac:dyDescent="0.3">
      <c r="E174" s="427"/>
    </row>
    <row r="175" spans="5:5" ht="15.75" customHeight="1" x14ac:dyDescent="0.3">
      <c r="E175" s="427"/>
    </row>
    <row r="176" spans="5:5" ht="15.75" customHeight="1" x14ac:dyDescent="0.3">
      <c r="E176" s="427"/>
    </row>
    <row r="177" spans="5:5" ht="15.75" customHeight="1" x14ac:dyDescent="0.3">
      <c r="E177" s="427"/>
    </row>
    <row r="178" spans="5:5" ht="15.75" customHeight="1" x14ac:dyDescent="0.3">
      <c r="E178" s="427"/>
    </row>
    <row r="179" spans="5:5" ht="15.75" customHeight="1" x14ac:dyDescent="0.3">
      <c r="E179" s="427"/>
    </row>
    <row r="180" spans="5:5" ht="15.75" customHeight="1" x14ac:dyDescent="0.3">
      <c r="E180" s="427"/>
    </row>
    <row r="181" spans="5:5" ht="15.75" customHeight="1" x14ac:dyDescent="0.3">
      <c r="E181" s="427"/>
    </row>
    <row r="182" spans="5:5" ht="15.75" customHeight="1" x14ac:dyDescent="0.3">
      <c r="E182" s="427"/>
    </row>
    <row r="183" spans="5:5" ht="15.75" customHeight="1" x14ac:dyDescent="0.3">
      <c r="E183" s="427"/>
    </row>
    <row r="184" spans="5:5" ht="15.75" customHeight="1" x14ac:dyDescent="0.3">
      <c r="E184" s="427"/>
    </row>
    <row r="185" spans="5:5" ht="15.75" customHeight="1" x14ac:dyDescent="0.3">
      <c r="E185" s="427"/>
    </row>
    <row r="186" spans="5:5" ht="15.75" customHeight="1" x14ac:dyDescent="0.3">
      <c r="E186" s="427"/>
    </row>
    <row r="187" spans="5:5" ht="15.75" customHeight="1" x14ac:dyDescent="0.3">
      <c r="E187" s="427"/>
    </row>
    <row r="188" spans="5:5" ht="15.75" customHeight="1" x14ac:dyDescent="0.3">
      <c r="E188" s="427"/>
    </row>
    <row r="189" spans="5:5" ht="15.75" customHeight="1" x14ac:dyDescent="0.3">
      <c r="E189" s="427"/>
    </row>
    <row r="190" spans="5:5" ht="15.75" customHeight="1" x14ac:dyDescent="0.3">
      <c r="E190" s="427"/>
    </row>
    <row r="191" spans="5:5" ht="15.75" customHeight="1" x14ac:dyDescent="0.3">
      <c r="E191" s="427"/>
    </row>
    <row r="192" spans="5:5" ht="15.75" customHeight="1" x14ac:dyDescent="0.3">
      <c r="E192" s="427"/>
    </row>
    <row r="193" spans="5:5" ht="15.75" customHeight="1" x14ac:dyDescent="0.3">
      <c r="E193" s="427"/>
    </row>
    <row r="194" spans="5:5" ht="15.75" customHeight="1" x14ac:dyDescent="0.3">
      <c r="E194" s="427"/>
    </row>
    <row r="195" spans="5:5" ht="15.75" customHeight="1" x14ac:dyDescent="0.3">
      <c r="E195" s="427"/>
    </row>
    <row r="196" spans="5:5" ht="15.75" customHeight="1" x14ac:dyDescent="0.3">
      <c r="E196" s="427"/>
    </row>
    <row r="197" spans="5:5" ht="15.75" customHeight="1" x14ac:dyDescent="0.3">
      <c r="E197" s="427"/>
    </row>
    <row r="198" spans="5:5" ht="15.75" customHeight="1" x14ac:dyDescent="0.3">
      <c r="E198" s="427"/>
    </row>
    <row r="199" spans="5:5" ht="15.75" customHeight="1" x14ac:dyDescent="0.3">
      <c r="E199" s="427"/>
    </row>
    <row r="200" spans="5:5" ht="15.75" customHeight="1" x14ac:dyDescent="0.3">
      <c r="E200" s="427"/>
    </row>
    <row r="201" spans="5:5" ht="15.75" customHeight="1" x14ac:dyDescent="0.3">
      <c r="E201" s="427"/>
    </row>
    <row r="202" spans="5:5" ht="15.75" customHeight="1" x14ac:dyDescent="0.3">
      <c r="E202" s="427"/>
    </row>
    <row r="203" spans="5:5" ht="15.75" customHeight="1" x14ac:dyDescent="0.3">
      <c r="E203" s="427"/>
    </row>
    <row r="204" spans="5:5" ht="15.75" customHeight="1" x14ac:dyDescent="0.3">
      <c r="E204" s="427"/>
    </row>
    <row r="205" spans="5:5" ht="15.75" customHeight="1" x14ac:dyDescent="0.3">
      <c r="E205" s="427"/>
    </row>
    <row r="206" spans="5:5" ht="15.75" customHeight="1" x14ac:dyDescent="0.3">
      <c r="E206" s="427"/>
    </row>
    <row r="207" spans="5:5" ht="15.75" customHeight="1" x14ac:dyDescent="0.3">
      <c r="E207" s="427"/>
    </row>
    <row r="208" spans="5:5" ht="15.75" customHeight="1" x14ac:dyDescent="0.3">
      <c r="E208" s="427"/>
    </row>
    <row r="209" spans="5:5" ht="15.75" customHeight="1" x14ac:dyDescent="0.3">
      <c r="E209" s="427"/>
    </row>
    <row r="210" spans="5:5" ht="15.75" customHeight="1" x14ac:dyDescent="0.3">
      <c r="E210" s="427"/>
    </row>
    <row r="211" spans="5:5" ht="15.75" customHeight="1" x14ac:dyDescent="0.3">
      <c r="E211" s="427"/>
    </row>
    <row r="212" spans="5:5" ht="15.75" customHeight="1" x14ac:dyDescent="0.3">
      <c r="E212" s="427"/>
    </row>
    <row r="213" spans="5:5" ht="15.75" customHeight="1" x14ac:dyDescent="0.3">
      <c r="E213" s="427"/>
    </row>
    <row r="214" spans="5:5" ht="15.75" customHeight="1" x14ac:dyDescent="0.3">
      <c r="E214" s="427"/>
    </row>
    <row r="215" spans="5:5" ht="15.75" customHeight="1" x14ac:dyDescent="0.3">
      <c r="E215" s="427"/>
    </row>
    <row r="216" spans="5:5" ht="15.75" customHeight="1" x14ac:dyDescent="0.3">
      <c r="E216" s="427"/>
    </row>
    <row r="217" spans="5:5" ht="15.75" customHeight="1" x14ac:dyDescent="0.3">
      <c r="E217" s="427"/>
    </row>
    <row r="218" spans="5:5" ht="15.75" customHeight="1" x14ac:dyDescent="0.3">
      <c r="E218" s="427"/>
    </row>
    <row r="219" spans="5:5" ht="15.75" customHeight="1" x14ac:dyDescent="0.3">
      <c r="E219" s="427"/>
    </row>
    <row r="220" spans="5:5" ht="15.75" customHeight="1" x14ac:dyDescent="0.3">
      <c r="E220" s="427"/>
    </row>
    <row r="221" spans="5:5" ht="15.75" customHeight="1" x14ac:dyDescent="0.3">
      <c r="E221" s="427"/>
    </row>
    <row r="222" spans="5:5" ht="15.75" customHeight="1" x14ac:dyDescent="0.3">
      <c r="E222" s="427"/>
    </row>
    <row r="223" spans="5:5" ht="15.75" customHeight="1" x14ac:dyDescent="0.3">
      <c r="E223" s="427"/>
    </row>
    <row r="224" spans="5:5" ht="15.75" customHeight="1" x14ac:dyDescent="0.3">
      <c r="E224" s="427"/>
    </row>
    <row r="225" spans="5:5" ht="15.75" customHeight="1" x14ac:dyDescent="0.3">
      <c r="E225" s="427"/>
    </row>
    <row r="226" spans="5:5" ht="15.75" customHeight="1" x14ac:dyDescent="0.3">
      <c r="E226" s="427"/>
    </row>
    <row r="227" spans="5:5" ht="15.75" customHeight="1" x14ac:dyDescent="0.3">
      <c r="E227" s="427"/>
    </row>
    <row r="228" spans="5:5" ht="15.75" customHeight="1" x14ac:dyDescent="0.3">
      <c r="E228" s="427"/>
    </row>
    <row r="229" spans="5:5" ht="15.75" customHeight="1" x14ac:dyDescent="0.3">
      <c r="E229" s="427"/>
    </row>
    <row r="230" spans="5:5" ht="15.75" customHeight="1" x14ac:dyDescent="0.3">
      <c r="E230" s="427"/>
    </row>
    <row r="231" spans="5:5" ht="15.75" customHeight="1" x14ac:dyDescent="0.3">
      <c r="E231" s="427"/>
    </row>
    <row r="232" spans="5:5" ht="15.75" customHeight="1" x14ac:dyDescent="0.3">
      <c r="E232" s="427"/>
    </row>
    <row r="233" spans="5:5" ht="15.75" customHeight="1" x14ac:dyDescent="0.3">
      <c r="E233" s="427"/>
    </row>
    <row r="234" spans="5:5" ht="15.75" customHeight="1" x14ac:dyDescent="0.3">
      <c r="E234" s="427"/>
    </row>
    <row r="235" spans="5:5" ht="15.75" customHeight="1" x14ac:dyDescent="0.3">
      <c r="E235" s="427"/>
    </row>
    <row r="236" spans="5:5" ht="15.75" customHeight="1" x14ac:dyDescent="0.3">
      <c r="E236" s="427"/>
    </row>
    <row r="237" spans="5:5" ht="15.75" customHeight="1" x14ac:dyDescent="0.3">
      <c r="E237" s="427"/>
    </row>
    <row r="238" spans="5:5" ht="15.75" customHeight="1" x14ac:dyDescent="0.3">
      <c r="E238" s="427"/>
    </row>
    <row r="239" spans="5:5" ht="15.75" customHeight="1" x14ac:dyDescent="0.3">
      <c r="E239" s="427"/>
    </row>
    <row r="240" spans="5:5" ht="15.75" customHeight="1" x14ac:dyDescent="0.3">
      <c r="E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C7:D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CEE0-FA0E-4409-969B-D8BFE0E6C09B}">
  <dimension ref="A1:Z884"/>
  <sheetViews>
    <sheetView workbookViewId="0">
      <selection activeCell="I10" sqref="I10"/>
    </sheetView>
  </sheetViews>
  <sheetFormatPr defaultColWidth="12.44140625" defaultRowHeight="15" customHeight="1" x14ac:dyDescent="0.3"/>
  <cols>
    <col min="1" max="1" width="2.6640625" style="428" customWidth="1"/>
    <col min="2" max="2" width="5.109375" style="428" customWidth="1"/>
    <col min="3" max="3" width="33.6640625" style="428" customWidth="1"/>
    <col min="4" max="4" width="34" style="428" customWidth="1"/>
    <col min="5" max="5" width="8.88671875" style="428" customWidth="1"/>
    <col min="6" max="6" width="32.44140625" style="428" customWidth="1"/>
    <col min="7" max="7" width="12.77734375" style="428" customWidth="1"/>
    <col min="8" max="8" width="7.5546875" style="428" customWidth="1"/>
    <col min="9" max="9" width="11.886718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26" ht="23.25" customHeight="1" x14ac:dyDescent="0.35">
      <c r="A1" s="513"/>
      <c r="B1" s="514" t="s">
        <v>769</v>
      </c>
    </row>
    <row r="2" spans="1:26"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26" ht="15.75" customHeight="1" x14ac:dyDescent="0.3">
      <c r="B3" s="516"/>
    </row>
    <row r="4" spans="1:26" ht="21" customHeight="1" x14ac:dyDescent="0.3">
      <c r="B4" s="519" t="s">
        <v>409</v>
      </c>
    </row>
    <row r="5" spans="1:26" ht="9" customHeight="1" x14ac:dyDescent="0.3">
      <c r="B5" s="519"/>
    </row>
    <row r="6" spans="1:26" ht="21" customHeight="1" x14ac:dyDescent="0.3">
      <c r="B6" s="517" t="s">
        <v>410</v>
      </c>
      <c r="C6" s="518"/>
      <c r="D6" s="518"/>
    </row>
    <row r="7" spans="1:26" ht="12" customHeight="1" x14ac:dyDescent="0.3"/>
    <row r="8" spans="1:26" ht="15.75" customHeight="1" x14ac:dyDescent="0.3">
      <c r="B8" s="1297" t="s">
        <v>301</v>
      </c>
      <c r="C8" s="1298" t="s">
        <v>343</v>
      </c>
      <c r="D8" s="1299" t="s">
        <v>344</v>
      </c>
      <c r="E8" s="1299" t="s">
        <v>345</v>
      </c>
      <c r="F8" s="1299" t="s">
        <v>346</v>
      </c>
      <c r="G8" s="1300" t="s">
        <v>347</v>
      </c>
      <c r="H8" s="525">
        <v>2025</v>
      </c>
      <c r="I8" s="525">
        <v>2024</v>
      </c>
      <c r="J8" s="525">
        <v>2023</v>
      </c>
      <c r="K8" s="525">
        <v>2022</v>
      </c>
      <c r="L8" s="525">
        <v>2021</v>
      </c>
      <c r="M8" s="525">
        <v>2020</v>
      </c>
      <c r="N8" s="525">
        <v>2019</v>
      </c>
      <c r="O8" s="526">
        <v>2018</v>
      </c>
      <c r="P8" s="526">
        <v>2017</v>
      </c>
      <c r="Q8" s="526">
        <v>2016</v>
      </c>
      <c r="R8" s="526">
        <v>2015</v>
      </c>
      <c r="S8" s="526">
        <v>2014</v>
      </c>
      <c r="T8" s="526">
        <v>2013</v>
      </c>
      <c r="U8" s="526">
        <v>2012</v>
      </c>
      <c r="V8" s="526">
        <v>2011</v>
      </c>
      <c r="W8" s="526">
        <v>2010</v>
      </c>
      <c r="X8" s="526">
        <v>2009</v>
      </c>
      <c r="Y8" s="526">
        <v>2008</v>
      </c>
      <c r="Z8" s="527" t="s">
        <v>332</v>
      </c>
    </row>
    <row r="9" spans="1:26" ht="24" customHeight="1" x14ac:dyDescent="0.3">
      <c r="B9" s="1301">
        <v>1</v>
      </c>
      <c r="C9" s="1302" t="s">
        <v>768</v>
      </c>
      <c r="D9" s="1303" t="s">
        <v>764</v>
      </c>
      <c r="E9" s="1304" t="s">
        <v>363</v>
      </c>
      <c r="F9" s="1303"/>
      <c r="G9" s="1305">
        <v>2009</v>
      </c>
      <c r="H9" s="635"/>
      <c r="I9" s="1306">
        <f>280.09*I13</f>
        <v>198.86389999999997</v>
      </c>
      <c r="J9" s="4169">
        <v>285.66000000000003</v>
      </c>
      <c r="K9" s="4169">
        <v>294.35000000000002</v>
      </c>
      <c r="L9" s="4169">
        <v>284.38</v>
      </c>
      <c r="M9" s="4169">
        <v>318.44</v>
      </c>
      <c r="N9" s="4169">
        <v>244.8</v>
      </c>
      <c r="O9" s="4169">
        <v>218.2</v>
      </c>
      <c r="P9" s="4169">
        <v>221.38</v>
      </c>
      <c r="Q9" s="4169">
        <v>198.16</v>
      </c>
      <c r="R9" s="4169">
        <v>204.82</v>
      </c>
      <c r="S9" s="4169">
        <v>178.33</v>
      </c>
      <c r="T9" s="4169">
        <v>176.28</v>
      </c>
      <c r="U9" s="4189">
        <v>180.06</v>
      </c>
      <c r="V9" s="4169">
        <v>198.71</v>
      </c>
      <c r="W9" s="4189">
        <v>185.17</v>
      </c>
      <c r="X9" s="1307"/>
      <c r="Y9" s="542"/>
      <c r="Z9" s="535"/>
    </row>
    <row r="10" spans="1:26" ht="24" customHeight="1" x14ac:dyDescent="0.3">
      <c r="B10" s="1301">
        <v>2</v>
      </c>
      <c r="C10" s="1308" t="s">
        <v>768</v>
      </c>
      <c r="D10" s="1308" t="s">
        <v>765</v>
      </c>
      <c r="E10" s="1309" t="s">
        <v>363</v>
      </c>
      <c r="F10" s="1308"/>
      <c r="G10" s="1310">
        <v>2015</v>
      </c>
      <c r="H10" s="638"/>
      <c r="I10" s="1311">
        <v>136.29</v>
      </c>
      <c r="J10" s="4190">
        <v>144.15</v>
      </c>
      <c r="K10" s="4190">
        <v>151.84</v>
      </c>
      <c r="L10" s="4190">
        <v>154.11000000000001</v>
      </c>
      <c r="M10" s="4190">
        <v>151.76</v>
      </c>
      <c r="N10" s="4190">
        <v>147.99</v>
      </c>
      <c r="O10" s="4190">
        <v>165.3</v>
      </c>
      <c r="P10" s="4190">
        <v>142.32</v>
      </c>
      <c r="Q10" s="4190">
        <v>38.82</v>
      </c>
      <c r="R10" s="4190"/>
      <c r="S10" s="4190"/>
      <c r="T10" s="4190"/>
      <c r="U10" s="4191"/>
      <c r="V10" s="4190"/>
      <c r="W10" s="4191"/>
      <c r="X10" s="1312"/>
      <c r="Y10" s="548"/>
      <c r="Z10" s="544"/>
    </row>
    <row r="11" spans="1:26" ht="24" customHeight="1" x14ac:dyDescent="0.3">
      <c r="B11" s="529"/>
      <c r="C11" s="531"/>
      <c r="D11" s="531"/>
      <c r="E11" s="532"/>
      <c r="F11" s="531"/>
      <c r="G11" s="639"/>
      <c r="H11" s="640"/>
      <c r="I11" s="640"/>
      <c r="J11" s="631"/>
      <c r="K11" s="631"/>
      <c r="L11" s="631"/>
      <c r="M11" s="631"/>
      <c r="N11" s="631"/>
      <c r="O11" s="631"/>
      <c r="P11" s="631"/>
      <c r="Q11" s="631"/>
      <c r="R11" s="631"/>
      <c r="S11" s="631"/>
      <c r="T11" s="631"/>
      <c r="U11" s="4192"/>
      <c r="V11" s="631"/>
      <c r="W11" s="4192"/>
      <c r="X11" s="550"/>
      <c r="Y11" s="542"/>
      <c r="Z11" s="550"/>
    </row>
    <row r="12" spans="1:26" ht="24" customHeight="1" x14ac:dyDescent="0.3">
      <c r="B12" s="529"/>
      <c r="C12" s="453"/>
      <c r="D12" s="453"/>
      <c r="E12" s="543"/>
      <c r="F12" s="453"/>
      <c r="G12" s="479"/>
      <c r="H12" s="638"/>
      <c r="I12" s="638"/>
      <c r="J12" s="630"/>
      <c r="K12" s="630"/>
      <c r="L12" s="630"/>
      <c r="M12" s="630"/>
      <c r="N12" s="630"/>
      <c r="O12" s="630"/>
      <c r="P12" s="630"/>
      <c r="Q12" s="630"/>
      <c r="R12" s="630"/>
      <c r="S12" s="630"/>
      <c r="T12" s="630"/>
      <c r="U12" s="4193"/>
      <c r="V12" s="630"/>
      <c r="W12" s="4193"/>
      <c r="X12" s="544"/>
      <c r="Y12" s="548"/>
      <c r="Z12" s="544"/>
    </row>
    <row r="13" spans="1:26" ht="24" customHeight="1" x14ac:dyDescent="0.3">
      <c r="B13" s="529"/>
      <c r="C13" s="531" t="s">
        <v>451</v>
      </c>
      <c r="D13" s="531" t="s">
        <v>452</v>
      </c>
      <c r="E13" s="532" t="s">
        <v>453</v>
      </c>
      <c r="F13" s="531" t="s">
        <v>454</v>
      </c>
      <c r="G13" s="641"/>
      <c r="H13" s="640"/>
      <c r="I13" s="642">
        <v>0.71</v>
      </c>
      <c r="J13" s="4194">
        <v>0.71</v>
      </c>
      <c r="K13" s="4194">
        <v>0.71</v>
      </c>
      <c r="L13" s="4194">
        <v>0.71</v>
      </c>
      <c r="M13" s="4194">
        <v>0.71</v>
      </c>
      <c r="N13" s="4194">
        <v>0.71</v>
      </c>
      <c r="O13" s="4194">
        <v>0.71</v>
      </c>
      <c r="P13" s="4194">
        <v>0.79</v>
      </c>
      <c r="Q13" s="4194">
        <v>0.79</v>
      </c>
      <c r="R13" s="4194">
        <v>0.79</v>
      </c>
      <c r="S13" s="4195"/>
      <c r="T13" s="4195"/>
      <c r="U13" s="4196"/>
      <c r="V13" s="4195"/>
      <c r="W13" s="4196"/>
      <c r="X13" s="643"/>
      <c r="Y13" s="644"/>
      <c r="Z13" s="550"/>
    </row>
    <row r="14" spans="1:26" ht="24" customHeight="1" x14ac:dyDescent="0.3">
      <c r="B14" s="552"/>
      <c r="C14" s="462"/>
      <c r="D14" s="462"/>
      <c r="E14" s="553"/>
      <c r="F14" s="462"/>
      <c r="G14" s="645"/>
      <c r="H14" s="646"/>
      <c r="I14" s="646"/>
      <c r="J14" s="556"/>
      <c r="K14" s="556"/>
      <c r="L14" s="556"/>
      <c r="M14" s="556"/>
      <c r="N14" s="556"/>
      <c r="O14" s="556"/>
      <c r="P14" s="556"/>
      <c r="Q14" s="556"/>
      <c r="R14" s="556"/>
      <c r="S14" s="556"/>
      <c r="T14" s="556"/>
      <c r="U14" s="557"/>
      <c r="V14" s="556"/>
      <c r="W14" s="557"/>
      <c r="X14" s="556"/>
      <c r="Y14" s="557"/>
      <c r="Z14" s="556"/>
    </row>
    <row r="15" spans="1:26" ht="15.75" customHeight="1" x14ac:dyDescent="0.3"/>
    <row r="16" spans="1:26" ht="15.75" customHeight="1" x14ac:dyDescent="0.3">
      <c r="B16" s="560" t="s">
        <v>355</v>
      </c>
      <c r="C16" s="561" t="s">
        <v>356</v>
      </c>
    </row>
    <row r="17" spans="2:3" ht="15.75" customHeight="1" x14ac:dyDescent="0.3"/>
    <row r="18" spans="2:3" ht="15.75" customHeight="1" x14ac:dyDescent="0.3">
      <c r="B18" s="4383" t="s">
        <v>357</v>
      </c>
      <c r="C18" s="4384"/>
    </row>
    <row r="19" spans="2:3" ht="15.75" customHeight="1" x14ac:dyDescent="0.3">
      <c r="B19" s="562" t="s">
        <v>301</v>
      </c>
    </row>
    <row r="20" spans="2:3" ht="15.75" customHeight="1" x14ac:dyDescent="0.3">
      <c r="B20" s="562" t="s">
        <v>301</v>
      </c>
    </row>
    <row r="21" spans="2:3" ht="15.75" customHeight="1" x14ac:dyDescent="0.3"/>
    <row r="22" spans="2:3" ht="15.75" customHeight="1" x14ac:dyDescent="0.3"/>
    <row r="23" spans="2:3" ht="15.75" customHeight="1" x14ac:dyDescent="0.3"/>
    <row r="24" spans="2:3" ht="15.75" customHeight="1" x14ac:dyDescent="0.3"/>
    <row r="25" spans="2:3" ht="15.75" customHeight="1" x14ac:dyDescent="0.3"/>
    <row r="26" spans="2:3" ht="15.75" customHeight="1" x14ac:dyDescent="0.3"/>
    <row r="27" spans="2:3" ht="15.75" customHeight="1" x14ac:dyDescent="0.3"/>
    <row r="28" spans="2:3" ht="15.75" customHeight="1" x14ac:dyDescent="0.3"/>
    <row r="29" spans="2:3" ht="15.75" customHeight="1" x14ac:dyDescent="0.3"/>
    <row r="30" spans="2:3" ht="15.75" customHeight="1" x14ac:dyDescent="0.3"/>
    <row r="31" spans="2:3" ht="15.75" customHeight="1" x14ac:dyDescent="0.3"/>
    <row r="32" spans="2: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sheetData>
  <mergeCells count="1">
    <mergeCell ref="B18:C18"/>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BE88-1B6C-4100-8C86-6D597F4E9998}">
  <dimension ref="A1:Q996"/>
  <sheetViews>
    <sheetView topLeftCell="A19" workbookViewId="0">
      <selection activeCell="C39" sqref="C39"/>
    </sheetView>
  </sheetViews>
  <sheetFormatPr defaultColWidth="12.44140625" defaultRowHeight="15" customHeight="1" x14ac:dyDescent="0.3"/>
  <cols>
    <col min="1" max="1" width="2.6640625" style="428" customWidth="1"/>
    <col min="2" max="2" width="35.109375" style="428" customWidth="1"/>
    <col min="3" max="3" width="19.5546875" style="428" customWidth="1"/>
    <col min="4" max="6" width="16.33203125" style="428" hidden="1" customWidth="1"/>
    <col min="7" max="7" width="1.5546875" style="428" customWidth="1"/>
    <col min="8" max="8" width="14.6640625" style="428" customWidth="1"/>
    <col min="9" max="9" width="7.33203125" style="428" customWidth="1"/>
    <col min="10" max="10" width="34" style="428" hidden="1" customWidth="1"/>
    <col min="11" max="14" width="16" style="428" hidden="1" customWidth="1"/>
    <col min="15" max="15" width="1.5546875" style="428" hidden="1" customWidth="1"/>
    <col min="16" max="16" width="15.21875" style="428" hidden="1" customWidth="1"/>
    <col min="17" max="17" width="11.6640625" style="428" customWidth="1"/>
    <col min="18" max="16384" width="12.44140625" style="428"/>
  </cols>
  <sheetData>
    <row r="1" spans="1:17" ht="21.75" customHeight="1" x14ac:dyDescent="0.35">
      <c r="A1" s="424"/>
      <c r="B1" s="425" t="s">
        <v>549</v>
      </c>
      <c r="C1" s="426"/>
      <c r="G1" s="427"/>
      <c r="I1" s="427"/>
      <c r="O1" s="427"/>
    </row>
    <row r="2" spans="1:17" ht="15.75" customHeight="1" x14ac:dyDescent="0.3">
      <c r="A2" s="424"/>
      <c r="B2" s="429" t="s">
        <v>299</v>
      </c>
      <c r="C2" s="430"/>
      <c r="D2" s="430"/>
      <c r="E2" s="430"/>
      <c r="F2" s="430"/>
      <c r="G2" s="430"/>
      <c r="H2" s="430"/>
      <c r="I2" s="430"/>
      <c r="J2" s="430"/>
      <c r="K2" s="430"/>
      <c r="L2" s="430"/>
      <c r="M2" s="430"/>
      <c r="N2" s="430"/>
      <c r="O2" s="430"/>
      <c r="P2" s="430"/>
    </row>
    <row r="3" spans="1:17" ht="9.75" customHeight="1" x14ac:dyDescent="0.3">
      <c r="A3" s="427"/>
      <c r="B3" s="431"/>
      <c r="G3" s="427"/>
      <c r="I3" s="427"/>
      <c r="O3" s="427"/>
    </row>
    <row r="4" spans="1:17" ht="6" customHeight="1" x14ac:dyDescent="0.3">
      <c r="B4" s="427"/>
      <c r="G4" s="427"/>
      <c r="I4" s="427"/>
      <c r="O4" s="427"/>
    </row>
    <row r="5" spans="1:17" ht="6" customHeight="1" x14ac:dyDescent="0.3">
      <c r="A5" s="431"/>
      <c r="G5" s="427"/>
      <c r="I5" s="427"/>
      <c r="O5" s="427"/>
    </row>
    <row r="6" spans="1:17" ht="15.75" customHeight="1" x14ac:dyDescent="0.3">
      <c r="C6" s="428">
        <v>1000000</v>
      </c>
      <c r="G6" s="427"/>
      <c r="H6" s="427"/>
      <c r="I6" s="427"/>
      <c r="O6" s="427"/>
    </row>
    <row r="7" spans="1:17" ht="37.200000000000003" customHeight="1" x14ac:dyDescent="0.3">
      <c r="A7" s="432"/>
      <c r="B7" s="433">
        <v>2024</v>
      </c>
      <c r="C7" s="4385" t="s">
        <v>22</v>
      </c>
      <c r="D7" s="4386"/>
      <c r="E7" s="4386"/>
      <c r="F7" s="4386"/>
      <c r="G7" s="1980"/>
      <c r="H7" s="435" t="s">
        <v>300</v>
      </c>
      <c r="I7" s="432"/>
      <c r="J7" s="433">
        <v>2024</v>
      </c>
      <c r="K7" s="4385" t="s">
        <v>23</v>
      </c>
      <c r="L7" s="4386"/>
      <c r="M7" s="4386"/>
      <c r="N7" s="4386"/>
      <c r="O7" s="609"/>
      <c r="P7" s="435" t="s">
        <v>300</v>
      </c>
      <c r="Q7" s="432"/>
    </row>
    <row r="8" spans="1:17" ht="18" customHeight="1" x14ac:dyDescent="0.35">
      <c r="B8" s="436" t="s">
        <v>301</v>
      </c>
      <c r="C8" s="648">
        <v>1</v>
      </c>
      <c r="D8" s="572">
        <v>2</v>
      </c>
      <c r="E8" s="649">
        <v>3</v>
      </c>
      <c r="F8" s="648">
        <v>4</v>
      </c>
      <c r="G8" s="2944"/>
      <c r="H8" s="438"/>
      <c r="I8" s="427"/>
      <c r="J8" s="436" t="s">
        <v>301</v>
      </c>
      <c r="K8" s="648">
        <v>1</v>
      </c>
      <c r="L8" s="572">
        <v>2</v>
      </c>
      <c r="M8" s="649">
        <v>3</v>
      </c>
      <c r="N8" s="572">
        <v>4</v>
      </c>
      <c r="O8" s="610"/>
      <c r="P8" s="438"/>
    </row>
    <row r="9" spans="1:17" ht="46.5" customHeight="1" x14ac:dyDescent="0.3">
      <c r="B9" s="439" t="s">
        <v>302</v>
      </c>
      <c r="C9" s="573" t="s">
        <v>1553</v>
      </c>
      <c r="D9" s="573" t="s">
        <v>2356</v>
      </c>
      <c r="E9" s="573" t="s">
        <v>2356</v>
      </c>
      <c r="F9" s="573" t="s">
        <v>2356</v>
      </c>
      <c r="G9" s="574"/>
      <c r="H9" s="442"/>
      <c r="I9" s="443"/>
      <c r="J9" s="439" t="s">
        <v>302</v>
      </c>
      <c r="K9" s="573" t="s">
        <v>2356</v>
      </c>
      <c r="L9" s="573" t="s">
        <v>2356</v>
      </c>
      <c r="M9" s="573" t="s">
        <v>2356</v>
      </c>
      <c r="N9" s="573" t="s">
        <v>2356</v>
      </c>
      <c r="O9" s="611"/>
      <c r="P9" s="442"/>
    </row>
    <row r="10" spans="1:17" ht="46.5" customHeight="1" x14ac:dyDescent="0.3">
      <c r="B10" s="444" t="s">
        <v>304</v>
      </c>
      <c r="C10" s="445" t="s">
        <v>1554</v>
      </c>
      <c r="D10" s="445" t="s">
        <v>2357</v>
      </c>
      <c r="E10" s="445" t="s">
        <v>2357</v>
      </c>
      <c r="F10" s="445" t="s">
        <v>2357</v>
      </c>
      <c r="G10" s="574"/>
      <c r="H10" s="446"/>
      <c r="I10" s="443"/>
      <c r="J10" s="444" t="s">
        <v>304</v>
      </c>
      <c r="K10" s="445" t="s">
        <v>2357</v>
      </c>
      <c r="L10" s="445" t="s">
        <v>2357</v>
      </c>
      <c r="M10" s="445" t="s">
        <v>2357</v>
      </c>
      <c r="N10" s="445" t="s">
        <v>2357</v>
      </c>
      <c r="O10" s="612"/>
      <c r="P10" s="446"/>
    </row>
    <row r="11" spans="1:17" ht="18.75" customHeight="1" x14ac:dyDescent="0.3">
      <c r="A11" s="447"/>
      <c r="B11" s="448" t="s">
        <v>306</v>
      </c>
      <c r="C11" s="575">
        <f>(C17*C18)+(C22*C23)</f>
        <v>80.528291065000005</v>
      </c>
      <c r="D11" s="575">
        <f>(D17*D18)+(D22*D23)</f>
        <v>0</v>
      </c>
      <c r="E11" s="575">
        <f>(E17*E18)+(E22*E23)</f>
        <v>0</v>
      </c>
      <c r="F11" s="575">
        <f>(F17*F18)+(F22*F23)</f>
        <v>0</v>
      </c>
      <c r="G11" s="576"/>
      <c r="H11" s="451">
        <f t="shared" ref="H11:H12" si="0">SUM(C11:F11)</f>
        <v>80.528291065000005</v>
      </c>
      <c r="I11" s="452"/>
      <c r="J11" s="448" t="s">
        <v>306</v>
      </c>
      <c r="K11" s="1089">
        <f>(K17*K18)+(K22*K23)</f>
        <v>0</v>
      </c>
      <c r="L11" s="613">
        <f>(L17*L18)+(L22*L23)</f>
        <v>0</v>
      </c>
      <c r="M11" s="613">
        <f>(M17*M18)+(M22*M23)</f>
        <v>0</v>
      </c>
      <c r="N11" s="613">
        <f>(N17*N18)+(N22*N23)</f>
        <v>0</v>
      </c>
      <c r="O11" s="614"/>
      <c r="P11" s="451">
        <f t="shared" ref="P11:P12" si="1">SUM(K11:N11)</f>
        <v>0</v>
      </c>
      <c r="Q11" s="447"/>
    </row>
    <row r="12" spans="1:17" ht="18.75" customHeight="1" x14ac:dyDescent="0.3">
      <c r="A12" s="447"/>
      <c r="B12" s="453" t="s">
        <v>307</v>
      </c>
      <c r="C12" s="577">
        <f t="shared" ref="C12:F12" si="2">(C27*C28)+(C32*C33)</f>
        <v>0.26343539999999999</v>
      </c>
      <c r="D12" s="652">
        <f t="shared" si="2"/>
        <v>0</v>
      </c>
      <c r="E12" s="653">
        <f t="shared" si="2"/>
        <v>0</v>
      </c>
      <c r="F12" s="577">
        <f t="shared" si="2"/>
        <v>0</v>
      </c>
      <c r="G12" s="455"/>
      <c r="H12" s="456">
        <f t="shared" si="0"/>
        <v>0.26343539999999999</v>
      </c>
      <c r="I12" s="457"/>
      <c r="J12" s="453" t="s">
        <v>307</v>
      </c>
      <c r="K12" s="577">
        <f t="shared" ref="K12:N12" si="3">(K27*K28)+(K32*K33)</f>
        <v>0</v>
      </c>
      <c r="L12" s="577">
        <f t="shared" si="3"/>
        <v>0</v>
      </c>
      <c r="M12" s="577">
        <f t="shared" si="3"/>
        <v>0</v>
      </c>
      <c r="N12" s="577">
        <f t="shared" si="3"/>
        <v>0</v>
      </c>
      <c r="O12" s="614"/>
      <c r="P12" s="456">
        <f t="shared" si="1"/>
        <v>0</v>
      </c>
      <c r="Q12" s="447"/>
    </row>
    <row r="13" spans="1:17" ht="18.75" customHeight="1" x14ac:dyDescent="0.3">
      <c r="A13" s="447"/>
      <c r="B13" s="448" t="s">
        <v>308</v>
      </c>
      <c r="C13" s="654" t="s">
        <v>8</v>
      </c>
      <c r="D13" s="578" t="s">
        <v>8</v>
      </c>
      <c r="E13" s="654" t="s">
        <v>8</v>
      </c>
      <c r="F13" s="2963" t="s">
        <v>8</v>
      </c>
      <c r="G13" s="2964"/>
      <c r="H13" s="460"/>
      <c r="I13" s="461"/>
      <c r="J13" s="448" t="s">
        <v>308</v>
      </c>
      <c r="K13" s="654" t="s">
        <v>8</v>
      </c>
      <c r="L13" s="578" t="s">
        <v>8</v>
      </c>
      <c r="M13" s="654" t="s">
        <v>8</v>
      </c>
      <c r="N13" s="578" t="s">
        <v>8</v>
      </c>
      <c r="O13" s="615"/>
      <c r="P13" s="460"/>
      <c r="Q13" s="447"/>
    </row>
    <row r="14" spans="1:17" ht="18.75" customHeight="1" x14ac:dyDescent="0.3">
      <c r="A14" s="447"/>
      <c r="B14" s="462" t="s">
        <v>309</v>
      </c>
      <c r="C14" s="463">
        <f t="shared" ref="C14:F14" si="4">C11-C12</f>
        <v>80.264855664999999</v>
      </c>
      <c r="D14" s="2024">
        <f t="shared" si="4"/>
        <v>0</v>
      </c>
      <c r="E14" s="655">
        <f t="shared" si="4"/>
        <v>0</v>
      </c>
      <c r="F14" s="579">
        <f t="shared" si="4"/>
        <v>0</v>
      </c>
      <c r="G14" s="455"/>
      <c r="H14" s="464">
        <f>SUM(C14:F14)</f>
        <v>80.264855664999999</v>
      </c>
      <c r="I14" s="457"/>
      <c r="J14" s="462" t="s">
        <v>309</v>
      </c>
      <c r="K14" s="655">
        <f t="shared" ref="K14:N14" si="5">K11-K12</f>
        <v>0</v>
      </c>
      <c r="L14" s="579">
        <f t="shared" si="5"/>
        <v>0</v>
      </c>
      <c r="M14" s="655">
        <f t="shared" si="5"/>
        <v>0</v>
      </c>
      <c r="N14" s="579">
        <f t="shared" si="5"/>
        <v>0</v>
      </c>
      <c r="O14" s="614"/>
      <c r="P14" s="464">
        <f>SUM(K14:N14)</f>
        <v>0</v>
      </c>
      <c r="Q14" s="447"/>
    </row>
    <row r="15" spans="1:17" ht="19.5" customHeight="1" x14ac:dyDescent="0.4">
      <c r="B15" s="465" t="s">
        <v>310</v>
      </c>
      <c r="C15" s="656"/>
      <c r="D15" s="657"/>
      <c r="E15" s="658"/>
      <c r="F15" s="656"/>
      <c r="G15" s="2947"/>
      <c r="H15" s="468"/>
      <c r="I15" s="467"/>
      <c r="J15" s="616" t="s">
        <v>395</v>
      </c>
      <c r="K15" s="659"/>
      <c r="L15" s="617"/>
      <c r="M15" s="659"/>
      <c r="N15" s="617"/>
      <c r="O15" s="618"/>
      <c r="P15" s="468"/>
      <c r="Q15" s="427"/>
    </row>
    <row r="16" spans="1:17" ht="35.4" customHeight="1" x14ac:dyDescent="0.3">
      <c r="A16" s="447"/>
      <c r="B16" s="469" t="s">
        <v>311</v>
      </c>
      <c r="C16" s="2948" t="s">
        <v>1222</v>
      </c>
      <c r="D16" s="601" t="s">
        <v>2358</v>
      </c>
      <c r="E16" s="601" t="s">
        <v>2358</v>
      </c>
      <c r="F16" s="601" t="s">
        <v>2358</v>
      </c>
      <c r="G16" s="581"/>
      <c r="H16" s="471"/>
      <c r="I16" s="457"/>
      <c r="J16" s="469" t="s">
        <v>311</v>
      </c>
      <c r="K16" s="601" t="s">
        <v>2358</v>
      </c>
      <c r="L16" s="601" t="s">
        <v>2358</v>
      </c>
      <c r="M16" s="601" t="s">
        <v>2358</v>
      </c>
      <c r="N16" s="601" t="s">
        <v>2358</v>
      </c>
      <c r="O16" s="619"/>
      <c r="P16" s="620"/>
      <c r="Q16" s="447"/>
    </row>
    <row r="17" spans="1:17" ht="21" customHeight="1" x14ac:dyDescent="0.3">
      <c r="A17" s="447"/>
      <c r="B17" s="472" t="s">
        <v>313</v>
      </c>
      <c r="C17" s="582">
        <f>'CF-0702|GDS'!R10</f>
        <v>29455</v>
      </c>
      <c r="D17" s="660">
        <v>0</v>
      </c>
      <c r="E17" s="661">
        <v>0</v>
      </c>
      <c r="F17" s="582">
        <v>0</v>
      </c>
      <c r="G17" s="583"/>
      <c r="I17" s="475"/>
      <c r="J17" s="472" t="s">
        <v>398</v>
      </c>
      <c r="K17" s="662">
        <v>0</v>
      </c>
      <c r="L17" s="662">
        <v>0</v>
      </c>
      <c r="M17" s="662">
        <v>0</v>
      </c>
      <c r="N17" s="621">
        <v>0</v>
      </c>
      <c r="O17" s="622"/>
      <c r="P17" s="623"/>
      <c r="Q17" s="447"/>
    </row>
    <row r="18" spans="1:17" ht="18.75" customHeight="1" x14ac:dyDescent="0.3">
      <c r="A18" s="447"/>
      <c r="B18" s="476" t="s">
        <v>314</v>
      </c>
      <c r="C18" s="584">
        <v>2.7339430000000004E-3</v>
      </c>
      <c r="D18" s="584">
        <v>0</v>
      </c>
      <c r="E18" s="584">
        <v>0</v>
      </c>
      <c r="F18" s="584">
        <v>0</v>
      </c>
      <c r="G18" s="478"/>
      <c r="I18" s="479"/>
      <c r="J18" s="476" t="s">
        <v>314</v>
      </c>
      <c r="K18" s="584">
        <v>0</v>
      </c>
      <c r="L18" s="584">
        <v>0</v>
      </c>
      <c r="M18" s="584">
        <v>0</v>
      </c>
      <c r="N18" s="584">
        <v>0</v>
      </c>
      <c r="O18" s="614"/>
      <c r="P18" s="491"/>
      <c r="Q18" s="447"/>
    </row>
    <row r="19" spans="1:17" ht="19.5" customHeight="1" x14ac:dyDescent="0.3">
      <c r="A19" s="447"/>
      <c r="B19" s="480" t="s">
        <v>315</v>
      </c>
      <c r="C19" s="663">
        <f>C17*C18</f>
        <v>80.528291065000005</v>
      </c>
      <c r="D19" s="664">
        <f>D17*D18</f>
        <v>0</v>
      </c>
      <c r="E19" s="585">
        <f>E17*E18</f>
        <v>0</v>
      </c>
      <c r="F19" s="585">
        <f>F17*F18</f>
        <v>0</v>
      </c>
      <c r="G19" s="586"/>
      <c r="I19" s="479"/>
      <c r="J19" s="480" t="s">
        <v>315</v>
      </c>
      <c r="K19" s="664">
        <f>K17*K18</f>
        <v>0</v>
      </c>
      <c r="L19" s="663">
        <f>L17*L18</f>
        <v>0</v>
      </c>
      <c r="M19" s="664">
        <f>M17*M18</f>
        <v>0</v>
      </c>
      <c r="N19" s="585">
        <f>N17*N18</f>
        <v>0</v>
      </c>
      <c r="O19" s="614"/>
      <c r="P19" s="494"/>
      <c r="Q19" s="447"/>
    </row>
    <row r="20" spans="1:17" ht="19.5" hidden="1" customHeight="1" x14ac:dyDescent="0.4">
      <c r="B20" s="465" t="s">
        <v>310</v>
      </c>
      <c r="C20" s="656"/>
      <c r="D20" s="657"/>
      <c r="E20" s="658"/>
      <c r="F20" s="580"/>
      <c r="G20" s="467"/>
      <c r="I20" s="467"/>
      <c r="J20" s="465"/>
      <c r="K20" s="656"/>
      <c r="L20" s="657"/>
      <c r="M20" s="656"/>
      <c r="N20" s="657"/>
      <c r="O20" s="618"/>
      <c r="P20" s="467"/>
    </row>
    <row r="21" spans="1:17" ht="37.950000000000003" hidden="1" customHeight="1" x14ac:dyDescent="0.3">
      <c r="A21" s="447"/>
      <c r="B21" s="469" t="s">
        <v>311</v>
      </c>
      <c r="C21" s="601" t="s">
        <v>2359</v>
      </c>
      <c r="D21" s="601" t="s">
        <v>2358</v>
      </c>
      <c r="E21" s="601" t="s">
        <v>2358</v>
      </c>
      <c r="F21" s="601" t="s">
        <v>2358</v>
      </c>
      <c r="G21" s="1094"/>
      <c r="I21" s="457"/>
      <c r="J21" s="469"/>
      <c r="K21" s="601"/>
      <c r="L21" s="601"/>
      <c r="M21" s="601"/>
      <c r="N21" s="601"/>
      <c r="O21" s="619"/>
      <c r="P21" s="620"/>
      <c r="Q21" s="447"/>
    </row>
    <row r="22" spans="1:17" ht="21" hidden="1" customHeight="1" x14ac:dyDescent="0.3">
      <c r="A22" s="447"/>
      <c r="B22" s="472" t="s">
        <v>2342</v>
      </c>
      <c r="C22" s="661">
        <v>0</v>
      </c>
      <c r="D22" s="661">
        <v>0</v>
      </c>
      <c r="E22" s="661">
        <v>0</v>
      </c>
      <c r="F22" s="661">
        <v>0</v>
      </c>
      <c r="G22" s="583"/>
      <c r="I22" s="475"/>
      <c r="J22" s="472"/>
      <c r="K22" s="662"/>
      <c r="L22" s="662"/>
      <c r="M22" s="662"/>
      <c r="N22" s="621"/>
      <c r="O22" s="622"/>
      <c r="P22" s="623"/>
      <c r="Q22" s="447"/>
    </row>
    <row r="23" spans="1:17" ht="18.75" hidden="1" customHeight="1" x14ac:dyDescent="0.3">
      <c r="A23" s="447"/>
      <c r="B23" s="476" t="s">
        <v>314</v>
      </c>
      <c r="C23" s="584">
        <v>0</v>
      </c>
      <c r="D23" s="584">
        <v>0</v>
      </c>
      <c r="E23" s="584">
        <v>0</v>
      </c>
      <c r="F23" s="584">
        <v>0</v>
      </c>
      <c r="G23" s="586"/>
      <c r="H23" s="1095"/>
      <c r="I23" s="479"/>
      <c r="J23" s="476"/>
      <c r="K23" s="584"/>
      <c r="L23" s="584"/>
      <c r="M23" s="584"/>
      <c r="N23" s="584"/>
      <c r="O23" s="614"/>
      <c r="P23" s="491"/>
      <c r="Q23" s="447"/>
    </row>
    <row r="24" spans="1:17" ht="19.5" hidden="1" customHeight="1" x14ac:dyDescent="0.3">
      <c r="A24" s="447"/>
      <c r="B24" s="480" t="s">
        <v>315</v>
      </c>
      <c r="C24" s="663">
        <f>C22*C23</f>
        <v>0</v>
      </c>
      <c r="D24" s="664">
        <f>D22*D23</f>
        <v>0</v>
      </c>
      <c r="E24" s="585">
        <f>E22*E23</f>
        <v>0</v>
      </c>
      <c r="F24" s="585">
        <f>F22*F23</f>
        <v>0</v>
      </c>
      <c r="G24" s="586"/>
      <c r="H24" s="1096"/>
      <c r="I24" s="479"/>
      <c r="J24" s="480"/>
      <c r="K24" s="663"/>
      <c r="L24" s="663"/>
      <c r="M24" s="663"/>
      <c r="N24" s="664"/>
      <c r="O24" s="614"/>
      <c r="P24" s="494"/>
      <c r="Q24" s="447"/>
    </row>
    <row r="25" spans="1:17" ht="21" customHeight="1" x14ac:dyDescent="0.4">
      <c r="B25" s="465" t="s">
        <v>316</v>
      </c>
      <c r="C25" s="665"/>
      <c r="D25" s="587"/>
      <c r="E25" s="665"/>
      <c r="F25" s="2965"/>
      <c r="G25" s="2955"/>
      <c r="H25" s="484"/>
      <c r="I25" s="483"/>
      <c r="J25" s="465" t="s">
        <v>316</v>
      </c>
      <c r="K25" s="665"/>
      <c r="L25" s="587"/>
      <c r="M25" s="665"/>
      <c r="N25" s="587"/>
      <c r="O25" s="618"/>
      <c r="P25" s="495"/>
    </row>
    <row r="26" spans="1:17" ht="32.4" customHeight="1" x14ac:dyDescent="0.3">
      <c r="A26" s="447"/>
      <c r="B26" s="469" t="s">
        <v>183</v>
      </c>
      <c r="C26" s="2948" t="s">
        <v>352</v>
      </c>
      <c r="D26" s="601" t="s">
        <v>2359</v>
      </c>
      <c r="E26" s="601" t="s">
        <v>2359</v>
      </c>
      <c r="F26" s="601" t="s">
        <v>2359</v>
      </c>
      <c r="G26" s="588"/>
      <c r="H26" s="485"/>
      <c r="I26" s="479"/>
      <c r="J26" s="469" t="s">
        <v>183</v>
      </c>
      <c r="K26" s="601" t="s">
        <v>2359</v>
      </c>
      <c r="L26" s="601" t="s">
        <v>2359</v>
      </c>
      <c r="M26" s="601" t="s">
        <v>2359</v>
      </c>
      <c r="N26" s="601" t="s">
        <v>2359</v>
      </c>
      <c r="O26" s="614"/>
      <c r="P26" s="496"/>
      <c r="Q26" s="447"/>
    </row>
    <row r="27" spans="1:17" ht="21" customHeight="1" x14ac:dyDescent="0.3">
      <c r="A27" s="447"/>
      <c r="B27" s="486" t="s">
        <v>319</v>
      </c>
      <c r="C27" s="666">
        <f>'CF-0702|GDS'!I11</f>
        <v>154962</v>
      </c>
      <c r="D27" s="589">
        <v>0</v>
      </c>
      <c r="E27" s="666">
        <v>0</v>
      </c>
      <c r="F27" s="2950">
        <v>0</v>
      </c>
      <c r="G27" s="2951"/>
      <c r="H27" s="488"/>
      <c r="I27" s="479"/>
      <c r="J27" s="486" t="s">
        <v>398</v>
      </c>
      <c r="K27" s="666">
        <f>K17</f>
        <v>0</v>
      </c>
      <c r="L27" s="589">
        <f>L17</f>
        <v>0</v>
      </c>
      <c r="M27" s="666">
        <f>M17</f>
        <v>0</v>
      </c>
      <c r="N27" s="589">
        <f>N17</f>
        <v>0</v>
      </c>
      <c r="O27" s="622"/>
      <c r="P27" s="623"/>
      <c r="Q27" s="447"/>
    </row>
    <row r="28" spans="1:17" ht="21" customHeight="1" x14ac:dyDescent="0.3">
      <c r="A28" s="447"/>
      <c r="B28" s="489" t="s">
        <v>314</v>
      </c>
      <c r="C28" s="590">
        <v>1.7E-6</v>
      </c>
      <c r="D28" s="590">
        <f>C28</f>
        <v>1.7E-6</v>
      </c>
      <c r="E28" s="590">
        <v>0</v>
      </c>
      <c r="F28" s="590">
        <v>0</v>
      </c>
      <c r="G28" s="588"/>
      <c r="H28" s="491"/>
      <c r="I28" s="479"/>
      <c r="J28" s="489" t="s">
        <v>314</v>
      </c>
      <c r="K28" s="590">
        <v>0</v>
      </c>
      <c r="L28" s="590">
        <v>0</v>
      </c>
      <c r="M28" s="590">
        <v>0</v>
      </c>
      <c r="N28" s="590">
        <v>0</v>
      </c>
      <c r="O28" s="614"/>
      <c r="P28" s="491"/>
      <c r="Q28" s="447"/>
    </row>
    <row r="29" spans="1:17" ht="21" customHeight="1" x14ac:dyDescent="0.3">
      <c r="A29" s="447"/>
      <c r="B29" s="492" t="s">
        <v>315</v>
      </c>
      <c r="C29" s="668">
        <f t="shared" ref="C29:F29" si="6">C27*C28</f>
        <v>0.26343539999999999</v>
      </c>
      <c r="D29" s="668">
        <f t="shared" si="6"/>
        <v>0</v>
      </c>
      <c r="E29" s="668">
        <f t="shared" si="6"/>
        <v>0</v>
      </c>
      <c r="F29" s="591">
        <f t="shared" si="6"/>
        <v>0</v>
      </c>
      <c r="G29" s="588"/>
      <c r="H29" s="494"/>
      <c r="I29" s="479"/>
      <c r="J29" s="492" t="s">
        <v>315</v>
      </c>
      <c r="K29" s="668">
        <f t="shared" ref="K29:N29" si="7">K27*K28</f>
        <v>0</v>
      </c>
      <c r="L29" s="591">
        <f t="shared" si="7"/>
        <v>0</v>
      </c>
      <c r="M29" s="624">
        <f t="shared" si="7"/>
        <v>0</v>
      </c>
      <c r="N29" s="624">
        <f t="shared" si="7"/>
        <v>0</v>
      </c>
      <c r="O29" s="614"/>
      <c r="P29" s="494"/>
      <c r="Q29" s="447"/>
    </row>
    <row r="30" spans="1:17" ht="21" hidden="1" customHeight="1" x14ac:dyDescent="0.4">
      <c r="B30" s="465" t="s">
        <v>316</v>
      </c>
      <c r="C30" s="665"/>
      <c r="D30" s="587"/>
      <c r="E30" s="665"/>
      <c r="F30" s="587"/>
      <c r="G30" s="483"/>
      <c r="H30" s="495"/>
      <c r="I30" s="483"/>
      <c r="J30" s="465"/>
      <c r="K30" s="665"/>
      <c r="L30" s="587"/>
      <c r="M30" s="665"/>
      <c r="N30" s="587"/>
      <c r="O30" s="618"/>
      <c r="P30" s="495"/>
    </row>
    <row r="31" spans="1:17" ht="30.6" hidden="1" customHeight="1" x14ac:dyDescent="0.3">
      <c r="A31" s="447"/>
      <c r="B31" s="469" t="s">
        <v>183</v>
      </c>
      <c r="C31" s="601" t="s">
        <v>2359</v>
      </c>
      <c r="D31" s="601" t="s">
        <v>2359</v>
      </c>
      <c r="E31" s="601" t="s">
        <v>2359</v>
      </c>
      <c r="F31" s="601" t="s">
        <v>2359</v>
      </c>
      <c r="G31" s="588"/>
      <c r="H31" s="496"/>
      <c r="I31" s="479"/>
      <c r="J31" s="469"/>
      <c r="K31" s="601"/>
      <c r="L31" s="601"/>
      <c r="M31" s="601"/>
      <c r="N31" s="601"/>
      <c r="O31" s="614"/>
      <c r="P31" s="496"/>
      <c r="Q31" s="447"/>
    </row>
    <row r="32" spans="1:17" ht="21" hidden="1" customHeight="1" x14ac:dyDescent="0.3">
      <c r="A32" s="447"/>
      <c r="B32" s="486" t="s">
        <v>2342</v>
      </c>
      <c r="C32" s="666">
        <v>0</v>
      </c>
      <c r="D32" s="589">
        <v>0</v>
      </c>
      <c r="E32" s="666">
        <v>0</v>
      </c>
      <c r="F32" s="589">
        <v>0</v>
      </c>
      <c r="G32" s="479"/>
      <c r="H32" s="488"/>
      <c r="I32" s="479"/>
      <c r="J32" s="486"/>
      <c r="K32" s="666"/>
      <c r="L32" s="589"/>
      <c r="M32" s="666"/>
      <c r="N32" s="589"/>
      <c r="O32" s="622"/>
      <c r="P32" s="623"/>
      <c r="Q32" s="447"/>
    </row>
    <row r="33" spans="1:17" ht="21" hidden="1" customHeight="1" x14ac:dyDescent="0.3">
      <c r="A33" s="447"/>
      <c r="B33" s="489" t="s">
        <v>314</v>
      </c>
      <c r="C33" s="590">
        <v>0</v>
      </c>
      <c r="D33" s="590">
        <v>0</v>
      </c>
      <c r="E33" s="590">
        <v>0</v>
      </c>
      <c r="F33" s="590">
        <v>0</v>
      </c>
      <c r="G33" s="588"/>
      <c r="H33" s="491"/>
      <c r="I33" s="479"/>
      <c r="J33" s="489"/>
      <c r="K33" s="625"/>
      <c r="L33" s="669"/>
      <c r="M33" s="590"/>
      <c r="N33" s="625"/>
      <c r="O33" s="614"/>
      <c r="P33" s="491"/>
      <c r="Q33" s="447"/>
    </row>
    <row r="34" spans="1:17" ht="21" hidden="1" customHeight="1" x14ac:dyDescent="0.3">
      <c r="A34" s="447"/>
      <c r="B34" s="492" t="s">
        <v>315</v>
      </c>
      <c r="C34" s="668">
        <f t="shared" ref="C34:F34" si="8">C32*C33</f>
        <v>0</v>
      </c>
      <c r="D34" s="668">
        <f t="shared" si="8"/>
        <v>0</v>
      </c>
      <c r="E34" s="668">
        <f t="shared" si="8"/>
        <v>0</v>
      </c>
      <c r="F34" s="591">
        <f t="shared" si="8"/>
        <v>0</v>
      </c>
      <c r="G34" s="588"/>
      <c r="H34" s="494"/>
      <c r="I34" s="479"/>
      <c r="J34" s="492"/>
      <c r="K34" s="591"/>
      <c r="L34" s="624"/>
      <c r="M34" s="668"/>
      <c r="N34" s="591"/>
      <c r="O34" s="614"/>
      <c r="P34" s="494"/>
      <c r="Q34" s="447"/>
    </row>
    <row r="35" spans="1:17" ht="28.5" customHeight="1" x14ac:dyDescent="0.3">
      <c r="A35" s="447"/>
      <c r="B35" s="498" t="s">
        <v>320</v>
      </c>
      <c r="C35" s="592" t="s">
        <v>321</v>
      </c>
      <c r="D35" s="592" t="s">
        <v>1625</v>
      </c>
      <c r="E35" s="592" t="s">
        <v>1625</v>
      </c>
      <c r="F35" s="592" t="s">
        <v>1625</v>
      </c>
      <c r="G35" s="593"/>
      <c r="H35" s="501"/>
      <c r="I35" s="500"/>
      <c r="J35" s="498" t="s">
        <v>320</v>
      </c>
      <c r="K35" s="626" t="s">
        <v>1625</v>
      </c>
      <c r="L35" s="626" t="s">
        <v>1625</v>
      </c>
      <c r="M35" s="626" t="s">
        <v>1625</v>
      </c>
      <c r="N35" s="626" t="s">
        <v>1625</v>
      </c>
      <c r="O35" s="614"/>
      <c r="P35" s="496"/>
      <c r="Q35" s="447"/>
    </row>
    <row r="36" spans="1:17" ht="24" customHeight="1" x14ac:dyDescent="0.3">
      <c r="B36" s="502" t="s">
        <v>322</v>
      </c>
      <c r="C36" s="673">
        <v>3</v>
      </c>
      <c r="D36" s="594">
        <v>3</v>
      </c>
      <c r="E36" s="673">
        <v>3</v>
      </c>
      <c r="F36" s="2952">
        <v>3</v>
      </c>
      <c r="G36" s="2953"/>
      <c r="H36" s="505"/>
      <c r="I36" s="504"/>
      <c r="J36" s="502" t="s">
        <v>322</v>
      </c>
      <c r="K36" s="674">
        <v>13</v>
      </c>
      <c r="L36" s="596">
        <v>13</v>
      </c>
      <c r="M36" s="674">
        <v>13</v>
      </c>
      <c r="N36" s="596">
        <v>13</v>
      </c>
      <c r="O36" s="618"/>
      <c r="P36" s="495"/>
    </row>
    <row r="37" spans="1:17" ht="33" customHeight="1" x14ac:dyDescent="0.3">
      <c r="A37" s="447"/>
      <c r="B37" s="506" t="s">
        <v>323</v>
      </c>
      <c r="C37" s="496" t="s">
        <v>324</v>
      </c>
      <c r="D37" s="595" t="s">
        <v>324</v>
      </c>
      <c r="E37" s="496" t="s">
        <v>324</v>
      </c>
      <c r="F37" s="2954" t="s">
        <v>324</v>
      </c>
      <c r="G37" s="2951"/>
      <c r="H37" s="496"/>
      <c r="I37" s="479"/>
      <c r="J37" s="506" t="s">
        <v>323</v>
      </c>
      <c r="K37" s="496" t="s">
        <v>324</v>
      </c>
      <c r="L37" s="595" t="s">
        <v>324</v>
      </c>
      <c r="M37" s="496" t="s">
        <v>324</v>
      </c>
      <c r="N37" s="595" t="s">
        <v>324</v>
      </c>
      <c r="O37" s="614"/>
      <c r="P37" s="496"/>
      <c r="Q37" s="447"/>
    </row>
    <row r="38" spans="1:17" ht="33" customHeight="1" x14ac:dyDescent="0.3">
      <c r="A38" s="447"/>
      <c r="B38" s="508" t="s">
        <v>325</v>
      </c>
      <c r="C38" s="674" t="s">
        <v>326</v>
      </c>
      <c r="D38" s="596" t="s">
        <v>326</v>
      </c>
      <c r="E38" s="674" t="s">
        <v>326</v>
      </c>
      <c r="F38" s="627" t="s">
        <v>326</v>
      </c>
      <c r="G38" s="2951"/>
      <c r="H38" s="496"/>
      <c r="I38" s="479"/>
      <c r="J38" s="508" t="s">
        <v>325</v>
      </c>
      <c r="K38" s="674" t="s">
        <v>326</v>
      </c>
      <c r="L38" s="596" t="s">
        <v>326</v>
      </c>
      <c r="M38" s="674" t="s">
        <v>326</v>
      </c>
      <c r="N38" s="627" t="s">
        <v>326</v>
      </c>
      <c r="O38" s="614"/>
      <c r="P38" s="496"/>
      <c r="Q38" s="447"/>
    </row>
    <row r="39" spans="1:17" ht="33" customHeight="1" x14ac:dyDescent="0.3">
      <c r="A39" s="447"/>
      <c r="B39" s="506" t="s">
        <v>327</v>
      </c>
      <c r="C39" s="595" t="s">
        <v>433</v>
      </c>
      <c r="D39" s="595" t="s">
        <v>729</v>
      </c>
      <c r="E39" s="595" t="s">
        <v>729</v>
      </c>
      <c r="F39" s="595" t="s">
        <v>729</v>
      </c>
      <c r="G39" s="479"/>
      <c r="H39" s="496"/>
      <c r="I39" s="479"/>
      <c r="J39" s="506" t="s">
        <v>327</v>
      </c>
      <c r="K39" s="595" t="s">
        <v>402</v>
      </c>
      <c r="L39" s="595" t="s">
        <v>402</v>
      </c>
      <c r="M39" s="595" t="s">
        <v>402</v>
      </c>
      <c r="N39" s="595" t="s">
        <v>402</v>
      </c>
      <c r="O39" s="614"/>
      <c r="P39" s="496"/>
      <c r="Q39" s="447"/>
    </row>
    <row r="40" spans="1:17" ht="21" customHeight="1" x14ac:dyDescent="0.3">
      <c r="B40" s="510" t="s">
        <v>329</v>
      </c>
      <c r="C40" s="596">
        <v>1</v>
      </c>
      <c r="D40" s="596">
        <v>0</v>
      </c>
      <c r="E40" s="596">
        <v>0</v>
      </c>
      <c r="F40" s="596">
        <v>0</v>
      </c>
      <c r="G40" s="467"/>
      <c r="H40" s="467"/>
      <c r="I40" s="467"/>
      <c r="J40" s="510" t="s">
        <v>329</v>
      </c>
      <c r="K40" s="596">
        <v>0</v>
      </c>
      <c r="L40" s="596">
        <v>0</v>
      </c>
      <c r="M40" s="596">
        <v>0</v>
      </c>
      <c r="N40" s="596">
        <v>0</v>
      </c>
      <c r="O40" s="618"/>
      <c r="P40" s="467"/>
    </row>
    <row r="41" spans="1:17" ht="21" customHeight="1" x14ac:dyDescent="0.3">
      <c r="B41" s="453" t="s">
        <v>330</v>
      </c>
      <c r="C41" s="507" t="s">
        <v>324</v>
      </c>
      <c r="D41" s="1156" t="s">
        <v>324</v>
      </c>
      <c r="E41" s="496" t="s">
        <v>324</v>
      </c>
      <c r="F41" s="595" t="s">
        <v>324</v>
      </c>
      <c r="G41" s="483"/>
      <c r="H41" s="495"/>
      <c r="I41" s="483"/>
      <c r="J41" s="453" t="s">
        <v>330</v>
      </c>
      <c r="K41" s="496" t="s">
        <v>324</v>
      </c>
      <c r="L41" s="595" t="s">
        <v>324</v>
      </c>
      <c r="M41" s="496" t="s">
        <v>324</v>
      </c>
      <c r="N41" s="595" t="s">
        <v>324</v>
      </c>
      <c r="O41" s="618"/>
      <c r="P41" s="495"/>
    </row>
    <row r="42" spans="1:17" ht="21" customHeight="1" x14ac:dyDescent="0.3">
      <c r="B42" s="510" t="s">
        <v>331</v>
      </c>
      <c r="C42" s="674" t="s">
        <v>324</v>
      </c>
      <c r="D42" s="596" t="s">
        <v>324</v>
      </c>
      <c r="E42" s="674" t="s">
        <v>324</v>
      </c>
      <c r="F42" s="627" t="s">
        <v>324</v>
      </c>
      <c r="G42" s="2955"/>
      <c r="H42" s="495"/>
      <c r="I42" s="483"/>
      <c r="J42" s="510" t="s">
        <v>331</v>
      </c>
      <c r="K42" s="674" t="s">
        <v>324</v>
      </c>
      <c r="L42" s="596" t="s">
        <v>324</v>
      </c>
      <c r="M42" s="674" t="s">
        <v>324</v>
      </c>
      <c r="N42" s="596" t="s">
        <v>324</v>
      </c>
      <c r="O42" s="618"/>
      <c r="P42" s="495"/>
    </row>
    <row r="43" spans="1:17" ht="21" customHeight="1" x14ac:dyDescent="0.3">
      <c r="B43" s="462" t="s">
        <v>332</v>
      </c>
      <c r="C43" s="675" t="s">
        <v>333</v>
      </c>
      <c r="D43" s="555" t="s">
        <v>333</v>
      </c>
      <c r="E43" s="676" t="s">
        <v>333</v>
      </c>
      <c r="F43" s="675" t="s">
        <v>333</v>
      </c>
      <c r="G43" s="2955"/>
      <c r="H43" s="495"/>
      <c r="I43" s="483"/>
      <c r="J43" s="462" t="s">
        <v>332</v>
      </c>
      <c r="K43" s="675" t="s">
        <v>333</v>
      </c>
      <c r="L43" s="555" t="s">
        <v>333</v>
      </c>
      <c r="M43" s="676" t="s">
        <v>333</v>
      </c>
      <c r="N43" s="555" t="s">
        <v>333</v>
      </c>
      <c r="O43" s="618"/>
      <c r="P43" s="495"/>
    </row>
    <row r="44" spans="1:17" ht="15.75" customHeight="1" x14ac:dyDescent="0.3">
      <c r="B44" s="427"/>
      <c r="C44" s="427"/>
      <c r="D44" s="427"/>
      <c r="E44" s="427"/>
      <c r="F44" s="427"/>
      <c r="G44" s="483"/>
      <c r="H44" s="483"/>
      <c r="I44" s="483"/>
      <c r="J44" s="427"/>
      <c r="O44" s="427"/>
      <c r="P44" s="427"/>
    </row>
    <row r="45" spans="1:17" ht="15.75" customHeight="1" x14ac:dyDescent="0.3">
      <c r="B45" s="512" t="s">
        <v>334</v>
      </c>
      <c r="C45" s="427"/>
      <c r="D45" s="427"/>
      <c r="E45" s="427"/>
      <c r="F45" s="427"/>
      <c r="G45" s="483"/>
      <c r="H45" s="483"/>
      <c r="I45" s="483"/>
      <c r="O45" s="427"/>
      <c r="P45" s="427"/>
    </row>
    <row r="46" spans="1:17" ht="15.75" customHeight="1" x14ac:dyDescent="0.3">
      <c r="B46" s="512" t="s">
        <v>335</v>
      </c>
      <c r="C46" s="427"/>
      <c r="D46" s="427"/>
      <c r="E46" s="427"/>
      <c r="F46" s="427"/>
      <c r="G46" s="483"/>
      <c r="H46" s="483"/>
      <c r="I46" s="483"/>
      <c r="O46" s="427"/>
      <c r="P46" s="427"/>
    </row>
    <row r="47" spans="1:17" ht="15.75" customHeight="1" x14ac:dyDescent="0.3">
      <c r="B47" s="512" t="s">
        <v>336</v>
      </c>
      <c r="C47" s="427"/>
      <c r="D47" s="427"/>
      <c r="E47" s="427"/>
      <c r="F47" s="427"/>
      <c r="G47" s="483"/>
      <c r="H47" s="483"/>
      <c r="I47" s="483"/>
      <c r="O47" s="427"/>
      <c r="P47" s="427"/>
    </row>
    <row r="48" spans="1:17" ht="15.75" customHeight="1" x14ac:dyDescent="0.3">
      <c r="B48" s="512" t="s">
        <v>337</v>
      </c>
      <c r="C48" s="427"/>
      <c r="D48" s="427"/>
      <c r="E48" s="427"/>
      <c r="F48" s="427"/>
      <c r="G48" s="483"/>
      <c r="H48" s="483"/>
      <c r="I48" s="483"/>
      <c r="O48" s="427"/>
      <c r="P48" s="427"/>
    </row>
    <row r="49" spans="2:16" ht="15.75" customHeight="1" x14ac:dyDescent="0.3">
      <c r="B49" s="512" t="s">
        <v>338</v>
      </c>
      <c r="G49" s="427"/>
      <c r="I49" s="427"/>
      <c r="O49" s="427"/>
      <c r="P49" s="427"/>
    </row>
    <row r="50" spans="2:16" ht="15.75" customHeight="1" x14ac:dyDescent="0.3">
      <c r="B50" s="512" t="s">
        <v>339</v>
      </c>
      <c r="G50" s="427"/>
      <c r="I50" s="427"/>
      <c r="O50" s="427"/>
      <c r="P50" s="427"/>
    </row>
    <row r="51" spans="2:16" ht="15.75" customHeight="1" x14ac:dyDescent="0.3">
      <c r="G51" s="427"/>
      <c r="I51" s="427"/>
      <c r="O51" s="427"/>
      <c r="P51" s="427"/>
    </row>
    <row r="52" spans="2:16" ht="15.75" customHeight="1" x14ac:dyDescent="0.3">
      <c r="G52" s="427"/>
      <c r="I52" s="427"/>
      <c r="O52" s="427"/>
      <c r="P52" s="427"/>
    </row>
    <row r="53" spans="2:16" ht="15.75" customHeight="1" x14ac:dyDescent="0.3">
      <c r="G53" s="427"/>
      <c r="I53" s="427"/>
      <c r="O53" s="427"/>
      <c r="P53" s="427"/>
    </row>
    <row r="54" spans="2:16" ht="15.75" customHeight="1" x14ac:dyDescent="0.3">
      <c r="G54" s="427"/>
      <c r="I54" s="427"/>
      <c r="O54" s="427"/>
    </row>
    <row r="55" spans="2:16" ht="15.75" customHeight="1" x14ac:dyDescent="0.3">
      <c r="G55" s="427"/>
      <c r="I55" s="427"/>
      <c r="O55" s="427"/>
    </row>
    <row r="56" spans="2:16" ht="15.75" customHeight="1" x14ac:dyDescent="0.3">
      <c r="G56" s="427"/>
      <c r="I56" s="427"/>
      <c r="O56" s="427"/>
    </row>
    <row r="57" spans="2:16" ht="15.75" customHeight="1" x14ac:dyDescent="0.3">
      <c r="G57" s="427"/>
      <c r="I57" s="427"/>
      <c r="O57" s="427"/>
    </row>
    <row r="58" spans="2:16" ht="15.75" customHeight="1" x14ac:dyDescent="0.3">
      <c r="G58" s="427"/>
      <c r="I58" s="427"/>
      <c r="O58" s="427"/>
    </row>
    <row r="59" spans="2:16" ht="15.75" customHeight="1" x14ac:dyDescent="0.3">
      <c r="G59" s="427"/>
      <c r="I59" s="427"/>
      <c r="O59" s="427"/>
    </row>
    <row r="60" spans="2:16" ht="15.75" customHeight="1" x14ac:dyDescent="0.3">
      <c r="G60" s="427"/>
      <c r="I60" s="427"/>
      <c r="O60" s="427"/>
    </row>
    <row r="61" spans="2:16" ht="15.75" customHeight="1" x14ac:dyDescent="0.3">
      <c r="G61" s="427"/>
      <c r="I61" s="427"/>
      <c r="O61" s="427"/>
    </row>
    <row r="62" spans="2:16" ht="15.75" customHeight="1" x14ac:dyDescent="0.3">
      <c r="G62" s="427"/>
      <c r="I62" s="427"/>
      <c r="O62" s="427"/>
    </row>
    <row r="63" spans="2:16" ht="15.75" customHeight="1" x14ac:dyDescent="0.3">
      <c r="G63" s="427"/>
      <c r="I63" s="427"/>
      <c r="O63" s="427"/>
    </row>
    <row r="64" spans="2:16" ht="15.75" customHeight="1" x14ac:dyDescent="0.3">
      <c r="G64" s="427"/>
      <c r="I64" s="427"/>
      <c r="O64" s="427"/>
    </row>
    <row r="65" spans="7:15" ht="15.75" customHeight="1" x14ac:dyDescent="0.3">
      <c r="G65" s="427"/>
      <c r="I65" s="427"/>
      <c r="O65" s="427"/>
    </row>
    <row r="66" spans="7:15" ht="15.75" customHeight="1" x14ac:dyDescent="0.3">
      <c r="G66" s="427"/>
      <c r="I66" s="427"/>
      <c r="O66" s="427"/>
    </row>
    <row r="67" spans="7:15" ht="15.75" customHeight="1" x14ac:dyDescent="0.3">
      <c r="G67" s="427"/>
      <c r="I67" s="427"/>
      <c r="O67" s="427"/>
    </row>
    <row r="68" spans="7:15" ht="15.75" customHeight="1" x14ac:dyDescent="0.3">
      <c r="G68" s="427"/>
      <c r="I68" s="427"/>
      <c r="O68" s="427"/>
    </row>
    <row r="69" spans="7:15" ht="15.75" customHeight="1" x14ac:dyDescent="0.3">
      <c r="G69" s="427"/>
      <c r="I69" s="427"/>
      <c r="O69" s="427"/>
    </row>
    <row r="70" spans="7:15" ht="15.75" customHeight="1" x14ac:dyDescent="0.3">
      <c r="G70" s="427"/>
      <c r="I70" s="427"/>
      <c r="O70" s="427"/>
    </row>
    <row r="71" spans="7:15" ht="15.75" customHeight="1" x14ac:dyDescent="0.3">
      <c r="G71" s="427"/>
      <c r="I71" s="427"/>
      <c r="O71" s="427"/>
    </row>
    <row r="72" spans="7:15" ht="15.75" customHeight="1" x14ac:dyDescent="0.3">
      <c r="G72" s="427"/>
      <c r="I72" s="427"/>
      <c r="O72" s="427"/>
    </row>
    <row r="73" spans="7:15" ht="15.75" customHeight="1" x14ac:dyDescent="0.3">
      <c r="G73" s="427"/>
      <c r="I73" s="427"/>
      <c r="O73" s="427"/>
    </row>
    <row r="74" spans="7:15" ht="15.75" customHeight="1" x14ac:dyDescent="0.3">
      <c r="G74" s="427"/>
      <c r="I74" s="427"/>
      <c r="O74" s="427"/>
    </row>
    <row r="75" spans="7:15" ht="15.75" customHeight="1" x14ac:dyDescent="0.3">
      <c r="G75" s="427"/>
      <c r="I75" s="427"/>
      <c r="O75" s="427"/>
    </row>
    <row r="76" spans="7:15" ht="15.75" customHeight="1" x14ac:dyDescent="0.3">
      <c r="G76" s="427"/>
      <c r="I76" s="427"/>
      <c r="O76" s="427"/>
    </row>
    <row r="77" spans="7:15" ht="15.75" customHeight="1" x14ac:dyDescent="0.3">
      <c r="G77" s="427"/>
      <c r="I77" s="427"/>
      <c r="O77" s="427"/>
    </row>
    <row r="78" spans="7:15" ht="15.75" customHeight="1" x14ac:dyDescent="0.3">
      <c r="G78" s="427"/>
      <c r="I78" s="427"/>
      <c r="O78" s="427"/>
    </row>
    <row r="79" spans="7:15" ht="15.75" customHeight="1" x14ac:dyDescent="0.3">
      <c r="G79" s="427"/>
      <c r="I79" s="427"/>
      <c r="O79" s="427"/>
    </row>
    <row r="80" spans="7:15" ht="15.75" customHeight="1" x14ac:dyDescent="0.3">
      <c r="G80" s="427"/>
      <c r="I80" s="427"/>
      <c r="O80" s="427"/>
    </row>
    <row r="81" spans="7:15" ht="15.75" customHeight="1" x14ac:dyDescent="0.3">
      <c r="G81" s="427"/>
      <c r="I81" s="427"/>
      <c r="O81" s="427"/>
    </row>
    <row r="82" spans="7:15" ht="15.75" customHeight="1" x14ac:dyDescent="0.3">
      <c r="G82" s="427"/>
      <c r="I82" s="427"/>
      <c r="O82" s="427"/>
    </row>
    <row r="83" spans="7:15" ht="15.75" customHeight="1" x14ac:dyDescent="0.3">
      <c r="G83" s="427"/>
      <c r="I83" s="427"/>
      <c r="O83" s="427"/>
    </row>
    <row r="84" spans="7:15" ht="15.75" customHeight="1" x14ac:dyDescent="0.3">
      <c r="G84" s="427"/>
      <c r="I84" s="427"/>
      <c r="O84" s="427"/>
    </row>
    <row r="85" spans="7:15" ht="15.75" customHeight="1" x14ac:dyDescent="0.3">
      <c r="G85" s="427"/>
      <c r="I85" s="427"/>
      <c r="O85" s="427"/>
    </row>
    <row r="86" spans="7:15" ht="15.75" customHeight="1" x14ac:dyDescent="0.3">
      <c r="G86" s="427"/>
      <c r="I86" s="427"/>
      <c r="O86" s="427"/>
    </row>
    <row r="87" spans="7:15" ht="15.75" customHeight="1" x14ac:dyDescent="0.3">
      <c r="G87" s="427"/>
      <c r="I87" s="427"/>
      <c r="O87" s="427"/>
    </row>
    <row r="88" spans="7:15" ht="15.75" customHeight="1" x14ac:dyDescent="0.3">
      <c r="G88" s="427"/>
      <c r="I88" s="427"/>
      <c r="O88" s="427"/>
    </row>
    <row r="89" spans="7:15" ht="15.75" customHeight="1" x14ac:dyDescent="0.3">
      <c r="G89" s="427"/>
      <c r="I89" s="427"/>
      <c r="O89" s="427"/>
    </row>
    <row r="90" spans="7:15" ht="15.75" customHeight="1" x14ac:dyDescent="0.3">
      <c r="G90" s="427"/>
      <c r="I90" s="427"/>
      <c r="O90" s="427"/>
    </row>
    <row r="91" spans="7:15" ht="15.75" customHeight="1" x14ac:dyDescent="0.3">
      <c r="G91" s="427"/>
      <c r="I91" s="427"/>
      <c r="O91" s="427"/>
    </row>
    <row r="92" spans="7:15" ht="15.75" customHeight="1" x14ac:dyDescent="0.3">
      <c r="G92" s="427"/>
      <c r="I92" s="427"/>
      <c r="O92" s="427"/>
    </row>
    <row r="93" spans="7:15" ht="15.75" customHeight="1" x14ac:dyDescent="0.3">
      <c r="G93" s="427"/>
      <c r="I93" s="427"/>
      <c r="O93" s="427"/>
    </row>
    <row r="94" spans="7:15" ht="15.75" customHeight="1" x14ac:dyDescent="0.3">
      <c r="G94" s="427"/>
      <c r="I94" s="427"/>
      <c r="O94" s="427"/>
    </row>
    <row r="95" spans="7:15" ht="15.75" customHeight="1" x14ac:dyDescent="0.3">
      <c r="G95" s="427"/>
      <c r="I95" s="427"/>
      <c r="O95" s="427"/>
    </row>
    <row r="96" spans="7:15" ht="15.75" customHeight="1" x14ac:dyDescent="0.3">
      <c r="G96" s="427"/>
      <c r="I96" s="427"/>
      <c r="O96" s="427"/>
    </row>
    <row r="97" spans="7:15" ht="15.75" customHeight="1" x14ac:dyDescent="0.3">
      <c r="G97" s="427"/>
      <c r="I97" s="427"/>
      <c r="O97" s="427"/>
    </row>
    <row r="98" spans="7:15" ht="15.75" customHeight="1" x14ac:dyDescent="0.3">
      <c r="G98" s="427"/>
      <c r="I98" s="427"/>
      <c r="O98" s="427"/>
    </row>
    <row r="99" spans="7:15" ht="15.75" customHeight="1" x14ac:dyDescent="0.3">
      <c r="G99" s="427"/>
      <c r="I99" s="427"/>
      <c r="O99" s="427"/>
    </row>
    <row r="100" spans="7:15" ht="15.75" customHeight="1" x14ac:dyDescent="0.3">
      <c r="G100" s="427"/>
      <c r="I100" s="427"/>
      <c r="O100" s="427"/>
    </row>
    <row r="101" spans="7:15" ht="15.75" customHeight="1" x14ac:dyDescent="0.3">
      <c r="G101" s="427"/>
      <c r="I101" s="427"/>
      <c r="O101" s="427"/>
    </row>
    <row r="102" spans="7:15" ht="15.75" customHeight="1" x14ac:dyDescent="0.3">
      <c r="G102" s="427"/>
      <c r="I102" s="427"/>
      <c r="O102" s="427"/>
    </row>
    <row r="103" spans="7:15" ht="15.75" customHeight="1" x14ac:dyDescent="0.3">
      <c r="G103" s="427"/>
      <c r="I103" s="427"/>
      <c r="O103" s="427"/>
    </row>
    <row r="104" spans="7:15" ht="15.75" customHeight="1" x14ac:dyDescent="0.3">
      <c r="G104" s="427"/>
      <c r="I104" s="427"/>
      <c r="O104" s="427"/>
    </row>
    <row r="105" spans="7:15" ht="15.75" customHeight="1" x14ac:dyDescent="0.3">
      <c r="G105" s="427"/>
      <c r="I105" s="427"/>
      <c r="O105" s="427"/>
    </row>
    <row r="106" spans="7:15" ht="15.75" customHeight="1" x14ac:dyDescent="0.3">
      <c r="G106" s="427"/>
      <c r="I106" s="427"/>
      <c r="O106" s="427"/>
    </row>
    <row r="107" spans="7:15" ht="15.75" customHeight="1" x14ac:dyDescent="0.3">
      <c r="G107" s="427"/>
      <c r="I107" s="427"/>
      <c r="O107" s="427"/>
    </row>
    <row r="108" spans="7:15" ht="15.75" customHeight="1" x14ac:dyDescent="0.3">
      <c r="G108" s="427"/>
      <c r="I108" s="427"/>
      <c r="O108" s="427"/>
    </row>
    <row r="109" spans="7:15" ht="15.75" customHeight="1" x14ac:dyDescent="0.3">
      <c r="G109" s="427"/>
      <c r="I109" s="427"/>
      <c r="O109" s="427"/>
    </row>
    <row r="110" spans="7:15" ht="15.75" customHeight="1" x14ac:dyDescent="0.3">
      <c r="G110" s="427"/>
      <c r="I110" s="427"/>
      <c r="O110" s="427"/>
    </row>
    <row r="111" spans="7:15" ht="15.75" customHeight="1" x14ac:dyDescent="0.3">
      <c r="G111" s="427"/>
      <c r="I111" s="427"/>
      <c r="O111" s="427"/>
    </row>
    <row r="112" spans="7:15" ht="15.75" customHeight="1" x14ac:dyDescent="0.3">
      <c r="G112" s="427"/>
      <c r="I112" s="427"/>
      <c r="O112" s="427"/>
    </row>
    <row r="113" spans="7:15" ht="15.75" customHeight="1" x14ac:dyDescent="0.3">
      <c r="G113" s="427"/>
      <c r="I113" s="427"/>
      <c r="O113" s="427"/>
    </row>
    <row r="114" spans="7:15" ht="15.75" customHeight="1" x14ac:dyDescent="0.3">
      <c r="G114" s="427"/>
      <c r="I114" s="427"/>
      <c r="O114" s="427"/>
    </row>
    <row r="115" spans="7:15" ht="15.75" customHeight="1" x14ac:dyDescent="0.3">
      <c r="G115" s="427"/>
      <c r="I115" s="427"/>
      <c r="O115" s="427"/>
    </row>
    <row r="116" spans="7:15" ht="15.75" customHeight="1" x14ac:dyDescent="0.3">
      <c r="G116" s="427"/>
      <c r="I116" s="427"/>
      <c r="O116" s="427"/>
    </row>
    <row r="117" spans="7:15" ht="15.75" customHeight="1" x14ac:dyDescent="0.3">
      <c r="G117" s="427"/>
      <c r="I117" s="427"/>
      <c r="O117" s="427"/>
    </row>
    <row r="118" spans="7:15" ht="15.75" customHeight="1" x14ac:dyDescent="0.3">
      <c r="G118" s="427"/>
      <c r="I118" s="427"/>
      <c r="O118" s="427"/>
    </row>
    <row r="119" spans="7:15" ht="15.75" customHeight="1" x14ac:dyDescent="0.3">
      <c r="G119" s="427"/>
      <c r="I119" s="427"/>
      <c r="O119" s="427"/>
    </row>
    <row r="120" spans="7:15" ht="15.75" customHeight="1" x14ac:dyDescent="0.3">
      <c r="G120" s="427"/>
      <c r="I120" s="427"/>
      <c r="O120" s="427"/>
    </row>
    <row r="121" spans="7:15" ht="15.75" customHeight="1" x14ac:dyDescent="0.3">
      <c r="G121" s="427"/>
      <c r="I121" s="427"/>
      <c r="O121" s="427"/>
    </row>
    <row r="122" spans="7:15" ht="15.75" customHeight="1" x14ac:dyDescent="0.3">
      <c r="G122" s="427"/>
      <c r="I122" s="427"/>
      <c r="O122" s="427"/>
    </row>
    <row r="123" spans="7:15" ht="15.75" customHeight="1" x14ac:dyDescent="0.3">
      <c r="G123" s="427"/>
      <c r="I123" s="427"/>
      <c r="O123" s="427"/>
    </row>
    <row r="124" spans="7:15" ht="15.75" customHeight="1" x14ac:dyDescent="0.3">
      <c r="G124" s="427"/>
      <c r="I124" s="427"/>
      <c r="O124" s="427"/>
    </row>
    <row r="125" spans="7:15" ht="15.75" customHeight="1" x14ac:dyDescent="0.3">
      <c r="G125" s="427"/>
      <c r="I125" s="427"/>
      <c r="O125" s="427"/>
    </row>
    <row r="126" spans="7:15" ht="15.75" customHeight="1" x14ac:dyDescent="0.3">
      <c r="G126" s="427"/>
      <c r="I126" s="427"/>
      <c r="O126" s="427"/>
    </row>
    <row r="127" spans="7:15" ht="15.75" customHeight="1" x14ac:dyDescent="0.3">
      <c r="G127" s="427"/>
      <c r="I127" s="427"/>
      <c r="O127" s="427"/>
    </row>
    <row r="128" spans="7:15" ht="15.75" customHeight="1" x14ac:dyDescent="0.3">
      <c r="G128" s="427"/>
      <c r="I128" s="427"/>
      <c r="O128" s="427"/>
    </row>
    <row r="129" spans="7:15" ht="15.75" customHeight="1" x14ac:dyDescent="0.3">
      <c r="G129" s="427"/>
      <c r="I129" s="427"/>
      <c r="O129" s="427"/>
    </row>
    <row r="130" spans="7:15" ht="15.75" customHeight="1" x14ac:dyDescent="0.3">
      <c r="G130" s="427"/>
      <c r="I130" s="427"/>
      <c r="O130" s="427"/>
    </row>
    <row r="131" spans="7:15" ht="15.75" customHeight="1" x14ac:dyDescent="0.3">
      <c r="G131" s="427"/>
      <c r="I131" s="427"/>
      <c r="O131" s="427"/>
    </row>
    <row r="132" spans="7:15" ht="15.75" customHeight="1" x14ac:dyDescent="0.3">
      <c r="G132" s="427"/>
      <c r="I132" s="427"/>
      <c r="O132" s="427"/>
    </row>
    <row r="133" spans="7:15" ht="15.75" customHeight="1" x14ac:dyDescent="0.3">
      <c r="G133" s="427"/>
      <c r="I133" s="427"/>
      <c r="O133" s="427"/>
    </row>
    <row r="134" spans="7:15" ht="15.75" customHeight="1" x14ac:dyDescent="0.3">
      <c r="G134" s="427"/>
      <c r="I134" s="427"/>
      <c r="O134" s="427"/>
    </row>
    <row r="135" spans="7:15" ht="15.75" customHeight="1" x14ac:dyDescent="0.3">
      <c r="G135" s="427"/>
      <c r="I135" s="427"/>
      <c r="O135" s="427"/>
    </row>
    <row r="136" spans="7:15" ht="15.75" customHeight="1" x14ac:dyDescent="0.3">
      <c r="G136" s="427"/>
      <c r="I136" s="427"/>
      <c r="O136" s="427"/>
    </row>
    <row r="137" spans="7:15" ht="15.75" customHeight="1" x14ac:dyDescent="0.3">
      <c r="G137" s="427"/>
      <c r="I137" s="427"/>
      <c r="O137" s="427"/>
    </row>
    <row r="138" spans="7:15" ht="15.75" customHeight="1" x14ac:dyDescent="0.3">
      <c r="G138" s="427"/>
      <c r="I138" s="427"/>
      <c r="O138" s="427"/>
    </row>
    <row r="139" spans="7:15" ht="15.75" customHeight="1" x14ac:dyDescent="0.3">
      <c r="G139" s="427"/>
      <c r="I139" s="427"/>
      <c r="O139" s="427"/>
    </row>
    <row r="140" spans="7:15" ht="15.75" customHeight="1" x14ac:dyDescent="0.3">
      <c r="G140" s="427"/>
      <c r="I140" s="427"/>
      <c r="O140" s="427"/>
    </row>
    <row r="141" spans="7:15" ht="15.75" customHeight="1" x14ac:dyDescent="0.3">
      <c r="G141" s="427"/>
      <c r="I141" s="427"/>
      <c r="O141" s="427"/>
    </row>
    <row r="142" spans="7:15" ht="15.75" customHeight="1" x14ac:dyDescent="0.3">
      <c r="G142" s="427"/>
      <c r="I142" s="427"/>
      <c r="O142" s="427"/>
    </row>
    <row r="143" spans="7:15" ht="15.75" customHeight="1" x14ac:dyDescent="0.3">
      <c r="G143" s="427"/>
      <c r="I143" s="427"/>
      <c r="O143" s="427"/>
    </row>
    <row r="144" spans="7:15" ht="15.75" customHeight="1" x14ac:dyDescent="0.3">
      <c r="G144" s="427"/>
      <c r="I144" s="427"/>
      <c r="O144" s="427"/>
    </row>
    <row r="145" spans="7:15" ht="15.75" customHeight="1" x14ac:dyDescent="0.3">
      <c r="G145" s="427"/>
      <c r="I145" s="427"/>
      <c r="O145" s="427"/>
    </row>
    <row r="146" spans="7:15" ht="15.75" customHeight="1" x14ac:dyDescent="0.3">
      <c r="G146" s="427"/>
      <c r="I146" s="427"/>
      <c r="O146" s="427"/>
    </row>
    <row r="147" spans="7:15" ht="15.75" customHeight="1" x14ac:dyDescent="0.3">
      <c r="G147" s="427"/>
      <c r="I147" s="427"/>
      <c r="O147" s="427"/>
    </row>
    <row r="148" spans="7:15" ht="15.75" customHeight="1" x14ac:dyDescent="0.3">
      <c r="G148" s="427"/>
      <c r="I148" s="427"/>
      <c r="O148" s="427"/>
    </row>
    <row r="149" spans="7:15" ht="15.75" customHeight="1" x14ac:dyDescent="0.3">
      <c r="G149" s="427"/>
      <c r="I149" s="427"/>
      <c r="O149" s="427"/>
    </row>
    <row r="150" spans="7:15" ht="15.75" customHeight="1" x14ac:dyDescent="0.3">
      <c r="G150" s="427"/>
      <c r="I150" s="427"/>
      <c r="O150" s="427"/>
    </row>
    <row r="151" spans="7:15" ht="15.75" customHeight="1" x14ac:dyDescent="0.3">
      <c r="G151" s="427"/>
      <c r="I151" s="427"/>
      <c r="O151" s="427"/>
    </row>
    <row r="152" spans="7:15" ht="15.75" customHeight="1" x14ac:dyDescent="0.3">
      <c r="G152" s="427"/>
      <c r="I152" s="427"/>
      <c r="O152" s="427"/>
    </row>
    <row r="153" spans="7:15" ht="15.75" customHeight="1" x14ac:dyDescent="0.3">
      <c r="G153" s="427"/>
      <c r="I153" s="427"/>
      <c r="O153" s="427"/>
    </row>
    <row r="154" spans="7:15" ht="15.75" customHeight="1" x14ac:dyDescent="0.3">
      <c r="G154" s="427"/>
      <c r="I154" s="427"/>
      <c r="O154" s="427"/>
    </row>
    <row r="155" spans="7:15" ht="15.75" customHeight="1" x14ac:dyDescent="0.3">
      <c r="G155" s="427"/>
      <c r="I155" s="427"/>
      <c r="O155" s="427"/>
    </row>
    <row r="156" spans="7:15" ht="15.75" customHeight="1" x14ac:dyDescent="0.3">
      <c r="G156" s="427"/>
      <c r="I156" s="427"/>
      <c r="O156" s="427"/>
    </row>
    <row r="157" spans="7:15" ht="15.75" customHeight="1" x14ac:dyDescent="0.3">
      <c r="G157" s="427"/>
      <c r="I157" s="427"/>
      <c r="O157" s="427"/>
    </row>
    <row r="158" spans="7:15" ht="15.75" customHeight="1" x14ac:dyDescent="0.3">
      <c r="G158" s="427"/>
      <c r="I158" s="427"/>
      <c r="O158" s="427"/>
    </row>
    <row r="159" spans="7:15" ht="15.75" customHeight="1" x14ac:dyDescent="0.3">
      <c r="G159" s="427"/>
      <c r="I159" s="427"/>
      <c r="O159" s="427"/>
    </row>
    <row r="160" spans="7:15" ht="15.75" customHeight="1" x14ac:dyDescent="0.3">
      <c r="G160" s="427"/>
      <c r="I160" s="427"/>
      <c r="O160" s="427"/>
    </row>
    <row r="161" spans="7:15" ht="15.75" customHeight="1" x14ac:dyDescent="0.3">
      <c r="G161" s="427"/>
      <c r="I161" s="427"/>
      <c r="O161" s="427"/>
    </row>
    <row r="162" spans="7:15" ht="15.75" customHeight="1" x14ac:dyDescent="0.3">
      <c r="G162" s="427"/>
      <c r="I162" s="427"/>
      <c r="O162" s="427"/>
    </row>
    <row r="163" spans="7:15" ht="15.75" customHeight="1" x14ac:dyDescent="0.3">
      <c r="G163" s="427"/>
      <c r="I163" s="427"/>
      <c r="O163" s="427"/>
    </row>
    <row r="164" spans="7:15" ht="15.75" customHeight="1" x14ac:dyDescent="0.3">
      <c r="G164" s="427"/>
      <c r="I164" s="427"/>
      <c r="O164" s="427"/>
    </row>
    <row r="165" spans="7:15" ht="15.75" customHeight="1" x14ac:dyDescent="0.3">
      <c r="G165" s="427"/>
      <c r="I165" s="427"/>
      <c r="O165" s="427"/>
    </row>
    <row r="166" spans="7:15" ht="15.75" customHeight="1" x14ac:dyDescent="0.3">
      <c r="G166" s="427"/>
      <c r="I166" s="427"/>
      <c r="O166" s="427"/>
    </row>
    <row r="167" spans="7:15" ht="15.75" customHeight="1" x14ac:dyDescent="0.3">
      <c r="G167" s="427"/>
      <c r="I167" s="427"/>
      <c r="O167" s="427"/>
    </row>
    <row r="168" spans="7:15" ht="15.75" customHeight="1" x14ac:dyDescent="0.3">
      <c r="G168" s="427"/>
      <c r="I168" s="427"/>
      <c r="O168" s="427"/>
    </row>
    <row r="169" spans="7:15" ht="15.75" customHeight="1" x14ac:dyDescent="0.3">
      <c r="G169" s="427"/>
      <c r="I169" s="427"/>
      <c r="O169" s="427"/>
    </row>
    <row r="170" spans="7:15" ht="15.75" customHeight="1" x14ac:dyDescent="0.3">
      <c r="G170" s="427"/>
      <c r="I170" s="427"/>
      <c r="O170" s="427"/>
    </row>
    <row r="171" spans="7:15" ht="15.75" customHeight="1" x14ac:dyDescent="0.3">
      <c r="G171" s="427"/>
      <c r="I171" s="427"/>
      <c r="O171" s="427"/>
    </row>
    <row r="172" spans="7:15" ht="15.75" customHeight="1" x14ac:dyDescent="0.3">
      <c r="G172" s="427"/>
      <c r="I172" s="427"/>
      <c r="O172" s="427"/>
    </row>
    <row r="173" spans="7:15" ht="15.75" customHeight="1" x14ac:dyDescent="0.3">
      <c r="G173" s="427"/>
      <c r="I173" s="427"/>
      <c r="O173" s="427"/>
    </row>
    <row r="174" spans="7:15" ht="15.75" customHeight="1" x14ac:dyDescent="0.3">
      <c r="G174" s="427"/>
      <c r="I174" s="427"/>
      <c r="O174" s="427"/>
    </row>
    <row r="175" spans="7:15" ht="15.75" customHeight="1" x14ac:dyDescent="0.3">
      <c r="G175" s="427"/>
      <c r="I175" s="427"/>
      <c r="O175" s="427"/>
    </row>
    <row r="176" spans="7:15" ht="15.75" customHeight="1" x14ac:dyDescent="0.3">
      <c r="G176" s="427"/>
      <c r="I176" s="427"/>
      <c r="O176" s="427"/>
    </row>
    <row r="177" spans="7:15" ht="15.75" customHeight="1" x14ac:dyDescent="0.3">
      <c r="G177" s="427"/>
      <c r="I177" s="427"/>
      <c r="O177" s="427"/>
    </row>
    <row r="178" spans="7:15" ht="15.75" customHeight="1" x14ac:dyDescent="0.3">
      <c r="G178" s="427"/>
      <c r="I178" s="427"/>
      <c r="O178" s="427"/>
    </row>
    <row r="179" spans="7:15" ht="15.75" customHeight="1" x14ac:dyDescent="0.3">
      <c r="G179" s="427"/>
      <c r="I179" s="427"/>
      <c r="O179" s="427"/>
    </row>
    <row r="180" spans="7:15" ht="15.75" customHeight="1" x14ac:dyDescent="0.3">
      <c r="G180" s="427"/>
      <c r="I180" s="427"/>
      <c r="O180" s="427"/>
    </row>
    <row r="181" spans="7:15" ht="15.75" customHeight="1" x14ac:dyDescent="0.3">
      <c r="G181" s="427"/>
      <c r="I181" s="427"/>
      <c r="O181" s="427"/>
    </row>
    <row r="182" spans="7:15" ht="15.75" customHeight="1" x14ac:dyDescent="0.3">
      <c r="G182" s="427"/>
      <c r="I182" s="427"/>
      <c r="O182" s="427"/>
    </row>
    <row r="183" spans="7:15" ht="15.75" customHeight="1" x14ac:dyDescent="0.3">
      <c r="G183" s="427"/>
      <c r="I183" s="427"/>
      <c r="O183" s="427"/>
    </row>
    <row r="184" spans="7:15" ht="15.75" customHeight="1" x14ac:dyDescent="0.3">
      <c r="G184" s="427"/>
      <c r="I184" s="427"/>
      <c r="O184" s="427"/>
    </row>
    <row r="185" spans="7:15" ht="15.75" customHeight="1" x14ac:dyDescent="0.3">
      <c r="G185" s="427"/>
      <c r="I185" s="427"/>
      <c r="O185" s="427"/>
    </row>
    <row r="186" spans="7:15" ht="15.75" customHeight="1" x14ac:dyDescent="0.3">
      <c r="G186" s="427"/>
      <c r="I186" s="427"/>
      <c r="O186" s="427"/>
    </row>
    <row r="187" spans="7:15" ht="15.75" customHeight="1" x14ac:dyDescent="0.3">
      <c r="G187" s="427"/>
      <c r="I187" s="427"/>
      <c r="O187" s="427"/>
    </row>
    <row r="188" spans="7:15" ht="15.75" customHeight="1" x14ac:dyDescent="0.3">
      <c r="G188" s="427"/>
      <c r="I188" s="427"/>
      <c r="O188" s="427"/>
    </row>
    <row r="189" spans="7:15" ht="15.75" customHeight="1" x14ac:dyDescent="0.3">
      <c r="G189" s="427"/>
      <c r="I189" s="427"/>
      <c r="O189" s="427"/>
    </row>
    <row r="190" spans="7:15" ht="15.75" customHeight="1" x14ac:dyDescent="0.3">
      <c r="G190" s="427"/>
      <c r="I190" s="427"/>
      <c r="O190" s="427"/>
    </row>
    <row r="191" spans="7:15" ht="15.75" customHeight="1" x14ac:dyDescent="0.3">
      <c r="G191" s="427"/>
      <c r="I191" s="427"/>
      <c r="O191" s="427"/>
    </row>
    <row r="192" spans="7:15" ht="15.75" customHeight="1" x14ac:dyDescent="0.3">
      <c r="G192" s="427"/>
      <c r="I192" s="427"/>
      <c r="O192" s="427"/>
    </row>
    <row r="193" spans="7:15" ht="15.75" customHeight="1" x14ac:dyDescent="0.3">
      <c r="G193" s="427"/>
      <c r="I193" s="427"/>
      <c r="O193" s="427"/>
    </row>
    <row r="194" spans="7:15" ht="15.75" customHeight="1" x14ac:dyDescent="0.3">
      <c r="G194" s="427"/>
      <c r="I194" s="427"/>
      <c r="O194" s="427"/>
    </row>
    <row r="195" spans="7:15" ht="15.75" customHeight="1" x14ac:dyDescent="0.3">
      <c r="G195" s="427"/>
      <c r="I195" s="427"/>
      <c r="O195" s="427"/>
    </row>
    <row r="196" spans="7:15" ht="15.75" customHeight="1" x14ac:dyDescent="0.3">
      <c r="G196" s="427"/>
      <c r="I196" s="427"/>
      <c r="O196" s="427"/>
    </row>
    <row r="197" spans="7:15" ht="15.75" customHeight="1" x14ac:dyDescent="0.3">
      <c r="G197" s="427"/>
      <c r="I197" s="427"/>
      <c r="O197" s="427"/>
    </row>
    <row r="198" spans="7:15" ht="15.75" customHeight="1" x14ac:dyDescent="0.3">
      <c r="G198" s="427"/>
      <c r="I198" s="427"/>
      <c r="O198" s="427"/>
    </row>
    <row r="199" spans="7:15" ht="15.75" customHeight="1" x14ac:dyDescent="0.3">
      <c r="G199" s="427"/>
      <c r="I199" s="427"/>
      <c r="O199" s="427"/>
    </row>
    <row r="200" spans="7:15" ht="15.75" customHeight="1" x14ac:dyDescent="0.3">
      <c r="G200" s="427"/>
      <c r="I200" s="427"/>
      <c r="O200" s="427"/>
    </row>
    <row r="201" spans="7:15" ht="15.75" customHeight="1" x14ac:dyDescent="0.3">
      <c r="G201" s="427"/>
      <c r="I201" s="427"/>
      <c r="O201" s="427"/>
    </row>
    <row r="202" spans="7:15" ht="15.75" customHeight="1" x14ac:dyDescent="0.3">
      <c r="G202" s="427"/>
      <c r="I202" s="427"/>
      <c r="O202" s="427"/>
    </row>
    <row r="203" spans="7:15" ht="15.75" customHeight="1" x14ac:dyDescent="0.3">
      <c r="G203" s="427"/>
      <c r="I203" s="427"/>
      <c r="O203" s="427"/>
    </row>
    <row r="204" spans="7:15" ht="15.75" customHeight="1" x14ac:dyDescent="0.3">
      <c r="G204" s="427"/>
      <c r="I204" s="427"/>
      <c r="O204" s="427"/>
    </row>
    <row r="205" spans="7:15" ht="15.75" customHeight="1" x14ac:dyDescent="0.3">
      <c r="G205" s="427"/>
      <c r="I205" s="427"/>
      <c r="O205" s="427"/>
    </row>
    <row r="206" spans="7:15" ht="15.75" customHeight="1" x14ac:dyDescent="0.3">
      <c r="G206" s="427"/>
      <c r="I206" s="427"/>
      <c r="O206" s="427"/>
    </row>
    <row r="207" spans="7:15" ht="15.75" customHeight="1" x14ac:dyDescent="0.3">
      <c r="G207" s="427"/>
      <c r="I207" s="427"/>
      <c r="O207" s="427"/>
    </row>
    <row r="208" spans="7:15" ht="15.75" customHeight="1" x14ac:dyDescent="0.3">
      <c r="G208" s="427"/>
      <c r="I208" s="427"/>
      <c r="O208" s="427"/>
    </row>
    <row r="209" spans="7:15" ht="15.75" customHeight="1" x14ac:dyDescent="0.3">
      <c r="G209" s="427"/>
      <c r="I209" s="427"/>
      <c r="O209" s="427"/>
    </row>
    <row r="210" spans="7:15" ht="15.75" customHeight="1" x14ac:dyDescent="0.3">
      <c r="G210" s="427"/>
      <c r="I210" s="427"/>
      <c r="O210" s="427"/>
    </row>
    <row r="211" spans="7:15" ht="15.75" customHeight="1" x14ac:dyDescent="0.3">
      <c r="G211" s="427"/>
      <c r="I211" s="427"/>
      <c r="O211" s="427"/>
    </row>
    <row r="212" spans="7:15" ht="15.75" customHeight="1" x14ac:dyDescent="0.3">
      <c r="G212" s="427"/>
      <c r="I212" s="427"/>
      <c r="O212" s="427"/>
    </row>
    <row r="213" spans="7:15" ht="15.75" customHeight="1" x14ac:dyDescent="0.3">
      <c r="G213" s="427"/>
      <c r="I213" s="427"/>
      <c r="O213" s="427"/>
    </row>
    <row r="214" spans="7:15" ht="15.75" customHeight="1" x14ac:dyDescent="0.3">
      <c r="G214" s="427"/>
      <c r="I214" s="427"/>
      <c r="O214" s="427"/>
    </row>
    <row r="215" spans="7:15" ht="15.75" customHeight="1" x14ac:dyDescent="0.3">
      <c r="G215" s="427"/>
      <c r="I215" s="427"/>
      <c r="O215" s="427"/>
    </row>
    <row r="216" spans="7:15" ht="15.75" customHeight="1" x14ac:dyDescent="0.3">
      <c r="G216" s="427"/>
      <c r="I216" s="427"/>
      <c r="O216" s="427"/>
    </row>
    <row r="217" spans="7:15" ht="15.75" customHeight="1" x14ac:dyDescent="0.3">
      <c r="G217" s="427"/>
      <c r="I217" s="427"/>
      <c r="O217" s="427"/>
    </row>
    <row r="218" spans="7:15" ht="15.75" customHeight="1" x14ac:dyDescent="0.3">
      <c r="G218" s="427"/>
      <c r="I218" s="427"/>
      <c r="O218" s="427"/>
    </row>
    <row r="219" spans="7:15" ht="15.75" customHeight="1" x14ac:dyDescent="0.3">
      <c r="G219" s="427"/>
      <c r="I219" s="427"/>
      <c r="O219" s="427"/>
    </row>
    <row r="220" spans="7:15" ht="15.75" customHeight="1" x14ac:dyDescent="0.3">
      <c r="G220" s="427"/>
      <c r="I220" s="427"/>
      <c r="O220" s="427"/>
    </row>
    <row r="221" spans="7:15" ht="15.75" customHeight="1" x14ac:dyDescent="0.3">
      <c r="G221" s="427"/>
      <c r="I221" s="427"/>
      <c r="O221" s="427"/>
    </row>
    <row r="222" spans="7:15" ht="15.75" customHeight="1" x14ac:dyDescent="0.3">
      <c r="G222" s="427"/>
      <c r="I222" s="427"/>
      <c r="O222" s="427"/>
    </row>
    <row r="223" spans="7:15" ht="15.75" customHeight="1" x14ac:dyDescent="0.3">
      <c r="G223" s="427"/>
      <c r="I223" s="427"/>
      <c r="O223" s="427"/>
    </row>
    <row r="224" spans="7:15" ht="15.75" customHeight="1" x14ac:dyDescent="0.3">
      <c r="G224" s="427"/>
      <c r="I224" s="427"/>
      <c r="O224" s="427"/>
    </row>
    <row r="225" spans="7:15" ht="15.75" customHeight="1" x14ac:dyDescent="0.3">
      <c r="G225" s="427"/>
      <c r="I225" s="427"/>
      <c r="O225" s="427"/>
    </row>
    <row r="226" spans="7:15" ht="15.75" customHeight="1" x14ac:dyDescent="0.3">
      <c r="G226" s="427"/>
      <c r="I226" s="427"/>
      <c r="O226" s="427"/>
    </row>
    <row r="227" spans="7:15" ht="15.75" customHeight="1" x14ac:dyDescent="0.3">
      <c r="G227" s="427"/>
      <c r="I227" s="427"/>
      <c r="O227" s="427"/>
    </row>
    <row r="228" spans="7:15" ht="15.75" customHeight="1" x14ac:dyDescent="0.3">
      <c r="G228" s="427"/>
      <c r="I228" s="427"/>
      <c r="O228" s="427"/>
    </row>
    <row r="229" spans="7:15" ht="15.75" customHeight="1" x14ac:dyDescent="0.3">
      <c r="G229" s="427"/>
      <c r="I229" s="427"/>
      <c r="O229" s="427"/>
    </row>
    <row r="230" spans="7:15" ht="15.75" customHeight="1" x14ac:dyDescent="0.3">
      <c r="G230" s="427"/>
      <c r="I230" s="427"/>
      <c r="O230" s="427"/>
    </row>
    <row r="231" spans="7:15" ht="15.75" customHeight="1" x14ac:dyDescent="0.3">
      <c r="G231" s="427"/>
      <c r="I231" s="427"/>
      <c r="O231" s="427"/>
    </row>
    <row r="232" spans="7:15" ht="15.75" customHeight="1" x14ac:dyDescent="0.3">
      <c r="G232" s="427"/>
      <c r="I232" s="427"/>
      <c r="O232" s="427"/>
    </row>
    <row r="233" spans="7:15" ht="15.75" customHeight="1" x14ac:dyDescent="0.3">
      <c r="G233" s="427"/>
      <c r="I233" s="427"/>
      <c r="O233" s="427"/>
    </row>
    <row r="234" spans="7:15" ht="15.75" customHeight="1" x14ac:dyDescent="0.3">
      <c r="G234" s="427"/>
      <c r="I234" s="427"/>
      <c r="O234" s="427"/>
    </row>
    <row r="235" spans="7:15" ht="15.75" customHeight="1" x14ac:dyDescent="0.3">
      <c r="G235" s="427"/>
      <c r="I235" s="427"/>
      <c r="O235" s="427"/>
    </row>
    <row r="236" spans="7:15" ht="15.75" customHeight="1" x14ac:dyDescent="0.3">
      <c r="G236" s="427"/>
      <c r="I236" s="427"/>
      <c r="O236" s="427"/>
    </row>
    <row r="237" spans="7:15" ht="15.75" customHeight="1" x14ac:dyDescent="0.3">
      <c r="G237" s="427"/>
      <c r="I237" s="427"/>
      <c r="O237" s="427"/>
    </row>
    <row r="238" spans="7:15" ht="15.75" customHeight="1" x14ac:dyDescent="0.3">
      <c r="G238" s="427"/>
      <c r="I238" s="427"/>
      <c r="O238" s="427"/>
    </row>
    <row r="239" spans="7:15" ht="15.75" customHeight="1" x14ac:dyDescent="0.3">
      <c r="G239" s="427"/>
      <c r="I239" s="427"/>
      <c r="O239" s="427"/>
    </row>
    <row r="240" spans="7:15" ht="15.75" customHeight="1" x14ac:dyDescent="0.3">
      <c r="G240" s="427"/>
      <c r="I240" s="427"/>
      <c r="O240" s="427"/>
    </row>
    <row r="241" spans="7:15" ht="15.75" customHeight="1" x14ac:dyDescent="0.3">
      <c r="G241" s="427"/>
      <c r="I241" s="427"/>
      <c r="O241" s="427"/>
    </row>
    <row r="242" spans="7:15" ht="15.75" customHeight="1" x14ac:dyDescent="0.3">
      <c r="G242" s="427"/>
      <c r="I242" s="427"/>
      <c r="O242" s="427"/>
    </row>
    <row r="243" spans="7:15" ht="15.75" customHeight="1" x14ac:dyDescent="0.3">
      <c r="G243" s="427"/>
      <c r="I243" s="427"/>
      <c r="O243" s="427"/>
    </row>
    <row r="244" spans="7:15" ht="15.75" customHeight="1" x14ac:dyDescent="0.3">
      <c r="G244" s="427"/>
      <c r="I244" s="427"/>
      <c r="O244" s="427"/>
    </row>
    <row r="245" spans="7:15" ht="15.75" customHeight="1" x14ac:dyDescent="0.3">
      <c r="G245" s="427"/>
      <c r="I245" s="427"/>
      <c r="O245" s="427"/>
    </row>
    <row r="246" spans="7:15" ht="15.75" customHeight="1" x14ac:dyDescent="0.3">
      <c r="G246" s="427"/>
      <c r="I246" s="427"/>
      <c r="O246" s="427"/>
    </row>
    <row r="247" spans="7:15" ht="15.75" customHeight="1" x14ac:dyDescent="0.3">
      <c r="G247" s="427"/>
      <c r="I247" s="427"/>
      <c r="O247" s="427"/>
    </row>
    <row r="248" spans="7:15" ht="15.75" customHeight="1" x14ac:dyDescent="0.3">
      <c r="G248" s="427"/>
      <c r="I248" s="427"/>
      <c r="O248" s="427"/>
    </row>
    <row r="249" spans="7:15" ht="15.75" customHeight="1" x14ac:dyDescent="0.3">
      <c r="G249" s="427"/>
      <c r="I249" s="427"/>
      <c r="O249" s="427"/>
    </row>
    <row r="250" spans="7:15" ht="15.75" customHeight="1" x14ac:dyDescent="0.3">
      <c r="G250" s="427"/>
      <c r="I250" s="427"/>
      <c r="O250" s="427"/>
    </row>
    <row r="251" spans="7:15" ht="15.75" customHeight="1" x14ac:dyDescent="0.3"/>
    <row r="252" spans="7:15" ht="15.75" customHeight="1" x14ac:dyDescent="0.3"/>
    <row r="253" spans="7:15" ht="15.75" customHeight="1" x14ac:dyDescent="0.3"/>
    <row r="254" spans="7:15" ht="15.75" customHeight="1" x14ac:dyDescent="0.3"/>
    <row r="255" spans="7:15" ht="15.75" customHeight="1" x14ac:dyDescent="0.3"/>
    <row r="256" spans="7:15"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2">
    <mergeCell ref="C7:F7"/>
    <mergeCell ref="K7:N7"/>
  </mergeCells>
  <dataValidations count="1">
    <dataValidation type="list" allowBlank="1" showErrorMessage="1" sqref="B17 B22 B27 B32" xr:uid="{D54C72CB-FCC8-4D73-A5B3-2CE46DDAC26F}">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B3898-98E4-4E87-AA77-1603B892321F}">
  <dimension ref="A1:AD885"/>
  <sheetViews>
    <sheetView workbookViewId="0">
      <selection activeCell="D20" sqref="D20"/>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17" width="11.5546875" style="428" hidden="1" customWidth="1"/>
    <col min="18" max="18" width="11.5546875" style="428" customWidth="1"/>
    <col min="19"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2370</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1302" t="s">
        <v>474</v>
      </c>
      <c r="D10" s="1303" t="s">
        <v>523</v>
      </c>
      <c r="E10" s="2956" t="s">
        <v>350</v>
      </c>
      <c r="F10" s="533"/>
      <c r="G10" s="534">
        <v>2015</v>
      </c>
      <c r="H10" s="535"/>
      <c r="I10" s="1615">
        <v>0</v>
      </c>
      <c r="J10" s="4169">
        <v>0</v>
      </c>
      <c r="K10" s="4169">
        <v>0</v>
      </c>
      <c r="L10" s="4169">
        <v>0</v>
      </c>
      <c r="M10" s="4169">
        <v>0</v>
      </c>
      <c r="N10" s="4169">
        <v>0</v>
      </c>
      <c r="O10" s="4169">
        <v>0</v>
      </c>
      <c r="P10" s="4169">
        <v>0</v>
      </c>
      <c r="Q10" s="4169" t="s">
        <v>1556</v>
      </c>
      <c r="R10" s="2966">
        <v>29455</v>
      </c>
      <c r="S10" s="535"/>
      <c r="T10" s="535"/>
      <c r="U10" s="542"/>
      <c r="V10" s="535"/>
      <c r="W10" s="542"/>
      <c r="X10" s="535"/>
      <c r="Y10" s="542"/>
      <c r="Z10" s="535"/>
      <c r="AA10" s="528"/>
      <c r="AB10" s="528"/>
      <c r="AC10" s="528"/>
      <c r="AD10" s="528"/>
    </row>
    <row r="11" spans="1:30" ht="24" customHeight="1" x14ac:dyDescent="0.3">
      <c r="A11" s="528"/>
      <c r="B11" s="529"/>
      <c r="C11" s="1308" t="s">
        <v>474</v>
      </c>
      <c r="D11" s="1308" t="s">
        <v>1555</v>
      </c>
      <c r="E11" s="1309" t="s">
        <v>353</v>
      </c>
      <c r="F11" s="506"/>
      <c r="G11" s="496"/>
      <c r="H11" s="544"/>
      <c r="I11" s="2967">
        <v>154962</v>
      </c>
      <c r="J11" s="4170">
        <v>160359</v>
      </c>
      <c r="K11" s="4170">
        <v>170286</v>
      </c>
      <c r="L11" s="4170">
        <v>201871</v>
      </c>
      <c r="M11" s="4170">
        <v>210973</v>
      </c>
      <c r="N11" s="4170">
        <v>258243</v>
      </c>
      <c r="O11" s="4190" t="s">
        <v>1557</v>
      </c>
      <c r="P11" s="4190" t="s">
        <v>1558</v>
      </c>
      <c r="Q11" s="4190" t="s">
        <v>1559</v>
      </c>
      <c r="R11" s="4197">
        <v>29620</v>
      </c>
      <c r="S11" s="544"/>
      <c r="T11" s="544"/>
      <c r="U11" s="548"/>
      <c r="V11" s="544"/>
      <c r="W11" s="548"/>
      <c r="X11" s="544"/>
      <c r="Y11" s="548"/>
      <c r="Z11" s="544"/>
      <c r="AA11" s="528"/>
      <c r="AB11" s="528"/>
      <c r="AC11" s="528"/>
      <c r="AD11" s="528"/>
    </row>
    <row r="12" spans="1:30" ht="18.600000000000001" customHeight="1" x14ac:dyDescent="0.3">
      <c r="A12" s="528"/>
      <c r="B12" s="529"/>
      <c r="C12" s="531"/>
      <c r="D12" s="531"/>
      <c r="E12" s="532"/>
      <c r="F12" s="533"/>
      <c r="G12" s="549"/>
      <c r="H12" s="550"/>
      <c r="I12" s="550"/>
      <c r="J12" s="550"/>
      <c r="K12" s="550"/>
      <c r="L12" s="550"/>
      <c r="M12" s="550"/>
      <c r="N12" s="550"/>
      <c r="O12" s="550"/>
      <c r="P12" s="550"/>
      <c r="Q12" s="550"/>
      <c r="R12" s="550"/>
      <c r="S12" s="550"/>
      <c r="T12" s="550"/>
      <c r="U12" s="542"/>
      <c r="V12" s="550"/>
      <c r="W12" s="542"/>
      <c r="X12" s="550"/>
      <c r="Y12" s="542"/>
      <c r="Z12" s="550"/>
      <c r="AA12" s="528"/>
      <c r="AB12" s="528"/>
      <c r="AC12" s="528"/>
      <c r="AD12" s="528"/>
    </row>
    <row r="13" spans="1:30" ht="18.600000000000001" customHeight="1" x14ac:dyDescent="0.3">
      <c r="A13" s="528"/>
      <c r="B13" s="552"/>
      <c r="C13" s="462"/>
      <c r="D13" s="462"/>
      <c r="E13" s="553"/>
      <c r="F13" s="554"/>
      <c r="G13" s="555"/>
      <c r="H13" s="556"/>
      <c r="I13" s="556"/>
      <c r="J13" s="556"/>
      <c r="K13" s="556"/>
      <c r="L13" s="556"/>
      <c r="M13" s="556"/>
      <c r="N13" s="556"/>
      <c r="O13" s="556"/>
      <c r="P13" s="556"/>
      <c r="Q13" s="556"/>
      <c r="R13" s="556"/>
      <c r="S13" s="556"/>
      <c r="T13" s="556"/>
      <c r="U13" s="557"/>
      <c r="V13" s="556"/>
      <c r="W13" s="557"/>
      <c r="X13" s="556"/>
      <c r="Y13" s="557"/>
      <c r="Z13" s="556"/>
      <c r="AA13" s="528"/>
      <c r="AB13" s="528"/>
      <c r="AC13" s="528"/>
      <c r="AD13" s="528"/>
    </row>
    <row r="14" spans="1:30" ht="15.75" customHeight="1" x14ac:dyDescent="0.3">
      <c r="A14" s="528"/>
      <c r="B14" s="558"/>
      <c r="C14" s="528"/>
      <c r="D14" s="528"/>
      <c r="E14" s="528"/>
      <c r="F14" s="528"/>
      <c r="G14" s="479"/>
      <c r="H14" s="479"/>
      <c r="I14" s="479"/>
      <c r="J14" s="479"/>
      <c r="K14" s="479"/>
      <c r="L14" s="479"/>
      <c r="M14" s="559"/>
      <c r="N14" s="559"/>
      <c r="O14" s="559"/>
      <c r="P14" s="559"/>
      <c r="Q14" s="559"/>
      <c r="R14" s="559"/>
      <c r="S14" s="559"/>
      <c r="T14" s="559"/>
      <c r="U14" s="559"/>
      <c r="V14" s="559"/>
      <c r="W14" s="559"/>
      <c r="X14" s="559"/>
      <c r="Y14" s="559"/>
      <c r="Z14" s="559"/>
      <c r="AA14" s="528"/>
      <c r="AB14" s="528"/>
      <c r="AC14" s="528"/>
      <c r="AD14" s="528"/>
    </row>
    <row r="15" spans="1:30" ht="15.75" customHeight="1" x14ac:dyDescent="0.3">
      <c r="A15" s="528"/>
      <c r="B15" s="560" t="s">
        <v>355</v>
      </c>
      <c r="C15" s="561" t="s">
        <v>356</v>
      </c>
      <c r="D15" s="528"/>
      <c r="E15" s="528"/>
      <c r="F15" s="528"/>
      <c r="G15" s="479"/>
      <c r="H15" s="479"/>
      <c r="I15" s="479"/>
      <c r="J15" s="479"/>
      <c r="K15" s="479"/>
      <c r="L15" s="479"/>
      <c r="M15" s="559"/>
      <c r="N15" s="559"/>
      <c r="O15" s="559"/>
      <c r="P15" s="559"/>
      <c r="Q15" s="559"/>
      <c r="R15" s="559"/>
      <c r="S15" s="559"/>
      <c r="T15" s="559"/>
      <c r="U15" s="559"/>
      <c r="V15" s="559"/>
      <c r="W15" s="559"/>
      <c r="X15" s="559"/>
      <c r="Y15" s="559"/>
      <c r="Z15" s="559"/>
      <c r="AA15" s="528"/>
      <c r="AB15" s="528"/>
      <c r="AC15" s="528"/>
      <c r="AD15" s="528"/>
    </row>
    <row r="16" spans="1:30" ht="15.75" customHeight="1" x14ac:dyDescent="0.3">
      <c r="A16" s="528"/>
      <c r="B16" s="558"/>
      <c r="C16" s="528"/>
      <c r="D16" s="528"/>
      <c r="E16" s="528"/>
      <c r="F16" s="528"/>
      <c r="G16" s="479"/>
      <c r="H16" s="479"/>
      <c r="I16" s="479"/>
      <c r="J16" s="479"/>
      <c r="K16" s="479"/>
      <c r="L16" s="479"/>
      <c r="M16" s="559"/>
      <c r="N16" s="559"/>
      <c r="O16" s="559"/>
      <c r="P16" s="559"/>
      <c r="Q16" s="559"/>
      <c r="R16" s="559"/>
      <c r="S16" s="559"/>
      <c r="T16" s="559"/>
      <c r="U16" s="559"/>
      <c r="V16" s="559"/>
      <c r="W16" s="559"/>
      <c r="X16" s="559"/>
      <c r="Y16" s="559"/>
      <c r="Z16" s="559"/>
      <c r="AA16" s="528"/>
      <c r="AB16" s="528"/>
      <c r="AC16" s="528"/>
      <c r="AD16" s="528"/>
    </row>
    <row r="17" spans="1:30" ht="15.75" customHeight="1" x14ac:dyDescent="0.3">
      <c r="A17" s="528"/>
      <c r="B17" s="4383" t="s">
        <v>357</v>
      </c>
      <c r="C17" s="4384"/>
      <c r="D17" s="528"/>
      <c r="E17" s="528"/>
      <c r="F17" s="528"/>
      <c r="G17" s="479"/>
      <c r="H17" s="479"/>
      <c r="I17" s="479"/>
      <c r="J17" s="479"/>
      <c r="K17" s="479"/>
      <c r="L17" s="479"/>
      <c r="M17" s="559"/>
      <c r="N17" s="559"/>
      <c r="O17" s="559"/>
      <c r="P17" s="559"/>
      <c r="Q17" s="559"/>
      <c r="R17" s="559"/>
      <c r="S17" s="559"/>
      <c r="T17" s="559"/>
      <c r="U17" s="559"/>
      <c r="V17" s="559"/>
      <c r="W17" s="559"/>
      <c r="X17" s="559"/>
      <c r="Y17" s="559"/>
      <c r="Z17" s="559"/>
      <c r="AA17" s="528"/>
      <c r="AB17" s="528"/>
      <c r="AC17" s="528"/>
      <c r="AD17" s="528"/>
    </row>
    <row r="18" spans="1:30" ht="15.75" customHeight="1" x14ac:dyDescent="0.3">
      <c r="A18" s="528"/>
      <c r="B18" s="562" t="s">
        <v>301</v>
      </c>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562" t="s">
        <v>301</v>
      </c>
      <c r="C19" s="528"/>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row r="21" spans="1:30" ht="15.75" customHeight="1" x14ac:dyDescent="0.3"/>
    <row r="22" spans="1:30" ht="15.75" customHeight="1" x14ac:dyDescent="0.3"/>
    <row r="23" spans="1:30" ht="15.75" customHeight="1" x14ac:dyDescent="0.3"/>
    <row r="24" spans="1:30" ht="15.75" customHeight="1" x14ac:dyDescent="0.3"/>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FFD46-1133-4B8B-8168-B48197D71386}">
  <dimension ref="A1:M986"/>
  <sheetViews>
    <sheetView topLeftCell="A8" zoomScale="90" zoomScaleNormal="90" workbookViewId="0">
      <selection activeCell="O21" sqref="O21"/>
    </sheetView>
  </sheetViews>
  <sheetFormatPr defaultColWidth="12.44140625" defaultRowHeight="15" customHeight="1" x14ac:dyDescent="0.3"/>
  <cols>
    <col min="1" max="1" width="2.6640625" style="428" customWidth="1"/>
    <col min="2" max="2" width="35.109375" style="428" customWidth="1"/>
    <col min="3" max="3" width="21.21875" style="428" customWidth="1"/>
    <col min="4" max="4" width="1.5546875" style="428" customWidth="1"/>
    <col min="5" max="5" width="14.6640625" style="428" customWidth="1"/>
    <col min="6" max="6" width="7.33203125" style="428" customWidth="1"/>
    <col min="7" max="7" width="34" style="428" customWidth="1"/>
    <col min="8" max="10" width="19.109375" style="428" customWidth="1"/>
    <col min="11" max="11" width="1.5546875" style="428" customWidth="1"/>
    <col min="12" max="12" width="15.21875" style="428" customWidth="1"/>
    <col min="13" max="13" width="11.6640625" style="428" customWidth="1"/>
    <col min="14" max="16384" width="12.44140625" style="428"/>
  </cols>
  <sheetData>
    <row r="1" spans="1:13" ht="21.75" customHeight="1" x14ac:dyDescent="0.35">
      <c r="A1" s="424"/>
      <c r="B1" s="425" t="s">
        <v>549</v>
      </c>
      <c r="D1" s="427"/>
      <c r="F1" s="427"/>
      <c r="K1" s="427"/>
    </row>
    <row r="2" spans="1:13" ht="15.75" customHeight="1" x14ac:dyDescent="0.3">
      <c r="A2" s="424"/>
      <c r="B2" s="429" t="s">
        <v>299</v>
      </c>
      <c r="C2" s="430"/>
      <c r="D2" s="430"/>
      <c r="E2" s="430"/>
      <c r="F2" s="430"/>
      <c r="G2" s="430"/>
      <c r="H2" s="430"/>
      <c r="I2" s="430"/>
      <c r="J2" s="430"/>
      <c r="K2" s="430"/>
      <c r="L2" s="430"/>
    </row>
    <row r="3" spans="1:13" ht="9.75" customHeight="1" x14ac:dyDescent="0.3">
      <c r="A3" s="427"/>
      <c r="B3" s="431"/>
      <c r="D3" s="427"/>
      <c r="F3" s="427"/>
      <c r="K3" s="427"/>
    </row>
    <row r="4" spans="1:13" ht="6" customHeight="1" x14ac:dyDescent="0.3">
      <c r="B4" s="427"/>
      <c r="D4" s="427"/>
      <c r="F4" s="427"/>
      <c r="K4" s="427"/>
    </row>
    <row r="5" spans="1:13" ht="6" customHeight="1" x14ac:dyDescent="0.3">
      <c r="A5" s="431"/>
      <c r="D5" s="427"/>
      <c r="F5" s="427"/>
      <c r="K5" s="427"/>
    </row>
    <row r="6" spans="1:13" ht="15.75" customHeight="1" x14ac:dyDescent="0.3">
      <c r="C6" s="428">
        <v>1000000</v>
      </c>
      <c r="D6" s="427"/>
      <c r="E6" s="427"/>
      <c r="F6" s="427"/>
      <c r="K6" s="427"/>
    </row>
    <row r="7" spans="1:13" ht="37.200000000000003" customHeight="1" x14ac:dyDescent="0.3">
      <c r="A7" s="432"/>
      <c r="B7" s="433">
        <v>2024</v>
      </c>
      <c r="C7" s="434" t="s">
        <v>22</v>
      </c>
      <c r="D7" s="432"/>
      <c r="E7" s="435" t="s">
        <v>300</v>
      </c>
      <c r="F7" s="432"/>
      <c r="G7" s="433">
        <v>2024</v>
      </c>
      <c r="H7" s="4385" t="s">
        <v>23</v>
      </c>
      <c r="I7" s="4386"/>
      <c r="J7" s="4386"/>
      <c r="K7" s="609"/>
      <c r="L7" s="435" t="s">
        <v>300</v>
      </c>
      <c r="M7" s="432"/>
    </row>
    <row r="8" spans="1:13" ht="18" customHeight="1" x14ac:dyDescent="0.35">
      <c r="B8" s="436" t="s">
        <v>301</v>
      </c>
      <c r="C8" s="572">
        <v>1</v>
      </c>
      <c r="D8" s="427"/>
      <c r="E8" s="438"/>
      <c r="F8" s="427"/>
      <c r="G8" s="436" t="s">
        <v>301</v>
      </c>
      <c r="H8" s="648">
        <v>1</v>
      </c>
      <c r="I8" s="572">
        <v>2</v>
      </c>
      <c r="J8" s="572">
        <v>3</v>
      </c>
      <c r="K8" s="610"/>
      <c r="L8" s="438"/>
    </row>
    <row r="9" spans="1:13" ht="46.5" customHeight="1" x14ac:dyDescent="0.3">
      <c r="B9" s="439" t="s">
        <v>302</v>
      </c>
      <c r="C9" s="573" t="s">
        <v>772</v>
      </c>
      <c r="D9" s="574"/>
      <c r="E9" s="442"/>
      <c r="F9" s="443"/>
      <c r="G9" s="439" t="s">
        <v>302</v>
      </c>
      <c r="H9" s="573" t="s">
        <v>773</v>
      </c>
      <c r="I9" s="573" t="s">
        <v>774</v>
      </c>
      <c r="J9" s="573" t="s">
        <v>775</v>
      </c>
      <c r="K9" s="611"/>
      <c r="L9" s="442"/>
    </row>
    <row r="10" spans="1:13" ht="46.5" customHeight="1" x14ac:dyDescent="0.3">
      <c r="B10" s="444" t="s">
        <v>304</v>
      </c>
      <c r="C10" s="445" t="s">
        <v>776</v>
      </c>
      <c r="D10" s="574"/>
      <c r="E10" s="446"/>
      <c r="F10" s="443"/>
      <c r="G10" s="444" t="s">
        <v>304</v>
      </c>
      <c r="H10" s="445" t="s">
        <v>777</v>
      </c>
      <c r="I10" s="445" t="s">
        <v>778</v>
      </c>
      <c r="J10" s="445" t="s">
        <v>779</v>
      </c>
      <c r="K10" s="612"/>
      <c r="L10" s="446"/>
    </row>
    <row r="11" spans="1:13" ht="18.75" customHeight="1" x14ac:dyDescent="0.3">
      <c r="A11" s="447"/>
      <c r="B11" s="448" t="s">
        <v>306</v>
      </c>
      <c r="C11" s="575">
        <f>(C17*C18)</f>
        <v>8.4351508378800002</v>
      </c>
      <c r="D11" s="576"/>
      <c r="E11" s="451">
        <f>SUM(C11:C11)</f>
        <v>8.4351508378800002</v>
      </c>
      <c r="F11" s="452"/>
      <c r="G11" s="448" t="s">
        <v>306</v>
      </c>
      <c r="H11" s="1089">
        <f>(H17*H18)</f>
        <v>7.2758694080058088</v>
      </c>
      <c r="I11" s="1313">
        <f t="shared" ref="I11:J11" si="0">(I17*I18)</f>
        <v>5.9182969223851201</v>
      </c>
      <c r="J11" s="651">
        <f t="shared" si="0"/>
        <v>4.4477658355495944</v>
      </c>
      <c r="K11" s="614"/>
      <c r="L11" s="451">
        <f>SUM(H11:J11)</f>
        <v>17.641932165940524</v>
      </c>
      <c r="M11" s="447"/>
    </row>
    <row r="12" spans="1:13" ht="18.75" customHeight="1" x14ac:dyDescent="0.3">
      <c r="A12" s="447"/>
      <c r="B12" s="453" t="s">
        <v>307</v>
      </c>
      <c r="C12" s="577">
        <f>(C22*C23)</f>
        <v>6.4885775675999993</v>
      </c>
      <c r="D12" s="455"/>
      <c r="E12" s="456">
        <f>SUM(C12:C12)</f>
        <v>6.4885775675999993</v>
      </c>
      <c r="F12" s="457"/>
      <c r="G12" s="453" t="s">
        <v>307</v>
      </c>
      <c r="H12" s="577">
        <f>(H22*H23)</f>
        <v>0</v>
      </c>
      <c r="I12" s="577">
        <f t="shared" ref="I12:J12" si="1">(I22*I23)</f>
        <v>0</v>
      </c>
      <c r="J12" s="577">
        <f t="shared" si="1"/>
        <v>0</v>
      </c>
      <c r="K12" s="614"/>
      <c r="L12" s="456">
        <f>SUM(H12:J12)</f>
        <v>0</v>
      </c>
      <c r="M12" s="447"/>
    </row>
    <row r="13" spans="1:13" ht="18.75" customHeight="1" x14ac:dyDescent="0.3">
      <c r="A13" s="447"/>
      <c r="B13" s="448" t="s">
        <v>308</v>
      </c>
      <c r="C13" s="578" t="s">
        <v>8</v>
      </c>
      <c r="D13" s="459"/>
      <c r="E13" s="460"/>
      <c r="F13" s="461"/>
      <c r="G13" s="448" t="s">
        <v>308</v>
      </c>
      <c r="H13" s="654" t="s">
        <v>8</v>
      </c>
      <c r="I13" s="578" t="s">
        <v>8</v>
      </c>
      <c r="J13" s="578" t="s">
        <v>8</v>
      </c>
      <c r="K13" s="615"/>
      <c r="L13" s="460"/>
      <c r="M13" s="447"/>
    </row>
    <row r="14" spans="1:13" ht="18.75" customHeight="1" x14ac:dyDescent="0.3">
      <c r="A14" s="447"/>
      <c r="B14" s="462" t="s">
        <v>309</v>
      </c>
      <c r="C14" s="579">
        <f t="shared" ref="C14" si="2">C11-C12</f>
        <v>1.9465732702800009</v>
      </c>
      <c r="D14" s="455"/>
      <c r="E14" s="464">
        <f>SUM(C14:C14)</f>
        <v>1.9465732702800009</v>
      </c>
      <c r="F14" s="457"/>
      <c r="G14" s="462" t="s">
        <v>309</v>
      </c>
      <c r="H14" s="655">
        <f t="shared" ref="H14:J14" si="3">H11-H12</f>
        <v>7.2758694080058088</v>
      </c>
      <c r="I14" s="579">
        <f t="shared" si="3"/>
        <v>5.9182969223851201</v>
      </c>
      <c r="J14" s="579">
        <f t="shared" si="3"/>
        <v>4.4477658355495944</v>
      </c>
      <c r="K14" s="614"/>
      <c r="L14" s="464">
        <f>SUM(H14:J14)</f>
        <v>17.641932165940524</v>
      </c>
      <c r="M14" s="447"/>
    </row>
    <row r="15" spans="1:13" ht="19.5" customHeight="1" x14ac:dyDescent="0.4">
      <c r="B15" s="465" t="s">
        <v>310</v>
      </c>
      <c r="C15" s="580"/>
      <c r="D15" s="467"/>
      <c r="E15" s="468"/>
      <c r="F15" s="467"/>
      <c r="G15" s="616" t="s">
        <v>395</v>
      </c>
      <c r="H15" s="659"/>
      <c r="I15" s="617"/>
      <c r="J15" s="617"/>
      <c r="K15" s="618"/>
      <c r="L15" s="468"/>
      <c r="M15" s="427"/>
    </row>
    <row r="16" spans="1:13" ht="35.4" customHeight="1" x14ac:dyDescent="0.3">
      <c r="A16" s="447"/>
      <c r="B16" s="469" t="s">
        <v>311</v>
      </c>
      <c r="C16" s="601" t="s">
        <v>780</v>
      </c>
      <c r="D16" s="581"/>
      <c r="E16" s="471"/>
      <c r="F16" s="457"/>
      <c r="G16" s="469" t="s">
        <v>311</v>
      </c>
      <c r="H16" s="601" t="s">
        <v>781</v>
      </c>
      <c r="I16" s="601" t="s">
        <v>781</v>
      </c>
      <c r="J16" s="601" t="s">
        <v>781</v>
      </c>
      <c r="K16" s="619"/>
      <c r="L16" s="620"/>
      <c r="M16" s="447"/>
    </row>
    <row r="17" spans="1:13" ht="21" customHeight="1" x14ac:dyDescent="0.3">
      <c r="A17" s="447"/>
      <c r="B17" s="472" t="s">
        <v>2342</v>
      </c>
      <c r="C17" s="582">
        <f>'CF-0706|GDS'!I15</f>
        <v>5479.89</v>
      </c>
      <c r="D17" s="583"/>
      <c r="F17" s="475"/>
      <c r="G17" s="472" t="s">
        <v>398</v>
      </c>
      <c r="H17" s="662">
        <f>'CF-0706|GDS'!I33</f>
        <v>1.9904999999999999</v>
      </c>
      <c r="I17" s="662">
        <f>'CF-0706|GDS'!I35</f>
        <v>5.6783999999999999</v>
      </c>
      <c r="J17" s="621">
        <f>'CF-0706|GDS'!I37</f>
        <v>1.2167999999999999</v>
      </c>
      <c r="K17" s="622"/>
      <c r="L17" s="623"/>
      <c r="M17" s="447"/>
    </row>
    <row r="18" spans="1:13" ht="18.75" customHeight="1" x14ac:dyDescent="0.3">
      <c r="A18" s="447"/>
      <c r="B18" s="476" t="s">
        <v>314</v>
      </c>
      <c r="C18" s="584">
        <v>1.5392919999999998E-3</v>
      </c>
      <c r="D18" s="478"/>
      <c r="F18" s="479"/>
      <c r="G18" s="476" t="s">
        <v>314</v>
      </c>
      <c r="H18" s="584">
        <f>J18</f>
        <v>3.65529736649375</v>
      </c>
      <c r="I18" s="584">
        <v>1.0422472743</v>
      </c>
      <c r="J18" s="584">
        <v>3.65529736649375</v>
      </c>
      <c r="K18" s="614"/>
      <c r="L18" s="491"/>
      <c r="M18" s="647"/>
    </row>
    <row r="19" spans="1:13" ht="19.5" customHeight="1" x14ac:dyDescent="0.3">
      <c r="A19" s="447"/>
      <c r="B19" s="480" t="s">
        <v>315</v>
      </c>
      <c r="C19" s="585">
        <f>C17*C18</f>
        <v>8.4351508378800002</v>
      </c>
      <c r="D19" s="586"/>
      <c r="F19" s="479"/>
      <c r="G19" s="480" t="s">
        <v>315</v>
      </c>
      <c r="H19" s="664">
        <f>H17*H18</f>
        <v>7.2758694080058088</v>
      </c>
      <c r="I19" s="663">
        <f>I17*I18</f>
        <v>5.9182969223851201</v>
      </c>
      <c r="J19" s="585">
        <f>J17*J18</f>
        <v>4.4477658355495944</v>
      </c>
      <c r="K19" s="614"/>
      <c r="L19" s="494"/>
      <c r="M19" s="447"/>
    </row>
    <row r="20" spans="1:13" ht="21" customHeight="1" x14ac:dyDescent="0.4">
      <c r="B20" s="465" t="s">
        <v>316</v>
      </c>
      <c r="C20" s="587"/>
      <c r="D20" s="483"/>
      <c r="E20" s="484"/>
      <c r="F20" s="483"/>
      <c r="G20" s="465" t="s">
        <v>316</v>
      </c>
      <c r="H20" s="665"/>
      <c r="I20" s="587"/>
      <c r="J20" s="587"/>
      <c r="K20" s="618"/>
      <c r="L20" s="495"/>
    </row>
    <row r="21" spans="1:13" ht="32.4" customHeight="1" x14ac:dyDescent="0.3">
      <c r="A21" s="447"/>
      <c r="B21" s="469" t="s">
        <v>183</v>
      </c>
      <c r="C21" s="601" t="s">
        <v>782</v>
      </c>
      <c r="D21" s="588"/>
      <c r="E21" s="485"/>
      <c r="F21" s="479"/>
      <c r="G21" s="469" t="s">
        <v>183</v>
      </c>
      <c r="H21" s="601" t="s">
        <v>783</v>
      </c>
      <c r="I21" s="601" t="s">
        <v>784</v>
      </c>
      <c r="J21" s="601" t="s">
        <v>265</v>
      </c>
      <c r="K21" s="614"/>
      <c r="L21" s="496"/>
      <c r="M21" s="447"/>
    </row>
    <row r="22" spans="1:13" ht="21" customHeight="1" x14ac:dyDescent="0.3">
      <c r="A22" s="447"/>
      <c r="B22" s="486" t="s">
        <v>2342</v>
      </c>
      <c r="C22" s="589">
        <f>'CF-0706|GDS'!I10</f>
        <v>4215.3</v>
      </c>
      <c r="D22" s="479"/>
      <c r="E22" s="488"/>
      <c r="F22" s="479"/>
      <c r="G22" s="486" t="s">
        <v>398</v>
      </c>
      <c r="H22" s="666">
        <f>H17</f>
        <v>1.9904999999999999</v>
      </c>
      <c r="I22" s="589">
        <f>I17</f>
        <v>5.6783999999999999</v>
      </c>
      <c r="J22" s="589">
        <f>J17</f>
        <v>1.2167999999999999</v>
      </c>
      <c r="K22" s="622"/>
      <c r="L22" s="623"/>
      <c r="M22" s="447"/>
    </row>
    <row r="23" spans="1:13" ht="21" customHeight="1" x14ac:dyDescent="0.3">
      <c r="A23" s="447"/>
      <c r="B23" s="489" t="s">
        <v>314</v>
      </c>
      <c r="C23" s="590">
        <v>1.5392919999999998E-3</v>
      </c>
      <c r="D23" s="588"/>
      <c r="E23" s="491"/>
      <c r="F23" s="479"/>
      <c r="G23" s="489" t="s">
        <v>314</v>
      </c>
      <c r="H23" s="590">
        <v>0</v>
      </c>
      <c r="I23" s="590">
        <v>0</v>
      </c>
      <c r="J23" s="590">
        <v>0</v>
      </c>
      <c r="K23" s="614"/>
      <c r="L23" s="491"/>
      <c r="M23" s="447"/>
    </row>
    <row r="24" spans="1:13" ht="21" customHeight="1" x14ac:dyDescent="0.3">
      <c r="A24" s="447"/>
      <c r="B24" s="492" t="s">
        <v>315</v>
      </c>
      <c r="C24" s="591">
        <f t="shared" ref="C24" si="4">C22*C23</f>
        <v>6.4885775675999993</v>
      </c>
      <c r="D24" s="588"/>
      <c r="E24" s="494"/>
      <c r="F24" s="479"/>
      <c r="G24" s="492" t="s">
        <v>315</v>
      </c>
      <c r="H24" s="668">
        <f t="shared" ref="H24:J24" si="5">H22*H23</f>
        <v>0</v>
      </c>
      <c r="I24" s="591">
        <f t="shared" si="5"/>
        <v>0</v>
      </c>
      <c r="J24" s="624">
        <f t="shared" si="5"/>
        <v>0</v>
      </c>
      <c r="K24" s="614"/>
      <c r="L24" s="494"/>
      <c r="M24" s="447"/>
    </row>
    <row r="25" spans="1:13" ht="28.5" customHeight="1" x14ac:dyDescent="0.3">
      <c r="A25" s="447"/>
      <c r="B25" s="498" t="s">
        <v>320</v>
      </c>
      <c r="C25" s="592" t="s">
        <v>321</v>
      </c>
      <c r="D25" s="593"/>
      <c r="E25" s="501"/>
      <c r="F25" s="500"/>
      <c r="G25" s="498" t="s">
        <v>320</v>
      </c>
      <c r="H25" s="672" t="s">
        <v>401</v>
      </c>
      <c r="I25" s="672" t="s">
        <v>401</v>
      </c>
      <c r="J25" s="672" t="s">
        <v>401</v>
      </c>
      <c r="K25" s="614"/>
      <c r="L25" s="496"/>
      <c r="M25" s="447"/>
    </row>
    <row r="26" spans="1:13" ht="24" customHeight="1" x14ac:dyDescent="0.3">
      <c r="B26" s="502" t="s">
        <v>322</v>
      </c>
      <c r="C26" s="594">
        <v>3</v>
      </c>
      <c r="D26" s="504"/>
      <c r="E26" s="505"/>
      <c r="F26" s="504"/>
      <c r="G26" s="502" t="s">
        <v>322</v>
      </c>
      <c r="H26" s="674">
        <v>13</v>
      </c>
      <c r="I26" s="596">
        <v>13</v>
      </c>
      <c r="J26" s="596">
        <v>13</v>
      </c>
      <c r="K26" s="618"/>
      <c r="L26" s="495"/>
    </row>
    <row r="27" spans="1:13" ht="33" customHeight="1" x14ac:dyDescent="0.3">
      <c r="A27" s="447"/>
      <c r="B27" s="506" t="s">
        <v>323</v>
      </c>
      <c r="C27" s="595" t="s">
        <v>324</v>
      </c>
      <c r="D27" s="479"/>
      <c r="E27" s="496"/>
      <c r="F27" s="479"/>
      <c r="G27" s="506" t="s">
        <v>323</v>
      </c>
      <c r="H27" s="496" t="s">
        <v>324</v>
      </c>
      <c r="I27" s="595" t="s">
        <v>324</v>
      </c>
      <c r="J27" s="595" t="s">
        <v>324</v>
      </c>
      <c r="K27" s="614"/>
      <c r="L27" s="496"/>
      <c r="M27" s="447"/>
    </row>
    <row r="28" spans="1:13" ht="33" customHeight="1" x14ac:dyDescent="0.3">
      <c r="A28" s="447"/>
      <c r="B28" s="508" t="s">
        <v>325</v>
      </c>
      <c r="C28" s="596" t="s">
        <v>326</v>
      </c>
      <c r="D28" s="479"/>
      <c r="E28" s="496"/>
      <c r="F28" s="479"/>
      <c r="G28" s="508" t="s">
        <v>325</v>
      </c>
      <c r="H28" s="674" t="s">
        <v>326</v>
      </c>
      <c r="I28" s="596" t="s">
        <v>326</v>
      </c>
      <c r="J28" s="627" t="s">
        <v>326</v>
      </c>
      <c r="K28" s="614"/>
      <c r="L28" s="496"/>
      <c r="M28" s="447"/>
    </row>
    <row r="29" spans="1:13" ht="33" customHeight="1" x14ac:dyDescent="0.3">
      <c r="A29" s="447"/>
      <c r="B29" s="506" t="s">
        <v>327</v>
      </c>
      <c r="C29" s="595" t="s">
        <v>729</v>
      </c>
      <c r="D29" s="479"/>
      <c r="E29" s="496"/>
      <c r="F29" s="479"/>
      <c r="G29" s="506" t="s">
        <v>327</v>
      </c>
      <c r="H29" s="595" t="s">
        <v>402</v>
      </c>
      <c r="I29" s="595" t="s">
        <v>402</v>
      </c>
      <c r="J29" s="595" t="s">
        <v>402</v>
      </c>
      <c r="K29" s="614"/>
      <c r="L29" s="496"/>
      <c r="M29" s="447"/>
    </row>
    <row r="30" spans="1:13" ht="21" customHeight="1" x14ac:dyDescent="0.3">
      <c r="B30" s="510" t="s">
        <v>329</v>
      </c>
      <c r="C30" s="596">
        <v>1</v>
      </c>
      <c r="D30" s="467"/>
      <c r="E30" s="467"/>
      <c r="F30" s="467"/>
      <c r="G30" s="510" t="s">
        <v>329</v>
      </c>
      <c r="H30" s="596">
        <v>1</v>
      </c>
      <c r="I30" s="596">
        <v>1</v>
      </c>
      <c r="J30" s="596">
        <v>1</v>
      </c>
      <c r="K30" s="618"/>
      <c r="L30" s="467"/>
    </row>
    <row r="31" spans="1:13" ht="21" customHeight="1" x14ac:dyDescent="0.3">
      <c r="B31" s="453" t="s">
        <v>330</v>
      </c>
      <c r="C31" s="595" t="s">
        <v>324</v>
      </c>
      <c r="D31" s="483"/>
      <c r="E31" s="495"/>
      <c r="F31" s="483"/>
      <c r="G31" s="453" t="s">
        <v>330</v>
      </c>
      <c r="H31" s="496" t="s">
        <v>324</v>
      </c>
      <c r="I31" s="595" t="s">
        <v>324</v>
      </c>
      <c r="J31" s="595" t="s">
        <v>324</v>
      </c>
      <c r="K31" s="618"/>
      <c r="L31" s="495"/>
    </row>
    <row r="32" spans="1:13" ht="21" customHeight="1" x14ac:dyDescent="0.3">
      <c r="B32" s="510" t="s">
        <v>331</v>
      </c>
      <c r="C32" s="596" t="s">
        <v>324</v>
      </c>
      <c r="D32" s="483"/>
      <c r="E32" s="495"/>
      <c r="F32" s="483"/>
      <c r="G32" s="510" t="s">
        <v>331</v>
      </c>
      <c r="H32" s="674" t="s">
        <v>324</v>
      </c>
      <c r="I32" s="596" t="s">
        <v>324</v>
      </c>
      <c r="J32" s="596" t="s">
        <v>324</v>
      </c>
      <c r="K32" s="618"/>
      <c r="L32" s="495"/>
    </row>
    <row r="33" spans="2:12" ht="21" customHeight="1" x14ac:dyDescent="0.3">
      <c r="B33" s="462" t="s">
        <v>332</v>
      </c>
      <c r="C33" s="555" t="s">
        <v>333</v>
      </c>
      <c r="D33" s="483"/>
      <c r="E33" s="495"/>
      <c r="F33" s="483"/>
      <c r="G33" s="462" t="s">
        <v>332</v>
      </c>
      <c r="H33" s="675" t="s">
        <v>333</v>
      </c>
      <c r="I33" s="555" t="s">
        <v>333</v>
      </c>
      <c r="J33" s="555" t="s">
        <v>333</v>
      </c>
      <c r="K33" s="618"/>
      <c r="L33" s="495"/>
    </row>
    <row r="34" spans="2:12" ht="15.75" customHeight="1" x14ac:dyDescent="0.3">
      <c r="B34" s="427"/>
      <c r="C34" s="427"/>
      <c r="D34" s="483"/>
      <c r="E34" s="483"/>
      <c r="F34" s="483"/>
      <c r="G34" s="427"/>
      <c r="K34" s="427"/>
      <c r="L34" s="427"/>
    </row>
    <row r="35" spans="2:12" ht="15.75" customHeight="1" x14ac:dyDescent="0.3">
      <c r="B35" s="512" t="s">
        <v>334</v>
      </c>
      <c r="C35" s="427"/>
      <c r="D35" s="483"/>
      <c r="E35" s="483"/>
      <c r="F35" s="483"/>
      <c r="K35" s="427"/>
      <c r="L35" s="427"/>
    </row>
    <row r="36" spans="2:12" ht="15.75" customHeight="1" x14ac:dyDescent="0.3">
      <c r="B36" s="512" t="s">
        <v>335</v>
      </c>
      <c r="C36" s="427"/>
      <c r="D36" s="483"/>
      <c r="E36" s="483"/>
      <c r="F36" s="483"/>
      <c r="K36" s="427"/>
      <c r="L36" s="427"/>
    </row>
    <row r="37" spans="2:12" ht="15.75" customHeight="1" x14ac:dyDescent="0.3">
      <c r="B37" s="512" t="s">
        <v>336</v>
      </c>
      <c r="C37" s="427"/>
      <c r="D37" s="483"/>
      <c r="E37" s="483"/>
      <c r="F37" s="483"/>
      <c r="K37" s="427"/>
      <c r="L37" s="427"/>
    </row>
    <row r="38" spans="2:12" ht="15.75" customHeight="1" x14ac:dyDescent="0.3">
      <c r="B38" s="512" t="s">
        <v>337</v>
      </c>
      <c r="C38" s="427"/>
      <c r="D38" s="483"/>
      <c r="E38" s="483"/>
      <c r="F38" s="483"/>
      <c r="K38" s="427"/>
      <c r="L38" s="427"/>
    </row>
    <row r="39" spans="2:12" ht="15.75" customHeight="1" x14ac:dyDescent="0.3">
      <c r="B39" s="512" t="s">
        <v>338</v>
      </c>
      <c r="D39" s="427"/>
      <c r="F39" s="427"/>
      <c r="K39" s="427"/>
      <c r="L39" s="427"/>
    </row>
    <row r="40" spans="2:12" ht="15.75" customHeight="1" x14ac:dyDescent="0.3">
      <c r="B40" s="512" t="s">
        <v>339</v>
      </c>
      <c r="D40" s="427"/>
      <c r="F40" s="427"/>
      <c r="K40" s="427"/>
      <c r="L40" s="427"/>
    </row>
    <row r="41" spans="2:12" ht="15.75" customHeight="1" x14ac:dyDescent="0.3">
      <c r="D41" s="427"/>
      <c r="F41" s="427"/>
      <c r="K41" s="427"/>
      <c r="L41" s="427"/>
    </row>
    <row r="42" spans="2:12" ht="15.75" customHeight="1" x14ac:dyDescent="0.3">
      <c r="D42" s="427"/>
      <c r="F42" s="427"/>
      <c r="K42" s="427"/>
      <c r="L42" s="427"/>
    </row>
    <row r="43" spans="2:12" ht="15.75" customHeight="1" x14ac:dyDescent="0.3">
      <c r="D43" s="427"/>
      <c r="F43" s="427"/>
      <c r="K43" s="427"/>
      <c r="L43" s="427"/>
    </row>
    <row r="44" spans="2:12" ht="15.75" customHeight="1" x14ac:dyDescent="0.3">
      <c r="D44" s="427"/>
      <c r="F44" s="427"/>
      <c r="K44" s="427"/>
    </row>
    <row r="45" spans="2:12" ht="15.75" customHeight="1" x14ac:dyDescent="0.3">
      <c r="D45" s="427"/>
      <c r="F45" s="427"/>
      <c r="K45" s="427"/>
    </row>
    <row r="46" spans="2:12" ht="15.75" customHeight="1" x14ac:dyDescent="0.3">
      <c r="D46" s="427"/>
      <c r="F46" s="427"/>
      <c r="K46" s="427"/>
    </row>
    <row r="47" spans="2:12" ht="15.75" customHeight="1" x14ac:dyDescent="0.3">
      <c r="D47" s="427"/>
      <c r="F47" s="427"/>
      <c r="K47" s="427"/>
    </row>
    <row r="48" spans="2:12" ht="15.75" customHeight="1" x14ac:dyDescent="0.3">
      <c r="D48" s="427"/>
      <c r="F48" s="427"/>
      <c r="K48" s="427"/>
    </row>
    <row r="49" spans="4:11" ht="15.75" customHeight="1" x14ac:dyDescent="0.3">
      <c r="D49" s="427"/>
      <c r="F49" s="427"/>
      <c r="K49" s="427"/>
    </row>
    <row r="50" spans="4:11" ht="15.75" customHeight="1" x14ac:dyDescent="0.3">
      <c r="D50" s="427"/>
      <c r="F50" s="427"/>
      <c r="K50" s="427"/>
    </row>
    <row r="51" spans="4:11" ht="15.75" customHeight="1" x14ac:dyDescent="0.3">
      <c r="D51" s="427"/>
      <c r="F51" s="427"/>
      <c r="K51" s="427"/>
    </row>
    <row r="52" spans="4:11" ht="15.75" customHeight="1" x14ac:dyDescent="0.3">
      <c r="D52" s="427"/>
      <c r="F52" s="427"/>
      <c r="K52" s="427"/>
    </row>
    <row r="53" spans="4:11" ht="15.75" customHeight="1" x14ac:dyDescent="0.3">
      <c r="D53" s="427"/>
      <c r="F53" s="427"/>
      <c r="K53" s="427"/>
    </row>
    <row r="54" spans="4:11" ht="15.75" customHeight="1" x14ac:dyDescent="0.3">
      <c r="D54" s="427"/>
      <c r="F54" s="427"/>
      <c r="K54" s="427"/>
    </row>
    <row r="55" spans="4:11" ht="15.75" customHeight="1" x14ac:dyDescent="0.3">
      <c r="D55" s="427"/>
      <c r="F55" s="427"/>
      <c r="K55" s="427"/>
    </row>
    <row r="56" spans="4:11" ht="15.75" customHeight="1" x14ac:dyDescent="0.3">
      <c r="D56" s="427"/>
      <c r="F56" s="427"/>
      <c r="K56" s="427"/>
    </row>
    <row r="57" spans="4:11" ht="15.75" customHeight="1" x14ac:dyDescent="0.3">
      <c r="D57" s="427"/>
      <c r="F57" s="427"/>
      <c r="K57" s="427"/>
    </row>
    <row r="58" spans="4:11" ht="15.75" customHeight="1" x14ac:dyDescent="0.3">
      <c r="D58" s="427"/>
      <c r="F58" s="427"/>
      <c r="K58" s="427"/>
    </row>
    <row r="59" spans="4:11" ht="15.75" customHeight="1" x14ac:dyDescent="0.3">
      <c r="D59" s="427"/>
      <c r="F59" s="427"/>
      <c r="K59" s="427"/>
    </row>
    <row r="60" spans="4:11" ht="15.75" customHeight="1" x14ac:dyDescent="0.3">
      <c r="D60" s="427"/>
      <c r="F60" s="427"/>
      <c r="K60" s="427"/>
    </row>
    <row r="61" spans="4:11" ht="15.75" customHeight="1" x14ac:dyDescent="0.3">
      <c r="D61" s="427"/>
      <c r="F61" s="427"/>
      <c r="K61" s="427"/>
    </row>
    <row r="62" spans="4:11" ht="15.75" customHeight="1" x14ac:dyDescent="0.3">
      <c r="D62" s="427"/>
      <c r="F62" s="427"/>
      <c r="K62" s="427"/>
    </row>
    <row r="63" spans="4:11" ht="15.75" customHeight="1" x14ac:dyDescent="0.3">
      <c r="D63" s="427"/>
      <c r="F63" s="427"/>
      <c r="K63" s="427"/>
    </row>
    <row r="64" spans="4:11" ht="15.75" customHeight="1" x14ac:dyDescent="0.3">
      <c r="D64" s="427"/>
      <c r="F64" s="427"/>
      <c r="K64" s="427"/>
    </row>
    <row r="65" spans="4:11" ht="15.75" customHeight="1" x14ac:dyDescent="0.3">
      <c r="D65" s="427"/>
      <c r="F65" s="427"/>
      <c r="K65" s="427"/>
    </row>
    <row r="66" spans="4:11" ht="15.75" customHeight="1" x14ac:dyDescent="0.3">
      <c r="D66" s="427"/>
      <c r="F66" s="427"/>
      <c r="K66" s="427"/>
    </row>
    <row r="67" spans="4:11" ht="15.75" customHeight="1" x14ac:dyDescent="0.3">
      <c r="D67" s="427"/>
      <c r="F67" s="427"/>
      <c r="K67" s="427"/>
    </row>
    <row r="68" spans="4:11" ht="15.75" customHeight="1" x14ac:dyDescent="0.3">
      <c r="D68" s="427"/>
      <c r="F68" s="427"/>
      <c r="K68" s="427"/>
    </row>
    <row r="69" spans="4:11" ht="15.75" customHeight="1" x14ac:dyDescent="0.3">
      <c r="D69" s="427"/>
      <c r="F69" s="427"/>
      <c r="K69" s="427"/>
    </row>
    <row r="70" spans="4:11" ht="15.75" customHeight="1" x14ac:dyDescent="0.3">
      <c r="D70" s="427"/>
      <c r="F70" s="427"/>
      <c r="K70" s="427"/>
    </row>
    <row r="71" spans="4:11" ht="15.75" customHeight="1" x14ac:dyDescent="0.3">
      <c r="D71" s="427"/>
      <c r="F71" s="427"/>
      <c r="K71" s="427"/>
    </row>
    <row r="72" spans="4:11" ht="15.75" customHeight="1" x14ac:dyDescent="0.3">
      <c r="D72" s="427"/>
      <c r="F72" s="427"/>
      <c r="K72" s="427"/>
    </row>
    <row r="73" spans="4:11" ht="15.75" customHeight="1" x14ac:dyDescent="0.3">
      <c r="D73" s="427"/>
      <c r="F73" s="427"/>
      <c r="K73" s="427"/>
    </row>
    <row r="74" spans="4:11" ht="15.75" customHeight="1" x14ac:dyDescent="0.3">
      <c r="D74" s="427"/>
      <c r="F74" s="427"/>
      <c r="K74" s="427"/>
    </row>
    <row r="75" spans="4:11" ht="15.75" customHeight="1" x14ac:dyDescent="0.3">
      <c r="D75" s="427"/>
      <c r="F75" s="427"/>
      <c r="K75" s="427"/>
    </row>
    <row r="76" spans="4:11" ht="15.75" customHeight="1" x14ac:dyDescent="0.3">
      <c r="D76" s="427"/>
      <c r="F76" s="427"/>
      <c r="K76" s="427"/>
    </row>
    <row r="77" spans="4:11" ht="15.75" customHeight="1" x14ac:dyDescent="0.3">
      <c r="D77" s="427"/>
      <c r="F77" s="427"/>
      <c r="K77" s="427"/>
    </row>
    <row r="78" spans="4:11" ht="15.75" customHeight="1" x14ac:dyDescent="0.3">
      <c r="D78" s="427"/>
      <c r="F78" s="427"/>
      <c r="K78" s="427"/>
    </row>
    <row r="79" spans="4:11" ht="15.75" customHeight="1" x14ac:dyDescent="0.3">
      <c r="D79" s="427"/>
      <c r="F79" s="427"/>
      <c r="K79" s="427"/>
    </row>
    <row r="80" spans="4:11" ht="15.75" customHeight="1" x14ac:dyDescent="0.3">
      <c r="D80" s="427"/>
      <c r="F80" s="427"/>
      <c r="K80" s="427"/>
    </row>
    <row r="81" spans="4:11" ht="15.75" customHeight="1" x14ac:dyDescent="0.3">
      <c r="D81" s="427"/>
      <c r="F81" s="427"/>
      <c r="K81" s="427"/>
    </row>
    <row r="82" spans="4:11" ht="15.75" customHeight="1" x14ac:dyDescent="0.3">
      <c r="D82" s="427"/>
      <c r="F82" s="427"/>
      <c r="K82" s="427"/>
    </row>
    <row r="83" spans="4:11" ht="15.75" customHeight="1" x14ac:dyDescent="0.3">
      <c r="D83" s="427"/>
      <c r="F83" s="427"/>
      <c r="K83" s="427"/>
    </row>
    <row r="84" spans="4:11" ht="15.75" customHeight="1" x14ac:dyDescent="0.3">
      <c r="D84" s="427"/>
      <c r="F84" s="427"/>
      <c r="K84" s="427"/>
    </row>
    <row r="85" spans="4:11" ht="15.75" customHeight="1" x14ac:dyDescent="0.3">
      <c r="D85" s="427"/>
      <c r="F85" s="427"/>
      <c r="K85" s="427"/>
    </row>
    <row r="86" spans="4:11" ht="15.75" customHeight="1" x14ac:dyDescent="0.3">
      <c r="D86" s="427"/>
      <c r="F86" s="427"/>
      <c r="K86" s="427"/>
    </row>
    <row r="87" spans="4:11" ht="15.75" customHeight="1" x14ac:dyDescent="0.3">
      <c r="D87" s="427"/>
      <c r="F87" s="427"/>
      <c r="K87" s="427"/>
    </row>
    <row r="88" spans="4:11" ht="15.75" customHeight="1" x14ac:dyDescent="0.3">
      <c r="D88" s="427"/>
      <c r="F88" s="427"/>
      <c r="K88" s="427"/>
    </row>
    <row r="89" spans="4:11" ht="15.75" customHeight="1" x14ac:dyDescent="0.3">
      <c r="D89" s="427"/>
      <c r="F89" s="427"/>
      <c r="K89" s="427"/>
    </row>
    <row r="90" spans="4:11" ht="15.75" customHeight="1" x14ac:dyDescent="0.3">
      <c r="D90" s="427"/>
      <c r="F90" s="427"/>
      <c r="K90" s="427"/>
    </row>
    <row r="91" spans="4:11" ht="15.75" customHeight="1" x14ac:dyDescent="0.3">
      <c r="D91" s="427"/>
      <c r="F91" s="427"/>
      <c r="K91" s="427"/>
    </row>
    <row r="92" spans="4:11" ht="15.75" customHeight="1" x14ac:dyDescent="0.3">
      <c r="D92" s="427"/>
      <c r="F92" s="427"/>
      <c r="K92" s="427"/>
    </row>
    <row r="93" spans="4:11" ht="15.75" customHeight="1" x14ac:dyDescent="0.3">
      <c r="D93" s="427"/>
      <c r="F93" s="427"/>
      <c r="K93" s="427"/>
    </row>
    <row r="94" spans="4:11" ht="15.75" customHeight="1" x14ac:dyDescent="0.3">
      <c r="D94" s="427"/>
      <c r="F94" s="427"/>
      <c r="K94" s="427"/>
    </row>
    <row r="95" spans="4:11" ht="15.75" customHeight="1" x14ac:dyDescent="0.3">
      <c r="D95" s="427"/>
      <c r="F95" s="427"/>
      <c r="K95" s="427"/>
    </row>
    <row r="96" spans="4:11" ht="15.75" customHeight="1" x14ac:dyDescent="0.3">
      <c r="D96" s="427"/>
      <c r="F96" s="427"/>
      <c r="K96" s="427"/>
    </row>
    <row r="97" spans="4:11" ht="15.75" customHeight="1" x14ac:dyDescent="0.3">
      <c r="D97" s="427"/>
      <c r="F97" s="427"/>
      <c r="K97" s="427"/>
    </row>
    <row r="98" spans="4:11" ht="15.75" customHeight="1" x14ac:dyDescent="0.3">
      <c r="D98" s="427"/>
      <c r="F98" s="427"/>
      <c r="K98" s="427"/>
    </row>
    <row r="99" spans="4:11" ht="15.75" customHeight="1" x14ac:dyDescent="0.3">
      <c r="D99" s="427"/>
      <c r="F99" s="427"/>
      <c r="K99" s="427"/>
    </row>
    <row r="100" spans="4:11" ht="15.75" customHeight="1" x14ac:dyDescent="0.3">
      <c r="D100" s="427"/>
      <c r="F100" s="427"/>
      <c r="K100" s="427"/>
    </row>
    <row r="101" spans="4:11" ht="15.75" customHeight="1" x14ac:dyDescent="0.3">
      <c r="D101" s="427"/>
      <c r="F101" s="427"/>
      <c r="K101" s="427"/>
    </row>
    <row r="102" spans="4:11" ht="15.75" customHeight="1" x14ac:dyDescent="0.3">
      <c r="D102" s="427"/>
      <c r="F102" s="427"/>
      <c r="K102" s="427"/>
    </row>
    <row r="103" spans="4:11" ht="15.75" customHeight="1" x14ac:dyDescent="0.3">
      <c r="D103" s="427"/>
      <c r="F103" s="427"/>
      <c r="K103" s="427"/>
    </row>
    <row r="104" spans="4:11" ht="15.75" customHeight="1" x14ac:dyDescent="0.3">
      <c r="D104" s="427"/>
      <c r="F104" s="427"/>
      <c r="K104" s="427"/>
    </row>
    <row r="105" spans="4:11" ht="15.75" customHeight="1" x14ac:dyDescent="0.3">
      <c r="D105" s="427"/>
      <c r="F105" s="427"/>
      <c r="K105" s="427"/>
    </row>
    <row r="106" spans="4:11" ht="15.75" customHeight="1" x14ac:dyDescent="0.3">
      <c r="D106" s="427"/>
      <c r="F106" s="427"/>
      <c r="K106" s="427"/>
    </row>
    <row r="107" spans="4:11" ht="15.75" customHeight="1" x14ac:dyDescent="0.3">
      <c r="D107" s="427"/>
      <c r="F107" s="427"/>
      <c r="K107" s="427"/>
    </row>
    <row r="108" spans="4:11" ht="15.75" customHeight="1" x14ac:dyDescent="0.3">
      <c r="D108" s="427"/>
      <c r="F108" s="427"/>
      <c r="K108" s="427"/>
    </row>
    <row r="109" spans="4:11" ht="15.75" customHeight="1" x14ac:dyDescent="0.3">
      <c r="D109" s="427"/>
      <c r="F109" s="427"/>
      <c r="K109" s="427"/>
    </row>
    <row r="110" spans="4:11" ht="15.75" customHeight="1" x14ac:dyDescent="0.3">
      <c r="D110" s="427"/>
      <c r="F110" s="427"/>
      <c r="K110" s="427"/>
    </row>
    <row r="111" spans="4:11" ht="15.75" customHeight="1" x14ac:dyDescent="0.3">
      <c r="D111" s="427"/>
      <c r="F111" s="427"/>
      <c r="K111" s="427"/>
    </row>
    <row r="112" spans="4:11" ht="15.75" customHeight="1" x14ac:dyDescent="0.3">
      <c r="D112" s="427"/>
      <c r="F112" s="427"/>
      <c r="K112" s="427"/>
    </row>
    <row r="113" spans="4:11" ht="15.75" customHeight="1" x14ac:dyDescent="0.3">
      <c r="D113" s="427"/>
      <c r="F113" s="427"/>
      <c r="K113" s="427"/>
    </row>
    <row r="114" spans="4:11" ht="15.75" customHeight="1" x14ac:dyDescent="0.3">
      <c r="D114" s="427"/>
      <c r="F114" s="427"/>
      <c r="K114" s="427"/>
    </row>
    <row r="115" spans="4:11" ht="15.75" customHeight="1" x14ac:dyDescent="0.3">
      <c r="D115" s="427"/>
      <c r="F115" s="427"/>
      <c r="K115" s="427"/>
    </row>
    <row r="116" spans="4:11" ht="15.75" customHeight="1" x14ac:dyDescent="0.3">
      <c r="D116" s="427"/>
      <c r="F116" s="427"/>
      <c r="K116" s="427"/>
    </row>
    <row r="117" spans="4:11" ht="15.75" customHeight="1" x14ac:dyDescent="0.3">
      <c r="D117" s="427"/>
      <c r="F117" s="427"/>
      <c r="K117" s="427"/>
    </row>
    <row r="118" spans="4:11" ht="15.75" customHeight="1" x14ac:dyDescent="0.3">
      <c r="D118" s="427"/>
      <c r="F118" s="427"/>
      <c r="K118" s="427"/>
    </row>
    <row r="119" spans="4:11" ht="15.75" customHeight="1" x14ac:dyDescent="0.3">
      <c r="D119" s="427"/>
      <c r="F119" s="427"/>
      <c r="K119" s="427"/>
    </row>
    <row r="120" spans="4:11" ht="15.75" customHeight="1" x14ac:dyDescent="0.3">
      <c r="D120" s="427"/>
      <c r="F120" s="427"/>
      <c r="K120" s="427"/>
    </row>
    <row r="121" spans="4:11" ht="15.75" customHeight="1" x14ac:dyDescent="0.3">
      <c r="D121" s="427"/>
      <c r="F121" s="427"/>
      <c r="K121" s="427"/>
    </row>
    <row r="122" spans="4:11" ht="15.75" customHeight="1" x14ac:dyDescent="0.3">
      <c r="D122" s="427"/>
      <c r="F122" s="427"/>
      <c r="K122" s="427"/>
    </row>
    <row r="123" spans="4:11" ht="15.75" customHeight="1" x14ac:dyDescent="0.3">
      <c r="D123" s="427"/>
      <c r="F123" s="427"/>
      <c r="K123" s="427"/>
    </row>
    <row r="124" spans="4:11" ht="15.75" customHeight="1" x14ac:dyDescent="0.3">
      <c r="D124" s="427"/>
      <c r="F124" s="427"/>
      <c r="K124" s="427"/>
    </row>
    <row r="125" spans="4:11" ht="15.75" customHeight="1" x14ac:dyDescent="0.3">
      <c r="D125" s="427"/>
      <c r="F125" s="427"/>
      <c r="K125" s="427"/>
    </row>
    <row r="126" spans="4:11" ht="15.75" customHeight="1" x14ac:dyDescent="0.3">
      <c r="D126" s="427"/>
      <c r="F126" s="427"/>
      <c r="K126" s="427"/>
    </row>
    <row r="127" spans="4:11" ht="15.75" customHeight="1" x14ac:dyDescent="0.3">
      <c r="D127" s="427"/>
      <c r="F127" s="427"/>
      <c r="K127" s="427"/>
    </row>
    <row r="128" spans="4:11" ht="15.75" customHeight="1" x14ac:dyDescent="0.3">
      <c r="D128" s="427"/>
      <c r="F128" s="427"/>
      <c r="K128" s="427"/>
    </row>
    <row r="129" spans="4:11" ht="15.75" customHeight="1" x14ac:dyDescent="0.3">
      <c r="D129" s="427"/>
      <c r="F129" s="427"/>
      <c r="K129" s="427"/>
    </row>
    <row r="130" spans="4:11" ht="15.75" customHeight="1" x14ac:dyDescent="0.3">
      <c r="D130" s="427"/>
      <c r="F130" s="427"/>
      <c r="K130" s="427"/>
    </row>
    <row r="131" spans="4:11" ht="15.75" customHeight="1" x14ac:dyDescent="0.3">
      <c r="D131" s="427"/>
      <c r="F131" s="427"/>
      <c r="K131" s="427"/>
    </row>
    <row r="132" spans="4:11" ht="15.75" customHeight="1" x14ac:dyDescent="0.3">
      <c r="D132" s="427"/>
      <c r="F132" s="427"/>
      <c r="K132" s="427"/>
    </row>
    <row r="133" spans="4:11" ht="15.75" customHeight="1" x14ac:dyDescent="0.3">
      <c r="D133" s="427"/>
      <c r="F133" s="427"/>
      <c r="K133" s="427"/>
    </row>
    <row r="134" spans="4:11" ht="15.75" customHeight="1" x14ac:dyDescent="0.3">
      <c r="D134" s="427"/>
      <c r="F134" s="427"/>
      <c r="K134" s="427"/>
    </row>
    <row r="135" spans="4:11" ht="15.75" customHeight="1" x14ac:dyDescent="0.3">
      <c r="D135" s="427"/>
      <c r="F135" s="427"/>
      <c r="K135" s="427"/>
    </row>
    <row r="136" spans="4:11" ht="15.75" customHeight="1" x14ac:dyDescent="0.3">
      <c r="D136" s="427"/>
      <c r="F136" s="427"/>
      <c r="K136" s="427"/>
    </row>
    <row r="137" spans="4:11" ht="15.75" customHeight="1" x14ac:dyDescent="0.3">
      <c r="D137" s="427"/>
      <c r="F137" s="427"/>
      <c r="K137" s="427"/>
    </row>
    <row r="138" spans="4:11" ht="15.75" customHeight="1" x14ac:dyDescent="0.3">
      <c r="D138" s="427"/>
      <c r="F138" s="427"/>
      <c r="K138" s="427"/>
    </row>
    <row r="139" spans="4:11" ht="15.75" customHeight="1" x14ac:dyDescent="0.3">
      <c r="D139" s="427"/>
      <c r="F139" s="427"/>
      <c r="K139" s="427"/>
    </row>
    <row r="140" spans="4:11" ht="15.75" customHeight="1" x14ac:dyDescent="0.3">
      <c r="D140" s="427"/>
      <c r="F140" s="427"/>
      <c r="K140" s="427"/>
    </row>
    <row r="141" spans="4:11" ht="15.75" customHeight="1" x14ac:dyDescent="0.3">
      <c r="D141" s="427"/>
      <c r="F141" s="427"/>
      <c r="K141" s="427"/>
    </row>
    <row r="142" spans="4:11" ht="15.75" customHeight="1" x14ac:dyDescent="0.3">
      <c r="D142" s="427"/>
      <c r="F142" s="427"/>
      <c r="K142" s="427"/>
    </row>
    <row r="143" spans="4:11" ht="15.75" customHeight="1" x14ac:dyDescent="0.3">
      <c r="D143" s="427"/>
      <c r="F143" s="427"/>
      <c r="K143" s="427"/>
    </row>
    <row r="144" spans="4:11" ht="15.75" customHeight="1" x14ac:dyDescent="0.3">
      <c r="D144" s="427"/>
      <c r="F144" s="427"/>
      <c r="K144" s="427"/>
    </row>
    <row r="145" spans="4:11" ht="15.75" customHeight="1" x14ac:dyDescent="0.3">
      <c r="D145" s="427"/>
      <c r="F145" s="427"/>
      <c r="K145" s="427"/>
    </row>
    <row r="146" spans="4:11" ht="15.75" customHeight="1" x14ac:dyDescent="0.3">
      <c r="D146" s="427"/>
      <c r="F146" s="427"/>
      <c r="K146" s="427"/>
    </row>
    <row r="147" spans="4:11" ht="15.75" customHeight="1" x14ac:dyDescent="0.3">
      <c r="D147" s="427"/>
      <c r="F147" s="427"/>
      <c r="K147" s="427"/>
    </row>
    <row r="148" spans="4:11" ht="15.75" customHeight="1" x14ac:dyDescent="0.3">
      <c r="D148" s="427"/>
      <c r="F148" s="427"/>
      <c r="K148" s="427"/>
    </row>
    <row r="149" spans="4:11" ht="15.75" customHeight="1" x14ac:dyDescent="0.3">
      <c r="D149" s="427"/>
      <c r="F149" s="427"/>
      <c r="K149" s="427"/>
    </row>
    <row r="150" spans="4:11" ht="15.75" customHeight="1" x14ac:dyDescent="0.3">
      <c r="D150" s="427"/>
      <c r="F150" s="427"/>
      <c r="K150" s="427"/>
    </row>
    <row r="151" spans="4:11" ht="15.75" customHeight="1" x14ac:dyDescent="0.3">
      <c r="D151" s="427"/>
      <c r="F151" s="427"/>
      <c r="K151" s="427"/>
    </row>
    <row r="152" spans="4:11" ht="15.75" customHeight="1" x14ac:dyDescent="0.3">
      <c r="D152" s="427"/>
      <c r="F152" s="427"/>
      <c r="K152" s="427"/>
    </row>
    <row r="153" spans="4:11" ht="15.75" customHeight="1" x14ac:dyDescent="0.3">
      <c r="D153" s="427"/>
      <c r="F153" s="427"/>
      <c r="K153" s="427"/>
    </row>
    <row r="154" spans="4:11" ht="15.75" customHeight="1" x14ac:dyDescent="0.3">
      <c r="D154" s="427"/>
      <c r="F154" s="427"/>
      <c r="K154" s="427"/>
    </row>
    <row r="155" spans="4:11" ht="15.75" customHeight="1" x14ac:dyDescent="0.3">
      <c r="D155" s="427"/>
      <c r="F155" s="427"/>
      <c r="K155" s="427"/>
    </row>
    <row r="156" spans="4:11" ht="15.75" customHeight="1" x14ac:dyDescent="0.3">
      <c r="D156" s="427"/>
      <c r="F156" s="427"/>
      <c r="K156" s="427"/>
    </row>
    <row r="157" spans="4:11" ht="15.75" customHeight="1" x14ac:dyDescent="0.3">
      <c r="D157" s="427"/>
      <c r="F157" s="427"/>
      <c r="K157" s="427"/>
    </row>
    <row r="158" spans="4:11" ht="15.75" customHeight="1" x14ac:dyDescent="0.3">
      <c r="D158" s="427"/>
      <c r="F158" s="427"/>
      <c r="K158" s="427"/>
    </row>
    <row r="159" spans="4:11" ht="15.75" customHeight="1" x14ac:dyDescent="0.3">
      <c r="D159" s="427"/>
      <c r="F159" s="427"/>
      <c r="K159" s="427"/>
    </row>
    <row r="160" spans="4:11" ht="15.75" customHeight="1" x14ac:dyDescent="0.3">
      <c r="D160" s="427"/>
      <c r="F160" s="427"/>
      <c r="K160" s="427"/>
    </row>
    <row r="161" spans="4:11" ht="15.75" customHeight="1" x14ac:dyDescent="0.3">
      <c r="D161" s="427"/>
      <c r="F161" s="427"/>
      <c r="K161" s="427"/>
    </row>
    <row r="162" spans="4:11" ht="15.75" customHeight="1" x14ac:dyDescent="0.3">
      <c r="D162" s="427"/>
      <c r="F162" s="427"/>
      <c r="K162" s="427"/>
    </row>
    <row r="163" spans="4:11" ht="15.75" customHeight="1" x14ac:dyDescent="0.3">
      <c r="D163" s="427"/>
      <c r="F163" s="427"/>
      <c r="K163" s="427"/>
    </row>
    <row r="164" spans="4:11" ht="15.75" customHeight="1" x14ac:dyDescent="0.3">
      <c r="D164" s="427"/>
      <c r="F164" s="427"/>
      <c r="K164" s="427"/>
    </row>
    <row r="165" spans="4:11" ht="15.75" customHeight="1" x14ac:dyDescent="0.3">
      <c r="D165" s="427"/>
      <c r="F165" s="427"/>
      <c r="K165" s="427"/>
    </row>
    <row r="166" spans="4:11" ht="15.75" customHeight="1" x14ac:dyDescent="0.3">
      <c r="D166" s="427"/>
      <c r="F166" s="427"/>
      <c r="K166" s="427"/>
    </row>
    <row r="167" spans="4:11" ht="15.75" customHeight="1" x14ac:dyDescent="0.3">
      <c r="D167" s="427"/>
      <c r="F167" s="427"/>
      <c r="K167" s="427"/>
    </row>
    <row r="168" spans="4:11" ht="15.75" customHeight="1" x14ac:dyDescent="0.3">
      <c r="D168" s="427"/>
      <c r="F168" s="427"/>
      <c r="K168" s="427"/>
    </row>
    <row r="169" spans="4:11" ht="15.75" customHeight="1" x14ac:dyDescent="0.3">
      <c r="D169" s="427"/>
      <c r="F169" s="427"/>
      <c r="K169" s="427"/>
    </row>
    <row r="170" spans="4:11" ht="15.75" customHeight="1" x14ac:dyDescent="0.3">
      <c r="D170" s="427"/>
      <c r="F170" s="427"/>
      <c r="K170" s="427"/>
    </row>
    <row r="171" spans="4:11" ht="15.75" customHeight="1" x14ac:dyDescent="0.3">
      <c r="D171" s="427"/>
      <c r="F171" s="427"/>
      <c r="K171" s="427"/>
    </row>
    <row r="172" spans="4:11" ht="15.75" customHeight="1" x14ac:dyDescent="0.3">
      <c r="D172" s="427"/>
      <c r="F172" s="427"/>
      <c r="K172" s="427"/>
    </row>
    <row r="173" spans="4:11" ht="15.75" customHeight="1" x14ac:dyDescent="0.3">
      <c r="D173" s="427"/>
      <c r="F173" s="427"/>
      <c r="K173" s="427"/>
    </row>
    <row r="174" spans="4:11" ht="15.75" customHeight="1" x14ac:dyDescent="0.3">
      <c r="D174" s="427"/>
      <c r="F174" s="427"/>
      <c r="K174" s="427"/>
    </row>
    <row r="175" spans="4:11" ht="15.75" customHeight="1" x14ac:dyDescent="0.3">
      <c r="D175" s="427"/>
      <c r="F175" s="427"/>
      <c r="K175" s="427"/>
    </row>
    <row r="176" spans="4:11" ht="15.75" customHeight="1" x14ac:dyDescent="0.3">
      <c r="D176" s="427"/>
      <c r="F176" s="427"/>
      <c r="K176" s="427"/>
    </row>
    <row r="177" spans="4:11" ht="15.75" customHeight="1" x14ac:dyDescent="0.3">
      <c r="D177" s="427"/>
      <c r="F177" s="427"/>
      <c r="K177" s="427"/>
    </row>
    <row r="178" spans="4:11" ht="15.75" customHeight="1" x14ac:dyDescent="0.3">
      <c r="D178" s="427"/>
      <c r="F178" s="427"/>
      <c r="K178" s="427"/>
    </row>
    <row r="179" spans="4:11" ht="15.75" customHeight="1" x14ac:dyDescent="0.3">
      <c r="D179" s="427"/>
      <c r="F179" s="427"/>
      <c r="K179" s="427"/>
    </row>
    <row r="180" spans="4:11" ht="15.75" customHeight="1" x14ac:dyDescent="0.3">
      <c r="D180" s="427"/>
      <c r="F180" s="427"/>
      <c r="K180" s="427"/>
    </row>
    <row r="181" spans="4:11" ht="15.75" customHeight="1" x14ac:dyDescent="0.3">
      <c r="D181" s="427"/>
      <c r="F181" s="427"/>
      <c r="K181" s="427"/>
    </row>
    <row r="182" spans="4:11" ht="15.75" customHeight="1" x14ac:dyDescent="0.3">
      <c r="D182" s="427"/>
      <c r="F182" s="427"/>
      <c r="K182" s="427"/>
    </row>
    <row r="183" spans="4:11" ht="15.75" customHeight="1" x14ac:dyDescent="0.3">
      <c r="D183" s="427"/>
      <c r="F183" s="427"/>
      <c r="K183" s="427"/>
    </row>
    <row r="184" spans="4:11" ht="15.75" customHeight="1" x14ac:dyDescent="0.3">
      <c r="D184" s="427"/>
      <c r="F184" s="427"/>
      <c r="K184" s="427"/>
    </row>
    <row r="185" spans="4:11" ht="15.75" customHeight="1" x14ac:dyDescent="0.3">
      <c r="D185" s="427"/>
      <c r="F185" s="427"/>
      <c r="K185" s="427"/>
    </row>
    <row r="186" spans="4:11" ht="15.75" customHeight="1" x14ac:dyDescent="0.3">
      <c r="D186" s="427"/>
      <c r="F186" s="427"/>
      <c r="K186" s="427"/>
    </row>
    <row r="187" spans="4:11" ht="15.75" customHeight="1" x14ac:dyDescent="0.3">
      <c r="D187" s="427"/>
      <c r="F187" s="427"/>
      <c r="K187" s="427"/>
    </row>
    <row r="188" spans="4:11" ht="15.75" customHeight="1" x14ac:dyDescent="0.3">
      <c r="D188" s="427"/>
      <c r="F188" s="427"/>
      <c r="K188" s="427"/>
    </row>
    <row r="189" spans="4:11" ht="15.75" customHeight="1" x14ac:dyDescent="0.3">
      <c r="D189" s="427"/>
      <c r="F189" s="427"/>
      <c r="K189" s="427"/>
    </row>
    <row r="190" spans="4:11" ht="15.75" customHeight="1" x14ac:dyDescent="0.3">
      <c r="D190" s="427"/>
      <c r="F190" s="427"/>
      <c r="K190" s="427"/>
    </row>
    <row r="191" spans="4:11" ht="15.75" customHeight="1" x14ac:dyDescent="0.3">
      <c r="D191" s="427"/>
      <c r="F191" s="427"/>
      <c r="K191" s="427"/>
    </row>
    <row r="192" spans="4:11" ht="15.75" customHeight="1" x14ac:dyDescent="0.3">
      <c r="D192" s="427"/>
      <c r="F192" s="427"/>
      <c r="K192" s="427"/>
    </row>
    <row r="193" spans="4:11" ht="15.75" customHeight="1" x14ac:dyDescent="0.3">
      <c r="D193" s="427"/>
      <c r="F193" s="427"/>
      <c r="K193" s="427"/>
    </row>
    <row r="194" spans="4:11" ht="15.75" customHeight="1" x14ac:dyDescent="0.3">
      <c r="D194" s="427"/>
      <c r="F194" s="427"/>
      <c r="K194" s="427"/>
    </row>
    <row r="195" spans="4:11" ht="15.75" customHeight="1" x14ac:dyDescent="0.3">
      <c r="D195" s="427"/>
      <c r="F195" s="427"/>
      <c r="K195" s="427"/>
    </row>
    <row r="196" spans="4:11" ht="15.75" customHeight="1" x14ac:dyDescent="0.3">
      <c r="D196" s="427"/>
      <c r="F196" s="427"/>
      <c r="K196" s="427"/>
    </row>
    <row r="197" spans="4:11" ht="15.75" customHeight="1" x14ac:dyDescent="0.3">
      <c r="D197" s="427"/>
      <c r="F197" s="427"/>
      <c r="K197" s="427"/>
    </row>
    <row r="198" spans="4:11" ht="15.75" customHeight="1" x14ac:dyDescent="0.3">
      <c r="D198" s="427"/>
      <c r="F198" s="427"/>
      <c r="K198" s="427"/>
    </row>
    <row r="199" spans="4:11" ht="15.75" customHeight="1" x14ac:dyDescent="0.3">
      <c r="D199" s="427"/>
      <c r="F199" s="427"/>
      <c r="K199" s="427"/>
    </row>
    <row r="200" spans="4:11" ht="15.75" customHeight="1" x14ac:dyDescent="0.3">
      <c r="D200" s="427"/>
      <c r="F200" s="427"/>
      <c r="K200" s="427"/>
    </row>
    <row r="201" spans="4:11" ht="15.75" customHeight="1" x14ac:dyDescent="0.3">
      <c r="D201" s="427"/>
      <c r="F201" s="427"/>
      <c r="K201" s="427"/>
    </row>
    <row r="202" spans="4:11" ht="15.75" customHeight="1" x14ac:dyDescent="0.3">
      <c r="D202" s="427"/>
      <c r="F202" s="427"/>
      <c r="K202" s="427"/>
    </row>
    <row r="203" spans="4:11" ht="15.75" customHeight="1" x14ac:dyDescent="0.3">
      <c r="D203" s="427"/>
      <c r="F203" s="427"/>
      <c r="K203" s="427"/>
    </row>
    <row r="204" spans="4:11" ht="15.75" customHeight="1" x14ac:dyDescent="0.3">
      <c r="D204" s="427"/>
      <c r="F204" s="427"/>
      <c r="K204" s="427"/>
    </row>
    <row r="205" spans="4:11" ht="15.75" customHeight="1" x14ac:dyDescent="0.3">
      <c r="D205" s="427"/>
      <c r="F205" s="427"/>
      <c r="K205" s="427"/>
    </row>
    <row r="206" spans="4:11" ht="15.75" customHeight="1" x14ac:dyDescent="0.3">
      <c r="D206" s="427"/>
      <c r="F206" s="427"/>
      <c r="K206" s="427"/>
    </row>
    <row r="207" spans="4:11" ht="15.75" customHeight="1" x14ac:dyDescent="0.3">
      <c r="D207" s="427"/>
      <c r="F207" s="427"/>
      <c r="K207" s="427"/>
    </row>
    <row r="208" spans="4:11" ht="15.75" customHeight="1" x14ac:dyDescent="0.3">
      <c r="D208" s="427"/>
      <c r="F208" s="427"/>
      <c r="K208" s="427"/>
    </row>
    <row r="209" spans="4:11" ht="15.75" customHeight="1" x14ac:dyDescent="0.3">
      <c r="D209" s="427"/>
      <c r="F209" s="427"/>
      <c r="K209" s="427"/>
    </row>
    <row r="210" spans="4:11" ht="15.75" customHeight="1" x14ac:dyDescent="0.3">
      <c r="D210" s="427"/>
      <c r="F210" s="427"/>
      <c r="K210" s="427"/>
    </row>
    <row r="211" spans="4:11" ht="15.75" customHeight="1" x14ac:dyDescent="0.3">
      <c r="D211" s="427"/>
      <c r="F211" s="427"/>
      <c r="K211" s="427"/>
    </row>
    <row r="212" spans="4:11" ht="15.75" customHeight="1" x14ac:dyDescent="0.3">
      <c r="D212" s="427"/>
      <c r="F212" s="427"/>
      <c r="K212" s="427"/>
    </row>
    <row r="213" spans="4:11" ht="15.75" customHeight="1" x14ac:dyDescent="0.3">
      <c r="D213" s="427"/>
      <c r="F213" s="427"/>
      <c r="K213" s="427"/>
    </row>
    <row r="214" spans="4:11" ht="15.75" customHeight="1" x14ac:dyDescent="0.3">
      <c r="D214" s="427"/>
      <c r="F214" s="427"/>
      <c r="K214" s="427"/>
    </row>
    <row r="215" spans="4:11" ht="15.75" customHeight="1" x14ac:dyDescent="0.3">
      <c r="D215" s="427"/>
      <c r="F215" s="427"/>
      <c r="K215" s="427"/>
    </row>
    <row r="216" spans="4:11" ht="15.75" customHeight="1" x14ac:dyDescent="0.3">
      <c r="D216" s="427"/>
      <c r="F216" s="427"/>
      <c r="K216" s="427"/>
    </row>
    <row r="217" spans="4:11" ht="15.75" customHeight="1" x14ac:dyDescent="0.3">
      <c r="D217" s="427"/>
      <c r="F217" s="427"/>
      <c r="K217" s="427"/>
    </row>
    <row r="218" spans="4:11" ht="15.75" customHeight="1" x14ac:dyDescent="0.3">
      <c r="D218" s="427"/>
      <c r="F218" s="427"/>
      <c r="K218" s="427"/>
    </row>
    <row r="219" spans="4:11" ht="15.75" customHeight="1" x14ac:dyDescent="0.3">
      <c r="D219" s="427"/>
      <c r="F219" s="427"/>
      <c r="K219" s="427"/>
    </row>
    <row r="220" spans="4:11" ht="15.75" customHeight="1" x14ac:dyDescent="0.3">
      <c r="D220" s="427"/>
      <c r="F220" s="427"/>
      <c r="K220" s="427"/>
    </row>
    <row r="221" spans="4:11" ht="15.75" customHeight="1" x14ac:dyDescent="0.3">
      <c r="D221" s="427"/>
      <c r="F221" s="427"/>
      <c r="K221" s="427"/>
    </row>
    <row r="222" spans="4:11" ht="15.75" customHeight="1" x14ac:dyDescent="0.3">
      <c r="D222" s="427"/>
      <c r="F222" s="427"/>
      <c r="K222" s="427"/>
    </row>
    <row r="223" spans="4:11" ht="15.75" customHeight="1" x14ac:dyDescent="0.3">
      <c r="D223" s="427"/>
      <c r="F223" s="427"/>
      <c r="K223" s="427"/>
    </row>
    <row r="224" spans="4:11" ht="15.75" customHeight="1" x14ac:dyDescent="0.3">
      <c r="D224" s="427"/>
      <c r="F224" s="427"/>
      <c r="K224" s="427"/>
    </row>
    <row r="225" spans="4:11" ht="15.75" customHeight="1" x14ac:dyDescent="0.3">
      <c r="D225" s="427"/>
      <c r="F225" s="427"/>
      <c r="K225" s="427"/>
    </row>
    <row r="226" spans="4:11" ht="15.75" customHeight="1" x14ac:dyDescent="0.3">
      <c r="D226" s="427"/>
      <c r="F226" s="427"/>
      <c r="K226" s="427"/>
    </row>
    <row r="227" spans="4:11" ht="15.75" customHeight="1" x14ac:dyDescent="0.3">
      <c r="D227" s="427"/>
      <c r="F227" s="427"/>
      <c r="K227" s="427"/>
    </row>
    <row r="228" spans="4:11" ht="15.75" customHeight="1" x14ac:dyDescent="0.3">
      <c r="D228" s="427"/>
      <c r="F228" s="427"/>
      <c r="K228" s="427"/>
    </row>
    <row r="229" spans="4:11" ht="15.75" customHeight="1" x14ac:dyDescent="0.3">
      <c r="D229" s="427"/>
      <c r="F229" s="427"/>
      <c r="K229" s="427"/>
    </row>
    <row r="230" spans="4:11" ht="15.75" customHeight="1" x14ac:dyDescent="0.3">
      <c r="D230" s="427"/>
      <c r="F230" s="427"/>
      <c r="K230" s="427"/>
    </row>
    <row r="231" spans="4:11" ht="15.75" customHeight="1" x14ac:dyDescent="0.3">
      <c r="D231" s="427"/>
      <c r="F231" s="427"/>
      <c r="K231" s="427"/>
    </row>
    <row r="232" spans="4:11" ht="15.75" customHeight="1" x14ac:dyDescent="0.3">
      <c r="D232" s="427"/>
      <c r="F232" s="427"/>
      <c r="K232" s="427"/>
    </row>
    <row r="233" spans="4:11" ht="15.75" customHeight="1" x14ac:dyDescent="0.3">
      <c r="D233" s="427"/>
      <c r="F233" s="427"/>
      <c r="K233" s="427"/>
    </row>
    <row r="234" spans="4:11" ht="15.75" customHeight="1" x14ac:dyDescent="0.3">
      <c r="D234" s="427"/>
      <c r="F234" s="427"/>
      <c r="K234" s="427"/>
    </row>
    <row r="235" spans="4:11" ht="15.75" customHeight="1" x14ac:dyDescent="0.3">
      <c r="D235" s="427"/>
      <c r="F235" s="427"/>
      <c r="K235" s="427"/>
    </row>
    <row r="236" spans="4:11" ht="15.75" customHeight="1" x14ac:dyDescent="0.3">
      <c r="D236" s="427"/>
      <c r="F236" s="427"/>
      <c r="K236" s="427"/>
    </row>
    <row r="237" spans="4:11" ht="15.75" customHeight="1" x14ac:dyDescent="0.3">
      <c r="D237" s="427"/>
      <c r="F237" s="427"/>
      <c r="K237" s="427"/>
    </row>
    <row r="238" spans="4:11" ht="15.75" customHeight="1" x14ac:dyDescent="0.3">
      <c r="D238" s="427"/>
      <c r="F238" s="427"/>
      <c r="K238" s="427"/>
    </row>
    <row r="239" spans="4:11" ht="15.75" customHeight="1" x14ac:dyDescent="0.3">
      <c r="D239" s="427"/>
      <c r="F239" s="427"/>
      <c r="K239" s="427"/>
    </row>
    <row r="240" spans="4:11" ht="15.75" customHeight="1" x14ac:dyDescent="0.3">
      <c r="D240" s="427"/>
      <c r="F240" s="427"/>
      <c r="K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H7:J7"/>
  </mergeCells>
  <dataValidations count="1">
    <dataValidation type="list" allowBlank="1" showErrorMessage="1" sqref="B17 B22" xr:uid="{E0326A14-EF1B-42B3-8302-F2AC6FAC42F7}">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B9CE-F9AA-4DE6-9284-E448C9A34CC8}">
  <dimension ref="A1:AD909"/>
  <sheetViews>
    <sheetView zoomScale="68" workbookViewId="0">
      <selection activeCell="AD50" sqref="AD50"/>
    </sheetView>
  </sheetViews>
  <sheetFormatPr defaultColWidth="12.44140625" defaultRowHeight="15" customHeight="1" x14ac:dyDescent="0.3"/>
  <cols>
    <col min="1" max="1" width="2.6640625" style="428" customWidth="1"/>
    <col min="2" max="2" width="5.109375" style="428" customWidth="1"/>
    <col min="3" max="3" width="33.5546875" style="428" customWidth="1"/>
    <col min="4" max="4" width="38"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2371</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1026</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474</v>
      </c>
      <c r="D10" s="531" t="s">
        <v>785</v>
      </c>
      <c r="E10" s="532" t="s">
        <v>350</v>
      </c>
      <c r="F10" s="533" t="s">
        <v>786</v>
      </c>
      <c r="G10" s="534">
        <v>2018</v>
      </c>
      <c r="H10" s="535"/>
      <c r="I10" s="536">
        <f>278.3+704+309.7+360.4+310.6+712.8+317.5+710.2+511.8</f>
        <v>4215.3</v>
      </c>
      <c r="J10" s="597">
        <v>5768</v>
      </c>
      <c r="K10" s="597">
        <v>6542</v>
      </c>
      <c r="L10" s="597">
        <v>4303</v>
      </c>
      <c r="M10" s="597">
        <v>2454</v>
      </c>
      <c r="N10" s="597">
        <v>3145</v>
      </c>
      <c r="O10" s="597">
        <v>3002</v>
      </c>
      <c r="P10" s="597">
        <v>290</v>
      </c>
      <c r="Q10" s="535"/>
      <c r="R10" s="535"/>
      <c r="S10" s="535"/>
      <c r="T10" s="535"/>
      <c r="U10" s="542"/>
      <c r="V10" s="535"/>
      <c r="W10" s="542"/>
      <c r="X10" s="535"/>
      <c r="Y10" s="542"/>
      <c r="Z10" s="535"/>
      <c r="AA10" s="528"/>
      <c r="AB10" s="528"/>
      <c r="AC10" s="528"/>
      <c r="AD10" s="528"/>
    </row>
    <row r="11" spans="1:30" ht="24" hidden="1" customHeight="1" x14ac:dyDescent="0.3">
      <c r="A11" s="528"/>
      <c r="B11" s="529"/>
      <c r="C11" s="1314" t="s">
        <v>787</v>
      </c>
      <c r="D11" s="1314" t="s">
        <v>788</v>
      </c>
      <c r="E11" s="1315" t="s">
        <v>371</v>
      </c>
      <c r="F11" s="1316"/>
      <c r="G11" s="1317"/>
      <c r="H11" s="1318"/>
      <c r="I11" s="1319">
        <v>369875</v>
      </c>
      <c r="J11" s="1320">
        <v>370000</v>
      </c>
      <c r="K11" s="1320">
        <v>356000</v>
      </c>
      <c r="L11" s="1320">
        <v>320000</v>
      </c>
      <c r="M11" s="1320">
        <v>280000</v>
      </c>
      <c r="N11" s="1320">
        <v>208000</v>
      </c>
      <c r="O11" s="1320">
        <v>187000</v>
      </c>
      <c r="P11" s="1320">
        <v>116000</v>
      </c>
      <c r="Q11" s="1318"/>
      <c r="R11" s="1318"/>
      <c r="S11" s="1318"/>
      <c r="T11" s="1318"/>
      <c r="U11" s="1321"/>
      <c r="V11" s="1318"/>
      <c r="W11" s="1321"/>
      <c r="X11" s="1318"/>
      <c r="Y11" s="1321"/>
      <c r="Z11" s="1318"/>
      <c r="AA11" s="528"/>
      <c r="AB11" s="528"/>
      <c r="AC11" s="528"/>
      <c r="AD11" s="528"/>
    </row>
    <row r="12" spans="1:30" ht="24" hidden="1" customHeight="1" x14ac:dyDescent="0.3">
      <c r="A12" s="528"/>
      <c r="B12" s="529"/>
      <c r="C12" s="453" t="s">
        <v>374</v>
      </c>
      <c r="D12" s="453" t="s">
        <v>789</v>
      </c>
      <c r="E12" s="543" t="s">
        <v>790</v>
      </c>
      <c r="F12" s="506"/>
      <c r="G12" s="496"/>
      <c r="H12" s="544"/>
      <c r="I12" s="544">
        <f>I10/I11</f>
        <v>1.1396552889489693E-2</v>
      </c>
      <c r="J12" s="599">
        <v>1.5589189189189188E-2</v>
      </c>
      <c r="K12" s="599">
        <v>0.02</v>
      </c>
      <c r="L12" s="599">
        <v>0.01</v>
      </c>
      <c r="M12" s="599">
        <v>0.01</v>
      </c>
      <c r="N12" s="599">
        <v>0.02</v>
      </c>
      <c r="O12" s="599">
        <v>0.02</v>
      </c>
      <c r="P12" s="599">
        <v>0</v>
      </c>
      <c r="Q12" s="544"/>
      <c r="R12" s="544"/>
      <c r="S12" s="544"/>
      <c r="T12" s="544"/>
      <c r="U12" s="548"/>
      <c r="V12" s="544"/>
      <c r="W12" s="548"/>
      <c r="X12" s="544"/>
      <c r="Y12" s="548"/>
      <c r="Z12" s="544"/>
      <c r="AA12" s="528"/>
      <c r="AB12" s="528"/>
      <c r="AC12" s="528"/>
      <c r="AD12" s="528"/>
    </row>
    <row r="13" spans="1:30" ht="30" customHeight="1" x14ac:dyDescent="0.3">
      <c r="A13" s="528"/>
      <c r="B13" s="529"/>
      <c r="C13" s="531" t="s">
        <v>374</v>
      </c>
      <c r="D13" s="531" t="s">
        <v>791</v>
      </c>
      <c r="E13" s="532" t="s">
        <v>792</v>
      </c>
      <c r="F13" s="533"/>
      <c r="G13" s="549"/>
      <c r="H13" s="550"/>
      <c r="I13" s="550">
        <v>2705</v>
      </c>
      <c r="J13" s="603">
        <v>2705</v>
      </c>
      <c r="K13" s="603">
        <v>2705</v>
      </c>
      <c r="L13" s="603">
        <v>2000</v>
      </c>
      <c r="M13" s="603">
        <v>500</v>
      </c>
      <c r="N13" s="603">
        <v>500</v>
      </c>
      <c r="O13" s="603">
        <v>500</v>
      </c>
      <c r="P13" s="603">
        <v>500</v>
      </c>
      <c r="Q13" s="550"/>
      <c r="R13" s="550"/>
      <c r="S13" s="550"/>
      <c r="T13" s="550"/>
      <c r="U13" s="542"/>
      <c r="V13" s="550"/>
      <c r="W13" s="542"/>
      <c r="X13" s="550"/>
      <c r="Y13" s="542"/>
      <c r="Z13" s="550"/>
      <c r="AA13" s="528"/>
      <c r="AB13" s="528"/>
      <c r="AC13" s="528"/>
      <c r="AD13" s="528"/>
    </row>
    <row r="14" spans="1:30" ht="30" customHeight="1" x14ac:dyDescent="0.3">
      <c r="A14" s="528"/>
      <c r="B14" s="529"/>
      <c r="C14" s="453" t="s">
        <v>374</v>
      </c>
      <c r="D14" s="453" t="s">
        <v>793</v>
      </c>
      <c r="E14" s="543" t="s">
        <v>794</v>
      </c>
      <c r="F14" s="506"/>
      <c r="G14" s="496"/>
      <c r="H14" s="544"/>
      <c r="I14" s="544">
        <f>I10/I13</f>
        <v>1.5583364140480591</v>
      </c>
      <c r="J14" s="599">
        <v>2.1323475046210723</v>
      </c>
      <c r="K14" s="599">
        <v>2.42</v>
      </c>
      <c r="L14" s="599">
        <v>2.15</v>
      </c>
      <c r="M14" s="599">
        <v>4.91</v>
      </c>
      <c r="N14" s="599">
        <v>6.29</v>
      </c>
      <c r="O14" s="599">
        <v>6</v>
      </c>
      <c r="P14" s="599">
        <v>0.33</v>
      </c>
      <c r="Q14" s="544"/>
      <c r="R14" s="544"/>
      <c r="S14" s="544"/>
      <c r="T14" s="544"/>
      <c r="U14" s="548"/>
      <c r="V14" s="544"/>
      <c r="W14" s="548"/>
      <c r="X14" s="544"/>
      <c r="Y14" s="548"/>
      <c r="Z14" s="544"/>
      <c r="AA14" s="528"/>
      <c r="AB14" s="528"/>
      <c r="AC14" s="528"/>
      <c r="AD14" s="528"/>
    </row>
    <row r="15" spans="1:30" ht="30" customHeight="1" x14ac:dyDescent="0.3">
      <c r="A15" s="528"/>
      <c r="B15" s="529"/>
      <c r="C15" s="531" t="s">
        <v>474</v>
      </c>
      <c r="D15" s="533" t="s">
        <v>795</v>
      </c>
      <c r="E15" s="532" t="s">
        <v>350</v>
      </c>
      <c r="F15" s="533" t="s">
        <v>796</v>
      </c>
      <c r="G15" s="549"/>
      <c r="H15" s="550"/>
      <c r="I15" s="678">
        <f>I10*130%</f>
        <v>5479.89</v>
      </c>
      <c r="J15" s="603">
        <v>7498.4000000000005</v>
      </c>
      <c r="K15" s="603">
        <v>8504.6</v>
      </c>
      <c r="L15" s="603">
        <v>5593.9</v>
      </c>
      <c r="M15" s="603">
        <v>3190.2</v>
      </c>
      <c r="N15" s="603">
        <v>4088.5</v>
      </c>
      <c r="O15" s="603">
        <v>3902.6</v>
      </c>
      <c r="P15" s="603" t="s">
        <v>88</v>
      </c>
      <c r="Q15" s="550"/>
      <c r="R15" s="550"/>
      <c r="S15" s="550"/>
      <c r="T15" s="550"/>
      <c r="U15" s="542"/>
      <c r="V15" s="550"/>
      <c r="W15" s="542"/>
      <c r="X15" s="550"/>
      <c r="Y15" s="542"/>
      <c r="Z15" s="550"/>
      <c r="AA15" s="528"/>
      <c r="AB15" s="528"/>
      <c r="AC15" s="528"/>
      <c r="AD15" s="528"/>
    </row>
    <row r="16" spans="1:30" ht="24" customHeight="1" x14ac:dyDescent="0.3">
      <c r="A16" s="528"/>
      <c r="B16" s="529"/>
      <c r="C16" s="453" t="s">
        <v>474</v>
      </c>
      <c r="D16" s="453" t="s">
        <v>797</v>
      </c>
      <c r="E16" s="543" t="s">
        <v>798</v>
      </c>
      <c r="F16" s="506"/>
      <c r="G16" s="496"/>
      <c r="H16" s="544"/>
      <c r="I16" s="544">
        <v>8</v>
      </c>
      <c r="J16" s="599">
        <v>8</v>
      </c>
      <c r="K16" s="599">
        <v>8</v>
      </c>
      <c r="L16" s="599">
        <v>8</v>
      </c>
      <c r="M16" s="599">
        <v>5</v>
      </c>
      <c r="N16" s="599">
        <v>5</v>
      </c>
      <c r="O16" s="599">
        <v>5</v>
      </c>
      <c r="P16" s="599"/>
      <c r="Q16" s="544"/>
      <c r="R16" s="544"/>
      <c r="S16" s="544"/>
      <c r="T16" s="544"/>
      <c r="U16" s="548"/>
      <c r="V16" s="544"/>
      <c r="W16" s="548"/>
      <c r="X16" s="544"/>
      <c r="Y16" s="548"/>
      <c r="Z16" s="544"/>
      <c r="AA16" s="528"/>
      <c r="AB16" s="528"/>
      <c r="AC16" s="528"/>
      <c r="AD16" s="528"/>
    </row>
    <row r="17" spans="1:30" ht="24" customHeight="1" x14ac:dyDescent="0.3">
      <c r="A17" s="528"/>
      <c r="B17" s="529"/>
      <c r="C17" s="531"/>
      <c r="D17" s="531"/>
      <c r="E17" s="532"/>
      <c r="F17" s="533"/>
      <c r="G17" s="551"/>
      <c r="H17" s="550"/>
      <c r="I17" s="550"/>
      <c r="J17" s="550"/>
      <c r="K17" s="550"/>
      <c r="L17" s="550"/>
      <c r="M17" s="550"/>
      <c r="N17" s="550"/>
      <c r="O17" s="550"/>
      <c r="P17" s="550"/>
      <c r="Q17" s="550"/>
      <c r="R17" s="550"/>
      <c r="S17" s="550"/>
      <c r="T17" s="550"/>
      <c r="U17" s="542"/>
      <c r="V17" s="550"/>
      <c r="W17" s="542"/>
      <c r="X17" s="550"/>
      <c r="Y17" s="542"/>
      <c r="Z17" s="550"/>
      <c r="AA17" s="528"/>
      <c r="AB17" s="528"/>
      <c r="AC17" s="528"/>
      <c r="AD17" s="528"/>
    </row>
    <row r="18" spans="1:30" ht="24" customHeight="1" x14ac:dyDescent="0.3">
      <c r="A18" s="528"/>
      <c r="B18" s="552"/>
      <c r="C18" s="462"/>
      <c r="D18" s="462"/>
      <c r="E18" s="553"/>
      <c r="F18" s="554"/>
      <c r="G18" s="555"/>
      <c r="H18" s="556"/>
      <c r="I18" s="556"/>
      <c r="J18" s="556"/>
      <c r="K18" s="556"/>
      <c r="L18" s="556"/>
      <c r="M18" s="556"/>
      <c r="N18" s="556"/>
      <c r="O18" s="556"/>
      <c r="P18" s="556"/>
      <c r="Q18" s="556"/>
      <c r="R18" s="556"/>
      <c r="S18" s="556"/>
      <c r="T18" s="556"/>
      <c r="U18" s="557"/>
      <c r="V18" s="556"/>
      <c r="W18" s="557"/>
      <c r="X18" s="556"/>
      <c r="Y18" s="557"/>
      <c r="Z18" s="556"/>
      <c r="AA18" s="528"/>
      <c r="AB18" s="528"/>
      <c r="AC18" s="528"/>
      <c r="AD18" s="528"/>
    </row>
    <row r="19" spans="1:30" ht="15.75" customHeight="1" x14ac:dyDescent="0.3">
      <c r="A19" s="528"/>
      <c r="B19" s="558"/>
      <c r="C19" s="528"/>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60" t="s">
        <v>355</v>
      </c>
      <c r="C20" s="561" t="s">
        <v>356</v>
      </c>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558"/>
      <c r="C21" s="528"/>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4383" t="s">
        <v>357</v>
      </c>
      <c r="C22" s="4384"/>
      <c r="D22" s="528"/>
      <c r="E22" s="528"/>
      <c r="F22" s="528"/>
      <c r="G22" s="479"/>
      <c r="H22" s="479"/>
      <c r="I22" s="479"/>
      <c r="J22" s="479"/>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562" t="s">
        <v>365</v>
      </c>
      <c r="C23" s="4404" t="s">
        <v>799</v>
      </c>
      <c r="D23" s="4404"/>
      <c r="E23" s="4404"/>
      <c r="F23" s="4404"/>
      <c r="G23" s="4404"/>
      <c r="H23" s="4404"/>
      <c r="I23" s="4404"/>
      <c r="J23" s="4404"/>
      <c r="K23" s="4404"/>
      <c r="L23" s="4404"/>
      <c r="M23" s="4404"/>
      <c r="N23" s="4404"/>
      <c r="O23" s="4404"/>
      <c r="P23" s="4404"/>
      <c r="Q23" s="4404"/>
      <c r="R23" s="4404"/>
      <c r="S23" s="4404"/>
      <c r="T23" s="4404"/>
      <c r="U23" s="4404"/>
      <c r="V23" s="4404"/>
      <c r="W23" s="4404"/>
      <c r="X23" s="4404"/>
      <c r="Y23" s="4404"/>
      <c r="Z23" s="4404"/>
      <c r="AA23" s="528"/>
      <c r="AB23" s="528"/>
      <c r="AC23" s="528"/>
      <c r="AD23" s="528"/>
    </row>
    <row r="24" spans="1:30" ht="33" customHeight="1" x14ac:dyDescent="0.3">
      <c r="A24" s="528"/>
      <c r="B24" s="562"/>
      <c r="C24" s="4404"/>
      <c r="D24" s="4404"/>
      <c r="E24" s="4404"/>
      <c r="F24" s="4404"/>
      <c r="G24" s="4404"/>
      <c r="H24" s="4404"/>
      <c r="I24" s="4404"/>
      <c r="J24" s="4404"/>
      <c r="K24" s="4404"/>
      <c r="L24" s="4404"/>
      <c r="M24" s="4404"/>
      <c r="N24" s="4404"/>
      <c r="O24" s="4404"/>
      <c r="P24" s="4404"/>
      <c r="Q24" s="4404"/>
      <c r="R24" s="4404"/>
      <c r="S24" s="4404"/>
      <c r="T24" s="4404"/>
      <c r="U24" s="4404"/>
      <c r="V24" s="4404"/>
      <c r="W24" s="4404"/>
      <c r="X24" s="4404"/>
      <c r="Y24" s="4404"/>
      <c r="Z24" s="4404"/>
      <c r="AA24" s="528"/>
      <c r="AB24" s="528"/>
      <c r="AC24" s="528"/>
      <c r="AD24" s="528"/>
    </row>
    <row r="25" spans="1:30" ht="15.75" customHeight="1" x14ac:dyDescent="0.3">
      <c r="A25" s="528"/>
      <c r="B25" s="562"/>
      <c r="C25" s="428" t="s">
        <v>800</v>
      </c>
      <c r="D25" s="528"/>
      <c r="E25" s="528"/>
      <c r="F25" s="528"/>
      <c r="G25" s="479"/>
      <c r="H25" s="479"/>
      <c r="I25" s="479"/>
      <c r="J25" s="479"/>
      <c r="K25" s="479"/>
      <c r="L25" s="479"/>
      <c r="M25" s="559"/>
      <c r="N25" s="559"/>
      <c r="O25" s="559"/>
      <c r="P25" s="559"/>
      <c r="Q25" s="559"/>
      <c r="R25" s="559"/>
      <c r="S25" s="559"/>
      <c r="T25" s="559"/>
      <c r="U25" s="559"/>
      <c r="V25" s="559"/>
      <c r="W25" s="559"/>
      <c r="X25" s="559"/>
      <c r="Y25" s="559"/>
      <c r="Z25" s="559"/>
      <c r="AA25" s="528"/>
      <c r="AB25" s="528"/>
      <c r="AC25" s="528"/>
      <c r="AD25" s="528"/>
    </row>
    <row r="26" spans="1:30" ht="15.75" customHeight="1" x14ac:dyDescent="0.3"/>
    <row r="27" spans="1:30" ht="15.75" customHeight="1" x14ac:dyDescent="0.3"/>
    <row r="28" spans="1:30" ht="21" customHeight="1" x14ac:dyDescent="0.3">
      <c r="B28" s="519" t="s">
        <v>409</v>
      </c>
    </row>
    <row r="29" spans="1:30" ht="9" customHeight="1" x14ac:dyDescent="0.3">
      <c r="B29" s="519"/>
    </row>
    <row r="30" spans="1:30" ht="21" customHeight="1" x14ac:dyDescent="0.3">
      <c r="B30" s="517" t="s">
        <v>410</v>
      </c>
      <c r="C30" s="518"/>
      <c r="D30" s="518"/>
    </row>
    <row r="31" spans="1:30" ht="12" customHeight="1" x14ac:dyDescent="0.3"/>
    <row r="32" spans="1:30" ht="15.75" customHeight="1" x14ac:dyDescent="0.3">
      <c r="B32" s="521" t="s">
        <v>301</v>
      </c>
      <c r="C32" s="522" t="s">
        <v>343</v>
      </c>
      <c r="D32" s="523" t="s">
        <v>344</v>
      </c>
      <c r="E32" s="523" t="s">
        <v>345</v>
      </c>
      <c r="F32" s="523" t="s">
        <v>346</v>
      </c>
      <c r="G32" s="524" t="s">
        <v>347</v>
      </c>
      <c r="H32" s="525">
        <v>2025</v>
      </c>
      <c r="I32" s="525">
        <v>2024</v>
      </c>
      <c r="J32" s="525">
        <v>2023</v>
      </c>
      <c r="K32" s="525">
        <v>2022</v>
      </c>
      <c r="L32" s="525">
        <v>2021</v>
      </c>
      <c r="M32" s="525">
        <v>2020</v>
      </c>
      <c r="N32" s="525">
        <v>2019</v>
      </c>
      <c r="O32" s="526">
        <v>2018</v>
      </c>
      <c r="P32" s="526">
        <v>2017</v>
      </c>
      <c r="Q32" s="526">
        <v>2016</v>
      </c>
      <c r="R32" s="526">
        <v>2015</v>
      </c>
      <c r="S32" s="526">
        <v>2014</v>
      </c>
      <c r="T32" s="526">
        <v>2013</v>
      </c>
      <c r="U32" s="526">
        <v>2012</v>
      </c>
      <c r="V32" s="526">
        <v>2011</v>
      </c>
      <c r="W32" s="526">
        <v>2010</v>
      </c>
      <c r="X32" s="526">
        <v>2009</v>
      </c>
      <c r="Y32" s="526">
        <v>2008</v>
      </c>
      <c r="Z32" s="527" t="s">
        <v>332</v>
      </c>
    </row>
    <row r="33" spans="2:26" ht="24" customHeight="1" x14ac:dyDescent="0.3">
      <c r="B33" s="529">
        <v>1</v>
      </c>
      <c r="C33" s="530" t="s">
        <v>474</v>
      </c>
      <c r="D33" s="531" t="s">
        <v>801</v>
      </c>
      <c r="E33" s="532" t="s">
        <v>363</v>
      </c>
      <c r="F33" s="531" t="s">
        <v>802</v>
      </c>
      <c r="G33" s="534">
        <v>2011</v>
      </c>
      <c r="H33" s="635"/>
      <c r="I33" s="1284">
        <f>1990.5/1000</f>
        <v>1.9904999999999999</v>
      </c>
      <c r="J33" s="540">
        <v>1.86</v>
      </c>
      <c r="K33" s="597">
        <v>1.52</v>
      </c>
      <c r="L33" s="597">
        <v>1.32</v>
      </c>
      <c r="M33" s="597">
        <v>1.46</v>
      </c>
      <c r="N33" s="597">
        <v>1.25</v>
      </c>
      <c r="O33" s="597">
        <v>0.83</v>
      </c>
      <c r="P33" s="597">
        <v>1.1100000000000001</v>
      </c>
      <c r="Q33" s="597">
        <v>0.5</v>
      </c>
      <c r="R33" s="597">
        <v>0.5</v>
      </c>
      <c r="S33" s="597">
        <v>0.5</v>
      </c>
      <c r="T33" s="597">
        <v>0.5</v>
      </c>
      <c r="U33" s="598">
        <v>0.5</v>
      </c>
      <c r="V33" s="597">
        <v>0</v>
      </c>
      <c r="W33" s="542"/>
      <c r="X33" s="535"/>
      <c r="Y33" s="542"/>
      <c r="Z33" s="535"/>
    </row>
    <row r="34" spans="2:26" ht="24" customHeight="1" x14ac:dyDescent="0.3">
      <c r="B34" s="529">
        <v>2</v>
      </c>
      <c r="C34" s="453" t="s">
        <v>474</v>
      </c>
      <c r="D34" s="453" t="s">
        <v>803</v>
      </c>
      <c r="E34" s="543" t="s">
        <v>345</v>
      </c>
      <c r="F34" s="453"/>
      <c r="G34" s="479">
        <v>2011</v>
      </c>
      <c r="H34" s="638"/>
      <c r="I34" s="638"/>
      <c r="J34" s="547">
        <v>1240</v>
      </c>
      <c r="K34" s="599">
        <v>1010</v>
      </c>
      <c r="L34" s="599">
        <v>877</v>
      </c>
      <c r="M34" s="599">
        <v>972</v>
      </c>
      <c r="N34" s="599">
        <v>835</v>
      </c>
      <c r="O34" s="599">
        <v>550</v>
      </c>
      <c r="P34" s="599">
        <v>740</v>
      </c>
      <c r="Q34" s="599">
        <v>333</v>
      </c>
      <c r="R34" s="599">
        <v>333</v>
      </c>
      <c r="S34" s="599">
        <v>333</v>
      </c>
      <c r="T34" s="599">
        <v>333</v>
      </c>
      <c r="U34" s="600">
        <v>333</v>
      </c>
      <c r="V34" s="599">
        <v>0</v>
      </c>
      <c r="W34" s="548"/>
      <c r="X34" s="544"/>
      <c r="Y34" s="548"/>
      <c r="Z34" s="544"/>
    </row>
    <row r="35" spans="2:26" ht="24" customHeight="1" x14ac:dyDescent="0.3">
      <c r="B35" s="529"/>
      <c r="C35" s="531" t="s">
        <v>474</v>
      </c>
      <c r="D35" s="531" t="s">
        <v>804</v>
      </c>
      <c r="E35" s="532" t="s">
        <v>363</v>
      </c>
      <c r="F35" s="531"/>
      <c r="G35" s="639">
        <v>2011</v>
      </c>
      <c r="H35" s="640"/>
      <c r="I35" s="1326">
        <f>5678.4/1000</f>
        <v>5.6783999999999999</v>
      </c>
      <c r="J35" s="603">
        <v>4.2</v>
      </c>
      <c r="K35" s="603">
        <v>5.68</v>
      </c>
      <c r="L35" s="603">
        <v>4.59</v>
      </c>
      <c r="M35" s="603">
        <v>4.59</v>
      </c>
      <c r="N35" s="603">
        <v>4.37</v>
      </c>
      <c r="O35" s="603">
        <v>3.82</v>
      </c>
      <c r="P35" s="603">
        <v>3.49</v>
      </c>
      <c r="Q35" s="603">
        <v>0.63</v>
      </c>
      <c r="R35" s="603">
        <v>0.32</v>
      </c>
      <c r="S35" s="603">
        <v>0</v>
      </c>
      <c r="T35" s="603">
        <v>0</v>
      </c>
      <c r="U35" s="598">
        <v>0</v>
      </c>
      <c r="V35" s="603">
        <v>0</v>
      </c>
      <c r="W35" s="542"/>
      <c r="X35" s="550"/>
      <c r="Y35" s="542"/>
      <c r="Z35" s="550"/>
    </row>
    <row r="36" spans="2:26" ht="24" customHeight="1" x14ac:dyDescent="0.3">
      <c r="B36" s="529"/>
      <c r="C36" s="453" t="s">
        <v>474</v>
      </c>
      <c r="D36" s="453" t="s">
        <v>805</v>
      </c>
      <c r="E36" s="543" t="s">
        <v>345</v>
      </c>
      <c r="F36" s="453"/>
      <c r="G36" s="479">
        <v>2011</v>
      </c>
      <c r="H36" s="638"/>
      <c r="I36" s="1327"/>
      <c r="J36" s="599">
        <v>40</v>
      </c>
      <c r="K36" s="599">
        <v>52</v>
      </c>
      <c r="L36" s="599">
        <v>42</v>
      </c>
      <c r="M36" s="599">
        <v>42</v>
      </c>
      <c r="N36" s="599">
        <v>40</v>
      </c>
      <c r="O36" s="599">
        <v>35</v>
      </c>
      <c r="P36" s="599">
        <v>32</v>
      </c>
      <c r="Q36" s="599">
        <v>300</v>
      </c>
      <c r="R36" s="599">
        <v>150</v>
      </c>
      <c r="S36" s="599">
        <v>0</v>
      </c>
      <c r="T36" s="599">
        <v>0</v>
      </c>
      <c r="U36" s="600">
        <v>0</v>
      </c>
      <c r="V36" s="599">
        <v>0</v>
      </c>
      <c r="W36" s="548"/>
      <c r="X36" s="544"/>
      <c r="Y36" s="548"/>
      <c r="Z36" s="544"/>
    </row>
    <row r="37" spans="2:26" ht="24" customHeight="1" x14ac:dyDescent="0.3">
      <c r="B37" s="529">
        <v>3</v>
      </c>
      <c r="C37" s="531" t="s">
        <v>474</v>
      </c>
      <c r="D37" s="531" t="s">
        <v>806</v>
      </c>
      <c r="E37" s="532" t="s">
        <v>363</v>
      </c>
      <c r="F37" s="531" t="s">
        <v>807</v>
      </c>
      <c r="G37" s="680">
        <v>2011</v>
      </c>
      <c r="H37" s="681"/>
      <c r="I37" s="1328">
        <f>D55/1000</f>
        <v>1.2167999999999999</v>
      </c>
      <c r="J37" s="1322">
        <v>1.46</v>
      </c>
      <c r="K37" s="603">
        <v>1.46</v>
      </c>
      <c r="L37" s="603">
        <v>3.86</v>
      </c>
      <c r="M37" s="603">
        <v>3.38</v>
      </c>
      <c r="N37" s="603">
        <v>3.38</v>
      </c>
      <c r="O37" s="603">
        <v>2.5099999999999998</v>
      </c>
      <c r="P37" s="603">
        <v>1.82</v>
      </c>
      <c r="Q37" s="603">
        <v>1.82</v>
      </c>
      <c r="R37" s="603">
        <v>1.82</v>
      </c>
      <c r="S37" s="603">
        <v>1.82</v>
      </c>
      <c r="T37" s="603">
        <v>1.82</v>
      </c>
      <c r="U37" s="598">
        <v>1.82</v>
      </c>
      <c r="V37" s="603">
        <v>0</v>
      </c>
      <c r="W37" s="542"/>
      <c r="X37" s="550"/>
      <c r="Y37" s="542"/>
      <c r="Z37" s="550"/>
    </row>
    <row r="38" spans="2:26" ht="24" customHeight="1" x14ac:dyDescent="0.3">
      <c r="B38" s="529"/>
      <c r="C38" s="453"/>
      <c r="D38" s="453"/>
      <c r="E38" s="543"/>
      <c r="F38" s="453"/>
      <c r="G38" s="479"/>
      <c r="H38" s="638"/>
      <c r="I38" s="638"/>
      <c r="J38" s="544"/>
      <c r="K38" s="544"/>
      <c r="L38" s="544"/>
      <c r="M38" s="544"/>
      <c r="N38" s="544"/>
      <c r="O38" s="544"/>
      <c r="P38" s="544"/>
      <c r="Q38" s="544"/>
      <c r="R38" s="544"/>
      <c r="S38" s="544"/>
      <c r="T38" s="544"/>
      <c r="U38" s="548"/>
      <c r="V38" s="544"/>
      <c r="W38" s="548"/>
      <c r="X38" s="544"/>
      <c r="Y38" s="548"/>
      <c r="Z38" s="544"/>
    </row>
    <row r="39" spans="2:26" ht="24" customHeight="1" x14ac:dyDescent="0.3">
      <c r="B39" s="529"/>
      <c r="C39" s="531"/>
      <c r="D39" s="531"/>
      <c r="E39" s="532"/>
      <c r="F39" s="531"/>
      <c r="G39" s="641"/>
      <c r="H39" s="640"/>
      <c r="I39" s="640"/>
      <c r="J39" s="642"/>
      <c r="K39" s="642"/>
      <c r="L39" s="642"/>
      <c r="M39" s="642"/>
      <c r="N39" s="642"/>
      <c r="O39" s="642"/>
      <c r="P39" s="642"/>
      <c r="Q39" s="642"/>
      <c r="R39" s="642"/>
      <c r="S39" s="643"/>
      <c r="T39" s="643"/>
      <c r="U39" s="644"/>
      <c r="V39" s="643"/>
      <c r="W39" s="644"/>
      <c r="X39" s="643"/>
      <c r="Y39" s="644"/>
      <c r="Z39" s="550"/>
    </row>
    <row r="40" spans="2:26" ht="24" customHeight="1" x14ac:dyDescent="0.3">
      <c r="B40" s="552"/>
      <c r="C40" s="462"/>
      <c r="D40" s="462"/>
      <c r="E40" s="553"/>
      <c r="F40" s="462"/>
      <c r="G40" s="645"/>
      <c r="H40" s="646"/>
      <c r="I40" s="646"/>
      <c r="J40" s="556"/>
      <c r="K40" s="556"/>
      <c r="L40" s="556"/>
      <c r="M40" s="556"/>
      <c r="N40" s="556"/>
      <c r="O40" s="556"/>
      <c r="P40" s="556"/>
      <c r="Q40" s="556"/>
      <c r="R40" s="556"/>
      <c r="S40" s="556"/>
      <c r="T40" s="556"/>
      <c r="U40" s="557"/>
      <c r="V40" s="556"/>
      <c r="W40" s="557"/>
      <c r="X40" s="556"/>
      <c r="Y40" s="557"/>
      <c r="Z40" s="556"/>
    </row>
    <row r="41" spans="2:26" ht="15.75" customHeight="1" x14ac:dyDescent="0.3"/>
    <row r="42" spans="2:26" ht="15.75" customHeight="1" x14ac:dyDescent="0.3">
      <c r="B42" s="560" t="s">
        <v>355</v>
      </c>
      <c r="C42" s="561" t="s">
        <v>356</v>
      </c>
    </row>
    <row r="43" spans="2:26" ht="15.75" customHeight="1" x14ac:dyDescent="0.3"/>
    <row r="44" spans="2:26" ht="15.75" customHeight="1" x14ac:dyDescent="0.3">
      <c r="B44" s="4383" t="s">
        <v>357</v>
      </c>
      <c r="C44" s="4384"/>
    </row>
    <row r="45" spans="2:26" ht="15.75" customHeight="1" x14ac:dyDescent="0.3">
      <c r="B45" s="562" t="s">
        <v>508</v>
      </c>
      <c r="C45" s="4198">
        <v>2023</v>
      </c>
      <c r="D45" s="1323"/>
    </row>
    <row r="46" spans="2:26" ht="15.75" customHeight="1" x14ac:dyDescent="0.3">
      <c r="B46" s="562"/>
      <c r="C46" s="1286" t="s">
        <v>808</v>
      </c>
      <c r="D46" s="1323"/>
    </row>
    <row r="47" spans="2:26" ht="15.75" customHeight="1" x14ac:dyDescent="0.3">
      <c r="C47" s="1286" t="s">
        <v>809</v>
      </c>
      <c r="D47" s="1323"/>
    </row>
    <row r="48" spans="2:26" ht="15.75" customHeight="1" x14ac:dyDescent="0.3">
      <c r="C48" s="1286" t="s">
        <v>810</v>
      </c>
      <c r="D48" s="1323"/>
    </row>
    <row r="49" spans="3:4" ht="15.75" customHeight="1" x14ac:dyDescent="0.3">
      <c r="C49" s="4199">
        <v>2024</v>
      </c>
    </row>
    <row r="50" spans="3:4" ht="15.75" customHeight="1" x14ac:dyDescent="0.3">
      <c r="C50" s="1286" t="s">
        <v>811</v>
      </c>
      <c r="D50" s="1323"/>
    </row>
    <row r="51" spans="3:4" ht="15.75" customHeight="1" x14ac:dyDescent="0.3">
      <c r="C51" s="1286" t="s">
        <v>812</v>
      </c>
      <c r="D51" s="1323"/>
    </row>
    <row r="52" spans="3:4" ht="15.75" customHeight="1" x14ac:dyDescent="0.3">
      <c r="C52" s="1286" t="s">
        <v>813</v>
      </c>
    </row>
    <row r="53" spans="3:4" ht="15.75" customHeight="1" x14ac:dyDescent="0.3">
      <c r="C53" s="1286" t="s">
        <v>814</v>
      </c>
    </row>
    <row r="54" spans="3:4" ht="15.75" customHeight="1" x14ac:dyDescent="0.3">
      <c r="C54" s="1286" t="s">
        <v>815</v>
      </c>
    </row>
    <row r="55" spans="3:4" ht="15.75" customHeight="1" x14ac:dyDescent="0.3">
      <c r="C55" s="4200" t="s">
        <v>816</v>
      </c>
      <c r="D55" s="1325">
        <v>1216.8</v>
      </c>
    </row>
    <row r="56" spans="3:4" ht="15.75" customHeight="1" x14ac:dyDescent="0.3"/>
    <row r="57" spans="3:4" ht="15.75" customHeight="1" x14ac:dyDescent="0.3"/>
    <row r="58" spans="3:4" ht="15.75" customHeight="1" x14ac:dyDescent="0.3"/>
    <row r="59" spans="3:4" ht="15.75" customHeight="1" x14ac:dyDescent="0.3"/>
    <row r="60" spans="3:4" ht="15.75" customHeight="1" x14ac:dyDescent="0.3"/>
    <row r="61" spans="3:4" ht="15.75" customHeight="1" x14ac:dyDescent="0.3"/>
    <row r="62" spans="3:4" ht="15.75" customHeight="1" x14ac:dyDescent="0.3"/>
    <row r="63" spans="3:4" ht="15.75" customHeight="1" x14ac:dyDescent="0.3"/>
    <row r="64" spans="3: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sheetData>
  <mergeCells count="3">
    <mergeCell ref="B22:C22"/>
    <mergeCell ref="B44:C44"/>
    <mergeCell ref="C23:Z2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605A-ACFA-45B2-ABF2-7BB3F39B6DA3}">
  <dimension ref="A1:F986"/>
  <sheetViews>
    <sheetView topLeftCell="A19" workbookViewId="0">
      <selection activeCell="C30" sqref="C30"/>
    </sheetView>
  </sheetViews>
  <sheetFormatPr defaultColWidth="12.44140625" defaultRowHeight="15" customHeight="1" x14ac:dyDescent="0.3"/>
  <cols>
    <col min="1" max="1" width="2.6640625" style="428" customWidth="1"/>
    <col min="2" max="2" width="34" style="428" customWidth="1"/>
    <col min="3" max="3" width="21.77734375" style="428" customWidth="1"/>
    <col min="4" max="4" width="1.5546875" style="428" customWidth="1"/>
    <col min="5" max="5" width="15.21875" style="428" customWidth="1"/>
    <col min="6" max="6" width="11.6640625" style="428" customWidth="1"/>
    <col min="7" max="16384" width="12.44140625" style="428"/>
  </cols>
  <sheetData>
    <row r="1" spans="1:6" ht="21.75" customHeight="1" x14ac:dyDescent="0.35">
      <c r="A1" s="424"/>
      <c r="B1" s="425" t="s">
        <v>549</v>
      </c>
      <c r="D1" s="427"/>
    </row>
    <row r="2" spans="1:6" ht="15.75" customHeight="1" x14ac:dyDescent="0.3">
      <c r="A2" s="424"/>
      <c r="B2" s="429" t="s">
        <v>299</v>
      </c>
      <c r="C2" s="430"/>
      <c r="D2" s="430"/>
      <c r="E2" s="430"/>
    </row>
    <row r="3" spans="1:6" ht="9.75" customHeight="1" x14ac:dyDescent="0.3">
      <c r="A3" s="427"/>
      <c r="D3" s="427"/>
    </row>
    <row r="4" spans="1:6" ht="6" customHeight="1" x14ac:dyDescent="0.3">
      <c r="D4" s="427"/>
    </row>
    <row r="5" spans="1:6" ht="6" customHeight="1" x14ac:dyDescent="0.3">
      <c r="A5" s="431"/>
      <c r="D5" s="427"/>
    </row>
    <row r="6" spans="1:6" ht="15.75" customHeight="1" x14ac:dyDescent="0.3">
      <c r="D6" s="427"/>
    </row>
    <row r="7" spans="1:6" ht="37.200000000000003" customHeight="1" x14ac:dyDescent="0.3">
      <c r="A7" s="432"/>
      <c r="B7" s="433">
        <v>2024</v>
      </c>
      <c r="C7" s="686" t="s">
        <v>23</v>
      </c>
      <c r="D7" s="609"/>
      <c r="E7" s="435" t="s">
        <v>300</v>
      </c>
      <c r="F7" s="432"/>
    </row>
    <row r="8" spans="1:6" ht="18" customHeight="1" x14ac:dyDescent="0.35">
      <c r="B8" s="436" t="s">
        <v>301</v>
      </c>
      <c r="C8" s="648">
        <v>1</v>
      </c>
      <c r="D8" s="610"/>
      <c r="E8" s="438"/>
    </row>
    <row r="9" spans="1:6" ht="46.5" customHeight="1" x14ac:dyDescent="0.3">
      <c r="B9" s="439" t="s">
        <v>302</v>
      </c>
      <c r="C9" s="573" t="s">
        <v>817</v>
      </c>
      <c r="D9" s="611"/>
      <c r="E9" s="442"/>
    </row>
    <row r="10" spans="1:6" ht="46.5" customHeight="1" x14ac:dyDescent="0.3">
      <c r="B10" s="444" t="s">
        <v>304</v>
      </c>
      <c r="C10" s="445" t="s">
        <v>818</v>
      </c>
      <c r="D10" s="612"/>
      <c r="E10" s="446"/>
    </row>
    <row r="11" spans="1:6" ht="18.75" customHeight="1" x14ac:dyDescent="0.3">
      <c r="A11" s="447"/>
      <c r="B11" s="448" t="s">
        <v>306</v>
      </c>
      <c r="C11" s="1089">
        <f>(C17*C18)</f>
        <v>3231.6570000000002</v>
      </c>
      <c r="D11" s="614"/>
      <c r="E11" s="451">
        <f>SUM(C11:C11)</f>
        <v>3231.6570000000002</v>
      </c>
      <c r="F11" s="447"/>
    </row>
    <row r="12" spans="1:6" ht="18.75" customHeight="1" x14ac:dyDescent="0.3">
      <c r="A12" s="447"/>
      <c r="B12" s="453" t="s">
        <v>307</v>
      </c>
      <c r="C12" s="577">
        <f>(C22*C23)</f>
        <v>0</v>
      </c>
      <c r="D12" s="614"/>
      <c r="E12" s="456">
        <f>SUM(C12:C12)</f>
        <v>0</v>
      </c>
      <c r="F12" s="447"/>
    </row>
    <row r="13" spans="1:6" ht="18.75" customHeight="1" x14ac:dyDescent="0.3">
      <c r="A13" s="447"/>
      <c r="B13" s="448" t="s">
        <v>308</v>
      </c>
      <c r="C13" s="654" t="s">
        <v>8</v>
      </c>
      <c r="D13" s="615"/>
      <c r="E13" s="460"/>
      <c r="F13" s="447"/>
    </row>
    <row r="14" spans="1:6" ht="18.75" customHeight="1" x14ac:dyDescent="0.3">
      <c r="A14" s="447"/>
      <c r="B14" s="462" t="s">
        <v>309</v>
      </c>
      <c r="C14" s="655">
        <f t="shared" ref="C14" si="0">C11-C12</f>
        <v>3231.6570000000002</v>
      </c>
      <c r="D14" s="614"/>
      <c r="E14" s="464">
        <f>SUM(C14:C14)</f>
        <v>3231.6570000000002</v>
      </c>
      <c r="F14" s="447"/>
    </row>
    <row r="15" spans="1:6" ht="19.5" customHeight="1" x14ac:dyDescent="0.4">
      <c r="B15" s="616" t="s">
        <v>395</v>
      </c>
      <c r="C15" s="659"/>
      <c r="D15" s="618"/>
      <c r="E15" s="468"/>
      <c r="F15" s="427"/>
    </row>
    <row r="16" spans="1:6" ht="35.4" customHeight="1" x14ac:dyDescent="0.3">
      <c r="A16" s="447"/>
      <c r="B16" s="469" t="s">
        <v>311</v>
      </c>
      <c r="C16" s="601" t="s">
        <v>496</v>
      </c>
      <c r="D16" s="619"/>
      <c r="E16" s="620"/>
      <c r="F16" s="447"/>
    </row>
    <row r="17" spans="1:6" ht="21" customHeight="1" x14ac:dyDescent="0.3">
      <c r="A17" s="447"/>
      <c r="B17" s="472" t="s">
        <v>398</v>
      </c>
      <c r="C17" s="662">
        <f>'CF-0707|GDS'!I9</f>
        <v>1550</v>
      </c>
      <c r="D17" s="622"/>
      <c r="E17" s="623"/>
      <c r="F17" s="447"/>
    </row>
    <row r="18" spans="1:6" ht="18.75" customHeight="1" x14ac:dyDescent="0.3">
      <c r="A18" s="447"/>
      <c r="B18" s="476" t="s">
        <v>314</v>
      </c>
      <c r="C18" s="584">
        <v>2.08494</v>
      </c>
      <c r="D18" s="614"/>
      <c r="E18" s="491"/>
      <c r="F18" s="447"/>
    </row>
    <row r="19" spans="1:6" ht="19.5" customHeight="1" x14ac:dyDescent="0.3">
      <c r="A19" s="447"/>
      <c r="B19" s="480" t="s">
        <v>315</v>
      </c>
      <c r="C19" s="664">
        <f>C17*C18</f>
        <v>3231.6570000000002</v>
      </c>
      <c r="D19" s="614"/>
      <c r="E19" s="494"/>
      <c r="F19" s="447"/>
    </row>
    <row r="20" spans="1:6" ht="21" customHeight="1" x14ac:dyDescent="0.4">
      <c r="B20" s="465" t="s">
        <v>316</v>
      </c>
      <c r="C20" s="665"/>
      <c r="D20" s="618"/>
      <c r="E20" s="495"/>
    </row>
    <row r="21" spans="1:6" ht="32.4" customHeight="1" x14ac:dyDescent="0.3">
      <c r="A21" s="447"/>
      <c r="B21" s="469" t="s">
        <v>183</v>
      </c>
      <c r="C21" s="601" t="s">
        <v>826</v>
      </c>
      <c r="D21" s="614"/>
      <c r="E21" s="496"/>
      <c r="F21" s="447"/>
    </row>
    <row r="22" spans="1:6" ht="21" customHeight="1" x14ac:dyDescent="0.3">
      <c r="A22" s="447"/>
      <c r="B22" s="486" t="s">
        <v>398</v>
      </c>
      <c r="C22" s="666">
        <f>C17</f>
        <v>1550</v>
      </c>
      <c r="D22" s="622"/>
      <c r="E22" s="623"/>
      <c r="F22" s="447"/>
    </row>
    <row r="23" spans="1:6" ht="21" customHeight="1" x14ac:dyDescent="0.3">
      <c r="A23" s="447"/>
      <c r="B23" s="489" t="s">
        <v>314</v>
      </c>
      <c r="C23" s="590">
        <v>0</v>
      </c>
      <c r="D23" s="614"/>
      <c r="E23" s="491"/>
      <c r="F23" s="447"/>
    </row>
    <row r="24" spans="1:6" ht="21" customHeight="1" x14ac:dyDescent="0.3">
      <c r="A24" s="447"/>
      <c r="B24" s="492" t="s">
        <v>315</v>
      </c>
      <c r="C24" s="668">
        <f t="shared" ref="C24" si="1">C22*C23</f>
        <v>0</v>
      </c>
      <c r="D24" s="614"/>
      <c r="E24" s="494"/>
      <c r="F24" s="447"/>
    </row>
    <row r="25" spans="1:6" ht="28.5" customHeight="1" x14ac:dyDescent="0.3">
      <c r="A25" s="447"/>
      <c r="B25" s="498" t="s">
        <v>320</v>
      </c>
      <c r="C25" s="626" t="s">
        <v>610</v>
      </c>
      <c r="D25" s="614"/>
      <c r="E25" s="496"/>
      <c r="F25" s="447"/>
    </row>
    <row r="26" spans="1:6" ht="24" customHeight="1" x14ac:dyDescent="0.3">
      <c r="B26" s="502" t="s">
        <v>322</v>
      </c>
      <c r="C26" s="674">
        <v>13</v>
      </c>
      <c r="D26" s="618"/>
      <c r="E26" s="495"/>
    </row>
    <row r="27" spans="1:6" ht="33" customHeight="1" x14ac:dyDescent="0.3">
      <c r="A27" s="447"/>
      <c r="B27" s="506" t="s">
        <v>323</v>
      </c>
      <c r="C27" s="496" t="s">
        <v>324</v>
      </c>
      <c r="D27" s="614"/>
      <c r="E27" s="496"/>
      <c r="F27" s="447"/>
    </row>
    <row r="28" spans="1:6" ht="33" customHeight="1" x14ac:dyDescent="0.3">
      <c r="A28" s="447"/>
      <c r="B28" s="508" t="s">
        <v>325</v>
      </c>
      <c r="C28" s="674" t="s">
        <v>326</v>
      </c>
      <c r="D28" s="614"/>
      <c r="E28" s="496"/>
      <c r="F28" s="447"/>
    </row>
    <row r="29" spans="1:6" ht="33" customHeight="1" x14ac:dyDescent="0.3">
      <c r="A29" s="447"/>
      <c r="B29" s="506" t="s">
        <v>327</v>
      </c>
      <c r="C29" s="595" t="s">
        <v>402</v>
      </c>
      <c r="D29" s="614"/>
      <c r="E29" s="496"/>
      <c r="F29" s="447"/>
    </row>
    <row r="30" spans="1:6" ht="21" customHeight="1" x14ac:dyDescent="0.3">
      <c r="B30" s="510" t="s">
        <v>329</v>
      </c>
      <c r="C30" s="596">
        <v>33</v>
      </c>
      <c r="D30" s="618"/>
      <c r="E30" s="467"/>
    </row>
    <row r="31" spans="1:6" ht="21" customHeight="1" x14ac:dyDescent="0.3">
      <c r="B31" s="453" t="s">
        <v>330</v>
      </c>
      <c r="C31" s="496" t="s">
        <v>324</v>
      </c>
      <c r="D31" s="618"/>
      <c r="E31" s="495"/>
    </row>
    <row r="32" spans="1:6" ht="21" customHeight="1" x14ac:dyDescent="0.3">
      <c r="B32" s="510" t="s">
        <v>331</v>
      </c>
      <c r="C32" s="674" t="s">
        <v>324</v>
      </c>
      <c r="D32" s="618"/>
      <c r="E32" s="495"/>
    </row>
    <row r="33" spans="2:5" ht="21" customHeight="1" x14ac:dyDescent="0.3">
      <c r="B33" s="462" t="s">
        <v>332</v>
      </c>
      <c r="C33" s="675" t="s">
        <v>333</v>
      </c>
      <c r="D33" s="618"/>
      <c r="E33" s="495"/>
    </row>
    <row r="34" spans="2:5" ht="15.75" customHeight="1" x14ac:dyDescent="0.3">
      <c r="B34" s="427"/>
      <c r="D34" s="427"/>
      <c r="E34" s="427"/>
    </row>
    <row r="35" spans="2:5" ht="15.75" customHeight="1" x14ac:dyDescent="0.3">
      <c r="D35" s="427"/>
      <c r="E35" s="427"/>
    </row>
    <row r="36" spans="2:5" ht="15.75" customHeight="1" x14ac:dyDescent="0.3">
      <c r="D36" s="427"/>
      <c r="E36" s="427"/>
    </row>
    <row r="37" spans="2:5" ht="15.75" customHeight="1" x14ac:dyDescent="0.3">
      <c r="D37" s="427"/>
      <c r="E37" s="427"/>
    </row>
    <row r="38" spans="2:5" ht="15.75" customHeight="1" x14ac:dyDescent="0.3">
      <c r="D38" s="427"/>
      <c r="E38" s="427"/>
    </row>
    <row r="39" spans="2:5" ht="15.75" customHeight="1" x14ac:dyDescent="0.3">
      <c r="D39" s="427"/>
      <c r="E39" s="427"/>
    </row>
    <row r="40" spans="2:5" ht="15.75" customHeight="1" x14ac:dyDescent="0.3">
      <c r="D40" s="427"/>
      <c r="E40" s="427"/>
    </row>
    <row r="41" spans="2:5" ht="15.75" customHeight="1" x14ac:dyDescent="0.3">
      <c r="D41" s="427"/>
      <c r="E41" s="427"/>
    </row>
    <row r="42" spans="2:5" ht="15.75" customHeight="1" x14ac:dyDescent="0.3">
      <c r="D42" s="427"/>
      <c r="E42" s="427"/>
    </row>
    <row r="43" spans="2:5" ht="15.75" customHeight="1" x14ac:dyDescent="0.3">
      <c r="D43" s="427"/>
      <c r="E43" s="427"/>
    </row>
    <row r="44" spans="2:5" ht="15.75" customHeight="1" x14ac:dyDescent="0.3">
      <c r="D44" s="427"/>
    </row>
    <row r="45" spans="2:5" ht="15.75" customHeight="1" x14ac:dyDescent="0.3">
      <c r="D45" s="427"/>
    </row>
    <row r="46" spans="2:5" ht="15.75" customHeight="1" x14ac:dyDescent="0.3">
      <c r="D46" s="427"/>
    </row>
    <row r="47" spans="2:5" ht="15.75" customHeight="1" x14ac:dyDescent="0.3">
      <c r="D47" s="427"/>
    </row>
    <row r="48" spans="2:5" ht="15.75" customHeight="1" x14ac:dyDescent="0.3">
      <c r="D48" s="427"/>
    </row>
    <row r="49" spans="4:4" ht="15.75" customHeight="1" x14ac:dyDescent="0.3">
      <c r="D49" s="427"/>
    </row>
    <row r="50" spans="4:4" ht="15.75" customHeight="1" x14ac:dyDescent="0.3">
      <c r="D50" s="427"/>
    </row>
    <row r="51" spans="4:4" ht="15.75" customHeight="1" x14ac:dyDescent="0.3">
      <c r="D51" s="427"/>
    </row>
    <row r="52" spans="4:4" ht="15.75" customHeight="1" x14ac:dyDescent="0.3">
      <c r="D52" s="427"/>
    </row>
    <row r="53" spans="4:4" ht="15.75" customHeight="1" x14ac:dyDescent="0.3">
      <c r="D53" s="427"/>
    </row>
    <row r="54" spans="4:4" ht="15.75" customHeight="1" x14ac:dyDescent="0.3">
      <c r="D54" s="427"/>
    </row>
    <row r="55" spans="4:4" ht="15.75" customHeight="1" x14ac:dyDescent="0.3">
      <c r="D55" s="427"/>
    </row>
    <row r="56" spans="4:4" ht="15.75" customHeight="1" x14ac:dyDescent="0.3">
      <c r="D56" s="427"/>
    </row>
    <row r="57" spans="4:4" ht="15.75" customHeight="1" x14ac:dyDescent="0.3">
      <c r="D57" s="427"/>
    </row>
    <row r="58" spans="4:4" ht="15.75" customHeight="1" x14ac:dyDescent="0.3">
      <c r="D58" s="427"/>
    </row>
    <row r="59" spans="4:4" ht="15.75" customHeight="1" x14ac:dyDescent="0.3">
      <c r="D59" s="427"/>
    </row>
    <row r="60" spans="4:4" ht="15.75" customHeight="1" x14ac:dyDescent="0.3">
      <c r="D60" s="427"/>
    </row>
    <row r="61" spans="4:4" ht="15.75" customHeight="1" x14ac:dyDescent="0.3">
      <c r="D61" s="427"/>
    </row>
    <row r="62" spans="4:4" ht="15.75" customHeight="1" x14ac:dyDescent="0.3">
      <c r="D62" s="427"/>
    </row>
    <row r="63" spans="4:4" ht="15.75" customHeight="1" x14ac:dyDescent="0.3">
      <c r="D63" s="427"/>
    </row>
    <row r="64" spans="4:4" ht="15.75" customHeight="1" x14ac:dyDescent="0.3">
      <c r="D64" s="427"/>
    </row>
    <row r="65" spans="4:4" ht="15.75" customHeight="1" x14ac:dyDescent="0.3">
      <c r="D65" s="427"/>
    </row>
    <row r="66" spans="4:4" ht="15.75" customHeight="1" x14ac:dyDescent="0.3">
      <c r="D66" s="427"/>
    </row>
    <row r="67" spans="4:4" ht="15.75" customHeight="1" x14ac:dyDescent="0.3">
      <c r="D67" s="427"/>
    </row>
    <row r="68" spans="4:4" ht="15.75" customHeight="1" x14ac:dyDescent="0.3">
      <c r="D68" s="427"/>
    </row>
    <row r="69" spans="4:4" ht="15.75" customHeight="1" x14ac:dyDescent="0.3">
      <c r="D69" s="427"/>
    </row>
    <row r="70" spans="4:4" ht="15.75" customHeight="1" x14ac:dyDescent="0.3">
      <c r="D70" s="427"/>
    </row>
    <row r="71" spans="4:4" ht="15.75" customHeight="1" x14ac:dyDescent="0.3">
      <c r="D71" s="427"/>
    </row>
    <row r="72" spans="4:4" ht="15.75" customHeight="1" x14ac:dyDescent="0.3">
      <c r="D72" s="427"/>
    </row>
    <row r="73" spans="4:4" ht="15.75" customHeight="1" x14ac:dyDescent="0.3">
      <c r="D73" s="427"/>
    </row>
    <row r="74" spans="4:4" ht="15.75" customHeight="1" x14ac:dyDescent="0.3">
      <c r="D74" s="427"/>
    </row>
    <row r="75" spans="4:4" ht="15.75" customHeight="1" x14ac:dyDescent="0.3">
      <c r="D75" s="427"/>
    </row>
    <row r="76" spans="4:4" ht="15.75" customHeight="1" x14ac:dyDescent="0.3">
      <c r="D76" s="427"/>
    </row>
    <row r="77" spans="4:4" ht="15.75" customHeight="1" x14ac:dyDescent="0.3">
      <c r="D77" s="427"/>
    </row>
    <row r="78" spans="4:4" ht="15.75" customHeight="1" x14ac:dyDescent="0.3">
      <c r="D78" s="427"/>
    </row>
    <row r="79" spans="4:4" ht="15.75" customHeight="1" x14ac:dyDescent="0.3">
      <c r="D79" s="427"/>
    </row>
    <row r="80" spans="4:4" ht="15.75" customHeight="1" x14ac:dyDescent="0.3">
      <c r="D80" s="427"/>
    </row>
    <row r="81" spans="4:4" ht="15.75" customHeight="1" x14ac:dyDescent="0.3">
      <c r="D81" s="427"/>
    </row>
    <row r="82" spans="4:4" ht="15.75" customHeight="1" x14ac:dyDescent="0.3">
      <c r="D82" s="427"/>
    </row>
    <row r="83" spans="4:4" ht="15.75" customHeight="1" x14ac:dyDescent="0.3">
      <c r="D83" s="427"/>
    </row>
    <row r="84" spans="4:4" ht="15.75" customHeight="1" x14ac:dyDescent="0.3">
      <c r="D84" s="427"/>
    </row>
    <row r="85" spans="4:4" ht="15.75" customHeight="1" x14ac:dyDescent="0.3">
      <c r="D85" s="427"/>
    </row>
    <row r="86" spans="4:4" ht="15.75" customHeight="1" x14ac:dyDescent="0.3">
      <c r="D86" s="427"/>
    </row>
    <row r="87" spans="4:4" ht="15.75" customHeight="1" x14ac:dyDescent="0.3">
      <c r="D87" s="427"/>
    </row>
    <row r="88" spans="4:4" ht="15.75" customHeight="1" x14ac:dyDescent="0.3">
      <c r="D88" s="427"/>
    </row>
    <row r="89" spans="4:4" ht="15.75" customHeight="1" x14ac:dyDescent="0.3">
      <c r="D89" s="427"/>
    </row>
    <row r="90" spans="4:4" ht="15.75" customHeight="1" x14ac:dyDescent="0.3">
      <c r="D90" s="427"/>
    </row>
    <row r="91" spans="4:4" ht="15.75" customHeight="1" x14ac:dyDescent="0.3">
      <c r="D91" s="427"/>
    </row>
    <row r="92" spans="4:4" ht="15.75" customHeight="1" x14ac:dyDescent="0.3">
      <c r="D92" s="427"/>
    </row>
    <row r="93" spans="4:4" ht="15.75" customHeight="1" x14ac:dyDescent="0.3">
      <c r="D93" s="427"/>
    </row>
    <row r="94" spans="4:4" ht="15.75" customHeight="1" x14ac:dyDescent="0.3">
      <c r="D94" s="427"/>
    </row>
    <row r="95" spans="4:4" ht="15.75" customHeight="1" x14ac:dyDescent="0.3">
      <c r="D95" s="427"/>
    </row>
    <row r="96" spans="4:4" ht="15.75" customHeight="1" x14ac:dyDescent="0.3">
      <c r="D96" s="427"/>
    </row>
    <row r="97" spans="4:4" ht="15.75" customHeight="1" x14ac:dyDescent="0.3">
      <c r="D97" s="427"/>
    </row>
    <row r="98" spans="4:4" ht="15.75" customHeight="1" x14ac:dyDescent="0.3">
      <c r="D98" s="427"/>
    </row>
    <row r="99" spans="4:4" ht="15.75" customHeight="1" x14ac:dyDescent="0.3">
      <c r="D99" s="427"/>
    </row>
    <row r="100" spans="4:4" ht="15.75" customHeight="1" x14ac:dyDescent="0.3">
      <c r="D100" s="427"/>
    </row>
    <row r="101" spans="4:4" ht="15.75" customHeight="1" x14ac:dyDescent="0.3">
      <c r="D101" s="427"/>
    </row>
    <row r="102" spans="4:4" ht="15.75" customHeight="1" x14ac:dyDescent="0.3">
      <c r="D102" s="427"/>
    </row>
    <row r="103" spans="4:4" ht="15.75" customHeight="1" x14ac:dyDescent="0.3">
      <c r="D103" s="427"/>
    </row>
    <row r="104" spans="4:4" ht="15.75" customHeight="1" x14ac:dyDescent="0.3">
      <c r="D104" s="427"/>
    </row>
    <row r="105" spans="4:4" ht="15.75" customHeight="1" x14ac:dyDescent="0.3">
      <c r="D105" s="427"/>
    </row>
    <row r="106" spans="4:4" ht="15.75" customHeight="1" x14ac:dyDescent="0.3">
      <c r="D106" s="427"/>
    </row>
    <row r="107" spans="4:4" ht="15.75" customHeight="1" x14ac:dyDescent="0.3">
      <c r="D107" s="427"/>
    </row>
    <row r="108" spans="4:4" ht="15.75" customHeight="1" x14ac:dyDescent="0.3">
      <c r="D108" s="427"/>
    </row>
    <row r="109" spans="4:4" ht="15.75" customHeight="1" x14ac:dyDescent="0.3">
      <c r="D109" s="427"/>
    </row>
    <row r="110" spans="4:4" ht="15.75" customHeight="1" x14ac:dyDescent="0.3">
      <c r="D110" s="427"/>
    </row>
    <row r="111" spans="4:4" ht="15.75" customHeight="1" x14ac:dyDescent="0.3">
      <c r="D111" s="427"/>
    </row>
    <row r="112" spans="4:4" ht="15.75" customHeight="1" x14ac:dyDescent="0.3">
      <c r="D112" s="427"/>
    </row>
    <row r="113" spans="4:4" ht="15.75" customHeight="1" x14ac:dyDescent="0.3">
      <c r="D113" s="427"/>
    </row>
    <row r="114" spans="4:4" ht="15.75" customHeight="1" x14ac:dyDescent="0.3">
      <c r="D114" s="427"/>
    </row>
    <row r="115" spans="4:4" ht="15.75" customHeight="1" x14ac:dyDescent="0.3">
      <c r="D115" s="427"/>
    </row>
    <row r="116" spans="4:4" ht="15.75" customHeight="1" x14ac:dyDescent="0.3">
      <c r="D116" s="427"/>
    </row>
    <row r="117" spans="4:4" ht="15.75" customHeight="1" x14ac:dyDescent="0.3">
      <c r="D117" s="427"/>
    </row>
    <row r="118" spans="4:4" ht="15.75" customHeight="1" x14ac:dyDescent="0.3">
      <c r="D118" s="427"/>
    </row>
    <row r="119" spans="4:4" ht="15.75" customHeight="1" x14ac:dyDescent="0.3">
      <c r="D119" s="427"/>
    </row>
    <row r="120" spans="4:4" ht="15.75" customHeight="1" x14ac:dyDescent="0.3">
      <c r="D120" s="427"/>
    </row>
    <row r="121" spans="4:4" ht="15.75" customHeight="1" x14ac:dyDescent="0.3">
      <c r="D121" s="427"/>
    </row>
    <row r="122" spans="4:4" ht="15.75" customHeight="1" x14ac:dyDescent="0.3">
      <c r="D122" s="427"/>
    </row>
    <row r="123" spans="4:4" ht="15.75" customHeight="1" x14ac:dyDescent="0.3">
      <c r="D123" s="427"/>
    </row>
    <row r="124" spans="4:4" ht="15.75" customHeight="1" x14ac:dyDescent="0.3">
      <c r="D124" s="427"/>
    </row>
    <row r="125" spans="4:4" ht="15.75" customHeight="1" x14ac:dyDescent="0.3">
      <c r="D125" s="427"/>
    </row>
    <row r="126" spans="4:4" ht="15.75" customHeight="1" x14ac:dyDescent="0.3">
      <c r="D126" s="427"/>
    </row>
    <row r="127" spans="4:4" ht="15.75" customHeight="1" x14ac:dyDescent="0.3">
      <c r="D127" s="427"/>
    </row>
    <row r="128" spans="4:4" ht="15.75" customHeight="1" x14ac:dyDescent="0.3">
      <c r="D128" s="427"/>
    </row>
    <row r="129" spans="4:4" ht="15.75" customHeight="1" x14ac:dyDescent="0.3">
      <c r="D129" s="427"/>
    </row>
    <row r="130" spans="4:4" ht="15.75" customHeight="1" x14ac:dyDescent="0.3">
      <c r="D130" s="427"/>
    </row>
    <row r="131" spans="4:4" ht="15.75" customHeight="1" x14ac:dyDescent="0.3">
      <c r="D131" s="427"/>
    </row>
    <row r="132" spans="4:4" ht="15.75" customHeight="1" x14ac:dyDescent="0.3">
      <c r="D132" s="427"/>
    </row>
    <row r="133" spans="4:4" ht="15.75" customHeight="1" x14ac:dyDescent="0.3">
      <c r="D133" s="427"/>
    </row>
    <row r="134" spans="4:4" ht="15.75" customHeight="1" x14ac:dyDescent="0.3">
      <c r="D134" s="427"/>
    </row>
    <row r="135" spans="4:4" ht="15.75" customHeight="1" x14ac:dyDescent="0.3">
      <c r="D135" s="427"/>
    </row>
    <row r="136" spans="4:4" ht="15.75" customHeight="1" x14ac:dyDescent="0.3">
      <c r="D136" s="427"/>
    </row>
    <row r="137" spans="4:4" ht="15.75" customHeight="1" x14ac:dyDescent="0.3">
      <c r="D137" s="427"/>
    </row>
    <row r="138" spans="4:4" ht="15.75" customHeight="1" x14ac:dyDescent="0.3">
      <c r="D138" s="427"/>
    </row>
    <row r="139" spans="4:4" ht="15.75" customHeight="1" x14ac:dyDescent="0.3">
      <c r="D139" s="427"/>
    </row>
    <row r="140" spans="4:4" ht="15.75" customHeight="1" x14ac:dyDescent="0.3">
      <c r="D140" s="427"/>
    </row>
    <row r="141" spans="4:4" ht="15.75" customHeight="1" x14ac:dyDescent="0.3">
      <c r="D141" s="427"/>
    </row>
    <row r="142" spans="4:4" ht="15.75" customHeight="1" x14ac:dyDescent="0.3">
      <c r="D142" s="427"/>
    </row>
    <row r="143" spans="4:4" ht="15.75" customHeight="1" x14ac:dyDescent="0.3">
      <c r="D143" s="427"/>
    </row>
    <row r="144" spans="4:4" ht="15.75" customHeight="1" x14ac:dyDescent="0.3">
      <c r="D144" s="427"/>
    </row>
    <row r="145" spans="4:4" ht="15.75" customHeight="1" x14ac:dyDescent="0.3">
      <c r="D145" s="427"/>
    </row>
    <row r="146" spans="4:4" ht="15.75" customHeight="1" x14ac:dyDescent="0.3">
      <c r="D146" s="427"/>
    </row>
    <row r="147" spans="4:4" ht="15.75" customHeight="1" x14ac:dyDescent="0.3">
      <c r="D147" s="427"/>
    </row>
    <row r="148" spans="4:4" ht="15.75" customHeight="1" x14ac:dyDescent="0.3">
      <c r="D148" s="427"/>
    </row>
    <row r="149" spans="4:4" ht="15.75" customHeight="1" x14ac:dyDescent="0.3">
      <c r="D149" s="427"/>
    </row>
    <row r="150" spans="4:4" ht="15.75" customHeight="1" x14ac:dyDescent="0.3">
      <c r="D150" s="427"/>
    </row>
    <row r="151" spans="4:4" ht="15.75" customHeight="1" x14ac:dyDescent="0.3">
      <c r="D151" s="427"/>
    </row>
    <row r="152" spans="4:4" ht="15.75" customHeight="1" x14ac:dyDescent="0.3">
      <c r="D152" s="427"/>
    </row>
    <row r="153" spans="4:4" ht="15.75" customHeight="1" x14ac:dyDescent="0.3">
      <c r="D153" s="427"/>
    </row>
    <row r="154" spans="4:4" ht="15.75" customHeight="1" x14ac:dyDescent="0.3">
      <c r="D154" s="427"/>
    </row>
    <row r="155" spans="4:4" ht="15.75" customHeight="1" x14ac:dyDescent="0.3">
      <c r="D155" s="427"/>
    </row>
    <row r="156" spans="4:4" ht="15.75" customHeight="1" x14ac:dyDescent="0.3">
      <c r="D156" s="427"/>
    </row>
    <row r="157" spans="4:4" ht="15.75" customHeight="1" x14ac:dyDescent="0.3">
      <c r="D157" s="427"/>
    </row>
    <row r="158" spans="4:4" ht="15.75" customHeight="1" x14ac:dyDescent="0.3">
      <c r="D158" s="427"/>
    </row>
    <row r="159" spans="4:4" ht="15.75" customHeight="1" x14ac:dyDescent="0.3">
      <c r="D159" s="427"/>
    </row>
    <row r="160" spans="4:4" ht="15.75" customHeight="1" x14ac:dyDescent="0.3">
      <c r="D160" s="427"/>
    </row>
    <row r="161" spans="4:4" ht="15.75" customHeight="1" x14ac:dyDescent="0.3">
      <c r="D161" s="427"/>
    </row>
    <row r="162" spans="4:4" ht="15.75" customHeight="1" x14ac:dyDescent="0.3">
      <c r="D162" s="427"/>
    </row>
    <row r="163" spans="4:4" ht="15.75" customHeight="1" x14ac:dyDescent="0.3">
      <c r="D163" s="427"/>
    </row>
    <row r="164" spans="4:4" ht="15.75" customHeight="1" x14ac:dyDescent="0.3">
      <c r="D164" s="427"/>
    </row>
    <row r="165" spans="4:4" ht="15.75" customHeight="1" x14ac:dyDescent="0.3">
      <c r="D165" s="427"/>
    </row>
    <row r="166" spans="4:4" ht="15.75" customHeight="1" x14ac:dyDescent="0.3">
      <c r="D166" s="427"/>
    </row>
    <row r="167" spans="4:4" ht="15.75" customHeight="1" x14ac:dyDescent="0.3">
      <c r="D167" s="427"/>
    </row>
    <row r="168" spans="4:4" ht="15.75" customHeight="1" x14ac:dyDescent="0.3">
      <c r="D168" s="427"/>
    </row>
    <row r="169" spans="4:4" ht="15.75" customHeight="1" x14ac:dyDescent="0.3">
      <c r="D169" s="427"/>
    </row>
    <row r="170" spans="4:4" ht="15.75" customHeight="1" x14ac:dyDescent="0.3">
      <c r="D170" s="427"/>
    </row>
    <row r="171" spans="4:4" ht="15.75" customHeight="1" x14ac:dyDescent="0.3">
      <c r="D171" s="427"/>
    </row>
    <row r="172" spans="4:4" ht="15.75" customHeight="1" x14ac:dyDescent="0.3">
      <c r="D172" s="427"/>
    </row>
    <row r="173" spans="4:4" ht="15.75" customHeight="1" x14ac:dyDescent="0.3">
      <c r="D173" s="427"/>
    </row>
    <row r="174" spans="4:4" ht="15.75" customHeight="1" x14ac:dyDescent="0.3">
      <c r="D174" s="427"/>
    </row>
    <row r="175" spans="4:4" ht="15.75" customHeight="1" x14ac:dyDescent="0.3">
      <c r="D175" s="427"/>
    </row>
    <row r="176" spans="4:4" ht="15.75" customHeight="1" x14ac:dyDescent="0.3">
      <c r="D176" s="427"/>
    </row>
    <row r="177" spans="4:4" ht="15.75" customHeight="1" x14ac:dyDescent="0.3">
      <c r="D177" s="427"/>
    </row>
    <row r="178" spans="4:4" ht="15.75" customHeight="1" x14ac:dyDescent="0.3">
      <c r="D178" s="427"/>
    </row>
    <row r="179" spans="4:4" ht="15.75" customHeight="1" x14ac:dyDescent="0.3">
      <c r="D179" s="427"/>
    </row>
    <row r="180" spans="4:4" ht="15.75" customHeight="1" x14ac:dyDescent="0.3">
      <c r="D180" s="427"/>
    </row>
    <row r="181" spans="4:4" ht="15.75" customHeight="1" x14ac:dyDescent="0.3">
      <c r="D181" s="427"/>
    </row>
    <row r="182" spans="4:4" ht="15.75" customHeight="1" x14ac:dyDescent="0.3">
      <c r="D182" s="427"/>
    </row>
    <row r="183" spans="4:4" ht="15.75" customHeight="1" x14ac:dyDescent="0.3">
      <c r="D183" s="427"/>
    </row>
    <row r="184" spans="4:4" ht="15.75" customHeight="1" x14ac:dyDescent="0.3">
      <c r="D184" s="427"/>
    </row>
    <row r="185" spans="4:4" ht="15.75" customHeight="1" x14ac:dyDescent="0.3">
      <c r="D185" s="427"/>
    </row>
    <row r="186" spans="4:4" ht="15.75" customHeight="1" x14ac:dyDescent="0.3">
      <c r="D186" s="427"/>
    </row>
    <row r="187" spans="4:4" ht="15.75" customHeight="1" x14ac:dyDescent="0.3">
      <c r="D187" s="427"/>
    </row>
    <row r="188" spans="4:4" ht="15.75" customHeight="1" x14ac:dyDescent="0.3">
      <c r="D188" s="427"/>
    </row>
    <row r="189" spans="4:4" ht="15.75" customHeight="1" x14ac:dyDescent="0.3">
      <c r="D189" s="427"/>
    </row>
    <row r="190" spans="4:4" ht="15.75" customHeight="1" x14ac:dyDescent="0.3">
      <c r="D190" s="427"/>
    </row>
    <row r="191" spans="4:4" ht="15.75" customHeight="1" x14ac:dyDescent="0.3">
      <c r="D191" s="427"/>
    </row>
    <row r="192" spans="4:4" ht="15.75" customHeight="1" x14ac:dyDescent="0.3">
      <c r="D192" s="427"/>
    </row>
    <row r="193" spans="4:4" ht="15.75" customHeight="1" x14ac:dyDescent="0.3">
      <c r="D193" s="427"/>
    </row>
    <row r="194" spans="4:4" ht="15.75" customHeight="1" x14ac:dyDescent="0.3">
      <c r="D194" s="427"/>
    </row>
    <row r="195" spans="4:4" ht="15.75" customHeight="1" x14ac:dyDescent="0.3">
      <c r="D195" s="427"/>
    </row>
    <row r="196" spans="4:4" ht="15.75" customHeight="1" x14ac:dyDescent="0.3">
      <c r="D196" s="427"/>
    </row>
    <row r="197" spans="4:4" ht="15.75" customHeight="1" x14ac:dyDescent="0.3">
      <c r="D197" s="427"/>
    </row>
    <row r="198" spans="4:4" ht="15.75" customHeight="1" x14ac:dyDescent="0.3">
      <c r="D198" s="427"/>
    </row>
    <row r="199" spans="4:4" ht="15.75" customHeight="1" x14ac:dyDescent="0.3">
      <c r="D199" s="427"/>
    </row>
    <row r="200" spans="4:4" ht="15.75" customHeight="1" x14ac:dyDescent="0.3">
      <c r="D200" s="427"/>
    </row>
    <row r="201" spans="4:4" ht="15.75" customHeight="1" x14ac:dyDescent="0.3">
      <c r="D201" s="427"/>
    </row>
    <row r="202" spans="4:4" ht="15.75" customHeight="1" x14ac:dyDescent="0.3">
      <c r="D202" s="427"/>
    </row>
    <row r="203" spans="4:4" ht="15.75" customHeight="1" x14ac:dyDescent="0.3">
      <c r="D203" s="427"/>
    </row>
    <row r="204" spans="4:4" ht="15.75" customHeight="1" x14ac:dyDescent="0.3">
      <c r="D204" s="427"/>
    </row>
    <row r="205" spans="4:4" ht="15.75" customHeight="1" x14ac:dyDescent="0.3">
      <c r="D205" s="427"/>
    </row>
    <row r="206" spans="4:4" ht="15.75" customHeight="1" x14ac:dyDescent="0.3">
      <c r="D206" s="427"/>
    </row>
    <row r="207" spans="4:4" ht="15.75" customHeight="1" x14ac:dyDescent="0.3">
      <c r="D207" s="427"/>
    </row>
    <row r="208" spans="4:4" ht="15.75" customHeight="1" x14ac:dyDescent="0.3">
      <c r="D208" s="427"/>
    </row>
    <row r="209" spans="4:4" ht="15.75" customHeight="1" x14ac:dyDescent="0.3">
      <c r="D209" s="427"/>
    </row>
    <row r="210" spans="4:4" ht="15.75" customHeight="1" x14ac:dyDescent="0.3">
      <c r="D210" s="427"/>
    </row>
    <row r="211" spans="4:4" ht="15.75" customHeight="1" x14ac:dyDescent="0.3">
      <c r="D211" s="427"/>
    </row>
    <row r="212" spans="4:4" ht="15.75" customHeight="1" x14ac:dyDescent="0.3">
      <c r="D212" s="427"/>
    </row>
    <row r="213" spans="4:4" ht="15.75" customHeight="1" x14ac:dyDescent="0.3">
      <c r="D213" s="427"/>
    </row>
    <row r="214" spans="4:4" ht="15.75" customHeight="1" x14ac:dyDescent="0.3">
      <c r="D214" s="427"/>
    </row>
    <row r="215" spans="4:4" ht="15.75" customHeight="1" x14ac:dyDescent="0.3">
      <c r="D215" s="427"/>
    </row>
    <row r="216" spans="4:4" ht="15.75" customHeight="1" x14ac:dyDescent="0.3">
      <c r="D216" s="427"/>
    </row>
    <row r="217" spans="4:4" ht="15.75" customHeight="1" x14ac:dyDescent="0.3">
      <c r="D217" s="427"/>
    </row>
    <row r="218" spans="4:4" ht="15.75" customHeight="1" x14ac:dyDescent="0.3">
      <c r="D218" s="427"/>
    </row>
    <row r="219" spans="4:4" ht="15.75" customHeight="1" x14ac:dyDescent="0.3">
      <c r="D219" s="427"/>
    </row>
    <row r="220" spans="4:4" ht="15.75" customHeight="1" x14ac:dyDescent="0.3">
      <c r="D220" s="427"/>
    </row>
    <row r="221" spans="4:4" ht="15.75" customHeight="1" x14ac:dyDescent="0.3">
      <c r="D221" s="427"/>
    </row>
    <row r="222" spans="4:4" ht="15.75" customHeight="1" x14ac:dyDescent="0.3">
      <c r="D222" s="427"/>
    </row>
    <row r="223" spans="4:4" ht="15.75" customHeight="1" x14ac:dyDescent="0.3">
      <c r="D223" s="427"/>
    </row>
    <row r="224" spans="4:4" ht="15.75" customHeight="1" x14ac:dyDescent="0.3">
      <c r="D224" s="427"/>
    </row>
    <row r="225" spans="4:4" ht="15.75" customHeight="1" x14ac:dyDescent="0.3">
      <c r="D225" s="427"/>
    </row>
    <row r="226" spans="4:4" ht="15.75" customHeight="1" x14ac:dyDescent="0.3">
      <c r="D226" s="427"/>
    </row>
    <row r="227" spans="4:4" ht="15.75" customHeight="1" x14ac:dyDescent="0.3">
      <c r="D227" s="427"/>
    </row>
    <row r="228" spans="4:4" ht="15.75" customHeight="1" x14ac:dyDescent="0.3">
      <c r="D228" s="427"/>
    </row>
    <row r="229" spans="4:4" ht="15.75" customHeight="1" x14ac:dyDescent="0.3">
      <c r="D229" s="427"/>
    </row>
    <row r="230" spans="4:4" ht="15.75" customHeight="1" x14ac:dyDescent="0.3">
      <c r="D230" s="427"/>
    </row>
    <row r="231" spans="4:4" ht="15.75" customHeight="1" x14ac:dyDescent="0.3">
      <c r="D231" s="427"/>
    </row>
    <row r="232" spans="4:4" ht="15.75" customHeight="1" x14ac:dyDescent="0.3">
      <c r="D232" s="427"/>
    </row>
    <row r="233" spans="4:4" ht="15.75" customHeight="1" x14ac:dyDescent="0.3">
      <c r="D233" s="427"/>
    </row>
    <row r="234" spans="4:4" ht="15.75" customHeight="1" x14ac:dyDescent="0.3">
      <c r="D234" s="427"/>
    </row>
    <row r="235" spans="4:4" ht="15.75" customHeight="1" x14ac:dyDescent="0.3">
      <c r="D235" s="427"/>
    </row>
    <row r="236" spans="4:4" ht="15.75" customHeight="1" x14ac:dyDescent="0.3">
      <c r="D236" s="427"/>
    </row>
    <row r="237" spans="4:4" ht="15.75" customHeight="1" x14ac:dyDescent="0.3">
      <c r="D237" s="427"/>
    </row>
    <row r="238" spans="4:4" ht="15.75" customHeight="1" x14ac:dyDescent="0.3">
      <c r="D238" s="427"/>
    </row>
    <row r="239" spans="4:4" ht="15.75" customHeight="1" x14ac:dyDescent="0.3">
      <c r="D239" s="427"/>
    </row>
    <row r="240" spans="4:4" ht="15.75" customHeight="1" x14ac:dyDescent="0.3">
      <c r="D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776DD-D458-4C80-B49F-8A3D5E72B41B}">
  <dimension ref="A1:Z882"/>
  <sheetViews>
    <sheetView workbookViewId="0">
      <selection activeCell="AD17" sqref="AD17"/>
    </sheetView>
  </sheetViews>
  <sheetFormatPr defaultColWidth="12.44140625" defaultRowHeight="15" customHeight="1" x14ac:dyDescent="0.3"/>
  <cols>
    <col min="1" max="1" width="2.6640625" style="428" customWidth="1"/>
    <col min="2" max="2" width="5.109375" style="428" customWidth="1"/>
    <col min="3" max="3" width="33.5546875" style="428" customWidth="1"/>
    <col min="4" max="4" width="36.33203125"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26" ht="23.25" customHeight="1" x14ac:dyDescent="0.35">
      <c r="A1" s="513"/>
      <c r="B1" s="514" t="s">
        <v>2372</v>
      </c>
    </row>
    <row r="2" spans="1:26"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26" ht="15.75" customHeight="1" x14ac:dyDescent="0.3">
      <c r="B3" s="516"/>
    </row>
    <row r="4" spans="1:26" ht="21" customHeight="1" x14ac:dyDescent="0.3">
      <c r="B4" s="519" t="s">
        <v>409</v>
      </c>
    </row>
    <row r="5" spans="1:26" ht="9" customHeight="1" x14ac:dyDescent="0.3">
      <c r="B5" s="519"/>
    </row>
    <row r="6" spans="1:26" ht="21" customHeight="1" x14ac:dyDescent="0.3">
      <c r="B6" s="517" t="s">
        <v>410</v>
      </c>
      <c r="C6" s="518"/>
      <c r="D6" s="518"/>
    </row>
    <row r="7" spans="1:26" ht="12" customHeight="1" x14ac:dyDescent="0.3"/>
    <row r="8" spans="1:26" ht="15.75" customHeight="1" x14ac:dyDescent="0.3">
      <c r="B8" s="521" t="s">
        <v>301</v>
      </c>
      <c r="C8" s="522" t="s">
        <v>343</v>
      </c>
      <c r="D8" s="523" t="s">
        <v>344</v>
      </c>
      <c r="E8" s="523" t="s">
        <v>345</v>
      </c>
      <c r="F8" s="523" t="s">
        <v>346</v>
      </c>
      <c r="G8" s="524" t="s">
        <v>347</v>
      </c>
      <c r="H8" s="525">
        <v>2025</v>
      </c>
      <c r="I8" s="525">
        <v>2024</v>
      </c>
      <c r="J8" s="525">
        <v>2023</v>
      </c>
      <c r="K8" s="525">
        <v>2022</v>
      </c>
      <c r="L8" s="525">
        <v>2021</v>
      </c>
      <c r="M8" s="525">
        <v>2020</v>
      </c>
      <c r="N8" s="525">
        <v>2019</v>
      </c>
      <c r="O8" s="526">
        <v>2018</v>
      </c>
      <c r="P8" s="526">
        <v>2017</v>
      </c>
      <c r="Q8" s="526">
        <v>2016</v>
      </c>
      <c r="R8" s="526">
        <v>2015</v>
      </c>
      <c r="S8" s="526">
        <v>2014</v>
      </c>
      <c r="T8" s="526">
        <v>2013</v>
      </c>
      <c r="U8" s="526">
        <v>2012</v>
      </c>
      <c r="V8" s="526">
        <v>2011</v>
      </c>
      <c r="W8" s="526">
        <v>2010</v>
      </c>
      <c r="X8" s="526">
        <v>2009</v>
      </c>
      <c r="Y8" s="526">
        <v>2008</v>
      </c>
      <c r="Z8" s="527" t="s">
        <v>332</v>
      </c>
    </row>
    <row r="9" spans="1:26" ht="36" customHeight="1" x14ac:dyDescent="0.3">
      <c r="B9" s="529">
        <v>1</v>
      </c>
      <c r="C9" s="530" t="s">
        <v>474</v>
      </c>
      <c r="D9" s="533" t="s">
        <v>819</v>
      </c>
      <c r="E9" s="532" t="s">
        <v>363</v>
      </c>
      <c r="F9" s="531" t="s">
        <v>820</v>
      </c>
      <c r="G9" s="534">
        <v>2008</v>
      </c>
      <c r="H9" s="635"/>
      <c r="I9" s="536">
        <f>275+462+453+360</f>
        <v>1550</v>
      </c>
      <c r="J9" s="540">
        <v>2293.79</v>
      </c>
      <c r="K9" s="597">
        <v>1420.75</v>
      </c>
      <c r="L9" s="597">
        <v>2480.61</v>
      </c>
      <c r="M9" s="597">
        <v>2507.23</v>
      </c>
      <c r="N9" s="597" t="s">
        <v>821</v>
      </c>
      <c r="O9" s="597" t="s">
        <v>822</v>
      </c>
      <c r="P9" s="597" t="s">
        <v>823</v>
      </c>
      <c r="Q9" s="597" t="s">
        <v>824</v>
      </c>
      <c r="R9" s="597" t="s">
        <v>825</v>
      </c>
      <c r="S9" s="535"/>
      <c r="T9" s="535"/>
      <c r="U9" s="542"/>
      <c r="V9" s="535"/>
      <c r="W9" s="542"/>
      <c r="X9" s="535"/>
      <c r="Y9" s="542"/>
      <c r="Z9" s="535"/>
    </row>
    <row r="10" spans="1:26" ht="24" customHeight="1" x14ac:dyDescent="0.3">
      <c r="B10" s="529"/>
      <c r="C10" s="453"/>
      <c r="D10" s="453"/>
      <c r="E10" s="543"/>
      <c r="F10" s="453"/>
      <c r="G10" s="479"/>
      <c r="H10" s="638"/>
      <c r="I10" s="638"/>
      <c r="J10" s="544"/>
      <c r="K10" s="544"/>
      <c r="L10" s="544"/>
      <c r="M10" s="544"/>
      <c r="N10" s="544"/>
      <c r="O10" s="544"/>
      <c r="P10" s="544"/>
      <c r="Q10" s="544"/>
      <c r="R10" s="544"/>
      <c r="S10" s="544"/>
      <c r="T10" s="544"/>
      <c r="U10" s="548"/>
      <c r="V10" s="544"/>
      <c r="W10" s="548"/>
      <c r="X10" s="544"/>
      <c r="Y10" s="548"/>
      <c r="Z10" s="544"/>
    </row>
    <row r="11" spans="1:26" ht="24" customHeight="1" x14ac:dyDescent="0.3">
      <c r="B11" s="529"/>
      <c r="C11" s="531"/>
      <c r="D11" s="531"/>
      <c r="E11" s="532"/>
      <c r="F11" s="531"/>
      <c r="G11" s="641"/>
      <c r="H11" s="640"/>
      <c r="I11" s="640"/>
      <c r="J11" s="642"/>
      <c r="K11" s="642"/>
      <c r="L11" s="642"/>
      <c r="M11" s="642"/>
      <c r="N11" s="642"/>
      <c r="O11" s="642"/>
      <c r="P11" s="642"/>
      <c r="Q11" s="642"/>
      <c r="R11" s="642"/>
      <c r="S11" s="643"/>
      <c r="T11" s="643"/>
      <c r="U11" s="644"/>
      <c r="V11" s="643"/>
      <c r="W11" s="644"/>
      <c r="X11" s="643"/>
      <c r="Y11" s="644"/>
      <c r="Z11" s="550"/>
    </row>
    <row r="12" spans="1:26" ht="24" customHeight="1" x14ac:dyDescent="0.3">
      <c r="B12" s="552"/>
      <c r="C12" s="462"/>
      <c r="D12" s="462"/>
      <c r="E12" s="553"/>
      <c r="F12" s="462"/>
      <c r="G12" s="645"/>
      <c r="H12" s="646"/>
      <c r="I12" s="646"/>
      <c r="J12" s="556"/>
      <c r="K12" s="556"/>
      <c r="L12" s="556"/>
      <c r="M12" s="556"/>
      <c r="N12" s="556"/>
      <c r="O12" s="556"/>
      <c r="P12" s="556"/>
      <c r="Q12" s="556"/>
      <c r="R12" s="556"/>
      <c r="S12" s="556"/>
      <c r="T12" s="556"/>
      <c r="U12" s="557"/>
      <c r="V12" s="556"/>
      <c r="W12" s="557"/>
      <c r="X12" s="556"/>
      <c r="Y12" s="557"/>
      <c r="Z12" s="556"/>
    </row>
    <row r="13" spans="1:26" ht="15.75" customHeight="1" x14ac:dyDescent="0.3"/>
    <row r="14" spans="1:26" ht="15.75" customHeight="1" x14ac:dyDescent="0.3">
      <c r="B14" s="560" t="s">
        <v>355</v>
      </c>
      <c r="C14" s="561" t="s">
        <v>356</v>
      </c>
    </row>
    <row r="15" spans="1:26" ht="15.75" customHeight="1" x14ac:dyDescent="0.3"/>
    <row r="16" spans="1:26" ht="15.75" customHeight="1" x14ac:dyDescent="0.3">
      <c r="B16" s="4383" t="s">
        <v>357</v>
      </c>
      <c r="C16" s="4384"/>
    </row>
    <row r="17" spans="2:2" ht="15.75" customHeight="1" x14ac:dyDescent="0.3">
      <c r="B17" s="562" t="s">
        <v>301</v>
      </c>
    </row>
    <row r="18" spans="2:2" ht="15.75" customHeight="1" x14ac:dyDescent="0.3">
      <c r="B18" s="562" t="s">
        <v>301</v>
      </c>
    </row>
    <row r="19" spans="2:2" ht="15.75" customHeight="1" x14ac:dyDescent="0.3"/>
    <row r="20" spans="2:2" ht="15.75" customHeight="1" x14ac:dyDescent="0.3"/>
    <row r="21" spans="2:2" ht="15.75" customHeight="1" x14ac:dyDescent="0.3"/>
    <row r="22" spans="2:2" ht="15.75" customHeight="1" x14ac:dyDescent="0.3"/>
    <row r="23" spans="2:2" ht="15.75" customHeight="1" x14ac:dyDescent="0.3"/>
    <row r="24" spans="2:2" ht="15.75" customHeight="1" x14ac:dyDescent="0.3"/>
    <row r="25" spans="2:2" ht="15.75" customHeight="1" x14ac:dyDescent="0.3"/>
    <row r="26" spans="2:2" ht="15.75" customHeight="1" x14ac:dyDescent="0.3"/>
    <row r="27" spans="2:2" ht="15.75" customHeight="1" x14ac:dyDescent="0.3"/>
    <row r="28" spans="2:2" ht="15.75" customHeight="1" x14ac:dyDescent="0.3"/>
    <row r="29" spans="2:2" ht="15.75" customHeight="1" x14ac:dyDescent="0.3"/>
    <row r="30" spans="2:2" ht="15.75" customHeight="1" x14ac:dyDescent="0.3"/>
    <row r="31" spans="2:2" ht="15.75" customHeight="1" x14ac:dyDescent="0.3"/>
    <row r="32" spans="2: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sheetData>
  <mergeCells count="1">
    <mergeCell ref="B16:C16"/>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C5AA6-1F9A-45A3-9053-7E31157BB716}">
  <dimension ref="A1:AL996"/>
  <sheetViews>
    <sheetView topLeftCell="A13" workbookViewId="0">
      <selection activeCell="H26" sqref="H26"/>
    </sheetView>
  </sheetViews>
  <sheetFormatPr defaultColWidth="12.44140625" defaultRowHeight="15" customHeight="1" x14ac:dyDescent="0.3"/>
  <cols>
    <col min="1" max="1" width="2.6640625" style="428" customWidth="1"/>
    <col min="2" max="2" width="35.109375" style="428" customWidth="1"/>
    <col min="3" max="3" width="20.109375" style="428" bestFit="1" customWidth="1"/>
    <col min="4" max="6" width="20" style="428" hidden="1" customWidth="1"/>
    <col min="7" max="7" width="1.5546875" style="428" customWidth="1"/>
    <col min="8" max="8" width="14.6640625" style="428" customWidth="1"/>
    <col min="9" max="9" width="7.33203125" style="428" customWidth="1"/>
    <col min="10" max="10" width="34" style="428" customWidth="1"/>
    <col min="11" max="35" width="16" style="428" customWidth="1"/>
    <col min="36" max="36" width="1.5546875" style="428" customWidth="1"/>
    <col min="37" max="37" width="15.21875" style="428" customWidth="1"/>
    <col min="38" max="38" width="11.6640625" style="428" customWidth="1"/>
    <col min="39" max="16384" width="12.44140625" style="428"/>
  </cols>
  <sheetData>
    <row r="1" spans="1:38" ht="21.75" customHeight="1" x14ac:dyDescent="0.35">
      <c r="A1" s="424"/>
      <c r="B1" s="425" t="s">
        <v>549</v>
      </c>
      <c r="C1" s="426"/>
      <c r="G1" s="427"/>
      <c r="I1" s="427"/>
      <c r="AJ1" s="427"/>
    </row>
    <row r="2" spans="1:38" ht="15.75" customHeight="1" x14ac:dyDescent="0.3">
      <c r="A2" s="424"/>
      <c r="B2" s="429" t="s">
        <v>299</v>
      </c>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row>
    <row r="3" spans="1:38" ht="9.75" customHeight="1" x14ac:dyDescent="0.3">
      <c r="A3" s="427"/>
      <c r="B3" s="431"/>
      <c r="G3" s="427"/>
      <c r="I3" s="427"/>
      <c r="AJ3" s="427"/>
    </row>
    <row r="4" spans="1:38" ht="6" customHeight="1" x14ac:dyDescent="0.3">
      <c r="B4" s="427"/>
      <c r="G4" s="427"/>
      <c r="I4" s="427"/>
      <c r="AJ4" s="427"/>
    </row>
    <row r="5" spans="1:38" ht="6" customHeight="1" x14ac:dyDescent="0.3">
      <c r="A5" s="431"/>
      <c r="G5" s="427"/>
      <c r="I5" s="427"/>
      <c r="AJ5" s="427"/>
    </row>
    <row r="6" spans="1:38" ht="15.75" customHeight="1" x14ac:dyDescent="0.3">
      <c r="G6" s="427"/>
      <c r="H6" s="427"/>
      <c r="I6" s="427"/>
      <c r="AJ6" s="427"/>
    </row>
    <row r="7" spans="1:38" ht="37.200000000000003" customHeight="1" x14ac:dyDescent="0.3">
      <c r="A7" s="432"/>
      <c r="B7" s="433">
        <v>2024</v>
      </c>
      <c r="C7" s="4385" t="s">
        <v>22</v>
      </c>
      <c r="D7" s="4386"/>
      <c r="E7" s="4386"/>
      <c r="F7" s="4386"/>
      <c r="G7" s="1980"/>
      <c r="H7" s="435" t="s">
        <v>300</v>
      </c>
      <c r="I7" s="432"/>
      <c r="J7" s="433">
        <v>2024</v>
      </c>
      <c r="K7" s="4385" t="s">
        <v>23</v>
      </c>
      <c r="L7" s="4393"/>
      <c r="M7" s="4386"/>
      <c r="N7" s="4386"/>
      <c r="O7" s="4386"/>
      <c r="P7" s="4386"/>
      <c r="Q7" s="4386"/>
      <c r="R7" s="4386"/>
      <c r="S7" s="4386"/>
      <c r="T7" s="4386"/>
      <c r="U7" s="4386"/>
      <c r="V7" s="4386"/>
      <c r="W7" s="4386"/>
      <c r="X7" s="4386"/>
      <c r="Y7" s="4386"/>
      <c r="Z7" s="4386"/>
      <c r="AA7" s="4386"/>
      <c r="AB7" s="4386"/>
      <c r="AC7" s="4386"/>
      <c r="AD7" s="4386"/>
      <c r="AE7" s="4386"/>
      <c r="AF7" s="4386"/>
      <c r="AG7" s="4386"/>
      <c r="AH7" s="4386"/>
      <c r="AI7" s="4386"/>
      <c r="AJ7" s="609"/>
      <c r="AK7" s="435" t="s">
        <v>300</v>
      </c>
      <c r="AL7" s="432"/>
    </row>
    <row r="8" spans="1:38" ht="18" customHeight="1" x14ac:dyDescent="0.35">
      <c r="B8" s="436" t="s">
        <v>301</v>
      </c>
      <c r="C8" s="648">
        <v>1</v>
      </c>
      <c r="D8" s="572">
        <v>2</v>
      </c>
      <c r="E8" s="649">
        <v>3</v>
      </c>
      <c r="F8" s="648">
        <v>4</v>
      </c>
      <c r="G8" s="2944"/>
      <c r="H8" s="438"/>
      <c r="I8" s="427"/>
      <c r="J8" s="436" t="s">
        <v>301</v>
      </c>
      <c r="K8" s="648">
        <v>1</v>
      </c>
      <c r="L8" s="648">
        <v>2</v>
      </c>
      <c r="M8" s="648">
        <v>3</v>
      </c>
      <c r="N8" s="648">
        <v>4</v>
      </c>
      <c r="O8" s="648">
        <v>5</v>
      </c>
      <c r="P8" s="648">
        <v>6</v>
      </c>
      <c r="Q8" s="648">
        <v>7</v>
      </c>
      <c r="R8" s="648">
        <v>8</v>
      </c>
      <c r="S8" s="648">
        <v>9</v>
      </c>
      <c r="T8" s="648">
        <v>10</v>
      </c>
      <c r="U8" s="648">
        <v>11</v>
      </c>
      <c r="V8" s="648">
        <v>12</v>
      </c>
      <c r="W8" s="648">
        <v>13</v>
      </c>
      <c r="X8" s="648">
        <v>14</v>
      </c>
      <c r="Y8" s="648">
        <v>15</v>
      </c>
      <c r="Z8" s="648">
        <v>16</v>
      </c>
      <c r="AA8" s="648">
        <v>17</v>
      </c>
      <c r="AB8" s="648">
        <v>18</v>
      </c>
      <c r="AC8" s="648">
        <v>19</v>
      </c>
      <c r="AD8" s="648">
        <v>20</v>
      </c>
      <c r="AE8" s="648">
        <v>21</v>
      </c>
      <c r="AF8" s="648">
        <v>22</v>
      </c>
      <c r="AG8" s="648">
        <v>23</v>
      </c>
      <c r="AH8" s="648">
        <v>24</v>
      </c>
      <c r="AI8" s="648">
        <v>25</v>
      </c>
      <c r="AJ8" s="610"/>
      <c r="AK8" s="438"/>
    </row>
    <row r="9" spans="1:38" ht="46.5" customHeight="1" x14ac:dyDescent="0.3">
      <c r="B9" s="439" t="s">
        <v>302</v>
      </c>
      <c r="C9" s="3413" t="s">
        <v>1693</v>
      </c>
      <c r="D9" s="573" t="s">
        <v>2356</v>
      </c>
      <c r="E9" s="573" t="s">
        <v>2356</v>
      </c>
      <c r="F9" s="573" t="s">
        <v>2356</v>
      </c>
      <c r="G9" s="574"/>
      <c r="H9" s="442"/>
      <c r="I9" s="443"/>
      <c r="J9" s="439" t="s">
        <v>302</v>
      </c>
      <c r="K9" s="3413" t="s">
        <v>1177</v>
      </c>
      <c r="L9" s="3413" t="s">
        <v>1177</v>
      </c>
      <c r="M9" s="3414" t="s">
        <v>1177</v>
      </c>
      <c r="N9" s="3415" t="s">
        <v>1177</v>
      </c>
      <c r="O9" s="3414" t="s">
        <v>1177</v>
      </c>
      <c r="P9" s="3415" t="s">
        <v>1177</v>
      </c>
      <c r="Q9" s="3414" t="s">
        <v>1177</v>
      </c>
      <c r="R9" s="3415" t="s">
        <v>1177</v>
      </c>
      <c r="S9" s="3416" t="s">
        <v>1177</v>
      </c>
      <c r="T9" s="3414" t="s">
        <v>1177</v>
      </c>
      <c r="U9" s="3414" t="s">
        <v>1177</v>
      </c>
      <c r="V9" s="3415" t="s">
        <v>1177</v>
      </c>
      <c r="W9" s="3414" t="s">
        <v>1177</v>
      </c>
      <c r="X9" s="3415" t="s">
        <v>1177</v>
      </c>
      <c r="Y9" s="3414" t="s">
        <v>1177</v>
      </c>
      <c r="Z9" s="3415" t="s">
        <v>1177</v>
      </c>
      <c r="AA9" s="3414" t="s">
        <v>1177</v>
      </c>
      <c r="AB9" s="3415" t="s">
        <v>1177</v>
      </c>
      <c r="AC9" s="3414" t="s">
        <v>1177</v>
      </c>
      <c r="AD9" s="3414" t="s">
        <v>1177</v>
      </c>
      <c r="AE9" s="3414" t="s">
        <v>1177</v>
      </c>
      <c r="AF9" s="3414" t="s">
        <v>1177</v>
      </c>
      <c r="AG9" s="3414" t="s">
        <v>1177</v>
      </c>
      <c r="AH9" s="3414" t="s">
        <v>1177</v>
      </c>
      <c r="AI9" s="3414" t="str">
        <f>AH9</f>
        <v>Residual/Post-production  Biomass</v>
      </c>
      <c r="AJ9" s="611"/>
      <c r="AK9" s="442"/>
    </row>
    <row r="10" spans="1:38" ht="46.5" customHeight="1" x14ac:dyDescent="0.3">
      <c r="B10" s="444" t="s">
        <v>304</v>
      </c>
      <c r="C10" s="3417" t="s">
        <v>1694</v>
      </c>
      <c r="D10" s="445" t="s">
        <v>2357</v>
      </c>
      <c r="E10" s="445" t="s">
        <v>2357</v>
      </c>
      <c r="F10" s="445" t="s">
        <v>2357</v>
      </c>
      <c r="G10" s="574"/>
      <c r="H10" s="446"/>
      <c r="I10" s="443"/>
      <c r="J10" s="444" t="s">
        <v>304</v>
      </c>
      <c r="K10" s="3417" t="s">
        <v>1947</v>
      </c>
      <c r="L10" s="3417" t="s">
        <v>1948</v>
      </c>
      <c r="M10" s="3417" t="s">
        <v>1950</v>
      </c>
      <c r="N10" s="3417" t="s">
        <v>1951</v>
      </c>
      <c r="O10" s="3417" t="s">
        <v>1952</v>
      </c>
      <c r="P10" s="3417" t="s">
        <v>1953</v>
      </c>
      <c r="Q10" s="3417" t="s">
        <v>1954</v>
      </c>
      <c r="R10" s="3417" t="s">
        <v>1955</v>
      </c>
      <c r="S10" s="3417" t="s">
        <v>1956</v>
      </c>
      <c r="T10" s="3417" t="s">
        <v>1995</v>
      </c>
      <c r="U10" s="3417" t="s">
        <v>1996</v>
      </c>
      <c r="V10" s="3417" t="s">
        <v>1997</v>
      </c>
      <c r="W10" s="3417" t="s">
        <v>1998</v>
      </c>
      <c r="X10" s="3417" t="s">
        <v>1999</v>
      </c>
      <c r="Y10" s="3417" t="s">
        <v>2000</v>
      </c>
      <c r="Z10" s="3417" t="s">
        <v>2001</v>
      </c>
      <c r="AA10" s="3417" t="s">
        <v>2002</v>
      </c>
      <c r="AB10" s="3417" t="s">
        <v>2003</v>
      </c>
      <c r="AC10" s="3417" t="s">
        <v>2004</v>
      </c>
      <c r="AD10" s="3417" t="s">
        <v>2005</v>
      </c>
      <c r="AE10" s="3417" t="s">
        <v>2006</v>
      </c>
      <c r="AF10" s="3417" t="s">
        <v>2007</v>
      </c>
      <c r="AG10" s="3417" t="s">
        <v>2008</v>
      </c>
      <c r="AH10" s="3417" t="s">
        <v>2009</v>
      </c>
      <c r="AI10" s="3417" t="s">
        <v>2010</v>
      </c>
      <c r="AJ10" s="612"/>
      <c r="AK10" s="446"/>
    </row>
    <row r="11" spans="1:38" ht="18.75" customHeight="1" x14ac:dyDescent="0.3">
      <c r="A11" s="447"/>
      <c r="B11" s="448" t="s">
        <v>306</v>
      </c>
      <c r="C11" s="575">
        <f>(C17*C18)+(C22*C23)</f>
        <v>4145.4652371986767</v>
      </c>
      <c r="D11" s="575">
        <f>(D17*D18)+(D22*D23)</f>
        <v>0</v>
      </c>
      <c r="E11" s="575">
        <f>(E17*E18)+(E22*E23)</f>
        <v>0</v>
      </c>
      <c r="F11" s="575">
        <f>(F17*F18)+(F22*F23)</f>
        <v>0</v>
      </c>
      <c r="G11" s="576"/>
      <c r="H11" s="451">
        <f t="shared" ref="H11:H12" si="0">SUM(C11:F11)</f>
        <v>4145.4652371986767</v>
      </c>
      <c r="I11" s="452"/>
      <c r="J11" s="448" t="s">
        <v>306</v>
      </c>
      <c r="K11" s="613">
        <f t="shared" ref="K11:AH11" si="1">(K17*K18)+(K22*K23)</f>
        <v>890.25389611996957</v>
      </c>
      <c r="L11" s="613">
        <f t="shared" si="1"/>
        <v>80.233326333016407</v>
      </c>
      <c r="M11" s="613">
        <f t="shared" si="1"/>
        <v>3356.938036060666</v>
      </c>
      <c r="N11" s="613">
        <f t="shared" si="1"/>
        <v>2593.053491317226</v>
      </c>
      <c r="O11" s="613">
        <f t="shared" si="1"/>
        <v>647.38315888520822</v>
      </c>
      <c r="P11" s="613">
        <f t="shared" si="1"/>
        <v>849.38617462758521</v>
      </c>
      <c r="Q11" s="613">
        <f t="shared" si="1"/>
        <v>85.181994590158979</v>
      </c>
      <c r="R11" s="613">
        <f t="shared" si="1"/>
        <v>20.289539854284534</v>
      </c>
      <c r="S11" s="613">
        <f t="shared" si="1"/>
        <v>25.960226922715115</v>
      </c>
      <c r="T11" s="613">
        <f t="shared" si="1"/>
        <v>312.00542104192562</v>
      </c>
      <c r="U11" s="613">
        <f t="shared" si="1"/>
        <v>331.80415035595257</v>
      </c>
      <c r="V11" s="613">
        <f t="shared" si="1"/>
        <v>224.71821429975273</v>
      </c>
      <c r="W11" s="613">
        <f t="shared" si="1"/>
        <v>565.68226847396704</v>
      </c>
      <c r="X11" s="613">
        <f t="shared" si="1"/>
        <v>0</v>
      </c>
      <c r="Y11" s="613">
        <f t="shared" si="1"/>
        <v>645.76064470253846</v>
      </c>
      <c r="Z11" s="613">
        <f t="shared" si="1"/>
        <v>140.3474768009286</v>
      </c>
      <c r="AA11" s="613">
        <f t="shared" si="1"/>
        <v>0</v>
      </c>
      <c r="AB11" s="613">
        <f t="shared" si="1"/>
        <v>241.75461321778451</v>
      </c>
      <c r="AC11" s="613">
        <f t="shared" si="1"/>
        <v>242.56587030911936</v>
      </c>
      <c r="AD11" s="613">
        <f t="shared" si="1"/>
        <v>5000</v>
      </c>
      <c r="AE11" s="613">
        <f t="shared" si="1"/>
        <v>778.8300044003488</v>
      </c>
      <c r="AF11" s="613">
        <f t="shared" si="1"/>
        <v>0</v>
      </c>
      <c r="AG11" s="613">
        <f t="shared" si="1"/>
        <v>1015.6938783512289</v>
      </c>
      <c r="AH11" s="613">
        <f t="shared" si="1"/>
        <v>0</v>
      </c>
      <c r="AI11" s="613">
        <f>(AI17*AI18)+(AI22*AI23)</f>
        <v>44.619140023416605</v>
      </c>
      <c r="AJ11" s="614"/>
      <c r="AK11" s="451">
        <f t="shared" ref="AK11:AK12" si="2">SUM(K11:AI11)</f>
        <v>18092.461526687795</v>
      </c>
      <c r="AL11" s="447"/>
    </row>
    <row r="12" spans="1:38" ht="18.75" customHeight="1" x14ac:dyDescent="0.3">
      <c r="A12" s="447"/>
      <c r="B12" s="453" t="s">
        <v>307</v>
      </c>
      <c r="C12" s="577">
        <f t="shared" ref="C12:F12" si="3">(C27*C28)+(C32*C33)</f>
        <v>111.078155520199</v>
      </c>
      <c r="D12" s="652">
        <f t="shared" si="3"/>
        <v>0</v>
      </c>
      <c r="E12" s="653">
        <f t="shared" si="3"/>
        <v>0</v>
      </c>
      <c r="F12" s="577">
        <f t="shared" si="3"/>
        <v>0</v>
      </c>
      <c r="G12" s="455"/>
      <c r="H12" s="456">
        <f t="shared" si="0"/>
        <v>111.078155520199</v>
      </c>
      <c r="I12" s="457"/>
      <c r="J12" s="453" t="s">
        <v>307</v>
      </c>
      <c r="K12" s="454">
        <f t="shared" ref="K12:AI12" si="4">(K27*K28)+(K32*K33)</f>
        <v>0</v>
      </c>
      <c r="L12" s="454">
        <f t="shared" si="4"/>
        <v>0</v>
      </c>
      <c r="M12" s="454">
        <f t="shared" si="4"/>
        <v>0</v>
      </c>
      <c r="N12" s="454">
        <f t="shared" si="4"/>
        <v>0</v>
      </c>
      <c r="O12" s="454">
        <f t="shared" si="4"/>
        <v>0</v>
      </c>
      <c r="P12" s="454">
        <f t="shared" si="4"/>
        <v>0</v>
      </c>
      <c r="Q12" s="454">
        <f t="shared" si="4"/>
        <v>0</v>
      </c>
      <c r="R12" s="454">
        <f t="shared" si="4"/>
        <v>0</v>
      </c>
      <c r="S12" s="454">
        <f t="shared" si="4"/>
        <v>0</v>
      </c>
      <c r="T12" s="454">
        <f t="shared" si="4"/>
        <v>0</v>
      </c>
      <c r="U12" s="454">
        <f t="shared" si="4"/>
        <v>0</v>
      </c>
      <c r="V12" s="454">
        <f t="shared" si="4"/>
        <v>0</v>
      </c>
      <c r="W12" s="454">
        <f t="shared" si="4"/>
        <v>0</v>
      </c>
      <c r="X12" s="454">
        <f t="shared" si="4"/>
        <v>0</v>
      </c>
      <c r="Y12" s="454">
        <f t="shared" si="4"/>
        <v>0</v>
      </c>
      <c r="Z12" s="454">
        <f t="shared" si="4"/>
        <v>0</v>
      </c>
      <c r="AA12" s="454">
        <f t="shared" si="4"/>
        <v>0</v>
      </c>
      <c r="AB12" s="454">
        <f t="shared" si="4"/>
        <v>0</v>
      </c>
      <c r="AC12" s="454">
        <f t="shared" si="4"/>
        <v>0</v>
      </c>
      <c r="AD12" s="454">
        <f t="shared" si="4"/>
        <v>0</v>
      </c>
      <c r="AE12" s="454">
        <f t="shared" si="4"/>
        <v>0</v>
      </c>
      <c r="AF12" s="454">
        <f t="shared" si="4"/>
        <v>0</v>
      </c>
      <c r="AG12" s="454">
        <f t="shared" si="4"/>
        <v>0</v>
      </c>
      <c r="AH12" s="454">
        <f t="shared" si="4"/>
        <v>0</v>
      </c>
      <c r="AI12" s="454">
        <f t="shared" si="4"/>
        <v>0</v>
      </c>
      <c r="AJ12" s="614"/>
      <c r="AK12" s="456">
        <f t="shared" si="2"/>
        <v>0</v>
      </c>
      <c r="AL12" s="447"/>
    </row>
    <row r="13" spans="1:38" ht="18.75" customHeight="1" x14ac:dyDescent="0.3">
      <c r="A13" s="447"/>
      <c r="B13" s="448" t="s">
        <v>308</v>
      </c>
      <c r="C13" s="654" t="s">
        <v>8</v>
      </c>
      <c r="D13" s="578" t="s">
        <v>8</v>
      </c>
      <c r="E13" s="654" t="s">
        <v>8</v>
      </c>
      <c r="F13" s="2963" t="s">
        <v>8</v>
      </c>
      <c r="G13" s="2964"/>
      <c r="H13" s="460"/>
      <c r="I13" s="461"/>
      <c r="J13" s="448" t="s">
        <v>308</v>
      </c>
      <c r="K13" s="458" t="s">
        <v>8</v>
      </c>
      <c r="L13" s="654" t="s">
        <v>8</v>
      </c>
      <c r="M13" s="578" t="s">
        <v>8</v>
      </c>
      <c r="N13" s="654" t="s">
        <v>8</v>
      </c>
      <c r="O13" s="3419" t="s">
        <v>8</v>
      </c>
      <c r="P13" s="3420" t="s">
        <v>8</v>
      </c>
      <c r="Q13" s="3420" t="s">
        <v>8</v>
      </c>
      <c r="R13" s="3420" t="s">
        <v>8</v>
      </c>
      <c r="S13" s="3420" t="s">
        <v>8</v>
      </c>
      <c r="T13" s="3420" t="s">
        <v>8</v>
      </c>
      <c r="U13" s="3420" t="s">
        <v>8</v>
      </c>
      <c r="V13" s="3420" t="s">
        <v>8</v>
      </c>
      <c r="W13" s="3420" t="s">
        <v>8</v>
      </c>
      <c r="X13" s="3420" t="s">
        <v>8</v>
      </c>
      <c r="Y13" s="3420" t="s">
        <v>8</v>
      </c>
      <c r="Z13" s="3420" t="s">
        <v>8</v>
      </c>
      <c r="AA13" s="3420" t="s">
        <v>8</v>
      </c>
      <c r="AB13" s="3420" t="s">
        <v>8</v>
      </c>
      <c r="AC13" s="3420" t="s">
        <v>8</v>
      </c>
      <c r="AD13" s="3420" t="s">
        <v>8</v>
      </c>
      <c r="AE13" s="3420" t="s">
        <v>8</v>
      </c>
      <c r="AF13" s="3420" t="s">
        <v>8</v>
      </c>
      <c r="AG13" s="3420" t="s">
        <v>8</v>
      </c>
      <c r="AH13" s="654" t="s">
        <v>8</v>
      </c>
      <c r="AI13" s="578" t="s">
        <v>8</v>
      </c>
      <c r="AJ13" s="615"/>
      <c r="AK13" s="460"/>
      <c r="AL13" s="447"/>
    </row>
    <row r="14" spans="1:38" ht="18.75" customHeight="1" x14ac:dyDescent="0.3">
      <c r="A14" s="447"/>
      <c r="B14" s="462" t="s">
        <v>309</v>
      </c>
      <c r="C14" s="655">
        <f t="shared" ref="C14:F14" si="5">C11-C12</f>
        <v>4034.3870816784779</v>
      </c>
      <c r="D14" s="579">
        <f t="shared" si="5"/>
        <v>0</v>
      </c>
      <c r="E14" s="655">
        <f t="shared" si="5"/>
        <v>0</v>
      </c>
      <c r="F14" s="2945">
        <f t="shared" si="5"/>
        <v>0</v>
      </c>
      <c r="G14" s="2946"/>
      <c r="H14" s="464">
        <f>SUM(C14:F14)</f>
        <v>4034.3870816784779</v>
      </c>
      <c r="I14" s="457"/>
      <c r="J14" s="462" t="s">
        <v>309</v>
      </c>
      <c r="K14" s="463">
        <f t="shared" ref="K14:AI14" si="6">K11-K12</f>
        <v>890.25389611996957</v>
      </c>
      <c r="L14" s="463">
        <f t="shared" si="6"/>
        <v>80.233326333016407</v>
      </c>
      <c r="M14" s="463">
        <f t="shared" si="6"/>
        <v>3356.938036060666</v>
      </c>
      <c r="N14" s="463">
        <f t="shared" si="6"/>
        <v>2593.053491317226</v>
      </c>
      <c r="O14" s="463">
        <f t="shared" si="6"/>
        <v>647.38315888520822</v>
      </c>
      <c r="P14" s="463">
        <f t="shared" si="6"/>
        <v>849.38617462758521</v>
      </c>
      <c r="Q14" s="463">
        <f t="shared" si="6"/>
        <v>85.181994590158979</v>
      </c>
      <c r="R14" s="463">
        <f t="shared" si="6"/>
        <v>20.289539854284534</v>
      </c>
      <c r="S14" s="463">
        <f t="shared" si="6"/>
        <v>25.960226922715115</v>
      </c>
      <c r="T14" s="463">
        <f t="shared" si="6"/>
        <v>312.00542104192562</v>
      </c>
      <c r="U14" s="463">
        <f t="shared" si="6"/>
        <v>331.80415035595257</v>
      </c>
      <c r="V14" s="463">
        <f t="shared" si="6"/>
        <v>224.71821429975273</v>
      </c>
      <c r="W14" s="463">
        <f t="shared" si="6"/>
        <v>565.68226847396704</v>
      </c>
      <c r="X14" s="463">
        <f t="shared" si="6"/>
        <v>0</v>
      </c>
      <c r="Y14" s="463">
        <f t="shared" si="6"/>
        <v>645.76064470253846</v>
      </c>
      <c r="Z14" s="463">
        <f t="shared" si="6"/>
        <v>140.3474768009286</v>
      </c>
      <c r="AA14" s="463">
        <f t="shared" si="6"/>
        <v>0</v>
      </c>
      <c r="AB14" s="463">
        <f t="shared" si="6"/>
        <v>241.75461321778451</v>
      </c>
      <c r="AC14" s="463">
        <f t="shared" si="6"/>
        <v>242.56587030911936</v>
      </c>
      <c r="AD14" s="463">
        <f t="shared" si="6"/>
        <v>5000</v>
      </c>
      <c r="AE14" s="463">
        <f t="shared" si="6"/>
        <v>778.8300044003488</v>
      </c>
      <c r="AF14" s="463">
        <f t="shared" si="6"/>
        <v>0</v>
      </c>
      <c r="AG14" s="463">
        <f t="shared" si="6"/>
        <v>1015.6938783512289</v>
      </c>
      <c r="AH14" s="463">
        <f t="shared" si="6"/>
        <v>0</v>
      </c>
      <c r="AI14" s="463">
        <f t="shared" si="6"/>
        <v>44.619140023416605</v>
      </c>
      <c r="AJ14" s="614"/>
      <c r="AK14" s="464">
        <f>SUM(K14:AI14)</f>
        <v>18092.461526687795</v>
      </c>
      <c r="AL14" s="447"/>
    </row>
    <row r="15" spans="1:38" ht="19.5" customHeight="1" x14ac:dyDescent="0.4">
      <c r="B15" s="465" t="s">
        <v>310</v>
      </c>
      <c r="C15" s="656"/>
      <c r="D15" s="657"/>
      <c r="E15" s="658"/>
      <c r="F15" s="656"/>
      <c r="G15" s="2947"/>
      <c r="H15" s="468"/>
      <c r="I15" s="467"/>
      <c r="J15" s="616" t="s">
        <v>395</v>
      </c>
      <c r="K15" s="659"/>
      <c r="L15" s="3421"/>
      <c r="M15" s="3422"/>
      <c r="N15" s="3421"/>
      <c r="O15" s="659"/>
      <c r="P15" s="3421"/>
      <c r="Q15" s="3423"/>
      <c r="R15" s="3423"/>
      <c r="S15" s="3423"/>
      <c r="T15" s="3423"/>
      <c r="U15" s="3423"/>
      <c r="V15" s="3423"/>
      <c r="W15" s="3423"/>
      <c r="X15" s="3423"/>
      <c r="Y15" s="3423"/>
      <c r="Z15" s="3423"/>
      <c r="AA15" s="3423"/>
      <c r="AB15" s="3423"/>
      <c r="AC15" s="3423"/>
      <c r="AD15" s="3423"/>
      <c r="AE15" s="3423"/>
      <c r="AF15" s="3423"/>
      <c r="AG15" s="3423"/>
      <c r="AH15" s="659"/>
      <c r="AI15" s="617"/>
      <c r="AJ15" s="618"/>
      <c r="AK15" s="468"/>
      <c r="AL15" s="427"/>
    </row>
    <row r="16" spans="1:38" ht="35.4" customHeight="1" x14ac:dyDescent="0.3">
      <c r="A16" s="447"/>
      <c r="B16" s="469" t="s">
        <v>311</v>
      </c>
      <c r="C16" s="601" t="s">
        <v>1695</v>
      </c>
      <c r="D16" s="601" t="s">
        <v>2358</v>
      </c>
      <c r="E16" s="601" t="s">
        <v>2358</v>
      </c>
      <c r="F16" s="601" t="s">
        <v>2358</v>
      </c>
      <c r="G16" s="581"/>
      <c r="H16" s="471"/>
      <c r="I16" s="457"/>
      <c r="J16" s="469" t="s">
        <v>311</v>
      </c>
      <c r="K16" s="601" t="s">
        <v>496</v>
      </c>
      <c r="L16" s="601" t="s">
        <v>496</v>
      </c>
      <c r="M16" s="601" t="s">
        <v>496</v>
      </c>
      <c r="N16" s="601" t="s">
        <v>496</v>
      </c>
      <c r="O16" s="601" t="s">
        <v>496</v>
      </c>
      <c r="P16" s="601" t="s">
        <v>496</v>
      </c>
      <c r="Q16" s="601" t="s">
        <v>496</v>
      </c>
      <c r="R16" s="601" t="s">
        <v>496</v>
      </c>
      <c r="S16" s="601" t="s">
        <v>496</v>
      </c>
      <c r="T16" s="601" t="s">
        <v>496</v>
      </c>
      <c r="U16" s="601" t="s">
        <v>496</v>
      </c>
      <c r="V16" s="601" t="s">
        <v>496</v>
      </c>
      <c r="W16" s="601" t="s">
        <v>496</v>
      </c>
      <c r="X16" s="601" t="s">
        <v>496</v>
      </c>
      <c r="Y16" s="601" t="s">
        <v>496</v>
      </c>
      <c r="Z16" s="601" t="s">
        <v>496</v>
      </c>
      <c r="AA16" s="601" t="s">
        <v>496</v>
      </c>
      <c r="AB16" s="601" t="s">
        <v>496</v>
      </c>
      <c r="AC16" s="601" t="s">
        <v>496</v>
      </c>
      <c r="AD16" s="601" t="s">
        <v>496</v>
      </c>
      <c r="AE16" s="601" t="s">
        <v>496</v>
      </c>
      <c r="AF16" s="601" t="s">
        <v>496</v>
      </c>
      <c r="AG16" s="601" t="s">
        <v>496</v>
      </c>
      <c r="AH16" s="601" t="s">
        <v>496</v>
      </c>
      <c r="AI16" s="601" t="s">
        <v>496</v>
      </c>
      <c r="AJ16" s="619"/>
      <c r="AK16" s="620"/>
      <c r="AL16" s="447"/>
    </row>
    <row r="17" spans="1:38" ht="21" customHeight="1" x14ac:dyDescent="0.3">
      <c r="A17" s="447"/>
      <c r="B17" s="472" t="s">
        <v>313</v>
      </c>
      <c r="C17" s="582">
        <f>'CF-0708|GDS'!I12</f>
        <v>1516295.4155220778</v>
      </c>
      <c r="D17" s="660">
        <v>0</v>
      </c>
      <c r="E17" s="661">
        <v>0</v>
      </c>
      <c r="F17" s="582">
        <v>0</v>
      </c>
      <c r="G17" s="583"/>
      <c r="I17" s="475"/>
      <c r="J17" s="472" t="s">
        <v>398</v>
      </c>
      <c r="K17" s="662">
        <f>'CF-0708|GDS'!I33</f>
        <v>1097.37579569892</v>
      </c>
      <c r="L17" s="662">
        <f>'CF-0708|GDS'!I34</f>
        <v>98.9</v>
      </c>
      <c r="M17" s="662">
        <f>'CF-0708|GDS'!I35</f>
        <v>4137.9459999999999</v>
      </c>
      <c r="N17" s="662">
        <f>'CF-0708|GDS'!I37</f>
        <v>3196.34</v>
      </c>
      <c r="O17" s="662">
        <f>'CF-0708|GDS'!I39</f>
        <v>798</v>
      </c>
      <c r="P17" s="662">
        <f>'CF-0708|GDS'!I40</f>
        <v>1047</v>
      </c>
      <c r="Q17" s="662">
        <f>'CF-0708|GDS'!I51</f>
        <v>105</v>
      </c>
      <c r="R17" s="662">
        <f>'CF-0708|GDS'!I42</f>
        <v>25.01</v>
      </c>
      <c r="S17" s="662">
        <f>'CF-0708|GDS'!I43</f>
        <v>32</v>
      </c>
      <c r="T17" s="662">
        <f>'CF-0708|GDS'!I41</f>
        <v>384.59500000000003</v>
      </c>
      <c r="U17" s="662">
        <f>'CF-0708|GDS'!I44</f>
        <v>409</v>
      </c>
      <c r="V17" s="662">
        <f>'CF-0708|GDS'!I45</f>
        <v>277</v>
      </c>
      <c r="W17" s="662">
        <f>'CF-0708|GDS'!I50</f>
        <v>697.29100000000005</v>
      </c>
      <c r="X17" s="662">
        <f>'CF-0708|GDS'!I49</f>
        <v>0</v>
      </c>
      <c r="Y17" s="662">
        <f>'CF-0708|GDS'!I46</f>
        <v>796</v>
      </c>
      <c r="Z17" s="662">
        <f>'CF-0708|GDS'!I54</f>
        <v>173</v>
      </c>
      <c r="AA17" s="662">
        <f>'CF-0708|GDS'!I56</f>
        <v>0</v>
      </c>
      <c r="AB17" s="662">
        <f>'CF-0708|GDS'!I57</f>
        <v>298</v>
      </c>
      <c r="AC17" s="662">
        <f>'CF-0708|GDS'!I58</f>
        <v>299</v>
      </c>
      <c r="AD17" s="662">
        <f>'CF-0708|GDS'!I53</f>
        <v>6163.274322536854</v>
      </c>
      <c r="AE17" s="662">
        <f>'CF-0708|GDS'!I61</f>
        <v>960.02859354838699</v>
      </c>
      <c r="AF17" s="662">
        <f>'CF-0708|GDS'!I62</f>
        <v>0</v>
      </c>
      <c r="AG17" s="662">
        <f>'CF-0708|GDS'!I63</f>
        <v>1252</v>
      </c>
      <c r="AH17" s="662">
        <f>'CF-0708|GDS'!I64</f>
        <v>0</v>
      </c>
      <c r="AI17" s="621">
        <f>'CF-0708|GDS'!I65</f>
        <v>55</v>
      </c>
      <c r="AJ17" s="622"/>
      <c r="AK17" s="623"/>
      <c r="AL17" s="447"/>
    </row>
    <row r="18" spans="1:38" ht="18.75" customHeight="1" x14ac:dyDescent="0.3">
      <c r="A18" s="447"/>
      <c r="B18" s="476" t="s">
        <v>314</v>
      </c>
      <c r="C18" s="584">
        <v>2.7339430000000004E-3</v>
      </c>
      <c r="D18" s="584">
        <v>0</v>
      </c>
      <c r="E18" s="584">
        <v>0</v>
      </c>
      <c r="F18" s="584">
        <v>0</v>
      </c>
      <c r="G18" s="478"/>
      <c r="I18" s="479"/>
      <c r="J18" s="476" t="s">
        <v>314</v>
      </c>
      <c r="K18" s="584">
        <v>0.81125709133484736</v>
      </c>
      <c r="L18" s="584">
        <v>0.81125709133484736</v>
      </c>
      <c r="M18" s="584">
        <v>0.81125709133484736</v>
      </c>
      <c r="N18" s="584">
        <v>0.81125709133484736</v>
      </c>
      <c r="O18" s="584">
        <v>0.81125709133484736</v>
      </c>
      <c r="P18" s="584">
        <v>0.81125709133484736</v>
      </c>
      <c r="Q18" s="584">
        <v>0.81125709133484736</v>
      </c>
      <c r="R18" s="584">
        <f t="shared" ref="R18:AI18" si="7">Q18</f>
        <v>0.81125709133484736</v>
      </c>
      <c r="S18" s="584">
        <f t="shared" si="7"/>
        <v>0.81125709133484736</v>
      </c>
      <c r="T18" s="584">
        <f t="shared" si="7"/>
        <v>0.81125709133484736</v>
      </c>
      <c r="U18" s="584">
        <f>R18</f>
        <v>0.81125709133484736</v>
      </c>
      <c r="V18" s="584">
        <f t="shared" si="7"/>
        <v>0.81125709133484736</v>
      </c>
      <c r="W18" s="584">
        <f t="shared" si="7"/>
        <v>0.81125709133484736</v>
      </c>
      <c r="X18" s="584">
        <f t="shared" si="7"/>
        <v>0.81125709133484736</v>
      </c>
      <c r="Y18" s="584">
        <f t="shared" si="7"/>
        <v>0.81125709133484736</v>
      </c>
      <c r="Z18" s="584">
        <f t="shared" si="7"/>
        <v>0.81125709133484736</v>
      </c>
      <c r="AA18" s="584">
        <f t="shared" si="7"/>
        <v>0.81125709133484736</v>
      </c>
      <c r="AB18" s="584">
        <f t="shared" si="7"/>
        <v>0.81125709133484736</v>
      </c>
      <c r="AC18" s="584">
        <f t="shared" si="7"/>
        <v>0.81125709133484736</v>
      </c>
      <c r="AD18" s="584">
        <f t="shared" si="7"/>
        <v>0.81125709133484736</v>
      </c>
      <c r="AE18" s="584">
        <f t="shared" si="7"/>
        <v>0.81125709133484736</v>
      </c>
      <c r="AF18" s="584">
        <f t="shared" si="7"/>
        <v>0.81125709133484736</v>
      </c>
      <c r="AG18" s="584">
        <f t="shared" si="7"/>
        <v>0.81125709133484736</v>
      </c>
      <c r="AH18" s="584">
        <f t="shared" si="7"/>
        <v>0.81125709133484736</v>
      </c>
      <c r="AI18" s="584">
        <f t="shared" si="7"/>
        <v>0.81125709133484736</v>
      </c>
      <c r="AJ18" s="614"/>
      <c r="AK18" s="491"/>
      <c r="AL18" s="447"/>
    </row>
    <row r="19" spans="1:38" ht="19.5" customHeight="1" x14ac:dyDescent="0.3">
      <c r="A19" s="447"/>
      <c r="B19" s="480" t="s">
        <v>315</v>
      </c>
      <c r="C19" s="663">
        <f>C17*C18</f>
        <v>4145.4652371986767</v>
      </c>
      <c r="D19" s="664">
        <f>D17*D18</f>
        <v>0</v>
      </c>
      <c r="E19" s="585">
        <f>E17*E18</f>
        <v>0</v>
      </c>
      <c r="F19" s="585">
        <f>F17*F18</f>
        <v>0</v>
      </c>
      <c r="G19" s="586"/>
      <c r="I19" s="479"/>
      <c r="J19" s="480" t="s">
        <v>315</v>
      </c>
      <c r="K19" s="664">
        <f t="shared" ref="K19:AI19" si="8">K17*K18</f>
        <v>890.25389611996957</v>
      </c>
      <c r="L19" s="3424">
        <f t="shared" si="8"/>
        <v>80.233326333016407</v>
      </c>
      <c r="M19" s="663">
        <f t="shared" si="8"/>
        <v>3356.938036060666</v>
      </c>
      <c r="N19" s="481">
        <f t="shared" si="8"/>
        <v>2593.053491317226</v>
      </c>
      <c r="O19" s="3425">
        <f t="shared" si="8"/>
        <v>647.38315888520822</v>
      </c>
      <c r="P19" s="1142">
        <f t="shared" si="8"/>
        <v>849.38617462758521</v>
      </c>
      <c r="Q19" s="1142">
        <f t="shared" si="8"/>
        <v>85.181994590158979</v>
      </c>
      <c r="R19" s="1142">
        <f t="shared" si="8"/>
        <v>20.289539854284534</v>
      </c>
      <c r="S19" s="1142">
        <f t="shared" si="8"/>
        <v>25.960226922715115</v>
      </c>
      <c r="T19" s="1142">
        <f t="shared" si="8"/>
        <v>312.00542104192562</v>
      </c>
      <c r="U19" s="664">
        <f t="shared" si="8"/>
        <v>331.80415035595257</v>
      </c>
      <c r="V19" s="3426">
        <f t="shared" si="8"/>
        <v>224.71821429975273</v>
      </c>
      <c r="W19" s="3425">
        <f t="shared" si="8"/>
        <v>565.68226847396704</v>
      </c>
      <c r="X19" s="3426">
        <f t="shared" si="8"/>
        <v>0</v>
      </c>
      <c r="Y19" s="3426">
        <f t="shared" si="8"/>
        <v>645.76064470253846</v>
      </c>
      <c r="Z19" s="3425">
        <f t="shared" si="8"/>
        <v>140.3474768009286</v>
      </c>
      <c r="AA19" s="1142">
        <f t="shared" si="8"/>
        <v>0</v>
      </c>
      <c r="AB19" s="1142">
        <f t="shared" si="8"/>
        <v>241.75461321778451</v>
      </c>
      <c r="AC19" s="1142">
        <f t="shared" si="8"/>
        <v>242.56587030911936</v>
      </c>
      <c r="AD19" s="1142">
        <f t="shared" si="8"/>
        <v>5000</v>
      </c>
      <c r="AE19" s="1142">
        <f t="shared" si="8"/>
        <v>778.8300044003488</v>
      </c>
      <c r="AF19" s="1142">
        <f t="shared" si="8"/>
        <v>0</v>
      </c>
      <c r="AG19" s="1142">
        <f t="shared" si="8"/>
        <v>1015.6938783512289</v>
      </c>
      <c r="AH19" s="664">
        <f t="shared" si="8"/>
        <v>0</v>
      </c>
      <c r="AI19" s="585">
        <f t="shared" si="8"/>
        <v>44.619140023416605</v>
      </c>
      <c r="AJ19" s="614"/>
      <c r="AK19" s="494"/>
      <c r="AL19" s="447"/>
    </row>
    <row r="20" spans="1:38" ht="19.5" hidden="1" customHeight="1" x14ac:dyDescent="0.4">
      <c r="B20" s="465" t="s">
        <v>310</v>
      </c>
      <c r="C20" s="656"/>
      <c r="D20" s="657"/>
      <c r="E20" s="658"/>
      <c r="F20" s="580"/>
      <c r="G20" s="467"/>
      <c r="I20" s="467"/>
      <c r="J20" s="465"/>
      <c r="K20" s="656"/>
      <c r="L20" s="656"/>
      <c r="M20" s="657"/>
      <c r="N20" s="656"/>
      <c r="O20" s="656"/>
      <c r="P20" s="656"/>
      <c r="Q20" s="656"/>
      <c r="R20" s="656"/>
      <c r="S20" s="656"/>
      <c r="T20" s="656"/>
      <c r="U20" s="656"/>
      <c r="V20" s="656"/>
      <c r="W20" s="656"/>
      <c r="X20" s="656"/>
      <c r="Y20" s="656"/>
      <c r="Z20" s="3427"/>
      <c r="AA20" s="3427"/>
      <c r="AB20" s="3427"/>
      <c r="AC20" s="3427"/>
      <c r="AD20" s="3427"/>
      <c r="AE20" s="3427"/>
      <c r="AF20" s="3427"/>
      <c r="AG20" s="3427"/>
      <c r="AH20" s="656"/>
      <c r="AI20" s="657"/>
      <c r="AJ20" s="618"/>
      <c r="AK20" s="467"/>
    </row>
    <row r="21" spans="1:38" ht="37.950000000000003" hidden="1" customHeight="1" x14ac:dyDescent="0.3">
      <c r="A21" s="447"/>
      <c r="B21" s="469" t="s">
        <v>311</v>
      </c>
      <c r="C21" s="601" t="s">
        <v>2359</v>
      </c>
      <c r="D21" s="601" t="s">
        <v>2358</v>
      </c>
      <c r="E21" s="601" t="s">
        <v>2358</v>
      </c>
      <c r="F21" s="601" t="s">
        <v>2358</v>
      </c>
      <c r="G21" s="1094"/>
      <c r="I21" s="457"/>
      <c r="J21" s="469"/>
      <c r="K21" s="601"/>
      <c r="L21" s="601"/>
      <c r="M21" s="601"/>
      <c r="N21" s="601"/>
      <c r="O21" s="601"/>
      <c r="P21" s="601"/>
      <c r="Q21" s="601"/>
      <c r="R21" s="601"/>
      <c r="S21" s="601"/>
      <c r="T21" s="601"/>
      <c r="U21" s="601"/>
      <c r="V21" s="601"/>
      <c r="W21" s="601"/>
      <c r="X21" s="601"/>
      <c r="Y21" s="601"/>
      <c r="Z21" s="470"/>
      <c r="AA21" s="1136"/>
      <c r="AB21" s="1136"/>
      <c r="AC21" s="1136"/>
      <c r="AD21" s="1136"/>
      <c r="AE21" s="1136"/>
      <c r="AF21" s="1136"/>
      <c r="AG21" s="1136"/>
      <c r="AH21" s="1137"/>
      <c r="AI21" s="601"/>
      <c r="AJ21" s="619"/>
      <c r="AK21" s="620"/>
      <c r="AL21" s="447"/>
    </row>
    <row r="22" spans="1:38" ht="21" hidden="1" customHeight="1" x14ac:dyDescent="0.3">
      <c r="A22" s="447"/>
      <c r="B22" s="472" t="s">
        <v>2342</v>
      </c>
      <c r="C22" s="661">
        <v>0</v>
      </c>
      <c r="D22" s="661">
        <v>0</v>
      </c>
      <c r="E22" s="661">
        <v>0</v>
      </c>
      <c r="F22" s="661">
        <v>0</v>
      </c>
      <c r="G22" s="583"/>
      <c r="I22" s="475"/>
      <c r="J22" s="472"/>
      <c r="K22" s="662"/>
      <c r="L22" s="662"/>
      <c r="M22" s="662"/>
      <c r="N22" s="662"/>
      <c r="O22" s="662"/>
      <c r="P22" s="662"/>
      <c r="Q22" s="662"/>
      <c r="R22" s="662"/>
      <c r="S22" s="662"/>
      <c r="T22" s="662"/>
      <c r="U22" s="662"/>
      <c r="V22" s="662"/>
      <c r="W22" s="662"/>
      <c r="X22" s="662"/>
      <c r="Y22" s="662"/>
      <c r="Z22" s="1138"/>
      <c r="AA22" s="1139"/>
      <c r="AB22" s="1139"/>
      <c r="AC22" s="1139"/>
      <c r="AD22" s="1139"/>
      <c r="AE22" s="1139"/>
      <c r="AF22" s="1139"/>
      <c r="AG22" s="1139"/>
      <c r="AH22" s="1994"/>
      <c r="AI22" s="621"/>
      <c r="AJ22" s="622"/>
      <c r="AK22" s="623"/>
      <c r="AL22" s="447"/>
    </row>
    <row r="23" spans="1:38" ht="18.75" hidden="1" customHeight="1" x14ac:dyDescent="0.3">
      <c r="A23" s="447"/>
      <c r="B23" s="476" t="s">
        <v>314</v>
      </c>
      <c r="C23" s="584">
        <v>0</v>
      </c>
      <c r="D23" s="584">
        <v>0</v>
      </c>
      <c r="E23" s="584">
        <v>0</v>
      </c>
      <c r="F23" s="584">
        <v>0</v>
      </c>
      <c r="G23" s="586"/>
      <c r="H23" s="1095"/>
      <c r="I23" s="479"/>
      <c r="J23" s="476"/>
      <c r="K23" s="584"/>
      <c r="L23" s="584"/>
      <c r="M23" s="584"/>
      <c r="N23" s="584"/>
      <c r="O23" s="584"/>
      <c r="P23" s="584"/>
      <c r="Q23" s="584"/>
      <c r="R23" s="584"/>
      <c r="S23" s="584"/>
      <c r="T23" s="584"/>
      <c r="U23" s="584"/>
      <c r="V23" s="584"/>
      <c r="W23" s="584"/>
      <c r="X23" s="584"/>
      <c r="Y23" s="584"/>
      <c r="Z23" s="477"/>
      <c r="AA23" s="1140"/>
      <c r="AB23" s="1140"/>
      <c r="AC23" s="1140"/>
      <c r="AD23" s="1140"/>
      <c r="AE23" s="1140"/>
      <c r="AF23" s="1140"/>
      <c r="AG23" s="1140"/>
      <c r="AH23" s="1141"/>
      <c r="AI23" s="584"/>
      <c r="AJ23" s="614"/>
      <c r="AK23" s="491"/>
      <c r="AL23" s="447"/>
    </row>
    <row r="24" spans="1:38" ht="19.5" hidden="1" customHeight="1" x14ac:dyDescent="0.3">
      <c r="A24" s="447"/>
      <c r="B24" s="480" t="s">
        <v>315</v>
      </c>
      <c r="C24" s="663">
        <f>C22*C23</f>
        <v>0</v>
      </c>
      <c r="D24" s="664">
        <f>D22*D23</f>
        <v>0</v>
      </c>
      <c r="E24" s="585">
        <f>E22*E23</f>
        <v>0</v>
      </c>
      <c r="F24" s="585">
        <f>F22*F23</f>
        <v>0</v>
      </c>
      <c r="G24" s="586"/>
      <c r="H24" s="1096"/>
      <c r="I24" s="479"/>
      <c r="J24" s="480"/>
      <c r="K24" s="663"/>
      <c r="L24" s="663"/>
      <c r="M24" s="663"/>
      <c r="N24" s="663"/>
      <c r="O24" s="663"/>
      <c r="P24" s="663"/>
      <c r="Q24" s="663"/>
      <c r="R24" s="663"/>
      <c r="S24" s="663"/>
      <c r="T24" s="663"/>
      <c r="U24" s="663"/>
      <c r="V24" s="663"/>
      <c r="W24" s="663"/>
      <c r="X24" s="663"/>
      <c r="Y24" s="663"/>
      <c r="Z24" s="481"/>
      <c r="AA24" s="1142"/>
      <c r="AB24" s="1142"/>
      <c r="AC24" s="1142"/>
      <c r="AD24" s="1142"/>
      <c r="AE24" s="1142"/>
      <c r="AF24" s="1142"/>
      <c r="AG24" s="1142"/>
      <c r="AH24" s="3428"/>
      <c r="AI24" s="664"/>
      <c r="AJ24" s="614"/>
      <c r="AK24" s="494"/>
      <c r="AL24" s="447"/>
    </row>
    <row r="25" spans="1:38" ht="21" customHeight="1" x14ac:dyDescent="0.4">
      <c r="B25" s="465" t="s">
        <v>316</v>
      </c>
      <c r="C25" s="665"/>
      <c r="D25" s="587"/>
      <c r="E25" s="665"/>
      <c r="F25" s="2965"/>
      <c r="G25" s="2955"/>
      <c r="H25" s="484"/>
      <c r="I25" s="483"/>
      <c r="J25" s="465" t="s">
        <v>316</v>
      </c>
      <c r="K25" s="665"/>
      <c r="L25" s="3429"/>
      <c r="M25" s="587"/>
      <c r="N25" s="2949"/>
      <c r="O25" s="665"/>
      <c r="P25" s="3430"/>
      <c r="Q25" s="3430"/>
      <c r="R25" s="3430"/>
      <c r="S25" s="3430"/>
      <c r="T25" s="3430"/>
      <c r="U25" s="3430"/>
      <c r="V25" s="3430"/>
      <c r="W25" s="3430"/>
      <c r="X25" s="3431"/>
      <c r="Y25" s="665"/>
      <c r="Z25" s="3431"/>
      <c r="AA25" s="1143"/>
      <c r="AB25" s="1143"/>
      <c r="AC25" s="1143"/>
      <c r="AD25" s="1143"/>
      <c r="AE25" s="1143"/>
      <c r="AF25" s="1143"/>
      <c r="AG25" s="1143"/>
      <c r="AH25" s="665"/>
      <c r="AI25" s="587"/>
      <c r="AJ25" s="618"/>
      <c r="AK25" s="495"/>
      <c r="AL25" s="685"/>
    </row>
    <row r="26" spans="1:38" ht="32.4" customHeight="1" x14ac:dyDescent="0.3">
      <c r="A26" s="447"/>
      <c r="B26" s="469" t="s">
        <v>183</v>
      </c>
      <c r="C26" s="601" t="s">
        <v>1696</v>
      </c>
      <c r="D26" s="601" t="s">
        <v>2359</v>
      </c>
      <c r="E26" s="601" t="s">
        <v>2359</v>
      </c>
      <c r="F26" s="601" t="s">
        <v>2359</v>
      </c>
      <c r="G26" s="588"/>
      <c r="H26" s="485"/>
      <c r="I26" s="479"/>
      <c r="J26" s="469" t="s">
        <v>183</v>
      </c>
      <c r="K26" s="601" t="s">
        <v>1196</v>
      </c>
      <c r="L26" s="601" t="s">
        <v>1196</v>
      </c>
      <c r="M26" s="601" t="s">
        <v>1196</v>
      </c>
      <c r="N26" s="601" t="s">
        <v>1196</v>
      </c>
      <c r="O26" s="601" t="s">
        <v>1196</v>
      </c>
      <c r="P26" s="601" t="s">
        <v>1196</v>
      </c>
      <c r="Q26" s="601" t="s">
        <v>1196</v>
      </c>
      <c r="R26" s="601" t="s">
        <v>1196</v>
      </c>
      <c r="S26" s="601" t="s">
        <v>1196</v>
      </c>
      <c r="T26" s="601" t="s">
        <v>1196</v>
      </c>
      <c r="U26" s="601" t="s">
        <v>1196</v>
      </c>
      <c r="V26" s="601" t="s">
        <v>1196</v>
      </c>
      <c r="W26" s="601" t="s">
        <v>1196</v>
      </c>
      <c r="X26" s="601" t="s">
        <v>1196</v>
      </c>
      <c r="Y26" s="601" t="s">
        <v>1196</v>
      </c>
      <c r="Z26" s="470" t="s">
        <v>1196</v>
      </c>
      <c r="AA26" s="1136" t="s">
        <v>1196</v>
      </c>
      <c r="AB26" s="1136" t="s">
        <v>1196</v>
      </c>
      <c r="AC26" s="1136" t="s">
        <v>1196</v>
      </c>
      <c r="AD26" s="1136" t="s">
        <v>1196</v>
      </c>
      <c r="AE26" s="1136" t="s">
        <v>1196</v>
      </c>
      <c r="AF26" s="1136" t="s">
        <v>1196</v>
      </c>
      <c r="AG26" s="1136" t="s">
        <v>1196</v>
      </c>
      <c r="AH26" s="1137" t="s">
        <v>1196</v>
      </c>
      <c r="AI26" s="601" t="s">
        <v>1196</v>
      </c>
      <c r="AJ26" s="614"/>
      <c r="AK26" s="496"/>
      <c r="AL26" s="447"/>
    </row>
    <row r="27" spans="1:38" ht="21" customHeight="1" x14ac:dyDescent="0.3">
      <c r="A27" s="447"/>
      <c r="B27" s="486" t="s">
        <v>369</v>
      </c>
      <c r="C27" s="666">
        <f>'CF-0708|GDS'!I11</f>
        <v>3040488.2029999997</v>
      </c>
      <c r="D27" s="589">
        <v>0</v>
      </c>
      <c r="E27" s="666">
        <v>0</v>
      </c>
      <c r="F27" s="2950">
        <v>0</v>
      </c>
      <c r="G27" s="2951"/>
      <c r="H27" s="488"/>
      <c r="I27" s="479"/>
      <c r="J27" s="486" t="s">
        <v>398</v>
      </c>
      <c r="K27" s="666">
        <f t="shared" ref="K27:AI27" si="9">K17</f>
        <v>1097.37579569892</v>
      </c>
      <c r="L27" s="3432">
        <f t="shared" si="9"/>
        <v>98.9</v>
      </c>
      <c r="M27" s="589">
        <f t="shared" si="9"/>
        <v>4137.9459999999999</v>
      </c>
      <c r="N27" s="487">
        <f t="shared" si="9"/>
        <v>3196.34</v>
      </c>
      <c r="O27" s="666">
        <f t="shared" si="9"/>
        <v>798</v>
      </c>
      <c r="P27" s="3433">
        <f t="shared" si="9"/>
        <v>1047</v>
      </c>
      <c r="Q27" s="3434">
        <f t="shared" si="9"/>
        <v>105</v>
      </c>
      <c r="R27" s="666">
        <f t="shared" si="9"/>
        <v>25.01</v>
      </c>
      <c r="S27" s="3433">
        <f t="shared" si="9"/>
        <v>32</v>
      </c>
      <c r="T27" s="3434">
        <f t="shared" si="9"/>
        <v>384.59500000000003</v>
      </c>
      <c r="U27" s="3433">
        <f t="shared" si="9"/>
        <v>409</v>
      </c>
      <c r="V27" s="3433">
        <f t="shared" si="9"/>
        <v>277</v>
      </c>
      <c r="W27" s="3433">
        <f t="shared" si="9"/>
        <v>697.29100000000005</v>
      </c>
      <c r="X27" s="3433">
        <f t="shared" si="9"/>
        <v>0</v>
      </c>
      <c r="Y27" s="3433">
        <f t="shared" si="9"/>
        <v>796</v>
      </c>
      <c r="Z27" s="3434">
        <f t="shared" si="9"/>
        <v>173</v>
      </c>
      <c r="AA27" s="1145">
        <f t="shared" si="9"/>
        <v>0</v>
      </c>
      <c r="AB27" s="1145">
        <f t="shared" si="9"/>
        <v>298</v>
      </c>
      <c r="AC27" s="1145">
        <f t="shared" si="9"/>
        <v>299</v>
      </c>
      <c r="AD27" s="1145">
        <f t="shared" si="9"/>
        <v>6163.274322536854</v>
      </c>
      <c r="AE27" s="1145">
        <f t="shared" si="9"/>
        <v>960.02859354838699</v>
      </c>
      <c r="AF27" s="1145">
        <f t="shared" si="9"/>
        <v>0</v>
      </c>
      <c r="AG27" s="1145">
        <f t="shared" si="9"/>
        <v>1252</v>
      </c>
      <c r="AH27" s="666">
        <f t="shared" si="9"/>
        <v>0</v>
      </c>
      <c r="AI27" s="589">
        <f t="shared" si="9"/>
        <v>55</v>
      </c>
      <c r="AJ27" s="622"/>
      <c r="AK27" s="623"/>
      <c r="AL27" s="447"/>
    </row>
    <row r="28" spans="1:38" ht="21" customHeight="1" x14ac:dyDescent="0.3">
      <c r="A28" s="447"/>
      <c r="B28" s="489" t="s">
        <v>314</v>
      </c>
      <c r="C28" s="590">
        <v>3.6533000000000004E-5</v>
      </c>
      <c r="D28" s="590">
        <f>C28</f>
        <v>3.6533000000000004E-5</v>
      </c>
      <c r="E28" s="590">
        <v>0</v>
      </c>
      <c r="F28" s="590">
        <v>0</v>
      </c>
      <c r="G28" s="588"/>
      <c r="H28" s="491"/>
      <c r="I28" s="479"/>
      <c r="J28" s="489" t="s">
        <v>314</v>
      </c>
      <c r="K28" s="590">
        <v>0</v>
      </c>
      <c r="L28" s="590">
        <f>K28</f>
        <v>0</v>
      </c>
      <c r="M28" s="590">
        <f t="shared" ref="M28:AI28" si="10">L28</f>
        <v>0</v>
      </c>
      <c r="N28" s="590">
        <f t="shared" si="10"/>
        <v>0</v>
      </c>
      <c r="O28" s="590">
        <f t="shared" si="10"/>
        <v>0</v>
      </c>
      <c r="P28" s="590">
        <f t="shared" si="10"/>
        <v>0</v>
      </c>
      <c r="Q28" s="590">
        <f t="shared" si="10"/>
        <v>0</v>
      </c>
      <c r="R28" s="590">
        <f t="shared" si="10"/>
        <v>0</v>
      </c>
      <c r="S28" s="590">
        <f t="shared" si="10"/>
        <v>0</v>
      </c>
      <c r="T28" s="590">
        <f t="shared" si="10"/>
        <v>0</v>
      </c>
      <c r="U28" s="590">
        <f>R28</f>
        <v>0</v>
      </c>
      <c r="V28" s="590">
        <f t="shared" si="10"/>
        <v>0</v>
      </c>
      <c r="W28" s="590">
        <f t="shared" si="10"/>
        <v>0</v>
      </c>
      <c r="X28" s="590">
        <f t="shared" si="10"/>
        <v>0</v>
      </c>
      <c r="Y28" s="590">
        <f t="shared" si="10"/>
        <v>0</v>
      </c>
      <c r="Z28" s="590">
        <f t="shared" si="10"/>
        <v>0</v>
      </c>
      <c r="AA28" s="590">
        <f t="shared" si="10"/>
        <v>0</v>
      </c>
      <c r="AB28" s="590">
        <f t="shared" si="10"/>
        <v>0</v>
      </c>
      <c r="AC28" s="590">
        <f t="shared" si="10"/>
        <v>0</v>
      </c>
      <c r="AD28" s="590">
        <f t="shared" si="10"/>
        <v>0</v>
      </c>
      <c r="AE28" s="590">
        <f t="shared" si="10"/>
        <v>0</v>
      </c>
      <c r="AF28" s="590">
        <f t="shared" si="10"/>
        <v>0</v>
      </c>
      <c r="AG28" s="590">
        <f t="shared" si="10"/>
        <v>0</v>
      </c>
      <c r="AH28" s="590">
        <f t="shared" si="10"/>
        <v>0</v>
      </c>
      <c r="AI28" s="590">
        <f t="shared" si="10"/>
        <v>0</v>
      </c>
      <c r="AJ28" s="614"/>
      <c r="AK28" s="491"/>
      <c r="AL28" s="447"/>
    </row>
    <row r="29" spans="1:38" ht="21" customHeight="1" x14ac:dyDescent="0.3">
      <c r="A29" s="447"/>
      <c r="B29" s="492" t="s">
        <v>315</v>
      </c>
      <c r="C29" s="668">
        <f t="shared" ref="C29:F29" si="11">C27*C28</f>
        <v>111.078155520199</v>
      </c>
      <c r="D29" s="668">
        <f t="shared" si="11"/>
        <v>0</v>
      </c>
      <c r="E29" s="668">
        <f t="shared" si="11"/>
        <v>0</v>
      </c>
      <c r="F29" s="591">
        <f t="shared" si="11"/>
        <v>0</v>
      </c>
      <c r="G29" s="588"/>
      <c r="H29" s="494"/>
      <c r="I29" s="479"/>
      <c r="J29" s="492" t="s">
        <v>315</v>
      </c>
      <c r="K29" s="668">
        <f t="shared" ref="K29:AI29" si="12">K27*K28</f>
        <v>0</v>
      </c>
      <c r="L29" s="668">
        <f t="shared" si="12"/>
        <v>0</v>
      </c>
      <c r="M29" s="591">
        <f t="shared" si="12"/>
        <v>0</v>
      </c>
      <c r="N29" s="624">
        <f t="shared" si="12"/>
        <v>0</v>
      </c>
      <c r="O29" s="624">
        <f t="shared" si="12"/>
        <v>0</v>
      </c>
      <c r="P29" s="624">
        <f t="shared" si="12"/>
        <v>0</v>
      </c>
      <c r="Q29" s="624">
        <f t="shared" si="12"/>
        <v>0</v>
      </c>
      <c r="R29" s="624">
        <f t="shared" si="12"/>
        <v>0</v>
      </c>
      <c r="S29" s="624">
        <f t="shared" si="12"/>
        <v>0</v>
      </c>
      <c r="T29" s="624">
        <f t="shared" si="12"/>
        <v>0</v>
      </c>
      <c r="U29" s="624">
        <f t="shared" si="12"/>
        <v>0</v>
      </c>
      <c r="V29" s="624">
        <f t="shared" si="12"/>
        <v>0</v>
      </c>
      <c r="W29" s="624">
        <f t="shared" si="12"/>
        <v>0</v>
      </c>
      <c r="X29" s="624">
        <f t="shared" si="12"/>
        <v>0</v>
      </c>
      <c r="Y29" s="624">
        <f t="shared" si="12"/>
        <v>0</v>
      </c>
      <c r="Z29" s="624">
        <f t="shared" si="12"/>
        <v>0</v>
      </c>
      <c r="AA29" s="624">
        <f t="shared" si="12"/>
        <v>0</v>
      </c>
      <c r="AB29" s="624">
        <f t="shared" si="12"/>
        <v>0</v>
      </c>
      <c r="AC29" s="624">
        <f t="shared" si="12"/>
        <v>0</v>
      </c>
      <c r="AD29" s="624">
        <f t="shared" si="12"/>
        <v>0</v>
      </c>
      <c r="AE29" s="624">
        <f t="shared" si="12"/>
        <v>0</v>
      </c>
      <c r="AF29" s="624">
        <f t="shared" si="12"/>
        <v>0</v>
      </c>
      <c r="AG29" s="624">
        <f t="shared" si="12"/>
        <v>0</v>
      </c>
      <c r="AH29" s="624">
        <f t="shared" si="12"/>
        <v>0</v>
      </c>
      <c r="AI29" s="624">
        <f t="shared" si="12"/>
        <v>0</v>
      </c>
      <c r="AJ29" s="614"/>
      <c r="AK29" s="494"/>
      <c r="AL29" s="447"/>
    </row>
    <row r="30" spans="1:38" ht="21" hidden="1" customHeight="1" x14ac:dyDescent="0.4">
      <c r="B30" s="465" t="s">
        <v>316</v>
      </c>
      <c r="C30" s="665"/>
      <c r="D30" s="587"/>
      <c r="E30" s="665"/>
      <c r="F30" s="587"/>
      <c r="G30" s="483"/>
      <c r="H30" s="495"/>
      <c r="I30" s="483"/>
      <c r="J30" s="465"/>
      <c r="K30" s="665"/>
      <c r="L30" s="665"/>
      <c r="M30" s="587"/>
      <c r="N30" s="665"/>
      <c r="O30" s="665"/>
      <c r="P30" s="665"/>
      <c r="Q30" s="665"/>
      <c r="R30" s="665"/>
      <c r="S30" s="665"/>
      <c r="T30" s="665"/>
      <c r="U30" s="665"/>
      <c r="V30" s="665"/>
      <c r="W30" s="665"/>
      <c r="X30" s="665"/>
      <c r="Y30" s="665"/>
      <c r="Z30" s="665"/>
      <c r="AA30" s="665"/>
      <c r="AB30" s="665"/>
      <c r="AC30" s="665"/>
      <c r="AD30" s="665"/>
      <c r="AE30" s="665"/>
      <c r="AF30" s="665"/>
      <c r="AG30" s="665"/>
      <c r="AH30" s="665"/>
      <c r="AI30" s="587"/>
      <c r="AJ30" s="618"/>
      <c r="AK30" s="495"/>
    </row>
    <row r="31" spans="1:38" ht="30.6" hidden="1" customHeight="1" x14ac:dyDescent="0.3">
      <c r="A31" s="447"/>
      <c r="B31" s="469" t="s">
        <v>183</v>
      </c>
      <c r="C31" s="601" t="s">
        <v>2359</v>
      </c>
      <c r="D31" s="601" t="s">
        <v>2359</v>
      </c>
      <c r="E31" s="601" t="s">
        <v>2359</v>
      </c>
      <c r="F31" s="601" t="s">
        <v>2359</v>
      </c>
      <c r="G31" s="588"/>
      <c r="H31" s="496"/>
      <c r="I31" s="479"/>
      <c r="J31" s="469"/>
      <c r="K31" s="601"/>
      <c r="L31" s="601"/>
      <c r="M31" s="601"/>
      <c r="N31" s="601"/>
      <c r="O31" s="601"/>
      <c r="P31" s="601"/>
      <c r="Q31" s="601"/>
      <c r="R31" s="601"/>
      <c r="S31" s="601"/>
      <c r="T31" s="601"/>
      <c r="U31" s="601"/>
      <c r="V31" s="601"/>
      <c r="W31" s="601"/>
      <c r="X31" s="601"/>
      <c r="Y31" s="601"/>
      <c r="Z31" s="601"/>
      <c r="AA31" s="601"/>
      <c r="AB31" s="601"/>
      <c r="AC31" s="601"/>
      <c r="AD31" s="601"/>
      <c r="AE31" s="601"/>
      <c r="AF31" s="601"/>
      <c r="AG31" s="601"/>
      <c r="AH31" s="601"/>
      <c r="AI31" s="601"/>
      <c r="AJ31" s="614"/>
      <c r="AK31" s="496"/>
      <c r="AL31" s="447"/>
    </row>
    <row r="32" spans="1:38" ht="21" hidden="1" customHeight="1" x14ac:dyDescent="0.3">
      <c r="A32" s="447"/>
      <c r="B32" s="486" t="s">
        <v>2342</v>
      </c>
      <c r="C32" s="666">
        <v>0</v>
      </c>
      <c r="D32" s="589">
        <v>0</v>
      </c>
      <c r="E32" s="666">
        <v>0</v>
      </c>
      <c r="F32" s="589">
        <v>0</v>
      </c>
      <c r="G32" s="479"/>
      <c r="H32" s="488"/>
      <c r="I32" s="479"/>
      <c r="J32" s="486"/>
      <c r="K32" s="666"/>
      <c r="L32" s="666"/>
      <c r="M32" s="589"/>
      <c r="N32" s="666"/>
      <c r="O32" s="666"/>
      <c r="P32" s="666"/>
      <c r="Q32" s="666"/>
      <c r="R32" s="666"/>
      <c r="S32" s="666"/>
      <c r="T32" s="666"/>
      <c r="U32" s="666"/>
      <c r="V32" s="666"/>
      <c r="W32" s="666"/>
      <c r="X32" s="666"/>
      <c r="Y32" s="666"/>
      <c r="Z32" s="666"/>
      <c r="AA32" s="666"/>
      <c r="AB32" s="666"/>
      <c r="AC32" s="666"/>
      <c r="AD32" s="666"/>
      <c r="AE32" s="666"/>
      <c r="AF32" s="666"/>
      <c r="AG32" s="666"/>
      <c r="AH32" s="666"/>
      <c r="AI32" s="589"/>
      <c r="AJ32" s="622"/>
      <c r="AK32" s="623"/>
      <c r="AL32" s="447"/>
    </row>
    <row r="33" spans="1:38" ht="21" hidden="1" customHeight="1" x14ac:dyDescent="0.3">
      <c r="A33" s="447"/>
      <c r="B33" s="489" t="s">
        <v>314</v>
      </c>
      <c r="C33" s="590">
        <v>0</v>
      </c>
      <c r="D33" s="590">
        <v>0</v>
      </c>
      <c r="E33" s="590">
        <v>0</v>
      </c>
      <c r="F33" s="590">
        <v>0</v>
      </c>
      <c r="G33" s="588"/>
      <c r="H33" s="491"/>
      <c r="I33" s="479"/>
      <c r="J33" s="489"/>
      <c r="K33" s="625"/>
      <c r="L33" s="625"/>
      <c r="M33" s="669"/>
      <c r="N33" s="590"/>
      <c r="O33" s="590"/>
      <c r="P33" s="590"/>
      <c r="Q33" s="590"/>
      <c r="R33" s="590"/>
      <c r="S33" s="590"/>
      <c r="T33" s="590"/>
      <c r="U33" s="590"/>
      <c r="V33" s="590"/>
      <c r="W33" s="590"/>
      <c r="X33" s="590"/>
      <c r="Y33" s="590"/>
      <c r="Z33" s="590"/>
      <c r="AA33" s="590"/>
      <c r="AB33" s="590"/>
      <c r="AC33" s="590"/>
      <c r="AD33" s="590"/>
      <c r="AE33" s="590"/>
      <c r="AF33" s="590"/>
      <c r="AG33" s="590"/>
      <c r="AH33" s="590"/>
      <c r="AI33" s="625"/>
      <c r="AJ33" s="614"/>
      <c r="AK33" s="491"/>
      <c r="AL33" s="447"/>
    </row>
    <row r="34" spans="1:38" ht="21" hidden="1" customHeight="1" x14ac:dyDescent="0.3">
      <c r="A34" s="447"/>
      <c r="B34" s="492" t="s">
        <v>315</v>
      </c>
      <c r="C34" s="668">
        <f t="shared" ref="C34:F34" si="13">C32*C33</f>
        <v>0</v>
      </c>
      <c r="D34" s="668">
        <f t="shared" si="13"/>
        <v>0</v>
      </c>
      <c r="E34" s="668">
        <f t="shared" si="13"/>
        <v>0</v>
      </c>
      <c r="F34" s="591">
        <f t="shared" si="13"/>
        <v>0</v>
      </c>
      <c r="G34" s="588"/>
      <c r="H34" s="494"/>
      <c r="I34" s="479"/>
      <c r="J34" s="492"/>
      <c r="K34" s="591"/>
      <c r="L34" s="591"/>
      <c r="M34" s="624"/>
      <c r="N34" s="668"/>
      <c r="O34" s="668"/>
      <c r="P34" s="668"/>
      <c r="Q34" s="668"/>
      <c r="R34" s="668"/>
      <c r="S34" s="668"/>
      <c r="T34" s="668"/>
      <c r="U34" s="668"/>
      <c r="V34" s="668"/>
      <c r="W34" s="668"/>
      <c r="X34" s="668"/>
      <c r="Y34" s="668"/>
      <c r="Z34" s="668"/>
      <c r="AA34" s="668"/>
      <c r="AB34" s="668"/>
      <c r="AC34" s="668"/>
      <c r="AD34" s="668"/>
      <c r="AE34" s="668"/>
      <c r="AF34" s="668"/>
      <c r="AG34" s="668"/>
      <c r="AH34" s="668"/>
      <c r="AI34" s="591"/>
      <c r="AJ34" s="614"/>
      <c r="AK34" s="494"/>
      <c r="AL34" s="447"/>
    </row>
    <row r="35" spans="1:38" ht="28.5" customHeight="1" x14ac:dyDescent="0.3">
      <c r="A35" s="447"/>
      <c r="B35" s="498" t="s">
        <v>320</v>
      </c>
      <c r="C35" s="592" t="s">
        <v>321</v>
      </c>
      <c r="D35" s="592" t="s">
        <v>1625</v>
      </c>
      <c r="E35" s="592" t="s">
        <v>1625</v>
      </c>
      <c r="F35" s="592" t="s">
        <v>1625</v>
      </c>
      <c r="G35" s="593"/>
      <c r="H35" s="501"/>
      <c r="I35" s="500"/>
      <c r="J35" s="498" t="s">
        <v>320</v>
      </c>
      <c r="K35" s="672" t="s">
        <v>401</v>
      </c>
      <c r="L35" s="672" t="s">
        <v>1697</v>
      </c>
      <c r="M35" s="672" t="s">
        <v>1697</v>
      </c>
      <c r="N35" s="672" t="s">
        <v>1698</v>
      </c>
      <c r="O35" s="672" t="s">
        <v>1699</v>
      </c>
      <c r="P35" s="672" t="s">
        <v>1700</v>
      </c>
      <c r="Q35" s="672" t="s">
        <v>1701</v>
      </c>
      <c r="R35" s="672" t="s">
        <v>1702</v>
      </c>
      <c r="S35" s="672" t="s">
        <v>1702</v>
      </c>
      <c r="T35" s="672" t="s">
        <v>1702</v>
      </c>
      <c r="U35" s="672" t="s">
        <v>1703</v>
      </c>
      <c r="V35" s="672" t="s">
        <v>1704</v>
      </c>
      <c r="W35" s="672" t="s">
        <v>1705</v>
      </c>
      <c r="X35" s="672" t="s">
        <v>1706</v>
      </c>
      <c r="Y35" s="672" t="s">
        <v>1707</v>
      </c>
      <c r="Z35" s="672" t="s">
        <v>1708</v>
      </c>
      <c r="AA35" s="672" t="s">
        <v>1709</v>
      </c>
      <c r="AB35" s="672" t="s">
        <v>1710</v>
      </c>
      <c r="AC35" s="672" t="s">
        <v>1711</v>
      </c>
      <c r="AD35" s="672" t="s">
        <v>1712</v>
      </c>
      <c r="AE35" s="672" t="s">
        <v>1713</v>
      </c>
      <c r="AF35" s="672" t="s">
        <v>1714</v>
      </c>
      <c r="AG35" s="672" t="s">
        <v>1715</v>
      </c>
      <c r="AH35" s="672" t="s">
        <v>1716</v>
      </c>
      <c r="AI35" s="672" t="s">
        <v>1717</v>
      </c>
      <c r="AJ35" s="614"/>
      <c r="AK35" s="496"/>
      <c r="AL35" s="447"/>
    </row>
    <row r="36" spans="1:38" ht="24" customHeight="1" x14ac:dyDescent="0.3">
      <c r="B36" s="502" t="s">
        <v>322</v>
      </c>
      <c r="C36" s="673">
        <v>3</v>
      </c>
      <c r="D36" s="594">
        <v>3</v>
      </c>
      <c r="E36" s="673">
        <v>3</v>
      </c>
      <c r="F36" s="2952">
        <v>3</v>
      </c>
      <c r="G36" s="2953"/>
      <c r="H36" s="505"/>
      <c r="I36" s="504"/>
      <c r="J36" s="502" t="s">
        <v>322</v>
      </c>
      <c r="K36" s="509">
        <v>13</v>
      </c>
      <c r="L36" s="674">
        <v>14</v>
      </c>
      <c r="M36" s="596">
        <v>13</v>
      </c>
      <c r="N36" s="509">
        <v>13</v>
      </c>
      <c r="O36" s="1153">
        <v>13</v>
      </c>
      <c r="P36" s="1153">
        <v>13</v>
      </c>
      <c r="Q36" s="1153">
        <v>13</v>
      </c>
      <c r="R36" s="1153">
        <v>13</v>
      </c>
      <c r="S36" s="1153">
        <v>13</v>
      </c>
      <c r="T36" s="1153">
        <v>13</v>
      </c>
      <c r="U36" s="1153">
        <v>13</v>
      </c>
      <c r="V36" s="1153">
        <v>13</v>
      </c>
      <c r="W36" s="1153">
        <v>13</v>
      </c>
      <c r="X36" s="1153">
        <v>13</v>
      </c>
      <c r="Y36" s="1153">
        <v>13</v>
      </c>
      <c r="Z36" s="1153">
        <v>13</v>
      </c>
      <c r="AA36" s="1153">
        <v>13</v>
      </c>
      <c r="AB36" s="1153">
        <v>13</v>
      </c>
      <c r="AC36" s="1153">
        <v>13</v>
      </c>
      <c r="AD36" s="1153">
        <v>13</v>
      </c>
      <c r="AE36" s="1153">
        <v>13</v>
      </c>
      <c r="AF36" s="1153">
        <v>13</v>
      </c>
      <c r="AG36" s="1153">
        <v>13</v>
      </c>
      <c r="AH36" s="674">
        <v>13</v>
      </c>
      <c r="AI36" s="596">
        <v>13</v>
      </c>
      <c r="AJ36" s="618"/>
      <c r="AK36" s="495"/>
    </row>
    <row r="37" spans="1:38" ht="33" customHeight="1" x14ac:dyDescent="0.3">
      <c r="A37" s="447"/>
      <c r="B37" s="506" t="s">
        <v>323</v>
      </c>
      <c r="C37" s="496" t="s">
        <v>324</v>
      </c>
      <c r="D37" s="595" t="s">
        <v>324</v>
      </c>
      <c r="E37" s="496" t="s">
        <v>324</v>
      </c>
      <c r="F37" s="2954" t="s">
        <v>324</v>
      </c>
      <c r="G37" s="2951"/>
      <c r="H37" s="496"/>
      <c r="I37" s="479"/>
      <c r="J37" s="506" t="s">
        <v>323</v>
      </c>
      <c r="K37" s="507" t="s">
        <v>324</v>
      </c>
      <c r="L37" s="496" t="s">
        <v>324</v>
      </c>
      <c r="M37" s="595" t="s">
        <v>324</v>
      </c>
      <c r="N37" s="507" t="s">
        <v>324</v>
      </c>
      <c r="O37" s="1155" t="s">
        <v>324</v>
      </c>
      <c r="P37" s="1155" t="s">
        <v>324</v>
      </c>
      <c r="Q37" s="1155" t="s">
        <v>324</v>
      </c>
      <c r="R37" s="1155" t="s">
        <v>324</v>
      </c>
      <c r="S37" s="1155" t="s">
        <v>324</v>
      </c>
      <c r="T37" s="1155" t="s">
        <v>324</v>
      </c>
      <c r="U37" s="1155" t="s">
        <v>324</v>
      </c>
      <c r="V37" s="1155" t="s">
        <v>324</v>
      </c>
      <c r="W37" s="1155" t="s">
        <v>324</v>
      </c>
      <c r="X37" s="1155" t="s">
        <v>324</v>
      </c>
      <c r="Y37" s="1155" t="s">
        <v>324</v>
      </c>
      <c r="Z37" s="1155" t="s">
        <v>324</v>
      </c>
      <c r="AA37" s="1155" t="s">
        <v>324</v>
      </c>
      <c r="AB37" s="1155" t="s">
        <v>324</v>
      </c>
      <c r="AC37" s="1155" t="s">
        <v>324</v>
      </c>
      <c r="AD37" s="1155" t="s">
        <v>324</v>
      </c>
      <c r="AE37" s="1155" t="s">
        <v>324</v>
      </c>
      <c r="AF37" s="1155" t="s">
        <v>324</v>
      </c>
      <c r="AG37" s="1155" t="s">
        <v>324</v>
      </c>
      <c r="AH37" s="496" t="s">
        <v>324</v>
      </c>
      <c r="AI37" s="595" t="s">
        <v>324</v>
      </c>
      <c r="AJ37" s="614"/>
      <c r="AK37" s="496"/>
      <c r="AL37" s="447"/>
    </row>
    <row r="38" spans="1:38" ht="33" customHeight="1" x14ac:dyDescent="0.3">
      <c r="A38" s="447"/>
      <c r="B38" s="508" t="s">
        <v>325</v>
      </c>
      <c r="C38" s="674" t="s">
        <v>326</v>
      </c>
      <c r="D38" s="596" t="s">
        <v>326</v>
      </c>
      <c r="E38" s="674" t="s">
        <v>326</v>
      </c>
      <c r="F38" s="627" t="s">
        <v>326</v>
      </c>
      <c r="G38" s="2951"/>
      <c r="H38" s="496"/>
      <c r="I38" s="479"/>
      <c r="J38" s="508" t="s">
        <v>325</v>
      </c>
      <c r="K38" s="674" t="s">
        <v>326</v>
      </c>
      <c r="L38" s="3435" t="s">
        <v>326</v>
      </c>
      <c r="M38" s="596" t="s">
        <v>326</v>
      </c>
      <c r="N38" s="509" t="s">
        <v>326</v>
      </c>
      <c r="O38" s="1153" t="s">
        <v>326</v>
      </c>
      <c r="P38" s="1153" t="s">
        <v>326</v>
      </c>
      <c r="Q38" s="1153" t="s">
        <v>326</v>
      </c>
      <c r="R38" s="1153" t="s">
        <v>326</v>
      </c>
      <c r="S38" s="1153" t="s">
        <v>326</v>
      </c>
      <c r="T38" s="1153" t="s">
        <v>326</v>
      </c>
      <c r="U38" s="1153" t="s">
        <v>326</v>
      </c>
      <c r="V38" s="1153" t="s">
        <v>326</v>
      </c>
      <c r="W38" s="1153" t="s">
        <v>326</v>
      </c>
      <c r="X38" s="1153" t="s">
        <v>326</v>
      </c>
      <c r="Y38" s="1153" t="s">
        <v>326</v>
      </c>
      <c r="Z38" s="1153" t="s">
        <v>326</v>
      </c>
      <c r="AA38" s="1153" t="s">
        <v>326</v>
      </c>
      <c r="AB38" s="1153" t="s">
        <v>326</v>
      </c>
      <c r="AC38" s="1153" t="s">
        <v>326</v>
      </c>
      <c r="AD38" s="1153" t="s">
        <v>326</v>
      </c>
      <c r="AE38" s="1153" t="s">
        <v>326</v>
      </c>
      <c r="AF38" s="1153" t="s">
        <v>326</v>
      </c>
      <c r="AG38" s="1153" t="s">
        <v>326</v>
      </c>
      <c r="AH38" s="674" t="s">
        <v>326</v>
      </c>
      <c r="AI38" s="627" t="s">
        <v>326</v>
      </c>
      <c r="AJ38" s="614"/>
      <c r="AK38" s="496"/>
      <c r="AL38" s="447"/>
    </row>
    <row r="39" spans="1:38" ht="33" customHeight="1" x14ac:dyDescent="0.3">
      <c r="A39" s="447"/>
      <c r="B39" s="506" t="s">
        <v>327</v>
      </c>
      <c r="C39" s="595" t="s">
        <v>729</v>
      </c>
      <c r="D39" s="595" t="s">
        <v>729</v>
      </c>
      <c r="E39" s="595" t="s">
        <v>729</v>
      </c>
      <c r="F39" s="595" t="s">
        <v>729</v>
      </c>
      <c r="G39" s="479"/>
      <c r="H39" s="496"/>
      <c r="I39" s="479"/>
      <c r="J39" s="506" t="s">
        <v>327</v>
      </c>
      <c r="K39" s="595" t="s">
        <v>402</v>
      </c>
      <c r="L39" s="595" t="s">
        <v>402</v>
      </c>
      <c r="M39" s="595" t="s">
        <v>402</v>
      </c>
      <c r="N39" s="507" t="s">
        <v>402</v>
      </c>
      <c r="O39" s="1155" t="s">
        <v>402</v>
      </c>
      <c r="P39" s="1155" t="s">
        <v>402</v>
      </c>
      <c r="Q39" s="1155" t="s">
        <v>402</v>
      </c>
      <c r="R39" s="1155" t="s">
        <v>402</v>
      </c>
      <c r="S39" s="1155" t="s">
        <v>402</v>
      </c>
      <c r="T39" s="1155" t="s">
        <v>402</v>
      </c>
      <c r="U39" s="1155" t="s">
        <v>402</v>
      </c>
      <c r="V39" s="1155" t="s">
        <v>402</v>
      </c>
      <c r="W39" s="1155" t="s">
        <v>402</v>
      </c>
      <c r="X39" s="1155" t="s">
        <v>402</v>
      </c>
      <c r="Y39" s="1155" t="s">
        <v>402</v>
      </c>
      <c r="Z39" s="1155" t="s">
        <v>402</v>
      </c>
      <c r="AA39" s="1155" t="s">
        <v>402</v>
      </c>
      <c r="AB39" s="1155" t="s">
        <v>402</v>
      </c>
      <c r="AC39" s="1155" t="s">
        <v>402</v>
      </c>
      <c r="AD39" s="1155" t="s">
        <v>402</v>
      </c>
      <c r="AE39" s="1155" t="s">
        <v>402</v>
      </c>
      <c r="AF39" s="1155" t="s">
        <v>402</v>
      </c>
      <c r="AG39" s="1155" t="s">
        <v>402</v>
      </c>
      <c r="AH39" s="1156" t="s">
        <v>402</v>
      </c>
      <c r="AI39" s="595" t="s">
        <v>402</v>
      </c>
      <c r="AJ39" s="614"/>
      <c r="AK39" s="496"/>
      <c r="AL39" s="447"/>
    </row>
    <row r="40" spans="1:38" ht="21" customHeight="1" x14ac:dyDescent="0.3">
      <c r="B40" s="510" t="s">
        <v>329</v>
      </c>
      <c r="C40" s="596">
        <v>10</v>
      </c>
      <c r="D40" s="596">
        <v>0</v>
      </c>
      <c r="E40" s="596">
        <v>0</v>
      </c>
      <c r="F40" s="596">
        <v>0</v>
      </c>
      <c r="G40" s="467"/>
      <c r="H40" s="467"/>
      <c r="I40" s="467"/>
      <c r="J40" s="510" t="s">
        <v>329</v>
      </c>
      <c r="K40" s="596">
        <v>1</v>
      </c>
      <c r="L40" s="596">
        <v>1</v>
      </c>
      <c r="M40" s="596">
        <v>1</v>
      </c>
      <c r="N40" s="509">
        <v>1</v>
      </c>
      <c r="O40" s="1153">
        <v>1</v>
      </c>
      <c r="P40" s="1153">
        <v>1</v>
      </c>
      <c r="Q40" s="1153">
        <v>1</v>
      </c>
      <c r="R40" s="1153">
        <v>1</v>
      </c>
      <c r="S40" s="1153">
        <v>1</v>
      </c>
      <c r="T40" s="1153">
        <v>1</v>
      </c>
      <c r="U40" s="1153">
        <v>1</v>
      </c>
      <c r="V40" s="1153">
        <v>1</v>
      </c>
      <c r="W40" s="1153">
        <v>1</v>
      </c>
      <c r="X40" s="1153">
        <v>0</v>
      </c>
      <c r="Y40" s="1153">
        <v>1</v>
      </c>
      <c r="Z40" s="1153">
        <v>1</v>
      </c>
      <c r="AA40" s="1153">
        <v>0</v>
      </c>
      <c r="AB40" s="1153">
        <v>1</v>
      </c>
      <c r="AC40" s="1153">
        <v>1</v>
      </c>
      <c r="AD40" s="1153">
        <v>1</v>
      </c>
      <c r="AE40" s="1153">
        <v>1</v>
      </c>
      <c r="AF40" s="1153">
        <v>0</v>
      </c>
      <c r="AG40" s="1153">
        <v>1</v>
      </c>
      <c r="AH40" s="1154">
        <v>0</v>
      </c>
      <c r="AI40" s="596">
        <v>1</v>
      </c>
      <c r="AJ40" s="618"/>
      <c r="AK40" s="467"/>
    </row>
    <row r="41" spans="1:38" ht="21" customHeight="1" x14ac:dyDescent="0.3">
      <c r="B41" s="453" t="s">
        <v>330</v>
      </c>
      <c r="C41" s="507" t="s">
        <v>324</v>
      </c>
      <c r="D41" s="1156" t="s">
        <v>324</v>
      </c>
      <c r="E41" s="496" t="s">
        <v>324</v>
      </c>
      <c r="F41" s="595" t="s">
        <v>324</v>
      </c>
      <c r="G41" s="483"/>
      <c r="H41" s="495"/>
      <c r="I41" s="483"/>
      <c r="J41" s="453" t="s">
        <v>330</v>
      </c>
      <c r="K41" s="507" t="s">
        <v>324</v>
      </c>
      <c r="L41" s="496" t="s">
        <v>324</v>
      </c>
      <c r="M41" s="595" t="s">
        <v>324</v>
      </c>
      <c r="N41" s="507" t="s">
        <v>324</v>
      </c>
      <c r="O41" s="1155" t="s">
        <v>324</v>
      </c>
      <c r="P41" s="1155" t="s">
        <v>324</v>
      </c>
      <c r="Q41" s="1155" t="s">
        <v>324</v>
      </c>
      <c r="R41" s="1155" t="s">
        <v>324</v>
      </c>
      <c r="S41" s="1155" t="s">
        <v>324</v>
      </c>
      <c r="T41" s="1155" t="s">
        <v>324</v>
      </c>
      <c r="U41" s="1155" t="s">
        <v>324</v>
      </c>
      <c r="V41" s="1155" t="s">
        <v>324</v>
      </c>
      <c r="W41" s="1155" t="s">
        <v>324</v>
      </c>
      <c r="X41" s="1155" t="s">
        <v>324</v>
      </c>
      <c r="Y41" s="1155" t="s">
        <v>324</v>
      </c>
      <c r="Z41" s="1155" t="s">
        <v>324</v>
      </c>
      <c r="AA41" s="1155" t="s">
        <v>324</v>
      </c>
      <c r="AB41" s="1155" t="s">
        <v>324</v>
      </c>
      <c r="AC41" s="1155" t="s">
        <v>324</v>
      </c>
      <c r="AD41" s="1155" t="s">
        <v>324</v>
      </c>
      <c r="AE41" s="1155" t="s">
        <v>324</v>
      </c>
      <c r="AF41" s="1155" t="s">
        <v>324</v>
      </c>
      <c r="AG41" s="1155" t="s">
        <v>324</v>
      </c>
      <c r="AH41" s="496" t="s">
        <v>324</v>
      </c>
      <c r="AI41" s="595" t="s">
        <v>324</v>
      </c>
      <c r="AJ41" s="618"/>
      <c r="AK41" s="495"/>
    </row>
    <row r="42" spans="1:38" ht="21" customHeight="1" x14ac:dyDescent="0.3">
      <c r="B42" s="510" t="s">
        <v>331</v>
      </c>
      <c r="C42" s="674" t="s">
        <v>324</v>
      </c>
      <c r="D42" s="596" t="s">
        <v>324</v>
      </c>
      <c r="E42" s="674" t="s">
        <v>324</v>
      </c>
      <c r="F42" s="627" t="s">
        <v>324</v>
      </c>
      <c r="G42" s="2955"/>
      <c r="H42" s="495"/>
      <c r="I42" s="483"/>
      <c r="J42" s="510" t="s">
        <v>331</v>
      </c>
      <c r="K42" s="509" t="s">
        <v>324</v>
      </c>
      <c r="L42" s="674" t="s">
        <v>324</v>
      </c>
      <c r="M42" s="596" t="s">
        <v>324</v>
      </c>
      <c r="N42" s="509" t="s">
        <v>324</v>
      </c>
      <c r="O42" s="1153" t="s">
        <v>324</v>
      </c>
      <c r="P42" s="1153" t="s">
        <v>324</v>
      </c>
      <c r="Q42" s="1153" t="s">
        <v>324</v>
      </c>
      <c r="R42" s="1153" t="s">
        <v>324</v>
      </c>
      <c r="S42" s="1153" t="s">
        <v>324</v>
      </c>
      <c r="T42" s="1153" t="s">
        <v>324</v>
      </c>
      <c r="U42" s="1153" t="s">
        <v>324</v>
      </c>
      <c r="V42" s="1153" t="s">
        <v>324</v>
      </c>
      <c r="W42" s="1153" t="s">
        <v>324</v>
      </c>
      <c r="X42" s="1153" t="s">
        <v>324</v>
      </c>
      <c r="Y42" s="1153" t="s">
        <v>324</v>
      </c>
      <c r="Z42" s="1153" t="s">
        <v>324</v>
      </c>
      <c r="AA42" s="1153" t="s">
        <v>324</v>
      </c>
      <c r="AB42" s="1153" t="s">
        <v>324</v>
      </c>
      <c r="AC42" s="1153" t="s">
        <v>324</v>
      </c>
      <c r="AD42" s="1153" t="s">
        <v>324</v>
      </c>
      <c r="AE42" s="1153" t="s">
        <v>324</v>
      </c>
      <c r="AF42" s="1153" t="s">
        <v>324</v>
      </c>
      <c r="AG42" s="1153" t="s">
        <v>324</v>
      </c>
      <c r="AH42" s="674" t="s">
        <v>324</v>
      </c>
      <c r="AI42" s="596" t="s">
        <v>324</v>
      </c>
      <c r="AJ42" s="618"/>
      <c r="AK42" s="495"/>
    </row>
    <row r="43" spans="1:38" ht="21" customHeight="1" x14ac:dyDescent="0.3">
      <c r="B43" s="462" t="s">
        <v>332</v>
      </c>
      <c r="C43" s="511" t="s">
        <v>333</v>
      </c>
      <c r="D43" s="1158" t="s">
        <v>333</v>
      </c>
      <c r="E43" s="676" t="s">
        <v>333</v>
      </c>
      <c r="F43" s="555" t="s">
        <v>333</v>
      </c>
      <c r="G43" s="483"/>
      <c r="H43" s="495"/>
      <c r="I43" s="483"/>
      <c r="J43" s="462" t="s">
        <v>332</v>
      </c>
      <c r="K43" s="675" t="s">
        <v>333</v>
      </c>
      <c r="L43" s="675" t="s">
        <v>333</v>
      </c>
      <c r="M43" s="555" t="s">
        <v>333</v>
      </c>
      <c r="N43" s="511" t="s">
        <v>333</v>
      </c>
      <c r="O43" s="1157" t="s">
        <v>333</v>
      </c>
      <c r="P43" s="1157" t="s">
        <v>333</v>
      </c>
      <c r="Q43" s="1157" t="s">
        <v>333</v>
      </c>
      <c r="R43" s="1157" t="s">
        <v>333</v>
      </c>
      <c r="S43" s="1157" t="s">
        <v>333</v>
      </c>
      <c r="T43" s="1157" t="s">
        <v>333</v>
      </c>
      <c r="U43" s="1157" t="s">
        <v>333</v>
      </c>
      <c r="V43" s="1157" t="s">
        <v>333</v>
      </c>
      <c r="W43" s="1157" t="s">
        <v>333</v>
      </c>
      <c r="X43" s="1157" t="s">
        <v>333</v>
      </c>
      <c r="Y43" s="1157" t="s">
        <v>333</v>
      </c>
      <c r="Z43" s="1157" t="s">
        <v>333</v>
      </c>
      <c r="AA43" s="1157" t="s">
        <v>333</v>
      </c>
      <c r="AB43" s="1157" t="s">
        <v>333</v>
      </c>
      <c r="AC43" s="1157" t="s">
        <v>333</v>
      </c>
      <c r="AD43" s="676" t="s">
        <v>333</v>
      </c>
      <c r="AE43" s="3436" t="s">
        <v>333</v>
      </c>
      <c r="AF43" s="1157" t="s">
        <v>333</v>
      </c>
      <c r="AG43" s="676" t="s">
        <v>333</v>
      </c>
      <c r="AH43" s="3437" t="s">
        <v>333</v>
      </c>
      <c r="AI43" s="555" t="s">
        <v>333</v>
      </c>
      <c r="AJ43" s="618"/>
      <c r="AK43" s="495"/>
    </row>
    <row r="44" spans="1:38" ht="15.75" customHeight="1" x14ac:dyDescent="0.3">
      <c r="B44" s="427"/>
      <c r="C44" s="427"/>
      <c r="D44" s="427"/>
      <c r="E44" s="427"/>
      <c r="F44" s="427"/>
      <c r="G44" s="483"/>
      <c r="H44" s="483"/>
      <c r="I44" s="483"/>
      <c r="J44" s="427"/>
      <c r="AJ44" s="427"/>
      <c r="AK44" s="427"/>
    </row>
    <row r="45" spans="1:38" ht="15.75" customHeight="1" x14ac:dyDescent="0.3">
      <c r="B45" s="512" t="s">
        <v>334</v>
      </c>
      <c r="C45" s="427"/>
      <c r="D45" s="427"/>
      <c r="E45" s="427"/>
      <c r="F45" s="427"/>
      <c r="G45" s="483"/>
      <c r="H45" s="483"/>
      <c r="I45" s="483"/>
      <c r="AJ45" s="427"/>
      <c r="AK45" s="427"/>
    </row>
    <row r="46" spans="1:38" ht="15.75" customHeight="1" x14ac:dyDescent="0.3">
      <c r="B46" s="512" t="s">
        <v>335</v>
      </c>
      <c r="C46" s="427"/>
      <c r="D46" s="427"/>
      <c r="E46" s="427"/>
      <c r="F46" s="427"/>
      <c r="G46" s="483"/>
      <c r="H46" s="483"/>
      <c r="I46" s="483"/>
      <c r="M46" s="3438"/>
      <c r="AJ46" s="427"/>
      <c r="AK46" s="427"/>
    </row>
    <row r="47" spans="1:38" ht="15.75" customHeight="1" x14ac:dyDescent="0.3">
      <c r="B47" s="512" t="s">
        <v>336</v>
      </c>
      <c r="C47" s="427"/>
      <c r="D47" s="427"/>
      <c r="E47" s="427"/>
      <c r="F47" s="427"/>
      <c r="G47" s="483"/>
      <c r="H47" s="483"/>
      <c r="I47" s="483"/>
      <c r="AJ47" s="427"/>
      <c r="AK47" s="427"/>
    </row>
    <row r="48" spans="1:38" ht="15.75" customHeight="1" x14ac:dyDescent="0.3">
      <c r="B48" s="512" t="s">
        <v>337</v>
      </c>
      <c r="C48" s="427"/>
      <c r="D48" s="427"/>
      <c r="E48" s="427"/>
      <c r="F48" s="427"/>
      <c r="G48" s="483"/>
      <c r="H48" s="483"/>
      <c r="I48" s="483"/>
      <c r="AJ48" s="427"/>
      <c r="AK48" s="427"/>
    </row>
    <row r="49" spans="2:37" ht="15.75" customHeight="1" x14ac:dyDescent="0.3">
      <c r="B49" s="512" t="s">
        <v>338</v>
      </c>
      <c r="G49" s="427"/>
      <c r="I49" s="427"/>
      <c r="AJ49" s="427"/>
      <c r="AK49" s="427"/>
    </row>
    <row r="50" spans="2:37" ht="15.75" customHeight="1" x14ac:dyDescent="0.3">
      <c r="B50" s="512" t="s">
        <v>339</v>
      </c>
      <c r="G50" s="427"/>
      <c r="I50" s="427"/>
      <c r="AJ50" s="427"/>
      <c r="AK50" s="427"/>
    </row>
    <row r="51" spans="2:37" ht="15.75" customHeight="1" x14ac:dyDescent="0.3">
      <c r="G51" s="427"/>
      <c r="I51" s="427"/>
      <c r="AJ51" s="427"/>
      <c r="AK51" s="427"/>
    </row>
    <row r="52" spans="2:37" ht="15.75" customHeight="1" x14ac:dyDescent="0.3">
      <c r="G52" s="427"/>
      <c r="I52" s="427"/>
      <c r="AJ52" s="427"/>
      <c r="AK52" s="427"/>
    </row>
    <row r="53" spans="2:37" ht="15.75" customHeight="1" x14ac:dyDescent="0.3">
      <c r="G53" s="427"/>
      <c r="I53" s="427"/>
      <c r="AJ53" s="427"/>
      <c r="AK53" s="427"/>
    </row>
    <row r="54" spans="2:37" ht="15.75" customHeight="1" x14ac:dyDescent="0.3">
      <c r="G54" s="427"/>
      <c r="I54" s="427"/>
      <c r="AJ54" s="427"/>
    </row>
    <row r="55" spans="2:37" ht="15.75" customHeight="1" x14ac:dyDescent="0.3">
      <c r="G55" s="427"/>
      <c r="I55" s="427"/>
      <c r="AJ55" s="427"/>
    </row>
    <row r="56" spans="2:37" ht="15.75" customHeight="1" x14ac:dyDescent="0.3">
      <c r="G56" s="427"/>
      <c r="I56" s="427"/>
      <c r="AJ56" s="427"/>
    </row>
    <row r="57" spans="2:37" ht="15.75" customHeight="1" x14ac:dyDescent="0.3">
      <c r="G57" s="427"/>
      <c r="I57" s="427"/>
      <c r="AJ57" s="427"/>
    </row>
    <row r="58" spans="2:37" ht="15.75" customHeight="1" x14ac:dyDescent="0.3">
      <c r="G58" s="427"/>
      <c r="I58" s="427"/>
      <c r="AJ58" s="427"/>
    </row>
    <row r="59" spans="2:37" ht="15.75" customHeight="1" x14ac:dyDescent="0.3">
      <c r="G59" s="427"/>
      <c r="I59" s="427"/>
      <c r="AJ59" s="427"/>
    </row>
    <row r="60" spans="2:37" ht="15.75" customHeight="1" x14ac:dyDescent="0.3">
      <c r="G60" s="427"/>
      <c r="I60" s="427"/>
      <c r="AJ60" s="427"/>
    </row>
    <row r="61" spans="2:37" ht="15.75" customHeight="1" x14ac:dyDescent="0.3">
      <c r="G61" s="427"/>
      <c r="I61" s="427"/>
      <c r="AJ61" s="427"/>
    </row>
    <row r="62" spans="2:37" ht="15.75" customHeight="1" x14ac:dyDescent="0.3">
      <c r="G62" s="427"/>
      <c r="I62" s="427"/>
      <c r="AJ62" s="427"/>
    </row>
    <row r="63" spans="2:37" ht="15.75" customHeight="1" x14ac:dyDescent="0.3">
      <c r="G63" s="427"/>
      <c r="I63" s="427"/>
      <c r="AJ63" s="427"/>
    </row>
    <row r="64" spans="2:37" ht="15.75" customHeight="1" x14ac:dyDescent="0.3">
      <c r="G64" s="427"/>
      <c r="I64" s="427"/>
      <c r="AJ64" s="427"/>
    </row>
    <row r="65" spans="7:36" ht="15.75" customHeight="1" x14ac:dyDescent="0.3">
      <c r="G65" s="427"/>
      <c r="I65" s="427"/>
      <c r="AJ65" s="427"/>
    </row>
    <row r="66" spans="7:36" ht="15.75" customHeight="1" x14ac:dyDescent="0.3">
      <c r="G66" s="427"/>
      <c r="I66" s="427"/>
      <c r="AJ66" s="427"/>
    </row>
    <row r="67" spans="7:36" ht="15.75" customHeight="1" x14ac:dyDescent="0.3">
      <c r="G67" s="427"/>
      <c r="I67" s="427"/>
      <c r="AJ67" s="427"/>
    </row>
    <row r="68" spans="7:36" ht="15.75" customHeight="1" x14ac:dyDescent="0.3">
      <c r="G68" s="427"/>
      <c r="I68" s="427"/>
      <c r="AJ68" s="427"/>
    </row>
    <row r="69" spans="7:36" ht="15.75" customHeight="1" x14ac:dyDescent="0.3">
      <c r="G69" s="427"/>
      <c r="I69" s="427"/>
      <c r="AJ69" s="427"/>
    </row>
    <row r="70" spans="7:36" ht="15.75" customHeight="1" x14ac:dyDescent="0.3">
      <c r="G70" s="427"/>
      <c r="I70" s="427"/>
      <c r="AJ70" s="427"/>
    </row>
    <row r="71" spans="7:36" ht="15.75" customHeight="1" x14ac:dyDescent="0.3">
      <c r="G71" s="427"/>
      <c r="I71" s="427"/>
      <c r="AJ71" s="427"/>
    </row>
    <row r="72" spans="7:36" ht="15.75" customHeight="1" x14ac:dyDescent="0.3">
      <c r="G72" s="427"/>
      <c r="I72" s="427"/>
      <c r="AJ72" s="427"/>
    </row>
    <row r="73" spans="7:36" ht="15.75" customHeight="1" x14ac:dyDescent="0.3">
      <c r="G73" s="427"/>
      <c r="I73" s="427"/>
      <c r="AJ73" s="427"/>
    </row>
    <row r="74" spans="7:36" ht="15.75" customHeight="1" x14ac:dyDescent="0.3">
      <c r="G74" s="427"/>
      <c r="I74" s="427"/>
      <c r="AJ74" s="427"/>
    </row>
    <row r="75" spans="7:36" ht="15.75" customHeight="1" x14ac:dyDescent="0.3">
      <c r="G75" s="427"/>
      <c r="I75" s="427"/>
      <c r="AJ75" s="427"/>
    </row>
    <row r="76" spans="7:36" ht="15.75" customHeight="1" x14ac:dyDescent="0.3">
      <c r="G76" s="427"/>
      <c r="I76" s="427"/>
      <c r="AJ76" s="427"/>
    </row>
    <row r="77" spans="7:36" ht="15.75" customHeight="1" x14ac:dyDescent="0.3">
      <c r="G77" s="427"/>
      <c r="I77" s="427"/>
      <c r="AJ77" s="427"/>
    </row>
    <row r="78" spans="7:36" ht="15.75" customHeight="1" x14ac:dyDescent="0.3">
      <c r="G78" s="427"/>
      <c r="I78" s="427"/>
      <c r="AJ78" s="427"/>
    </row>
    <row r="79" spans="7:36" ht="15.75" customHeight="1" x14ac:dyDescent="0.3">
      <c r="G79" s="427"/>
      <c r="I79" s="427"/>
      <c r="AJ79" s="427"/>
    </row>
    <row r="80" spans="7:36" ht="15.75" customHeight="1" x14ac:dyDescent="0.3">
      <c r="G80" s="427"/>
      <c r="I80" s="427"/>
      <c r="AJ80" s="427"/>
    </row>
    <row r="81" spans="7:36" ht="15.75" customHeight="1" x14ac:dyDescent="0.3">
      <c r="G81" s="427"/>
      <c r="I81" s="427"/>
      <c r="AJ81" s="427"/>
    </row>
    <row r="82" spans="7:36" ht="15.75" customHeight="1" x14ac:dyDescent="0.3">
      <c r="G82" s="427"/>
      <c r="I82" s="427"/>
      <c r="AJ82" s="427"/>
    </row>
    <row r="83" spans="7:36" ht="15.75" customHeight="1" x14ac:dyDescent="0.3">
      <c r="G83" s="427"/>
      <c r="I83" s="427"/>
      <c r="AJ83" s="427"/>
    </row>
    <row r="84" spans="7:36" ht="15.75" customHeight="1" x14ac:dyDescent="0.3">
      <c r="G84" s="427"/>
      <c r="I84" s="427"/>
      <c r="AJ84" s="427"/>
    </row>
    <row r="85" spans="7:36" ht="15.75" customHeight="1" x14ac:dyDescent="0.3">
      <c r="G85" s="427"/>
      <c r="I85" s="427"/>
      <c r="AJ85" s="427"/>
    </row>
    <row r="86" spans="7:36" ht="15.75" customHeight="1" x14ac:dyDescent="0.3">
      <c r="G86" s="427"/>
      <c r="I86" s="427"/>
      <c r="AJ86" s="427"/>
    </row>
    <row r="87" spans="7:36" ht="15.75" customHeight="1" x14ac:dyDescent="0.3">
      <c r="G87" s="427"/>
      <c r="I87" s="427"/>
      <c r="AJ87" s="427"/>
    </row>
    <row r="88" spans="7:36" ht="15.75" customHeight="1" x14ac:dyDescent="0.3">
      <c r="G88" s="427"/>
      <c r="I88" s="427"/>
      <c r="AJ88" s="427"/>
    </row>
    <row r="89" spans="7:36" ht="15.75" customHeight="1" x14ac:dyDescent="0.3">
      <c r="G89" s="427"/>
      <c r="I89" s="427"/>
      <c r="AJ89" s="427"/>
    </row>
    <row r="90" spans="7:36" ht="15.75" customHeight="1" x14ac:dyDescent="0.3">
      <c r="G90" s="427"/>
      <c r="I90" s="427"/>
      <c r="AJ90" s="427"/>
    </row>
    <row r="91" spans="7:36" ht="15.75" customHeight="1" x14ac:dyDescent="0.3">
      <c r="G91" s="427"/>
      <c r="I91" s="427"/>
      <c r="AJ91" s="427"/>
    </row>
    <row r="92" spans="7:36" ht="15.75" customHeight="1" x14ac:dyDescent="0.3">
      <c r="G92" s="427"/>
      <c r="I92" s="427"/>
      <c r="AJ92" s="427"/>
    </row>
    <row r="93" spans="7:36" ht="15.75" customHeight="1" x14ac:dyDescent="0.3">
      <c r="G93" s="427"/>
      <c r="I93" s="427"/>
      <c r="AJ93" s="427"/>
    </row>
    <row r="94" spans="7:36" ht="15.75" customHeight="1" x14ac:dyDescent="0.3">
      <c r="G94" s="427"/>
      <c r="I94" s="427"/>
      <c r="AJ94" s="427"/>
    </row>
    <row r="95" spans="7:36" ht="15.75" customHeight="1" x14ac:dyDescent="0.3">
      <c r="G95" s="427"/>
      <c r="I95" s="427"/>
      <c r="AJ95" s="427"/>
    </row>
    <row r="96" spans="7:36" ht="15.75" customHeight="1" x14ac:dyDescent="0.3">
      <c r="G96" s="427"/>
      <c r="I96" s="427"/>
      <c r="AJ96" s="427"/>
    </row>
    <row r="97" spans="7:36" ht="15.75" customHeight="1" x14ac:dyDescent="0.3">
      <c r="G97" s="427"/>
      <c r="I97" s="427"/>
      <c r="AJ97" s="427"/>
    </row>
    <row r="98" spans="7:36" ht="15.75" customHeight="1" x14ac:dyDescent="0.3">
      <c r="G98" s="427"/>
      <c r="I98" s="427"/>
      <c r="AJ98" s="427"/>
    </row>
    <row r="99" spans="7:36" ht="15.75" customHeight="1" x14ac:dyDescent="0.3">
      <c r="G99" s="427"/>
      <c r="I99" s="427"/>
      <c r="AJ99" s="427"/>
    </row>
    <row r="100" spans="7:36" ht="15.75" customHeight="1" x14ac:dyDescent="0.3">
      <c r="G100" s="427"/>
      <c r="I100" s="427"/>
      <c r="AJ100" s="427"/>
    </row>
    <row r="101" spans="7:36" ht="15.75" customHeight="1" x14ac:dyDescent="0.3">
      <c r="G101" s="427"/>
      <c r="I101" s="427"/>
      <c r="AJ101" s="427"/>
    </row>
    <row r="102" spans="7:36" ht="15.75" customHeight="1" x14ac:dyDescent="0.3">
      <c r="G102" s="427"/>
      <c r="I102" s="427"/>
      <c r="AJ102" s="427"/>
    </row>
    <row r="103" spans="7:36" ht="15.75" customHeight="1" x14ac:dyDescent="0.3">
      <c r="G103" s="427"/>
      <c r="I103" s="427"/>
      <c r="AJ103" s="427"/>
    </row>
    <row r="104" spans="7:36" ht="15.75" customHeight="1" x14ac:dyDescent="0.3">
      <c r="G104" s="427"/>
      <c r="I104" s="427"/>
      <c r="AJ104" s="427"/>
    </row>
    <row r="105" spans="7:36" ht="15.75" customHeight="1" x14ac:dyDescent="0.3">
      <c r="G105" s="427"/>
      <c r="I105" s="427"/>
      <c r="AJ105" s="427"/>
    </row>
    <row r="106" spans="7:36" ht="15.75" customHeight="1" x14ac:dyDescent="0.3">
      <c r="G106" s="427"/>
      <c r="I106" s="427"/>
      <c r="AJ106" s="427"/>
    </row>
    <row r="107" spans="7:36" ht="15.75" customHeight="1" x14ac:dyDescent="0.3">
      <c r="G107" s="427"/>
      <c r="I107" s="427"/>
      <c r="AJ107" s="427"/>
    </row>
    <row r="108" spans="7:36" ht="15.75" customHeight="1" x14ac:dyDescent="0.3">
      <c r="G108" s="427"/>
      <c r="I108" s="427"/>
      <c r="AJ108" s="427"/>
    </row>
    <row r="109" spans="7:36" ht="15.75" customHeight="1" x14ac:dyDescent="0.3">
      <c r="G109" s="427"/>
      <c r="I109" s="427"/>
      <c r="AJ109" s="427"/>
    </row>
    <row r="110" spans="7:36" ht="15.75" customHeight="1" x14ac:dyDescent="0.3">
      <c r="G110" s="427"/>
      <c r="I110" s="427"/>
      <c r="AJ110" s="427"/>
    </row>
    <row r="111" spans="7:36" ht="15.75" customHeight="1" x14ac:dyDescent="0.3">
      <c r="G111" s="427"/>
      <c r="I111" s="427"/>
      <c r="AJ111" s="427"/>
    </row>
    <row r="112" spans="7:36" ht="15.75" customHeight="1" x14ac:dyDescent="0.3">
      <c r="G112" s="427"/>
      <c r="I112" s="427"/>
      <c r="AJ112" s="427"/>
    </row>
    <row r="113" spans="7:36" ht="15.75" customHeight="1" x14ac:dyDescent="0.3">
      <c r="G113" s="427"/>
      <c r="I113" s="427"/>
      <c r="AJ113" s="427"/>
    </row>
    <row r="114" spans="7:36" ht="15.75" customHeight="1" x14ac:dyDescent="0.3">
      <c r="G114" s="427"/>
      <c r="I114" s="427"/>
      <c r="AJ114" s="427"/>
    </row>
    <row r="115" spans="7:36" ht="15.75" customHeight="1" x14ac:dyDescent="0.3">
      <c r="G115" s="427"/>
      <c r="I115" s="427"/>
      <c r="AJ115" s="427"/>
    </row>
    <row r="116" spans="7:36" ht="15.75" customHeight="1" x14ac:dyDescent="0.3">
      <c r="G116" s="427"/>
      <c r="I116" s="427"/>
      <c r="AJ116" s="427"/>
    </row>
    <row r="117" spans="7:36" ht="15.75" customHeight="1" x14ac:dyDescent="0.3">
      <c r="G117" s="427"/>
      <c r="I117" s="427"/>
      <c r="AJ117" s="427"/>
    </row>
    <row r="118" spans="7:36" ht="15.75" customHeight="1" x14ac:dyDescent="0.3">
      <c r="G118" s="427"/>
      <c r="I118" s="427"/>
      <c r="AJ118" s="427"/>
    </row>
    <row r="119" spans="7:36" ht="15.75" customHeight="1" x14ac:dyDescent="0.3">
      <c r="G119" s="427"/>
      <c r="I119" s="427"/>
      <c r="AJ119" s="427"/>
    </row>
    <row r="120" spans="7:36" ht="15.75" customHeight="1" x14ac:dyDescent="0.3">
      <c r="G120" s="427"/>
      <c r="I120" s="427"/>
      <c r="AJ120" s="427"/>
    </row>
    <row r="121" spans="7:36" ht="15.75" customHeight="1" x14ac:dyDescent="0.3">
      <c r="G121" s="427"/>
      <c r="I121" s="427"/>
      <c r="AJ121" s="427"/>
    </row>
    <row r="122" spans="7:36" ht="15.75" customHeight="1" x14ac:dyDescent="0.3">
      <c r="G122" s="427"/>
      <c r="I122" s="427"/>
      <c r="AJ122" s="427"/>
    </row>
    <row r="123" spans="7:36" ht="15.75" customHeight="1" x14ac:dyDescent="0.3">
      <c r="G123" s="427"/>
      <c r="I123" s="427"/>
      <c r="AJ123" s="427"/>
    </row>
    <row r="124" spans="7:36" ht="15.75" customHeight="1" x14ac:dyDescent="0.3">
      <c r="G124" s="427"/>
      <c r="I124" s="427"/>
      <c r="AJ124" s="427"/>
    </row>
    <row r="125" spans="7:36" ht="15.75" customHeight="1" x14ac:dyDescent="0.3">
      <c r="G125" s="427"/>
      <c r="I125" s="427"/>
      <c r="AJ125" s="427"/>
    </row>
    <row r="126" spans="7:36" ht="15.75" customHeight="1" x14ac:dyDescent="0.3">
      <c r="G126" s="427"/>
      <c r="I126" s="427"/>
      <c r="AJ126" s="427"/>
    </row>
    <row r="127" spans="7:36" ht="15.75" customHeight="1" x14ac:dyDescent="0.3">
      <c r="G127" s="427"/>
      <c r="I127" s="427"/>
      <c r="AJ127" s="427"/>
    </row>
    <row r="128" spans="7:36" ht="15.75" customHeight="1" x14ac:dyDescent="0.3">
      <c r="G128" s="427"/>
      <c r="I128" s="427"/>
      <c r="AJ128" s="427"/>
    </row>
    <row r="129" spans="7:36" ht="15.75" customHeight="1" x14ac:dyDescent="0.3">
      <c r="G129" s="427"/>
      <c r="I129" s="427"/>
      <c r="AJ129" s="427"/>
    </row>
    <row r="130" spans="7:36" ht="15.75" customHeight="1" x14ac:dyDescent="0.3">
      <c r="G130" s="427"/>
      <c r="I130" s="427"/>
      <c r="AJ130" s="427"/>
    </row>
    <row r="131" spans="7:36" ht="15.75" customHeight="1" x14ac:dyDescent="0.3">
      <c r="G131" s="427"/>
      <c r="I131" s="427"/>
      <c r="AJ131" s="427"/>
    </row>
    <row r="132" spans="7:36" ht="15.75" customHeight="1" x14ac:dyDescent="0.3">
      <c r="G132" s="427"/>
      <c r="I132" s="427"/>
      <c r="AJ132" s="427"/>
    </row>
    <row r="133" spans="7:36" ht="15.75" customHeight="1" x14ac:dyDescent="0.3">
      <c r="G133" s="427"/>
      <c r="I133" s="427"/>
      <c r="AJ133" s="427"/>
    </row>
    <row r="134" spans="7:36" ht="15.75" customHeight="1" x14ac:dyDescent="0.3">
      <c r="G134" s="427"/>
      <c r="I134" s="427"/>
      <c r="AJ134" s="427"/>
    </row>
    <row r="135" spans="7:36" ht="15.75" customHeight="1" x14ac:dyDescent="0.3">
      <c r="G135" s="427"/>
      <c r="I135" s="427"/>
      <c r="AJ135" s="427"/>
    </row>
    <row r="136" spans="7:36" ht="15.75" customHeight="1" x14ac:dyDescent="0.3">
      <c r="G136" s="427"/>
      <c r="I136" s="427"/>
      <c r="AJ136" s="427"/>
    </row>
    <row r="137" spans="7:36" ht="15.75" customHeight="1" x14ac:dyDescent="0.3">
      <c r="G137" s="427"/>
      <c r="I137" s="427"/>
      <c r="AJ137" s="427"/>
    </row>
    <row r="138" spans="7:36" ht="15.75" customHeight="1" x14ac:dyDescent="0.3">
      <c r="G138" s="427"/>
      <c r="I138" s="427"/>
      <c r="AJ138" s="427"/>
    </row>
    <row r="139" spans="7:36" ht="15.75" customHeight="1" x14ac:dyDescent="0.3">
      <c r="G139" s="427"/>
      <c r="I139" s="427"/>
      <c r="AJ139" s="427"/>
    </row>
    <row r="140" spans="7:36" ht="15.75" customHeight="1" x14ac:dyDescent="0.3">
      <c r="G140" s="427"/>
      <c r="I140" s="427"/>
      <c r="AJ140" s="427"/>
    </row>
    <row r="141" spans="7:36" ht="15.75" customHeight="1" x14ac:dyDescent="0.3">
      <c r="G141" s="427"/>
      <c r="I141" s="427"/>
      <c r="AJ141" s="427"/>
    </row>
    <row r="142" spans="7:36" ht="15.75" customHeight="1" x14ac:dyDescent="0.3">
      <c r="G142" s="427"/>
      <c r="I142" s="427"/>
      <c r="AJ142" s="427"/>
    </row>
    <row r="143" spans="7:36" ht="15.75" customHeight="1" x14ac:dyDescent="0.3">
      <c r="G143" s="427"/>
      <c r="I143" s="427"/>
      <c r="AJ143" s="427"/>
    </row>
    <row r="144" spans="7:36" ht="15.75" customHeight="1" x14ac:dyDescent="0.3">
      <c r="G144" s="427"/>
      <c r="I144" s="427"/>
      <c r="AJ144" s="427"/>
    </row>
    <row r="145" spans="7:36" ht="15.75" customHeight="1" x14ac:dyDescent="0.3">
      <c r="G145" s="427"/>
      <c r="I145" s="427"/>
      <c r="AJ145" s="427"/>
    </row>
    <row r="146" spans="7:36" ht="15.75" customHeight="1" x14ac:dyDescent="0.3">
      <c r="G146" s="427"/>
      <c r="I146" s="427"/>
      <c r="AJ146" s="427"/>
    </row>
    <row r="147" spans="7:36" ht="15.75" customHeight="1" x14ac:dyDescent="0.3">
      <c r="G147" s="427"/>
      <c r="I147" s="427"/>
      <c r="AJ147" s="427"/>
    </row>
    <row r="148" spans="7:36" ht="15.75" customHeight="1" x14ac:dyDescent="0.3">
      <c r="G148" s="427"/>
      <c r="I148" s="427"/>
      <c r="AJ148" s="427"/>
    </row>
    <row r="149" spans="7:36" ht="15.75" customHeight="1" x14ac:dyDescent="0.3">
      <c r="G149" s="427"/>
      <c r="I149" s="427"/>
      <c r="AJ149" s="427"/>
    </row>
    <row r="150" spans="7:36" ht="15.75" customHeight="1" x14ac:dyDescent="0.3">
      <c r="G150" s="427"/>
      <c r="I150" s="427"/>
      <c r="AJ150" s="427"/>
    </row>
    <row r="151" spans="7:36" ht="15.75" customHeight="1" x14ac:dyDescent="0.3">
      <c r="G151" s="427"/>
      <c r="I151" s="427"/>
      <c r="AJ151" s="427"/>
    </row>
    <row r="152" spans="7:36" ht="15.75" customHeight="1" x14ac:dyDescent="0.3">
      <c r="G152" s="427"/>
      <c r="I152" s="427"/>
      <c r="AJ152" s="427"/>
    </row>
    <row r="153" spans="7:36" ht="15.75" customHeight="1" x14ac:dyDescent="0.3">
      <c r="G153" s="427"/>
      <c r="I153" s="427"/>
      <c r="AJ153" s="427"/>
    </row>
    <row r="154" spans="7:36" ht="15.75" customHeight="1" x14ac:dyDescent="0.3">
      <c r="G154" s="427"/>
      <c r="I154" s="427"/>
      <c r="AJ154" s="427"/>
    </row>
    <row r="155" spans="7:36" ht="15.75" customHeight="1" x14ac:dyDescent="0.3">
      <c r="G155" s="427"/>
      <c r="I155" s="427"/>
      <c r="AJ155" s="427"/>
    </row>
    <row r="156" spans="7:36" ht="15.75" customHeight="1" x14ac:dyDescent="0.3">
      <c r="G156" s="427"/>
      <c r="I156" s="427"/>
      <c r="AJ156" s="427"/>
    </row>
    <row r="157" spans="7:36" ht="15.75" customHeight="1" x14ac:dyDescent="0.3">
      <c r="G157" s="427"/>
      <c r="I157" s="427"/>
      <c r="AJ157" s="427"/>
    </row>
    <row r="158" spans="7:36" ht="15.75" customHeight="1" x14ac:dyDescent="0.3">
      <c r="G158" s="427"/>
      <c r="I158" s="427"/>
      <c r="AJ158" s="427"/>
    </row>
    <row r="159" spans="7:36" ht="15.75" customHeight="1" x14ac:dyDescent="0.3">
      <c r="G159" s="427"/>
      <c r="I159" s="427"/>
      <c r="AJ159" s="427"/>
    </row>
    <row r="160" spans="7:36" ht="15.75" customHeight="1" x14ac:dyDescent="0.3">
      <c r="G160" s="427"/>
      <c r="I160" s="427"/>
      <c r="AJ160" s="427"/>
    </row>
    <row r="161" spans="7:36" ht="15.75" customHeight="1" x14ac:dyDescent="0.3">
      <c r="G161" s="427"/>
      <c r="I161" s="427"/>
      <c r="AJ161" s="427"/>
    </row>
    <row r="162" spans="7:36" ht="15.75" customHeight="1" x14ac:dyDescent="0.3">
      <c r="G162" s="427"/>
      <c r="I162" s="427"/>
      <c r="AJ162" s="427"/>
    </row>
    <row r="163" spans="7:36" ht="15.75" customHeight="1" x14ac:dyDescent="0.3">
      <c r="G163" s="427"/>
      <c r="I163" s="427"/>
      <c r="AJ163" s="427"/>
    </row>
    <row r="164" spans="7:36" ht="15.75" customHeight="1" x14ac:dyDescent="0.3">
      <c r="G164" s="427"/>
      <c r="I164" s="427"/>
      <c r="AJ164" s="427"/>
    </row>
    <row r="165" spans="7:36" ht="15.75" customHeight="1" x14ac:dyDescent="0.3">
      <c r="G165" s="427"/>
      <c r="I165" s="427"/>
      <c r="AJ165" s="427"/>
    </row>
    <row r="166" spans="7:36" ht="15.75" customHeight="1" x14ac:dyDescent="0.3">
      <c r="G166" s="427"/>
      <c r="I166" s="427"/>
      <c r="AJ166" s="427"/>
    </row>
    <row r="167" spans="7:36" ht="15.75" customHeight="1" x14ac:dyDescent="0.3">
      <c r="G167" s="427"/>
      <c r="I167" s="427"/>
      <c r="AJ167" s="427"/>
    </row>
    <row r="168" spans="7:36" ht="15.75" customHeight="1" x14ac:dyDescent="0.3">
      <c r="G168" s="427"/>
      <c r="I168" s="427"/>
      <c r="AJ168" s="427"/>
    </row>
    <row r="169" spans="7:36" ht="15.75" customHeight="1" x14ac:dyDescent="0.3">
      <c r="G169" s="427"/>
      <c r="I169" s="427"/>
      <c r="AJ169" s="427"/>
    </row>
    <row r="170" spans="7:36" ht="15.75" customHeight="1" x14ac:dyDescent="0.3">
      <c r="G170" s="427"/>
      <c r="I170" s="427"/>
      <c r="AJ170" s="427"/>
    </row>
    <row r="171" spans="7:36" ht="15.75" customHeight="1" x14ac:dyDescent="0.3">
      <c r="G171" s="427"/>
      <c r="I171" s="427"/>
      <c r="AJ171" s="427"/>
    </row>
    <row r="172" spans="7:36" ht="15.75" customHeight="1" x14ac:dyDescent="0.3">
      <c r="G172" s="427"/>
      <c r="I172" s="427"/>
      <c r="AJ172" s="427"/>
    </row>
    <row r="173" spans="7:36" ht="15.75" customHeight="1" x14ac:dyDescent="0.3">
      <c r="G173" s="427"/>
      <c r="I173" s="427"/>
      <c r="AJ173" s="427"/>
    </row>
    <row r="174" spans="7:36" ht="15.75" customHeight="1" x14ac:dyDescent="0.3">
      <c r="G174" s="427"/>
      <c r="I174" s="427"/>
      <c r="AJ174" s="427"/>
    </row>
    <row r="175" spans="7:36" ht="15.75" customHeight="1" x14ac:dyDescent="0.3">
      <c r="G175" s="427"/>
      <c r="I175" s="427"/>
      <c r="AJ175" s="427"/>
    </row>
    <row r="176" spans="7:36" ht="15.75" customHeight="1" x14ac:dyDescent="0.3">
      <c r="G176" s="427"/>
      <c r="I176" s="427"/>
      <c r="AJ176" s="427"/>
    </row>
    <row r="177" spans="7:36" ht="15.75" customHeight="1" x14ac:dyDescent="0.3">
      <c r="G177" s="427"/>
      <c r="I177" s="427"/>
      <c r="AJ177" s="427"/>
    </row>
    <row r="178" spans="7:36" ht="15.75" customHeight="1" x14ac:dyDescent="0.3">
      <c r="G178" s="427"/>
      <c r="I178" s="427"/>
      <c r="AJ178" s="427"/>
    </row>
    <row r="179" spans="7:36" ht="15.75" customHeight="1" x14ac:dyDescent="0.3">
      <c r="G179" s="427"/>
      <c r="I179" s="427"/>
      <c r="AJ179" s="427"/>
    </row>
    <row r="180" spans="7:36" ht="15.75" customHeight="1" x14ac:dyDescent="0.3">
      <c r="G180" s="427"/>
      <c r="I180" s="427"/>
      <c r="AJ180" s="427"/>
    </row>
    <row r="181" spans="7:36" ht="15.75" customHeight="1" x14ac:dyDescent="0.3">
      <c r="G181" s="427"/>
      <c r="I181" s="427"/>
      <c r="AJ181" s="427"/>
    </row>
    <row r="182" spans="7:36" ht="15.75" customHeight="1" x14ac:dyDescent="0.3">
      <c r="G182" s="427"/>
      <c r="I182" s="427"/>
      <c r="AJ182" s="427"/>
    </row>
    <row r="183" spans="7:36" ht="15.75" customHeight="1" x14ac:dyDescent="0.3">
      <c r="G183" s="427"/>
      <c r="I183" s="427"/>
      <c r="AJ183" s="427"/>
    </row>
    <row r="184" spans="7:36" ht="15.75" customHeight="1" x14ac:dyDescent="0.3">
      <c r="G184" s="427"/>
      <c r="I184" s="427"/>
      <c r="AJ184" s="427"/>
    </row>
    <row r="185" spans="7:36" ht="15.75" customHeight="1" x14ac:dyDescent="0.3">
      <c r="G185" s="427"/>
      <c r="I185" s="427"/>
      <c r="AJ185" s="427"/>
    </row>
    <row r="186" spans="7:36" ht="15.75" customHeight="1" x14ac:dyDescent="0.3">
      <c r="G186" s="427"/>
      <c r="I186" s="427"/>
      <c r="AJ186" s="427"/>
    </row>
    <row r="187" spans="7:36" ht="15.75" customHeight="1" x14ac:dyDescent="0.3">
      <c r="G187" s="427"/>
      <c r="I187" s="427"/>
      <c r="AJ187" s="427"/>
    </row>
    <row r="188" spans="7:36" ht="15.75" customHeight="1" x14ac:dyDescent="0.3">
      <c r="G188" s="427"/>
      <c r="I188" s="427"/>
      <c r="AJ188" s="427"/>
    </row>
    <row r="189" spans="7:36" ht="15.75" customHeight="1" x14ac:dyDescent="0.3">
      <c r="G189" s="427"/>
      <c r="I189" s="427"/>
      <c r="AJ189" s="427"/>
    </row>
    <row r="190" spans="7:36" ht="15.75" customHeight="1" x14ac:dyDescent="0.3">
      <c r="G190" s="427"/>
      <c r="I190" s="427"/>
      <c r="AJ190" s="427"/>
    </row>
    <row r="191" spans="7:36" ht="15.75" customHeight="1" x14ac:dyDescent="0.3">
      <c r="G191" s="427"/>
      <c r="I191" s="427"/>
      <c r="AJ191" s="427"/>
    </row>
    <row r="192" spans="7:36" ht="15.75" customHeight="1" x14ac:dyDescent="0.3">
      <c r="G192" s="427"/>
      <c r="I192" s="427"/>
      <c r="AJ192" s="427"/>
    </row>
    <row r="193" spans="7:36" ht="15.75" customHeight="1" x14ac:dyDescent="0.3">
      <c r="G193" s="427"/>
      <c r="I193" s="427"/>
      <c r="AJ193" s="427"/>
    </row>
    <row r="194" spans="7:36" ht="15.75" customHeight="1" x14ac:dyDescent="0.3">
      <c r="G194" s="427"/>
      <c r="I194" s="427"/>
      <c r="AJ194" s="427"/>
    </row>
    <row r="195" spans="7:36" ht="15.75" customHeight="1" x14ac:dyDescent="0.3">
      <c r="G195" s="427"/>
      <c r="I195" s="427"/>
      <c r="AJ195" s="427"/>
    </row>
    <row r="196" spans="7:36" ht="15.75" customHeight="1" x14ac:dyDescent="0.3">
      <c r="G196" s="427"/>
      <c r="I196" s="427"/>
      <c r="AJ196" s="427"/>
    </row>
    <row r="197" spans="7:36" ht="15.75" customHeight="1" x14ac:dyDescent="0.3">
      <c r="G197" s="427"/>
      <c r="I197" s="427"/>
      <c r="AJ197" s="427"/>
    </row>
    <row r="198" spans="7:36" ht="15.75" customHeight="1" x14ac:dyDescent="0.3">
      <c r="G198" s="427"/>
      <c r="I198" s="427"/>
      <c r="AJ198" s="427"/>
    </row>
    <row r="199" spans="7:36" ht="15.75" customHeight="1" x14ac:dyDescent="0.3">
      <c r="G199" s="427"/>
      <c r="I199" s="427"/>
      <c r="AJ199" s="427"/>
    </row>
    <row r="200" spans="7:36" ht="15.75" customHeight="1" x14ac:dyDescent="0.3">
      <c r="G200" s="427"/>
      <c r="I200" s="427"/>
      <c r="AJ200" s="427"/>
    </row>
    <row r="201" spans="7:36" ht="15.75" customHeight="1" x14ac:dyDescent="0.3">
      <c r="G201" s="427"/>
      <c r="I201" s="427"/>
      <c r="AJ201" s="427"/>
    </row>
    <row r="202" spans="7:36" ht="15.75" customHeight="1" x14ac:dyDescent="0.3">
      <c r="G202" s="427"/>
      <c r="I202" s="427"/>
      <c r="AJ202" s="427"/>
    </row>
    <row r="203" spans="7:36" ht="15.75" customHeight="1" x14ac:dyDescent="0.3">
      <c r="G203" s="427"/>
      <c r="I203" s="427"/>
      <c r="AJ203" s="427"/>
    </row>
    <row r="204" spans="7:36" ht="15.75" customHeight="1" x14ac:dyDescent="0.3">
      <c r="G204" s="427"/>
      <c r="I204" s="427"/>
      <c r="AJ204" s="427"/>
    </row>
    <row r="205" spans="7:36" ht="15.75" customHeight="1" x14ac:dyDescent="0.3">
      <c r="G205" s="427"/>
      <c r="I205" s="427"/>
      <c r="AJ205" s="427"/>
    </row>
    <row r="206" spans="7:36" ht="15.75" customHeight="1" x14ac:dyDescent="0.3">
      <c r="G206" s="427"/>
      <c r="I206" s="427"/>
      <c r="AJ206" s="427"/>
    </row>
    <row r="207" spans="7:36" ht="15.75" customHeight="1" x14ac:dyDescent="0.3">
      <c r="G207" s="427"/>
      <c r="I207" s="427"/>
      <c r="AJ207" s="427"/>
    </row>
    <row r="208" spans="7:36" ht="15.75" customHeight="1" x14ac:dyDescent="0.3">
      <c r="G208" s="427"/>
      <c r="I208" s="427"/>
      <c r="AJ208" s="427"/>
    </row>
    <row r="209" spans="7:36" ht="15.75" customHeight="1" x14ac:dyDescent="0.3">
      <c r="G209" s="427"/>
      <c r="I209" s="427"/>
      <c r="AJ209" s="427"/>
    </row>
    <row r="210" spans="7:36" ht="15.75" customHeight="1" x14ac:dyDescent="0.3">
      <c r="G210" s="427"/>
      <c r="I210" s="427"/>
      <c r="AJ210" s="427"/>
    </row>
    <row r="211" spans="7:36" ht="15.75" customHeight="1" x14ac:dyDescent="0.3">
      <c r="G211" s="427"/>
      <c r="I211" s="427"/>
      <c r="AJ211" s="427"/>
    </row>
    <row r="212" spans="7:36" ht="15.75" customHeight="1" x14ac:dyDescent="0.3">
      <c r="G212" s="427"/>
      <c r="I212" s="427"/>
      <c r="AJ212" s="427"/>
    </row>
    <row r="213" spans="7:36" ht="15.75" customHeight="1" x14ac:dyDescent="0.3">
      <c r="G213" s="427"/>
      <c r="I213" s="427"/>
      <c r="AJ213" s="427"/>
    </row>
    <row r="214" spans="7:36" ht="15.75" customHeight="1" x14ac:dyDescent="0.3">
      <c r="G214" s="427"/>
      <c r="I214" s="427"/>
      <c r="AJ214" s="427"/>
    </row>
    <row r="215" spans="7:36" ht="15.75" customHeight="1" x14ac:dyDescent="0.3">
      <c r="G215" s="427"/>
      <c r="I215" s="427"/>
      <c r="AJ215" s="427"/>
    </row>
    <row r="216" spans="7:36" ht="15.75" customHeight="1" x14ac:dyDescent="0.3">
      <c r="G216" s="427"/>
      <c r="I216" s="427"/>
      <c r="AJ216" s="427"/>
    </row>
    <row r="217" spans="7:36" ht="15.75" customHeight="1" x14ac:dyDescent="0.3">
      <c r="G217" s="427"/>
      <c r="I217" s="427"/>
      <c r="AJ217" s="427"/>
    </row>
    <row r="218" spans="7:36" ht="15.75" customHeight="1" x14ac:dyDescent="0.3">
      <c r="G218" s="427"/>
      <c r="I218" s="427"/>
      <c r="AJ218" s="427"/>
    </row>
    <row r="219" spans="7:36" ht="15.75" customHeight="1" x14ac:dyDescent="0.3">
      <c r="G219" s="427"/>
      <c r="I219" s="427"/>
      <c r="AJ219" s="427"/>
    </row>
    <row r="220" spans="7:36" ht="15.75" customHeight="1" x14ac:dyDescent="0.3">
      <c r="G220" s="427"/>
      <c r="I220" s="427"/>
      <c r="AJ220" s="427"/>
    </row>
    <row r="221" spans="7:36" ht="15.75" customHeight="1" x14ac:dyDescent="0.3">
      <c r="G221" s="427"/>
      <c r="I221" s="427"/>
      <c r="AJ221" s="427"/>
    </row>
    <row r="222" spans="7:36" ht="15.75" customHeight="1" x14ac:dyDescent="0.3">
      <c r="G222" s="427"/>
      <c r="I222" s="427"/>
      <c r="AJ222" s="427"/>
    </row>
    <row r="223" spans="7:36" ht="15.75" customHeight="1" x14ac:dyDescent="0.3">
      <c r="G223" s="427"/>
      <c r="I223" s="427"/>
      <c r="AJ223" s="427"/>
    </row>
    <row r="224" spans="7:36" ht="15.75" customHeight="1" x14ac:dyDescent="0.3">
      <c r="G224" s="427"/>
      <c r="I224" s="427"/>
      <c r="AJ224" s="427"/>
    </row>
    <row r="225" spans="7:36" ht="15.75" customHeight="1" x14ac:dyDescent="0.3">
      <c r="G225" s="427"/>
      <c r="I225" s="427"/>
      <c r="AJ225" s="427"/>
    </row>
    <row r="226" spans="7:36" ht="15.75" customHeight="1" x14ac:dyDescent="0.3">
      <c r="G226" s="427"/>
      <c r="I226" s="427"/>
      <c r="AJ226" s="427"/>
    </row>
    <row r="227" spans="7:36" ht="15.75" customHeight="1" x14ac:dyDescent="0.3">
      <c r="G227" s="427"/>
      <c r="I227" s="427"/>
      <c r="AJ227" s="427"/>
    </row>
    <row r="228" spans="7:36" ht="15.75" customHeight="1" x14ac:dyDescent="0.3">
      <c r="G228" s="427"/>
      <c r="I228" s="427"/>
      <c r="AJ228" s="427"/>
    </row>
    <row r="229" spans="7:36" ht="15.75" customHeight="1" x14ac:dyDescent="0.3">
      <c r="G229" s="427"/>
      <c r="I229" s="427"/>
      <c r="AJ229" s="427"/>
    </row>
    <row r="230" spans="7:36" ht="15.75" customHeight="1" x14ac:dyDescent="0.3">
      <c r="G230" s="427"/>
      <c r="I230" s="427"/>
      <c r="AJ230" s="427"/>
    </row>
    <row r="231" spans="7:36" ht="15.75" customHeight="1" x14ac:dyDescent="0.3">
      <c r="G231" s="427"/>
      <c r="I231" s="427"/>
      <c r="AJ231" s="427"/>
    </row>
    <row r="232" spans="7:36" ht="15.75" customHeight="1" x14ac:dyDescent="0.3">
      <c r="G232" s="427"/>
      <c r="I232" s="427"/>
      <c r="AJ232" s="427"/>
    </row>
    <row r="233" spans="7:36" ht="15.75" customHeight="1" x14ac:dyDescent="0.3">
      <c r="G233" s="427"/>
      <c r="I233" s="427"/>
      <c r="AJ233" s="427"/>
    </row>
    <row r="234" spans="7:36" ht="15.75" customHeight="1" x14ac:dyDescent="0.3">
      <c r="G234" s="427"/>
      <c r="I234" s="427"/>
      <c r="AJ234" s="427"/>
    </row>
    <row r="235" spans="7:36" ht="15.75" customHeight="1" x14ac:dyDescent="0.3">
      <c r="G235" s="427"/>
      <c r="I235" s="427"/>
      <c r="AJ235" s="427"/>
    </row>
    <row r="236" spans="7:36" ht="15.75" customHeight="1" x14ac:dyDescent="0.3">
      <c r="G236" s="427"/>
      <c r="I236" s="427"/>
      <c r="AJ236" s="427"/>
    </row>
    <row r="237" spans="7:36" ht="15.75" customHeight="1" x14ac:dyDescent="0.3">
      <c r="G237" s="427"/>
      <c r="I237" s="427"/>
      <c r="AJ237" s="427"/>
    </row>
    <row r="238" spans="7:36" ht="15.75" customHeight="1" x14ac:dyDescent="0.3">
      <c r="G238" s="427"/>
      <c r="I238" s="427"/>
      <c r="AJ238" s="427"/>
    </row>
    <row r="239" spans="7:36" ht="15.75" customHeight="1" x14ac:dyDescent="0.3">
      <c r="G239" s="427"/>
      <c r="I239" s="427"/>
      <c r="AJ239" s="427"/>
    </row>
    <row r="240" spans="7:36" ht="15.75" customHeight="1" x14ac:dyDescent="0.3">
      <c r="G240" s="427"/>
      <c r="I240" s="427"/>
      <c r="AJ240" s="427"/>
    </row>
    <row r="241" spans="7:36" ht="15.75" customHeight="1" x14ac:dyDescent="0.3">
      <c r="G241" s="427"/>
      <c r="I241" s="427"/>
      <c r="AJ241" s="427"/>
    </row>
    <row r="242" spans="7:36" ht="15.75" customHeight="1" x14ac:dyDescent="0.3">
      <c r="G242" s="427"/>
      <c r="I242" s="427"/>
      <c r="AJ242" s="427"/>
    </row>
    <row r="243" spans="7:36" ht="15.75" customHeight="1" x14ac:dyDescent="0.3">
      <c r="G243" s="427"/>
      <c r="I243" s="427"/>
      <c r="AJ243" s="427"/>
    </row>
    <row r="244" spans="7:36" ht="15.75" customHeight="1" x14ac:dyDescent="0.3">
      <c r="G244" s="427"/>
      <c r="I244" s="427"/>
      <c r="AJ244" s="427"/>
    </row>
    <row r="245" spans="7:36" ht="15.75" customHeight="1" x14ac:dyDescent="0.3">
      <c r="G245" s="427"/>
      <c r="I245" s="427"/>
      <c r="AJ245" s="427"/>
    </row>
    <row r="246" spans="7:36" ht="15.75" customHeight="1" x14ac:dyDescent="0.3">
      <c r="G246" s="427"/>
      <c r="I246" s="427"/>
      <c r="AJ246" s="427"/>
    </row>
    <row r="247" spans="7:36" ht="15.75" customHeight="1" x14ac:dyDescent="0.3">
      <c r="G247" s="427"/>
      <c r="I247" s="427"/>
      <c r="AJ247" s="427"/>
    </row>
    <row r="248" spans="7:36" ht="15.75" customHeight="1" x14ac:dyDescent="0.3">
      <c r="G248" s="427"/>
      <c r="I248" s="427"/>
      <c r="AJ248" s="427"/>
    </row>
    <row r="249" spans="7:36" ht="15.75" customHeight="1" x14ac:dyDescent="0.3">
      <c r="G249" s="427"/>
      <c r="I249" s="427"/>
      <c r="AJ249" s="427"/>
    </row>
    <row r="250" spans="7:36" ht="15.75" customHeight="1" x14ac:dyDescent="0.3">
      <c r="G250" s="427"/>
      <c r="I250" s="427"/>
      <c r="AJ250" s="427"/>
    </row>
    <row r="251" spans="7:36" ht="15.75" customHeight="1" x14ac:dyDescent="0.3"/>
    <row r="252" spans="7:36" ht="15.75" customHeight="1" x14ac:dyDescent="0.3"/>
    <row r="253" spans="7:36" ht="15.75" customHeight="1" x14ac:dyDescent="0.3"/>
    <row r="254" spans="7:36" ht="15.75" customHeight="1" x14ac:dyDescent="0.3"/>
    <row r="255" spans="7:36" ht="15.75" customHeight="1" x14ac:dyDescent="0.3"/>
    <row r="256" spans="7:3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2">
    <mergeCell ref="C7:F7"/>
    <mergeCell ref="K7:AI7"/>
  </mergeCells>
  <phoneticPr fontId="94" type="noConversion"/>
  <dataValidations count="1">
    <dataValidation type="list" allowBlank="1" showErrorMessage="1" sqref="B17 B22 B27 B32" xr:uid="{A397B31E-ED17-4A3E-A22E-5D6F551A5C81}">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B6C7-C967-4CC2-8AF4-CE3425415835}">
  <sheetPr codeName="Sheet9">
    <tabColor theme="3" tint="0.79998168889431442"/>
  </sheetPr>
  <dimension ref="B2:K106"/>
  <sheetViews>
    <sheetView tabSelected="1" topLeftCell="A56" workbookViewId="0">
      <selection activeCell="D16" sqref="D16"/>
    </sheetView>
  </sheetViews>
  <sheetFormatPr defaultColWidth="8.88671875" defaultRowHeight="14.4" x14ac:dyDescent="0.3"/>
  <cols>
    <col min="1" max="1" width="3.6640625" customWidth="1"/>
    <col min="2" max="2" width="11" customWidth="1"/>
    <col min="3" max="3" width="20.21875" customWidth="1"/>
    <col min="4" max="4" width="27.109375" customWidth="1"/>
    <col min="5" max="5" width="39.109375" customWidth="1"/>
    <col min="6" max="6" width="35.44140625" customWidth="1"/>
    <col min="11" max="11" width="18.5546875" customWidth="1"/>
  </cols>
  <sheetData>
    <row r="2" spans="2:6" ht="23.4" x14ac:dyDescent="0.45">
      <c r="B2" s="1" t="s">
        <v>210</v>
      </c>
      <c r="C2" s="61"/>
    </row>
    <row r="3" spans="2:6" ht="18" x14ac:dyDescent="0.35">
      <c r="B3" s="2" t="s">
        <v>12</v>
      </c>
      <c r="C3" s="2"/>
    </row>
    <row r="4" spans="2:6" ht="21" customHeight="1" x14ac:dyDescent="0.45">
      <c r="B4" s="3" t="s">
        <v>211</v>
      </c>
      <c r="C4" s="5"/>
      <c r="F4" s="1"/>
    </row>
    <row r="5" spans="2:6" ht="15.6" x14ac:dyDescent="0.3">
      <c r="B5" s="77" t="s">
        <v>1917</v>
      </c>
      <c r="C5" s="77"/>
    </row>
    <row r="7" spans="2:6" x14ac:dyDescent="0.3">
      <c r="B7" t="str">
        <f>'Annex B - Summary'!B7</f>
        <v>Last revised version: October 10, 2025</v>
      </c>
      <c r="C7" s="6"/>
    </row>
    <row r="8" spans="2:6" ht="21.6" customHeight="1" x14ac:dyDescent="0.3"/>
    <row r="9" spans="2:6" ht="15.6" x14ac:dyDescent="0.3">
      <c r="B9" s="350" t="s">
        <v>212</v>
      </c>
      <c r="C9" s="351"/>
      <c r="D9" s="351"/>
      <c r="E9" s="351"/>
      <c r="F9" s="351"/>
    </row>
    <row r="10" spans="2:6" ht="6.6" customHeight="1" x14ac:dyDescent="0.3"/>
    <row r="11" spans="2:6" x14ac:dyDescent="0.3">
      <c r="B11" s="409">
        <v>6.7000000000000004E-2</v>
      </c>
      <c r="C11" s="4377" t="s">
        <v>1918</v>
      </c>
      <c r="D11" s="4377"/>
      <c r="E11" s="4377"/>
      <c r="F11" s="4377"/>
    </row>
    <row r="12" spans="2:6" x14ac:dyDescent="0.3">
      <c r="B12" s="353"/>
      <c r="C12" s="4377"/>
      <c r="D12" s="4377"/>
      <c r="E12" s="4377"/>
      <c r="F12" s="4377"/>
    </row>
    <row r="13" spans="2:6" ht="7.2" customHeight="1" x14ac:dyDescent="0.3">
      <c r="B13" s="353"/>
      <c r="C13" s="352"/>
      <c r="D13" s="352"/>
      <c r="E13" s="352"/>
      <c r="F13" s="352"/>
    </row>
    <row r="14" spans="2:6" ht="34.799999999999997" customHeight="1" x14ac:dyDescent="0.3">
      <c r="B14" s="353"/>
      <c r="C14" s="354" t="s">
        <v>213</v>
      </c>
      <c r="D14" s="355">
        <v>8956326</v>
      </c>
      <c r="E14" s="4374" t="s">
        <v>2368</v>
      </c>
      <c r="F14" s="4374"/>
    </row>
    <row r="15" spans="2:6" ht="31.8" customHeight="1" x14ac:dyDescent="0.3">
      <c r="B15" s="353"/>
      <c r="C15" s="354" t="s">
        <v>214</v>
      </c>
      <c r="D15" s="356">
        <v>602037</v>
      </c>
      <c r="E15" s="357"/>
      <c r="F15" s="357"/>
    </row>
    <row r="16" spans="2:6" ht="6" customHeight="1" x14ac:dyDescent="0.3">
      <c r="C16" s="358"/>
      <c r="D16" s="359"/>
      <c r="E16" s="360"/>
      <c r="F16" s="360"/>
    </row>
    <row r="17" spans="2:7" ht="15.6" customHeight="1" x14ac:dyDescent="0.3">
      <c r="B17" s="287">
        <f>'ER 2024 scope 3 &amp; 13'!E130+'ER 2024 scope 3 &amp; 13'!E136</f>
        <v>2399</v>
      </c>
      <c r="C17" s="4377" t="s">
        <v>215</v>
      </c>
      <c r="D17" s="4377"/>
      <c r="E17" s="4377"/>
      <c r="F17" s="4377"/>
    </row>
    <row r="18" spans="2:7" ht="7.8" customHeight="1" x14ac:dyDescent="0.3">
      <c r="C18" s="360"/>
      <c r="D18" s="360"/>
      <c r="E18" s="360"/>
      <c r="F18" s="360"/>
    </row>
    <row r="19" spans="2:7" ht="19.2" customHeight="1" x14ac:dyDescent="0.3">
      <c r="B19" s="286">
        <f>'ER 2024 consolidated'!C23</f>
        <v>14</v>
      </c>
      <c r="C19" s="4378" t="s">
        <v>216</v>
      </c>
      <c r="D19" s="4378"/>
      <c r="E19" s="4378"/>
      <c r="F19" s="4378"/>
    </row>
    <row r="20" spans="2:7" ht="10.199999999999999" customHeight="1" x14ac:dyDescent="0.3">
      <c r="B20" s="286"/>
      <c r="C20" s="361"/>
      <c r="D20" s="361"/>
      <c r="E20" s="361"/>
      <c r="F20" s="361"/>
    </row>
    <row r="21" spans="2:7" ht="24.6" customHeight="1" x14ac:dyDescent="0.3">
      <c r="B21" s="286"/>
      <c r="C21" s="361" t="s">
        <v>217</v>
      </c>
      <c r="D21" s="361" t="s">
        <v>218</v>
      </c>
      <c r="E21" s="361" t="s">
        <v>273</v>
      </c>
      <c r="F21" s="361" t="s">
        <v>228</v>
      </c>
    </row>
    <row r="22" spans="2:7" ht="24.6" customHeight="1" x14ac:dyDescent="0.3">
      <c r="B22" s="286"/>
      <c r="C22" s="361" t="s">
        <v>220</v>
      </c>
      <c r="D22" s="362" t="s">
        <v>221</v>
      </c>
      <c r="E22" s="361" t="s">
        <v>222</v>
      </c>
      <c r="F22" s="362" t="s">
        <v>219</v>
      </c>
    </row>
    <row r="23" spans="2:7" ht="24.6" customHeight="1" x14ac:dyDescent="0.3">
      <c r="B23" s="286"/>
      <c r="C23" s="362" t="s">
        <v>224</v>
      </c>
      <c r="D23" s="361" t="s">
        <v>225</v>
      </c>
      <c r="E23" s="67" t="s">
        <v>1919</v>
      </c>
      <c r="F23" s="361" t="s">
        <v>223</v>
      </c>
    </row>
    <row r="24" spans="2:7" ht="19.2" customHeight="1" x14ac:dyDescent="0.3">
      <c r="B24" s="286"/>
      <c r="C24" s="362"/>
      <c r="D24" s="361" t="s">
        <v>227</v>
      </c>
      <c r="E24" s="361" t="s">
        <v>226</v>
      </c>
      <c r="F24" s="361"/>
    </row>
    <row r="25" spans="2:7" ht="12.6" customHeight="1" x14ac:dyDescent="0.3">
      <c r="B25" s="286"/>
      <c r="C25" s="361"/>
      <c r="D25" s="361"/>
      <c r="E25" s="361"/>
      <c r="F25" s="361"/>
    </row>
    <row r="26" spans="2:7" x14ac:dyDescent="0.3">
      <c r="C26" s="360"/>
      <c r="D26" s="360"/>
      <c r="E26" s="360"/>
      <c r="F26" s="360"/>
    </row>
    <row r="27" spans="2:7" s="12" customFormat="1" ht="19.2" customHeight="1" x14ac:dyDescent="0.3">
      <c r="B27" s="363" t="s">
        <v>229</v>
      </c>
      <c r="C27" s="363" t="s">
        <v>230</v>
      </c>
      <c r="D27" s="364" t="s">
        <v>231</v>
      </c>
      <c r="E27" s="364" t="s">
        <v>232</v>
      </c>
      <c r="F27" s="364" t="s">
        <v>233</v>
      </c>
      <c r="G27" s="365"/>
    </row>
    <row r="28" spans="2:7" s="12" customFormat="1" ht="33.6" customHeight="1" x14ac:dyDescent="0.3">
      <c r="B28" s="4379">
        <v>9.3000000000000007</v>
      </c>
      <c r="C28" s="4380" t="s">
        <v>234</v>
      </c>
      <c r="D28" s="4380" t="s">
        <v>235</v>
      </c>
      <c r="E28" s="368" t="s">
        <v>236</v>
      </c>
      <c r="F28" s="368" t="s">
        <v>1926</v>
      </c>
    </row>
    <row r="29" spans="2:7" ht="43.8" customHeight="1" x14ac:dyDescent="0.3">
      <c r="B29" s="4379"/>
      <c r="C29" s="4380"/>
      <c r="D29" s="4380"/>
      <c r="E29" s="368" t="s">
        <v>237</v>
      </c>
      <c r="F29" s="369" t="s">
        <v>238</v>
      </c>
    </row>
    <row r="30" spans="2:7" ht="63" customHeight="1" x14ac:dyDescent="0.3">
      <c r="B30" s="4379"/>
      <c r="C30" s="4380"/>
      <c r="D30" s="4380"/>
      <c r="E30" s="368" t="s">
        <v>2327</v>
      </c>
      <c r="F30" s="369" t="s">
        <v>1920</v>
      </c>
    </row>
    <row r="31" spans="2:7" ht="58.2" customHeight="1" x14ac:dyDescent="0.3">
      <c r="B31" s="4379"/>
      <c r="C31" s="4380"/>
      <c r="D31" s="4380"/>
      <c r="E31" s="370"/>
      <c r="F31" s="368" t="s">
        <v>2328</v>
      </c>
    </row>
    <row r="32" spans="2:7" ht="22.8" customHeight="1" x14ac:dyDescent="0.3">
      <c r="B32" s="366"/>
      <c r="C32" s="367"/>
      <c r="D32" s="367"/>
      <c r="E32" s="370"/>
      <c r="F32" s="368"/>
    </row>
    <row r="33" spans="2:6" ht="15.6" x14ac:dyDescent="0.3">
      <c r="B33" s="350" t="s">
        <v>239</v>
      </c>
      <c r="C33" s="351"/>
      <c r="D33" s="351"/>
      <c r="E33" s="351"/>
      <c r="F33" s="351"/>
    </row>
    <row r="34" spans="2:6" x14ac:dyDescent="0.3">
      <c r="B34" s="366"/>
      <c r="C34" s="367"/>
      <c r="D34" s="367"/>
      <c r="E34" s="370"/>
      <c r="F34" s="368"/>
    </row>
    <row r="35" spans="2:6" ht="43.2" customHeight="1" x14ac:dyDescent="0.3">
      <c r="B35" s="4078">
        <f>B11</f>
        <v>6.7000000000000004E-2</v>
      </c>
      <c r="C35" s="4381" t="s">
        <v>240</v>
      </c>
      <c r="D35" s="4381"/>
      <c r="E35" s="4381"/>
      <c r="F35" s="4381"/>
    </row>
    <row r="36" spans="2:6" ht="40.200000000000003" customHeight="1" x14ac:dyDescent="0.3">
      <c r="B36" s="371"/>
      <c r="C36" s="354" t="s">
        <v>213</v>
      </c>
      <c r="D36" s="355">
        <v>8956326</v>
      </c>
      <c r="E36" s="4374" t="s">
        <v>2368</v>
      </c>
      <c r="F36" s="4374"/>
    </row>
    <row r="37" spans="2:6" ht="29.4" customHeight="1" x14ac:dyDescent="0.3">
      <c r="B37" s="371"/>
      <c r="C37" s="354" t="s">
        <v>214</v>
      </c>
      <c r="D37" s="355">
        <f>D15</f>
        <v>602037</v>
      </c>
      <c r="E37" s="357"/>
      <c r="F37" s="357"/>
    </row>
    <row r="38" spans="2:6" x14ac:dyDescent="0.3">
      <c r="B38" s="366"/>
      <c r="C38" s="367"/>
      <c r="D38" s="367"/>
      <c r="E38" s="370"/>
      <c r="F38" s="368"/>
    </row>
    <row r="39" spans="2:6" x14ac:dyDescent="0.3">
      <c r="B39" s="363" t="s">
        <v>229</v>
      </c>
      <c r="C39" s="363" t="s">
        <v>230</v>
      </c>
      <c r="D39" s="364" t="s">
        <v>231</v>
      </c>
      <c r="E39" s="364" t="s">
        <v>232</v>
      </c>
      <c r="F39" s="364" t="s">
        <v>233</v>
      </c>
    </row>
    <row r="40" spans="2:6" ht="92.4" customHeight="1" x14ac:dyDescent="0.3">
      <c r="B40" s="105">
        <v>10.199999999999999</v>
      </c>
      <c r="C40" s="373" t="s">
        <v>241</v>
      </c>
      <c r="D40" s="373" t="s">
        <v>242</v>
      </c>
      <c r="E40" s="373" t="s">
        <v>1921</v>
      </c>
      <c r="F40" s="373" t="s">
        <v>243</v>
      </c>
    </row>
    <row r="41" spans="2:6" ht="31.2" customHeight="1" x14ac:dyDescent="0.3">
      <c r="B41" s="366"/>
      <c r="C41" s="367"/>
      <c r="D41" s="367"/>
      <c r="E41" s="370"/>
      <c r="F41" s="368"/>
    </row>
    <row r="42" spans="2:6" ht="15.6" x14ac:dyDescent="0.3">
      <c r="B42" s="350" t="s">
        <v>244</v>
      </c>
      <c r="C42" s="351"/>
      <c r="D42" s="351"/>
      <c r="E42" s="351"/>
      <c r="F42" s="351"/>
    </row>
    <row r="43" spans="2:6" x14ac:dyDescent="0.3">
      <c r="B43" s="366"/>
      <c r="C43" s="367"/>
      <c r="D43" s="367"/>
      <c r="E43" s="374"/>
      <c r="F43" s="375"/>
    </row>
    <row r="44" spans="2:6" ht="54.6" customHeight="1" x14ac:dyDescent="0.3">
      <c r="B44" s="4079">
        <f>D45/D46</f>
        <v>0.14336283185840709</v>
      </c>
      <c r="C44" s="4373" t="s">
        <v>1922</v>
      </c>
      <c r="D44" s="4373"/>
      <c r="E44" s="4373"/>
      <c r="F44" s="4373"/>
    </row>
    <row r="45" spans="2:6" ht="31.2" customHeight="1" x14ac:dyDescent="0.3">
      <c r="B45" s="376"/>
      <c r="C45" s="377" t="s">
        <v>245</v>
      </c>
      <c r="D45" s="356">
        <v>162</v>
      </c>
      <c r="E45" s="4374"/>
      <c r="F45" s="4374"/>
    </row>
    <row r="46" spans="2:6" ht="17.399999999999999" customHeight="1" x14ac:dyDescent="0.3">
      <c r="B46" s="376"/>
      <c r="C46" s="378" t="s">
        <v>246</v>
      </c>
      <c r="D46" s="356">
        <v>1130</v>
      </c>
      <c r="E46" s="4382" t="s">
        <v>247</v>
      </c>
      <c r="F46" s="4375"/>
    </row>
    <row r="47" spans="2:6" ht="14.4" customHeight="1" x14ac:dyDescent="0.3">
      <c r="B47" s="376"/>
      <c r="C47" s="372"/>
      <c r="D47" s="372"/>
      <c r="E47" s="4376"/>
      <c r="F47" s="4376"/>
    </row>
    <row r="48" spans="2:6" x14ac:dyDescent="0.3">
      <c r="B48" s="366"/>
      <c r="C48" s="367"/>
      <c r="D48" s="367"/>
      <c r="E48" s="374"/>
      <c r="F48" s="375"/>
    </row>
    <row r="49" spans="2:6" x14ac:dyDescent="0.3">
      <c r="B49" s="363" t="s">
        <v>229</v>
      </c>
      <c r="C49" s="363" t="s">
        <v>230</v>
      </c>
      <c r="D49" s="364" t="s">
        <v>231</v>
      </c>
      <c r="E49" s="364" t="s">
        <v>232</v>
      </c>
      <c r="F49" s="364" t="s">
        <v>233</v>
      </c>
    </row>
    <row r="50" spans="2:6" ht="27.6" x14ac:dyDescent="0.3">
      <c r="B50" s="4327" t="s">
        <v>248</v>
      </c>
      <c r="C50" s="4368" t="s">
        <v>249</v>
      </c>
      <c r="D50" s="4368" t="s">
        <v>242</v>
      </c>
      <c r="E50" s="368" t="s">
        <v>236</v>
      </c>
      <c r="F50" s="368" t="s">
        <v>1926</v>
      </c>
    </row>
    <row r="51" spans="2:6" ht="84.6" customHeight="1" x14ac:dyDescent="0.3">
      <c r="B51" s="4327"/>
      <c r="C51" s="4368"/>
      <c r="D51" s="4368"/>
      <c r="E51" s="380" t="s">
        <v>1923</v>
      </c>
      <c r="F51" s="380" t="s">
        <v>1924</v>
      </c>
    </row>
    <row r="52" spans="2:6" ht="30.6" customHeight="1" x14ac:dyDescent="0.3">
      <c r="B52" s="366"/>
      <c r="C52" s="367"/>
      <c r="D52" s="367"/>
      <c r="E52" s="374"/>
      <c r="F52" s="375"/>
    </row>
    <row r="53" spans="2:6" ht="15.6" x14ac:dyDescent="0.3">
      <c r="B53" s="350" t="s">
        <v>2329</v>
      </c>
      <c r="C53" s="351"/>
      <c r="D53" s="351"/>
      <c r="E53" s="351"/>
      <c r="F53" s="351"/>
    </row>
    <row r="54" spans="2:6" ht="7.8" customHeight="1" x14ac:dyDescent="0.3">
      <c r="B54" s="366"/>
      <c r="C54" s="367"/>
      <c r="D54" s="367"/>
      <c r="E54" s="374"/>
      <c r="F54" s="375"/>
    </row>
    <row r="55" spans="2:6" ht="51.6" customHeight="1" x14ac:dyDescent="0.3">
      <c r="B55" s="4079">
        <f>D56/D57</f>
        <v>0.14336283185840709</v>
      </c>
      <c r="C55" s="4373" t="s">
        <v>1922</v>
      </c>
      <c r="D55" s="4373"/>
      <c r="E55" s="4373"/>
      <c r="F55" s="4373"/>
    </row>
    <row r="56" spans="2:6" ht="33" customHeight="1" x14ac:dyDescent="0.3">
      <c r="B56" s="376"/>
      <c r="C56" s="377" t="s">
        <v>245</v>
      </c>
      <c r="D56" s="356">
        <v>162</v>
      </c>
      <c r="E56" s="4374"/>
      <c r="F56" s="4374"/>
    </row>
    <row r="57" spans="2:6" ht="16.2" customHeight="1" x14ac:dyDescent="0.3">
      <c r="B57" s="376"/>
      <c r="C57" s="378" t="s">
        <v>246</v>
      </c>
      <c r="D57" s="356">
        <v>1130</v>
      </c>
      <c r="E57" s="4375" t="s">
        <v>247</v>
      </c>
      <c r="F57" s="4375"/>
    </row>
    <row r="58" spans="2:6" x14ac:dyDescent="0.3">
      <c r="B58" s="376"/>
      <c r="C58" s="372"/>
      <c r="D58" s="372"/>
      <c r="E58" s="4376"/>
      <c r="F58" s="4376"/>
    </row>
    <row r="59" spans="2:6" x14ac:dyDescent="0.3">
      <c r="B59" s="366"/>
      <c r="C59" s="367"/>
      <c r="D59" s="367"/>
      <c r="E59" s="374"/>
      <c r="F59" s="375"/>
    </row>
    <row r="60" spans="2:6" ht="18.600000000000001" customHeight="1" x14ac:dyDescent="0.3">
      <c r="B60" s="363" t="s">
        <v>229</v>
      </c>
      <c r="C60" s="363" t="s">
        <v>230</v>
      </c>
      <c r="D60" s="364" t="s">
        <v>231</v>
      </c>
      <c r="E60" s="364" t="s">
        <v>232</v>
      </c>
      <c r="F60" s="364" t="s">
        <v>233</v>
      </c>
    </row>
    <row r="61" spans="2:6" ht="31.8" customHeight="1" x14ac:dyDescent="0.3">
      <c r="B61" s="4327">
        <v>12.2</v>
      </c>
      <c r="C61" s="4368" t="s">
        <v>250</v>
      </c>
      <c r="D61" s="4368" t="s">
        <v>242</v>
      </c>
      <c r="E61" s="368" t="s">
        <v>236</v>
      </c>
      <c r="F61" s="368" t="s">
        <v>1926</v>
      </c>
    </row>
    <row r="62" spans="2:6" ht="69" customHeight="1" x14ac:dyDescent="0.3">
      <c r="B62" s="4327"/>
      <c r="C62" s="4368"/>
      <c r="D62" s="4368"/>
      <c r="E62" s="380" t="s">
        <v>1923</v>
      </c>
      <c r="F62" s="380" t="s">
        <v>1924</v>
      </c>
    </row>
    <row r="63" spans="2:6" ht="22.8" customHeight="1" x14ac:dyDescent="0.3">
      <c r="B63" s="105"/>
      <c r="C63" s="379"/>
      <c r="D63" s="379"/>
      <c r="E63" s="380"/>
      <c r="F63" s="380"/>
    </row>
    <row r="64" spans="2:6" ht="15.6" x14ac:dyDescent="0.3">
      <c r="B64" s="350" t="s">
        <v>251</v>
      </c>
      <c r="C64" s="351"/>
      <c r="D64" s="351"/>
      <c r="E64" s="351"/>
      <c r="F64" s="351"/>
    </row>
    <row r="65" spans="2:6" ht="7.2" customHeight="1" x14ac:dyDescent="0.3">
      <c r="B65" s="381"/>
      <c r="C65" s="382"/>
      <c r="D65" s="382"/>
      <c r="E65" s="382"/>
      <c r="F65" s="382"/>
    </row>
    <row r="66" spans="2:6" ht="34.799999999999997" customHeight="1" x14ac:dyDescent="0.3">
      <c r="B66" s="383">
        <f>'Annex B - Summary'!F16</f>
        <v>578457</v>
      </c>
      <c r="C66" s="4369" t="s">
        <v>252</v>
      </c>
      <c r="D66" s="4369"/>
      <c r="E66" s="4369"/>
      <c r="F66" s="4369"/>
    </row>
    <row r="67" spans="2:6" ht="15.6" x14ac:dyDescent="0.3">
      <c r="B67" s="381"/>
      <c r="C67" s="384"/>
      <c r="D67" s="384"/>
      <c r="E67" s="384"/>
      <c r="F67" s="384"/>
    </row>
    <row r="69" spans="2:6" ht="19.8" customHeight="1" x14ac:dyDescent="0.3">
      <c r="B69" s="363" t="s">
        <v>229</v>
      </c>
      <c r="C69" s="363" t="s">
        <v>230</v>
      </c>
      <c r="D69" s="364" t="s">
        <v>231</v>
      </c>
      <c r="E69" s="364" t="s">
        <v>232</v>
      </c>
      <c r="F69" s="364" t="s">
        <v>233</v>
      </c>
    </row>
    <row r="70" spans="2:6" ht="34.799999999999997" customHeight="1" x14ac:dyDescent="0.3">
      <c r="B70" s="4370">
        <v>13</v>
      </c>
      <c r="C70" s="4368" t="s">
        <v>253</v>
      </c>
      <c r="D70" s="4368" t="s">
        <v>235</v>
      </c>
      <c r="E70" s="368" t="s">
        <v>236</v>
      </c>
      <c r="F70" s="368" t="s">
        <v>1926</v>
      </c>
    </row>
    <row r="71" spans="2:6" ht="27.6" x14ac:dyDescent="0.3">
      <c r="B71" s="4370"/>
      <c r="C71" s="4368"/>
      <c r="D71" s="4368"/>
      <c r="E71" s="385" t="s">
        <v>2330</v>
      </c>
      <c r="F71" s="385" t="s">
        <v>1925</v>
      </c>
    </row>
    <row r="72" spans="2:6" ht="30" customHeight="1" x14ac:dyDescent="0.3">
      <c r="B72" s="185"/>
      <c r="C72" s="379"/>
      <c r="D72" s="379"/>
      <c r="E72" s="385"/>
      <c r="F72" s="385"/>
    </row>
    <row r="73" spans="2:6" ht="15.6" x14ac:dyDescent="0.3">
      <c r="B73" s="350" t="s">
        <v>254</v>
      </c>
      <c r="C73" s="351"/>
      <c r="D73" s="351"/>
      <c r="E73" s="351"/>
      <c r="F73" s="351"/>
    </row>
    <row r="74" spans="2:6" ht="7.8" customHeight="1" x14ac:dyDescent="0.3">
      <c r="B74" s="185"/>
      <c r="C74" s="379"/>
      <c r="D74" s="379"/>
      <c r="E74" s="385"/>
      <c r="F74" s="385"/>
    </row>
    <row r="75" spans="2:6" ht="28.8" customHeight="1" x14ac:dyDescent="0.3">
      <c r="B75" s="386"/>
      <c r="C75" s="4314" t="s">
        <v>255</v>
      </c>
      <c r="D75" s="4314"/>
      <c r="E75" s="4314"/>
      <c r="F75" s="4314"/>
    </row>
    <row r="76" spans="2:6" ht="19.8" customHeight="1" x14ac:dyDescent="0.3">
      <c r="B76" s="386"/>
      <c r="C76" s="4371" t="s">
        <v>256</v>
      </c>
      <c r="D76" s="4372"/>
      <c r="E76" s="4372"/>
      <c r="F76" s="4372"/>
    </row>
    <row r="77" spans="2:6" ht="8.4" customHeight="1" x14ac:dyDescent="0.3">
      <c r="B77" s="185"/>
      <c r="C77" s="379"/>
      <c r="D77" s="379"/>
      <c r="E77" s="385"/>
      <c r="F77" s="385"/>
    </row>
    <row r="78" spans="2:6" x14ac:dyDescent="0.3">
      <c r="B78" s="363" t="s">
        <v>229</v>
      </c>
      <c r="C78" s="363" t="s">
        <v>230</v>
      </c>
      <c r="D78" s="364" t="s">
        <v>231</v>
      </c>
      <c r="E78" s="364" t="s">
        <v>232</v>
      </c>
      <c r="F78" s="364" t="s">
        <v>233</v>
      </c>
    </row>
    <row r="79" spans="2:6" ht="30" customHeight="1" x14ac:dyDescent="0.3">
      <c r="B79" s="4367">
        <v>17.170000000000002</v>
      </c>
      <c r="C79" s="4368" t="s">
        <v>257</v>
      </c>
      <c r="D79" s="4368" t="s">
        <v>235</v>
      </c>
      <c r="E79" s="368" t="s">
        <v>236</v>
      </c>
      <c r="F79" s="368" t="s">
        <v>1926</v>
      </c>
    </row>
    <row r="80" spans="2:6" ht="26.4" x14ac:dyDescent="0.3">
      <c r="B80" s="4367"/>
      <c r="C80" s="4368"/>
      <c r="D80" s="4368"/>
      <c r="E80" s="379" t="s">
        <v>2331</v>
      </c>
      <c r="F80" s="379" t="s">
        <v>258</v>
      </c>
    </row>
    <row r="81" spans="2:11" x14ac:dyDescent="0.3">
      <c r="B81" s="4367"/>
      <c r="C81" s="4368"/>
      <c r="D81" s="4368"/>
      <c r="F81" s="387"/>
    </row>
    <row r="87" spans="2:11" x14ac:dyDescent="0.3">
      <c r="K87" t="s">
        <v>1927</v>
      </c>
    </row>
    <row r="88" spans="2:11" x14ac:dyDescent="0.3">
      <c r="J88">
        <v>2010</v>
      </c>
      <c r="K88">
        <v>21962</v>
      </c>
    </row>
    <row r="89" spans="2:11" x14ac:dyDescent="0.3">
      <c r="J89">
        <v>2011</v>
      </c>
      <c r="K89">
        <v>23051</v>
      </c>
    </row>
    <row r="90" spans="2:11" x14ac:dyDescent="0.3">
      <c r="J90">
        <v>2012</v>
      </c>
      <c r="K90">
        <v>20434</v>
      </c>
    </row>
    <row r="91" spans="2:11" x14ac:dyDescent="0.3">
      <c r="J91">
        <v>2013</v>
      </c>
      <c r="K91">
        <f>10222+37704</f>
        <v>47926</v>
      </c>
    </row>
    <row r="92" spans="2:11" x14ac:dyDescent="0.3">
      <c r="J92">
        <v>2014</v>
      </c>
      <c r="K92">
        <v>143202</v>
      </c>
    </row>
    <row r="93" spans="2:11" x14ac:dyDescent="0.3">
      <c r="J93">
        <v>2015</v>
      </c>
      <c r="K93">
        <v>64996</v>
      </c>
    </row>
    <row r="94" spans="2:11" x14ac:dyDescent="0.3">
      <c r="J94">
        <v>2016</v>
      </c>
      <c r="K94">
        <v>580252</v>
      </c>
    </row>
    <row r="95" spans="2:11" x14ac:dyDescent="0.3">
      <c r="J95">
        <v>2017</v>
      </c>
      <c r="K95">
        <v>545283</v>
      </c>
    </row>
    <row r="96" spans="2:11" x14ac:dyDescent="0.3">
      <c r="J96">
        <v>2018</v>
      </c>
      <c r="K96">
        <v>464591</v>
      </c>
    </row>
    <row r="97" spans="10:11" x14ac:dyDescent="0.3">
      <c r="J97">
        <v>2019</v>
      </c>
      <c r="K97">
        <v>780019</v>
      </c>
    </row>
    <row r="98" spans="10:11" x14ac:dyDescent="0.3">
      <c r="J98">
        <v>2020</v>
      </c>
      <c r="K98">
        <v>838673</v>
      </c>
    </row>
    <row r="99" spans="10:11" x14ac:dyDescent="0.3">
      <c r="J99">
        <v>2021</v>
      </c>
      <c r="K99">
        <v>786226</v>
      </c>
    </row>
    <row r="100" spans="10:11" x14ac:dyDescent="0.3">
      <c r="J100">
        <v>2022</v>
      </c>
      <c r="K100">
        <v>745534</v>
      </c>
    </row>
    <row r="101" spans="10:11" x14ac:dyDescent="0.3">
      <c r="J101">
        <v>2023</v>
      </c>
      <c r="K101">
        <v>635357</v>
      </c>
    </row>
    <row r="102" spans="10:11" x14ac:dyDescent="0.3">
      <c r="J102">
        <v>2024</v>
      </c>
      <c r="K102" s="38">
        <f>'Annex B - Summary'!F16</f>
        <v>578457</v>
      </c>
    </row>
    <row r="104" spans="10:11" x14ac:dyDescent="0.3">
      <c r="K104" s="38">
        <f>SUM(K88:K102)</f>
        <v>6275963</v>
      </c>
    </row>
    <row r="106" spans="10:11" x14ac:dyDescent="0.3">
      <c r="J106" t="s">
        <v>274</v>
      </c>
    </row>
  </sheetData>
  <mergeCells count="30">
    <mergeCell ref="B50:B51"/>
    <mergeCell ref="C50:C51"/>
    <mergeCell ref="D50:D51"/>
    <mergeCell ref="C11:F12"/>
    <mergeCell ref="E14:F14"/>
    <mergeCell ref="C17:F17"/>
    <mergeCell ref="C19:F19"/>
    <mergeCell ref="B28:B31"/>
    <mergeCell ref="C28:C31"/>
    <mergeCell ref="D28:D31"/>
    <mergeCell ref="C35:F35"/>
    <mergeCell ref="E36:F36"/>
    <mergeCell ref="C44:F44"/>
    <mergeCell ref="E45:F45"/>
    <mergeCell ref="E46:F47"/>
    <mergeCell ref="C55:F55"/>
    <mergeCell ref="E56:F56"/>
    <mergeCell ref="E57:F58"/>
    <mergeCell ref="B61:B62"/>
    <mergeCell ref="C61:C62"/>
    <mergeCell ref="D61:D62"/>
    <mergeCell ref="B79:B81"/>
    <mergeCell ref="C79:C81"/>
    <mergeCell ref="D79:D81"/>
    <mergeCell ref="C66:F66"/>
    <mergeCell ref="B70:B71"/>
    <mergeCell ref="C70:C71"/>
    <mergeCell ref="D70:D71"/>
    <mergeCell ref="C75:F75"/>
    <mergeCell ref="C76:F76"/>
  </mergeCells>
  <hyperlinks>
    <hyperlink ref="E57" r:id="rId1" xr:uid="{04D47415-9409-404A-BD83-926E995BD3C5}"/>
    <hyperlink ref="C76" r:id="rId2" xr:uid="{64884384-1001-4A88-BEB6-1555BE4B4D94}"/>
    <hyperlink ref="E46" r:id="rId3" xr:uid="{B3D316D8-B1DC-49C9-B41C-901B3C7E62FA}"/>
  </hyperlinks>
  <pageMargins left="0.7" right="0.7" top="0.75" bottom="0.75" header="0.3" footer="0.3"/>
  <pageSetup orientation="portrait" horizontalDpi="300" verticalDpi="300" r:id="rId4"/>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8E02-6FDD-4D16-B5A6-5FA605B9A1D7}">
  <dimension ref="A1:Y935"/>
  <sheetViews>
    <sheetView zoomScale="90" zoomScaleNormal="90" workbookViewId="0">
      <selection activeCell="X20" sqref="X20"/>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41.6640625" style="428" customWidth="1"/>
    <col min="5" max="5" width="8.88671875" style="428" customWidth="1"/>
    <col min="6" max="6" width="29.21875" style="428" customWidth="1"/>
    <col min="7" max="7" width="12.77734375" style="428" customWidth="1"/>
    <col min="8" max="8" width="12.77734375" style="428" hidden="1" customWidth="1"/>
    <col min="9" max="9" width="13.109375" style="428" customWidth="1"/>
    <col min="10" max="12" width="12.77734375" style="428" hidden="1" customWidth="1"/>
    <col min="13" max="20" width="11.5546875" style="428" hidden="1" customWidth="1"/>
    <col min="21" max="21" width="11.5546875" style="428" customWidth="1"/>
    <col min="22" max="25" width="11.6640625" style="428" customWidth="1"/>
    <col min="26" max="16384" width="12.44140625" style="428"/>
  </cols>
  <sheetData>
    <row r="1" spans="1:25" ht="23.25" customHeight="1" x14ac:dyDescent="0.35">
      <c r="A1" s="513"/>
      <c r="B1" s="514" t="s">
        <v>2373</v>
      </c>
    </row>
    <row r="2" spans="1:25"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row>
    <row r="3" spans="1:25" ht="15.75" customHeight="1" x14ac:dyDescent="0.3">
      <c r="B3" s="516"/>
    </row>
    <row r="4" spans="1:25" ht="19.2" customHeight="1" x14ac:dyDescent="0.3">
      <c r="B4" s="517" t="s">
        <v>899</v>
      </c>
      <c r="C4" s="518"/>
      <c r="D4" s="518"/>
    </row>
    <row r="5" spans="1:25" ht="19.2" customHeight="1" x14ac:dyDescent="0.3">
      <c r="B5" s="517" t="s">
        <v>341</v>
      </c>
      <c r="C5" s="518"/>
      <c r="D5" s="518"/>
    </row>
    <row r="6" spans="1:25" ht="15.75" customHeight="1" x14ac:dyDescent="0.3">
      <c r="B6" s="516"/>
    </row>
    <row r="7" spans="1:25" ht="15.75" customHeight="1" x14ac:dyDescent="0.3">
      <c r="B7" s="519" t="s">
        <v>342</v>
      </c>
    </row>
    <row r="8" spans="1:25" ht="9" customHeight="1" x14ac:dyDescent="0.3">
      <c r="B8" s="520"/>
      <c r="G8" s="427"/>
      <c r="H8" s="427"/>
      <c r="I8" s="427"/>
      <c r="J8" s="427"/>
      <c r="K8" s="427"/>
      <c r="L8" s="427"/>
      <c r="U8" s="427"/>
    </row>
    <row r="9" spans="1:25"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7" t="s">
        <v>332</v>
      </c>
    </row>
    <row r="10" spans="1:25" ht="24" customHeight="1" x14ac:dyDescent="0.3">
      <c r="A10" s="528"/>
      <c r="B10" s="529">
        <v>1</v>
      </c>
      <c r="C10" s="1302" t="s">
        <v>348</v>
      </c>
      <c r="D10" s="1303" t="s">
        <v>1718</v>
      </c>
      <c r="E10" s="3439" t="s">
        <v>363</v>
      </c>
      <c r="F10" s="533" t="s">
        <v>528</v>
      </c>
      <c r="G10" s="534">
        <v>2020</v>
      </c>
      <c r="H10" s="535"/>
      <c r="I10" s="535">
        <f>3040.488203</f>
        <v>3040.4882029999999</v>
      </c>
      <c r="J10" s="4201">
        <v>3259</v>
      </c>
      <c r="K10" s="3440">
        <v>4200.6099999999997</v>
      </c>
      <c r="L10" s="3441">
        <v>3475.96</v>
      </c>
      <c r="M10" s="3441">
        <v>5185.8</v>
      </c>
      <c r="N10" s="3441">
        <v>4336.1000000000004</v>
      </c>
      <c r="O10" s="3442">
        <v>5724</v>
      </c>
      <c r="P10" s="3443">
        <v>4652</v>
      </c>
      <c r="Q10" s="3444">
        <v>4159</v>
      </c>
      <c r="R10" s="3444">
        <v>5633</v>
      </c>
      <c r="S10" s="3444">
        <v>3617</v>
      </c>
      <c r="T10" s="3444">
        <v>2984</v>
      </c>
      <c r="U10" s="535"/>
      <c r="V10" s="528"/>
      <c r="W10" s="528"/>
      <c r="X10" s="528"/>
      <c r="Y10" s="528"/>
    </row>
    <row r="11" spans="1:25" ht="24" customHeight="1" x14ac:dyDescent="0.3">
      <c r="A11" s="528"/>
      <c r="B11" s="529"/>
      <c r="C11" s="1303"/>
      <c r="D11" s="1303" t="s">
        <v>1718</v>
      </c>
      <c r="E11" s="3439" t="s">
        <v>385</v>
      </c>
      <c r="F11" s="533"/>
      <c r="G11" s="534"/>
      <c r="H11" s="550"/>
      <c r="I11" s="602">
        <f>I10*1000</f>
        <v>3040488.2029999997</v>
      </c>
      <c r="J11" s="4202">
        <f>J10*1000-J27</f>
        <v>3259000</v>
      </c>
      <c r="K11" s="3445"/>
      <c r="L11" s="3446"/>
      <c r="M11" s="3446"/>
      <c r="N11" s="3446"/>
      <c r="O11" s="3442"/>
      <c r="P11" s="3447"/>
      <c r="Q11" s="3448"/>
      <c r="R11" s="3448"/>
      <c r="S11" s="3448"/>
      <c r="T11" s="3448"/>
      <c r="U11" s="550"/>
      <c r="V11" s="528"/>
      <c r="W11" s="528"/>
      <c r="X11" s="528"/>
      <c r="Y11" s="528"/>
    </row>
    <row r="12" spans="1:25" ht="24" customHeight="1" x14ac:dyDescent="0.3">
      <c r="A12" s="528"/>
      <c r="B12" s="1280"/>
      <c r="C12" s="1308" t="s">
        <v>478</v>
      </c>
      <c r="D12" s="1308" t="s">
        <v>1719</v>
      </c>
      <c r="E12" s="3449" t="s">
        <v>350</v>
      </c>
      <c r="F12" s="3450" t="s">
        <v>503</v>
      </c>
      <c r="G12" s="3451">
        <v>2020</v>
      </c>
      <c r="H12" s="544"/>
      <c r="I12" s="1611">
        <f>I11*C23/C24</f>
        <v>1516295.4155220778</v>
      </c>
      <c r="J12" s="4203">
        <f>J10*C23*1000/C24</f>
        <v>1625267.5324675322</v>
      </c>
      <c r="K12" s="3452">
        <v>2094849.7</v>
      </c>
      <c r="L12" s="3453">
        <v>1733465.8</v>
      </c>
      <c r="M12" s="3453">
        <v>2586165.2000000002</v>
      </c>
      <c r="N12" s="3453">
        <v>2162404.1</v>
      </c>
      <c r="O12" s="3454">
        <v>2854402</v>
      </c>
      <c r="P12" s="3455">
        <v>2319958</v>
      </c>
      <c r="Q12" s="3455">
        <v>2074099</v>
      </c>
      <c r="R12" s="3455">
        <v>2809084</v>
      </c>
      <c r="S12" s="3455">
        <v>1803606</v>
      </c>
      <c r="T12" s="3455">
        <v>1487950</v>
      </c>
      <c r="U12" s="544"/>
      <c r="V12" s="528"/>
      <c r="W12" s="528"/>
      <c r="X12" s="528"/>
      <c r="Y12" s="528"/>
    </row>
    <row r="13" spans="1:25" ht="30" hidden="1" customHeight="1" x14ac:dyDescent="0.3">
      <c r="A13" s="528"/>
      <c r="B13" s="529">
        <v>2</v>
      </c>
      <c r="C13" s="1303" t="s">
        <v>348</v>
      </c>
      <c r="D13" s="1303" t="s">
        <v>1720</v>
      </c>
      <c r="E13" s="1304" t="s">
        <v>363</v>
      </c>
      <c r="F13" s="533" t="s">
        <v>1721</v>
      </c>
      <c r="G13" s="549">
        <v>2020</v>
      </c>
      <c r="H13" s="550"/>
      <c r="I13" s="550" t="s">
        <v>55</v>
      </c>
      <c r="J13" s="3456">
        <v>9517</v>
      </c>
      <c r="K13" s="3445">
        <v>13824.16</v>
      </c>
      <c r="L13" s="3446">
        <v>11953.17</v>
      </c>
      <c r="M13" s="3446">
        <v>10762.8</v>
      </c>
      <c r="N13" s="3446">
        <v>11461.1</v>
      </c>
      <c r="O13" s="3457">
        <v>15862</v>
      </c>
      <c r="P13" s="3447">
        <v>10562</v>
      </c>
      <c r="Q13" s="3447">
        <v>8852</v>
      </c>
      <c r="R13" s="3447">
        <v>12065</v>
      </c>
      <c r="S13" s="3447">
        <v>11107</v>
      </c>
      <c r="T13" s="3447">
        <v>7647</v>
      </c>
      <c r="U13" s="550"/>
      <c r="V13" s="528"/>
      <c r="W13" s="528"/>
      <c r="X13" s="528"/>
      <c r="Y13" s="528"/>
    </row>
    <row r="14" spans="1:25" ht="30" hidden="1" customHeight="1" x14ac:dyDescent="0.3">
      <c r="A14" s="528"/>
      <c r="B14" s="529"/>
      <c r="C14" s="1303"/>
      <c r="D14" s="1303" t="s">
        <v>1720</v>
      </c>
      <c r="E14" s="1304" t="s">
        <v>385</v>
      </c>
      <c r="F14" s="506" t="s">
        <v>1721</v>
      </c>
      <c r="G14" s="496"/>
      <c r="H14" s="544"/>
      <c r="I14" s="544"/>
      <c r="J14" s="3456">
        <f>J13*1000</f>
        <v>9517000</v>
      </c>
      <c r="K14" s="3445"/>
      <c r="L14" s="3446"/>
      <c r="M14" s="3446"/>
      <c r="N14" s="3446"/>
      <c r="O14" s="3457"/>
      <c r="P14" s="3447"/>
      <c r="Q14" s="3447"/>
      <c r="R14" s="3447"/>
      <c r="S14" s="3447"/>
      <c r="T14" s="3447"/>
      <c r="U14" s="544"/>
      <c r="V14" s="528"/>
      <c r="W14" s="528"/>
      <c r="X14" s="528"/>
      <c r="Y14" s="528"/>
    </row>
    <row r="15" spans="1:25" ht="24" hidden="1" customHeight="1" x14ac:dyDescent="0.3">
      <c r="A15" s="528"/>
      <c r="B15" s="529"/>
      <c r="C15" s="1308" t="s">
        <v>478</v>
      </c>
      <c r="D15" s="1308" t="s">
        <v>1719</v>
      </c>
      <c r="E15" s="1309" t="s">
        <v>350</v>
      </c>
      <c r="F15" s="533"/>
      <c r="G15" s="549"/>
      <c r="H15" s="550"/>
      <c r="I15" s="550"/>
      <c r="J15" s="3458">
        <f>J13*C23*1000/C24</f>
        <v>4746140.2597402595</v>
      </c>
      <c r="K15" s="3452">
        <v>6894126.5</v>
      </c>
      <c r="L15" s="3453">
        <v>5961061.4000000004</v>
      </c>
      <c r="M15" s="3453">
        <v>5367422.3</v>
      </c>
      <c r="N15" s="3453">
        <v>5715669</v>
      </c>
      <c r="O15" s="3454">
        <v>7910440</v>
      </c>
      <c r="P15" s="3455">
        <v>5267283</v>
      </c>
      <c r="Q15" s="3455">
        <v>4414504</v>
      </c>
      <c r="R15" s="3455">
        <v>6016950</v>
      </c>
      <c r="S15" s="3455">
        <v>5539114</v>
      </c>
      <c r="T15" s="3455">
        <v>3813572</v>
      </c>
      <c r="U15" s="550"/>
      <c r="V15" s="528"/>
      <c r="W15" s="528"/>
      <c r="X15" s="528"/>
      <c r="Y15" s="528"/>
    </row>
    <row r="16" spans="1:25" ht="24" hidden="1" customHeight="1" x14ac:dyDescent="0.3">
      <c r="A16" s="528"/>
      <c r="B16" s="529">
        <v>3</v>
      </c>
      <c r="C16" s="1303" t="s">
        <v>348</v>
      </c>
      <c r="D16" s="1303" t="s">
        <v>1722</v>
      </c>
      <c r="E16" s="1304" t="s">
        <v>363</v>
      </c>
      <c r="F16" s="506"/>
      <c r="G16" s="496"/>
      <c r="H16" s="544"/>
      <c r="I16" s="544" t="s">
        <v>55</v>
      </c>
      <c r="J16" s="3456">
        <v>6083.28</v>
      </c>
      <c r="K16" s="3445">
        <v>5504.99</v>
      </c>
      <c r="L16" s="3446">
        <v>2501265.7999999998</v>
      </c>
      <c r="M16" s="3446">
        <v>2715722.8</v>
      </c>
      <c r="N16" s="3446">
        <v>5408.7</v>
      </c>
      <c r="O16" s="3457">
        <v>5817</v>
      </c>
      <c r="P16" s="3447">
        <v>7118</v>
      </c>
      <c r="Q16" s="3447">
        <v>6328</v>
      </c>
      <c r="R16" s="3447">
        <v>6188</v>
      </c>
      <c r="S16" s="3447">
        <v>6488</v>
      </c>
      <c r="T16" s="3447">
        <v>4469</v>
      </c>
      <c r="U16" s="544"/>
      <c r="V16" s="528"/>
      <c r="W16" s="528"/>
      <c r="X16" s="528"/>
      <c r="Y16" s="528"/>
    </row>
    <row r="17" spans="1:25" ht="24" hidden="1" customHeight="1" x14ac:dyDescent="0.3">
      <c r="A17" s="528"/>
      <c r="B17" s="529"/>
      <c r="C17" s="1303"/>
      <c r="D17" s="1303" t="s">
        <v>1722</v>
      </c>
      <c r="E17" s="1304" t="s">
        <v>385</v>
      </c>
      <c r="F17" s="533"/>
      <c r="G17" s="551"/>
      <c r="H17" s="550"/>
      <c r="I17" s="550"/>
      <c r="J17" s="3456">
        <f>J16*1000</f>
        <v>6083280</v>
      </c>
      <c r="K17" s="3445"/>
      <c r="L17" s="3446"/>
      <c r="M17" s="3446"/>
      <c r="N17" s="3446"/>
      <c r="O17" s="3457"/>
      <c r="P17" s="3447"/>
      <c r="Q17" s="3447"/>
      <c r="R17" s="3447"/>
      <c r="S17" s="3447"/>
      <c r="T17" s="3447"/>
      <c r="U17" s="550"/>
      <c r="V17" s="528"/>
      <c r="W17" s="528"/>
      <c r="X17" s="528"/>
      <c r="Y17" s="528"/>
    </row>
    <row r="18" spans="1:25" ht="24" hidden="1" customHeight="1" x14ac:dyDescent="0.3">
      <c r="A18" s="528"/>
      <c r="B18" s="552"/>
      <c r="C18" s="1308" t="s">
        <v>478</v>
      </c>
      <c r="D18" s="1308" t="s">
        <v>1719</v>
      </c>
      <c r="E18" s="1309" t="s">
        <v>350</v>
      </c>
      <c r="F18" s="554"/>
      <c r="G18" s="555"/>
      <c r="H18" s="556"/>
      <c r="I18" s="544"/>
      <c r="J18" s="3458">
        <f>J16*C23*1000/C24</f>
        <v>3033739.6363636362</v>
      </c>
      <c r="K18" s="3452" t="e">
        <f>K16*C25*1000/C26</f>
        <v>#DIV/0!</v>
      </c>
      <c r="L18" s="3459">
        <v>1247384503</v>
      </c>
      <c r="M18" s="3459">
        <v>1354334487</v>
      </c>
      <c r="N18" s="3453">
        <v>2697317.8</v>
      </c>
      <c r="O18" s="3454">
        <v>2900791</v>
      </c>
      <c r="P18" s="3455">
        <v>3549756</v>
      </c>
      <c r="Q18" s="3455">
        <v>3155782</v>
      </c>
      <c r="R18" s="3455">
        <v>3085929</v>
      </c>
      <c r="S18" s="3455">
        <v>3235449</v>
      </c>
      <c r="T18" s="3455">
        <v>2228588</v>
      </c>
      <c r="U18" s="544"/>
      <c r="V18" s="528"/>
      <c r="W18" s="528"/>
      <c r="X18" s="528"/>
      <c r="Y18" s="528"/>
    </row>
    <row r="19" spans="1:25" ht="15.75" customHeight="1" x14ac:dyDescent="0.3">
      <c r="A19" s="528"/>
      <c r="B19" s="558"/>
      <c r="C19" s="3460"/>
      <c r="D19" s="3460"/>
      <c r="E19" s="528"/>
      <c r="F19" s="528"/>
      <c r="G19" s="479"/>
      <c r="H19" s="479"/>
      <c r="I19" s="3461"/>
      <c r="J19" s="3461"/>
      <c r="K19" s="3461"/>
      <c r="L19" s="3461"/>
      <c r="M19" s="3462"/>
      <c r="N19" s="3462"/>
      <c r="O19" s="3462"/>
      <c r="P19" s="3462"/>
      <c r="Q19" s="3462"/>
      <c r="R19" s="3462"/>
      <c r="S19" s="3462"/>
      <c r="T19" s="3462"/>
      <c r="U19" s="3462"/>
      <c r="V19" s="528"/>
      <c r="W19" s="528"/>
      <c r="X19" s="528"/>
      <c r="Y19" s="528"/>
    </row>
    <row r="20" spans="1:25" ht="15.75" customHeight="1" x14ac:dyDescent="0.3">
      <c r="A20" s="528"/>
      <c r="B20" s="560" t="s">
        <v>355</v>
      </c>
      <c r="C20" s="561" t="s">
        <v>356</v>
      </c>
      <c r="D20" s="528"/>
      <c r="E20" s="528"/>
      <c r="F20" s="528"/>
      <c r="G20" s="479"/>
      <c r="H20" s="479"/>
      <c r="I20" s="479"/>
      <c r="J20" s="479"/>
      <c r="K20" s="479"/>
      <c r="L20" s="479"/>
      <c r="M20" s="559"/>
      <c r="N20" s="559"/>
      <c r="O20" s="559"/>
      <c r="P20" s="559"/>
      <c r="Q20" s="559"/>
      <c r="R20" s="559"/>
      <c r="S20" s="559"/>
      <c r="T20" s="559"/>
      <c r="U20" s="559"/>
      <c r="V20" s="528"/>
      <c r="W20" s="528"/>
      <c r="X20" s="528"/>
      <c r="Y20" s="528"/>
    </row>
    <row r="21" spans="1:25" ht="15.75" customHeight="1" x14ac:dyDescent="0.3">
      <c r="A21" s="528"/>
      <c r="B21" s="558"/>
      <c r="C21" s="528"/>
      <c r="D21" s="528"/>
      <c r="E21" s="528"/>
      <c r="F21" s="528"/>
      <c r="G21" s="479"/>
      <c r="H21" s="479"/>
      <c r="I21" s="479"/>
      <c r="J21" s="479"/>
      <c r="K21" s="479"/>
      <c r="L21" s="479"/>
      <c r="M21" s="559"/>
      <c r="N21" s="559"/>
      <c r="O21" s="559"/>
      <c r="P21" s="559"/>
      <c r="Q21" s="559"/>
      <c r="R21" s="559"/>
      <c r="S21" s="559"/>
      <c r="T21" s="559"/>
      <c r="U21" s="559"/>
      <c r="V21" s="528"/>
      <c r="W21" s="528"/>
      <c r="X21" s="528"/>
      <c r="Y21" s="528"/>
    </row>
    <row r="22" spans="1:25" ht="15.75" customHeight="1" x14ac:dyDescent="0.3">
      <c r="A22" s="528"/>
      <c r="B22" s="4383" t="s">
        <v>357</v>
      </c>
      <c r="C22" s="4384"/>
      <c r="D22" s="528"/>
      <c r="E22" s="528"/>
      <c r="F22" s="528"/>
      <c r="G22" s="479"/>
      <c r="H22" s="479"/>
      <c r="I22" s="479"/>
      <c r="J22" s="479"/>
      <c r="K22" s="479"/>
      <c r="L22" s="479"/>
      <c r="M22" s="559"/>
      <c r="N22" s="559"/>
      <c r="O22" s="559"/>
      <c r="P22" s="559"/>
      <c r="Q22" s="559"/>
      <c r="R22" s="559"/>
      <c r="S22" s="559"/>
      <c r="T22" s="559"/>
      <c r="U22" s="559"/>
      <c r="V22" s="528"/>
      <c r="W22" s="528"/>
      <c r="X22" s="528"/>
      <c r="Y22" s="528"/>
    </row>
    <row r="23" spans="1:25" ht="15.75" customHeight="1" x14ac:dyDescent="0.3">
      <c r="A23" s="528"/>
      <c r="B23" s="562" t="s">
        <v>301</v>
      </c>
      <c r="C23" s="3160">
        <v>19.2</v>
      </c>
      <c r="D23" s="3463" t="s">
        <v>1723</v>
      </c>
      <c r="E23" s="528"/>
      <c r="F23" s="528"/>
      <c r="G23" s="479"/>
      <c r="H23" s="479"/>
      <c r="I23" s="479"/>
      <c r="J23" s="479"/>
      <c r="K23" s="479"/>
      <c r="L23" s="479"/>
      <c r="M23" s="559"/>
      <c r="N23" s="559"/>
      <c r="O23" s="559"/>
      <c r="P23" s="559"/>
      <c r="Q23" s="559"/>
      <c r="R23" s="559"/>
      <c r="S23" s="559"/>
      <c r="T23" s="559"/>
      <c r="U23" s="559"/>
      <c r="V23" s="528"/>
      <c r="W23" s="528"/>
      <c r="X23" s="528"/>
      <c r="Y23" s="528"/>
    </row>
    <row r="24" spans="1:25" ht="15.75" customHeight="1" x14ac:dyDescent="0.3">
      <c r="A24" s="528"/>
      <c r="B24" s="562" t="s">
        <v>301</v>
      </c>
      <c r="C24" s="3160">
        <v>38.5</v>
      </c>
      <c r="D24" s="3463" t="s">
        <v>1724</v>
      </c>
      <c r="E24" s="528"/>
      <c r="F24" s="528"/>
      <c r="G24" s="479"/>
      <c r="H24" s="479"/>
      <c r="I24" s="479"/>
      <c r="J24" s="479"/>
      <c r="K24" s="479"/>
      <c r="L24" s="479"/>
      <c r="M24" s="559"/>
      <c r="N24" s="559"/>
      <c r="O24" s="559"/>
      <c r="P24" s="559"/>
      <c r="Q24" s="559"/>
      <c r="R24" s="559"/>
      <c r="S24" s="559"/>
      <c r="T24" s="559"/>
      <c r="U24" s="559"/>
      <c r="V24" s="528"/>
      <c r="W24" s="528"/>
      <c r="X24" s="528"/>
      <c r="Y24" s="528"/>
    </row>
    <row r="25" spans="1:25" ht="15.75" customHeight="1" x14ac:dyDescent="0.3"/>
    <row r="26" spans="1:25" ht="15.75" customHeight="1" x14ac:dyDescent="0.3"/>
    <row r="27" spans="1:25" ht="21" customHeight="1" x14ac:dyDescent="0.3">
      <c r="B27" s="519" t="s">
        <v>409</v>
      </c>
    </row>
    <row r="28" spans="1:25" ht="9" customHeight="1" x14ac:dyDescent="0.3">
      <c r="B28" s="519"/>
    </row>
    <row r="29" spans="1:25" ht="21" customHeight="1" x14ac:dyDescent="0.3">
      <c r="B29" s="517" t="s">
        <v>410</v>
      </c>
      <c r="C29" s="518"/>
      <c r="D29" s="518"/>
    </row>
    <row r="30" spans="1:25" ht="12" customHeight="1" x14ac:dyDescent="0.3"/>
    <row r="31" spans="1:25" ht="15.75" customHeight="1" x14ac:dyDescent="0.3">
      <c r="B31" s="521" t="s">
        <v>301</v>
      </c>
      <c r="C31" s="522" t="s">
        <v>343</v>
      </c>
      <c r="D31" s="523" t="s">
        <v>344</v>
      </c>
      <c r="E31" s="523" t="s">
        <v>345</v>
      </c>
      <c r="F31" s="523" t="s">
        <v>346</v>
      </c>
      <c r="G31" s="524" t="s">
        <v>347</v>
      </c>
      <c r="H31" s="525">
        <v>2025</v>
      </c>
      <c r="I31" s="525">
        <v>2024</v>
      </c>
      <c r="J31" s="525">
        <v>2023</v>
      </c>
      <c r="K31" s="525">
        <v>2022</v>
      </c>
      <c r="L31" s="525">
        <v>2021</v>
      </c>
      <c r="M31" s="525">
        <v>2020</v>
      </c>
      <c r="N31" s="525">
        <v>2019</v>
      </c>
      <c r="O31" s="526">
        <v>2018</v>
      </c>
      <c r="P31" s="526">
        <v>2017</v>
      </c>
      <c r="Q31" s="526">
        <v>2016</v>
      </c>
      <c r="R31" s="526">
        <v>2015</v>
      </c>
      <c r="S31" s="526">
        <v>2014</v>
      </c>
      <c r="T31" s="526">
        <v>2013</v>
      </c>
      <c r="U31" s="527" t="s">
        <v>332</v>
      </c>
    </row>
    <row r="32" spans="1:25" ht="24" hidden="1" customHeight="1" x14ac:dyDescent="0.3">
      <c r="B32" s="3464"/>
      <c r="C32" s="3465" t="s">
        <v>572</v>
      </c>
      <c r="D32" s="3466" t="s">
        <v>2011</v>
      </c>
      <c r="E32" s="3467" t="s">
        <v>363</v>
      </c>
      <c r="F32" s="3468" t="s">
        <v>1186</v>
      </c>
      <c r="G32" s="3469">
        <v>2004</v>
      </c>
      <c r="H32" s="3470"/>
      <c r="I32" s="3471"/>
      <c r="J32" s="3472">
        <v>0</v>
      </c>
      <c r="K32" s="3472">
        <v>0</v>
      </c>
      <c r="L32" s="3473">
        <v>0</v>
      </c>
      <c r="M32" s="3473">
        <v>0</v>
      </c>
      <c r="N32" s="3472">
        <v>0</v>
      </c>
      <c r="O32" s="3474">
        <v>0</v>
      </c>
      <c r="P32" s="3474">
        <v>0</v>
      </c>
      <c r="Q32" s="3474">
        <v>0</v>
      </c>
      <c r="R32" s="3474">
        <v>0</v>
      </c>
      <c r="S32" s="3474">
        <v>0</v>
      </c>
      <c r="T32" s="3474">
        <v>0</v>
      </c>
      <c r="U32" s="3475"/>
    </row>
    <row r="33" spans="2:21" ht="24" customHeight="1" x14ac:dyDescent="0.3">
      <c r="B33" s="3476">
        <v>1</v>
      </c>
      <c r="C33" s="3477" t="s">
        <v>572</v>
      </c>
      <c r="D33" s="3478" t="s">
        <v>2012</v>
      </c>
      <c r="E33" s="3479" t="s">
        <v>363</v>
      </c>
      <c r="F33" s="3480" t="s">
        <v>1186</v>
      </c>
      <c r="G33" s="3481">
        <v>2004</v>
      </c>
      <c r="H33" s="638"/>
      <c r="I33" s="3482">
        <v>1097.37579569892</v>
      </c>
      <c r="J33" s="3483">
        <v>769</v>
      </c>
      <c r="K33" s="3484">
        <v>993</v>
      </c>
      <c r="L33" s="3485">
        <v>1100</v>
      </c>
      <c r="M33" s="3485">
        <v>1046</v>
      </c>
      <c r="N33" s="3486">
        <v>1019</v>
      </c>
      <c r="O33" s="3487">
        <v>0</v>
      </c>
      <c r="P33" s="3487">
        <v>0</v>
      </c>
      <c r="Q33" s="3487">
        <v>0</v>
      </c>
      <c r="R33" s="3487">
        <v>0</v>
      </c>
      <c r="S33" s="3487">
        <v>0</v>
      </c>
      <c r="T33" s="3487">
        <v>0</v>
      </c>
      <c r="U33" s="544"/>
    </row>
    <row r="34" spans="2:21" ht="24" customHeight="1" x14ac:dyDescent="0.3">
      <c r="B34" s="3476">
        <v>2</v>
      </c>
      <c r="C34" s="3488" t="s">
        <v>572</v>
      </c>
      <c r="D34" s="3489" t="s">
        <v>2013</v>
      </c>
      <c r="E34" s="3490" t="s">
        <v>363</v>
      </c>
      <c r="F34" s="3491" t="s">
        <v>1186</v>
      </c>
      <c r="G34" s="3492">
        <v>2004</v>
      </c>
      <c r="H34" s="640"/>
      <c r="I34" s="1326">
        <v>98.9</v>
      </c>
      <c r="J34" s="3493">
        <v>0</v>
      </c>
      <c r="K34" s="3493">
        <v>0</v>
      </c>
      <c r="L34" s="3494">
        <v>0</v>
      </c>
      <c r="M34" s="3494">
        <v>0</v>
      </c>
      <c r="N34" s="3495">
        <v>0</v>
      </c>
      <c r="O34" s="3496">
        <v>0</v>
      </c>
      <c r="P34" s="3496">
        <v>0</v>
      </c>
      <c r="Q34" s="3496">
        <v>0</v>
      </c>
      <c r="R34" s="3496">
        <v>0</v>
      </c>
      <c r="S34" s="3496">
        <v>0</v>
      </c>
      <c r="T34" s="3496">
        <v>0</v>
      </c>
      <c r="U34" s="550"/>
    </row>
    <row r="35" spans="2:21" ht="24" customHeight="1" x14ac:dyDescent="0.3">
      <c r="B35" s="3476">
        <v>3</v>
      </c>
      <c r="C35" s="3477" t="s">
        <v>572</v>
      </c>
      <c r="D35" s="3478" t="s">
        <v>1981</v>
      </c>
      <c r="E35" s="3479" t="s">
        <v>363</v>
      </c>
      <c r="F35" s="3480" t="s">
        <v>1186</v>
      </c>
      <c r="G35" s="3481">
        <v>2004</v>
      </c>
      <c r="H35" s="638"/>
      <c r="I35" s="3497">
        <v>4137.9459999999999</v>
      </c>
      <c r="J35" s="3498">
        <v>16435</v>
      </c>
      <c r="K35" s="3499">
        <v>0</v>
      </c>
      <c r="L35" s="3485">
        <v>6933</v>
      </c>
      <c r="M35" s="3485">
        <v>5341</v>
      </c>
      <c r="N35" s="3486">
        <v>3827</v>
      </c>
      <c r="O35" s="3487">
        <v>0</v>
      </c>
      <c r="P35" s="3487">
        <v>0</v>
      </c>
      <c r="Q35" s="3487">
        <v>0</v>
      </c>
      <c r="R35" s="3487">
        <v>0</v>
      </c>
      <c r="S35" s="3487">
        <v>0</v>
      </c>
      <c r="T35" s="3487">
        <v>0</v>
      </c>
      <c r="U35" s="544"/>
    </row>
    <row r="36" spans="2:21" ht="24" customHeight="1" x14ac:dyDescent="0.3">
      <c r="B36" s="3476"/>
      <c r="C36" s="3477"/>
      <c r="D36" s="3478" t="s">
        <v>1187</v>
      </c>
      <c r="E36" s="3479"/>
      <c r="F36" s="3480"/>
      <c r="G36" s="3481"/>
      <c r="H36" s="640"/>
      <c r="I36" s="3500"/>
      <c r="J36" s="3501">
        <v>6163.274322536854</v>
      </c>
      <c r="K36" s="3499"/>
      <c r="L36" s="3485"/>
      <c r="M36" s="3485"/>
      <c r="N36" s="3486"/>
      <c r="O36" s="3487"/>
      <c r="P36" s="3487"/>
      <c r="Q36" s="3487"/>
      <c r="R36" s="3487"/>
      <c r="S36" s="3487"/>
      <c r="T36" s="3487"/>
      <c r="U36" s="544"/>
    </row>
    <row r="37" spans="2:21" ht="24" customHeight="1" x14ac:dyDescent="0.3">
      <c r="B37" s="3476">
        <v>4</v>
      </c>
      <c r="C37" s="3488" t="s">
        <v>572</v>
      </c>
      <c r="D37" s="3489" t="s">
        <v>2014</v>
      </c>
      <c r="E37" s="3490" t="s">
        <v>363</v>
      </c>
      <c r="F37" s="3491" t="s">
        <v>1186</v>
      </c>
      <c r="G37" s="3492">
        <v>2004</v>
      </c>
      <c r="H37" s="638"/>
      <c r="I37" s="1326">
        <v>3196.34</v>
      </c>
      <c r="J37" s="3502">
        <v>3542</v>
      </c>
      <c r="K37" s="3503">
        <v>3189</v>
      </c>
      <c r="L37" s="3504">
        <v>3032</v>
      </c>
      <c r="M37" s="3504">
        <v>2472</v>
      </c>
      <c r="N37" s="3505">
        <v>2536</v>
      </c>
      <c r="O37" s="3496">
        <v>0</v>
      </c>
      <c r="P37" s="3496">
        <v>0</v>
      </c>
      <c r="Q37" s="3496">
        <v>0</v>
      </c>
      <c r="R37" s="3496">
        <v>0</v>
      </c>
      <c r="S37" s="3496">
        <v>0</v>
      </c>
      <c r="T37" s="3496">
        <v>0</v>
      </c>
      <c r="U37" s="1110"/>
    </row>
    <row r="38" spans="2:21" ht="24" customHeight="1" x14ac:dyDescent="0.3">
      <c r="B38" s="3476"/>
      <c r="C38" s="3488"/>
      <c r="D38" s="3489" t="s">
        <v>2027</v>
      </c>
      <c r="E38" s="3490" t="s">
        <v>363</v>
      </c>
      <c r="F38" s="3506" t="s">
        <v>1186</v>
      </c>
      <c r="G38" s="3492"/>
      <c r="H38" s="640"/>
      <c r="I38" s="3507"/>
      <c r="J38" s="3508"/>
      <c r="K38" s="3505">
        <v>2800.81</v>
      </c>
      <c r="L38" s="3509"/>
      <c r="M38" s="3509"/>
      <c r="N38" s="3510"/>
      <c r="O38" s="3496"/>
      <c r="P38" s="3496"/>
      <c r="Q38" s="3496"/>
      <c r="R38" s="3496"/>
      <c r="S38" s="3496"/>
      <c r="T38" s="3496"/>
      <c r="U38" s="1110"/>
    </row>
    <row r="39" spans="2:21" ht="24" customHeight="1" x14ac:dyDescent="0.3">
      <c r="B39" s="3476">
        <v>5</v>
      </c>
      <c r="C39" s="3477" t="s">
        <v>572</v>
      </c>
      <c r="D39" s="3478" t="s">
        <v>2015</v>
      </c>
      <c r="E39" s="3479" t="s">
        <v>363</v>
      </c>
      <c r="F39" s="3480" t="s">
        <v>1186</v>
      </c>
      <c r="G39" s="3481">
        <v>2004</v>
      </c>
      <c r="H39" s="638"/>
      <c r="I39" s="3497">
        <v>798</v>
      </c>
      <c r="J39" s="3483">
        <v>482</v>
      </c>
      <c r="K39" s="3484">
        <v>765</v>
      </c>
      <c r="L39" s="3485">
        <v>1029</v>
      </c>
      <c r="M39" s="3511">
        <v>813</v>
      </c>
      <c r="N39" s="3486">
        <v>1441</v>
      </c>
      <c r="O39" s="3487">
        <v>0</v>
      </c>
      <c r="P39" s="3487">
        <v>0</v>
      </c>
      <c r="Q39" s="3487">
        <v>0</v>
      </c>
      <c r="R39" s="3487">
        <v>0</v>
      </c>
      <c r="S39" s="3487">
        <v>0</v>
      </c>
      <c r="T39" s="3487">
        <v>0</v>
      </c>
      <c r="U39" s="544"/>
    </row>
    <row r="40" spans="2:21" ht="24" customHeight="1" x14ac:dyDescent="0.3">
      <c r="B40" s="3476">
        <v>6</v>
      </c>
      <c r="C40" s="3488" t="s">
        <v>572</v>
      </c>
      <c r="D40" s="3489" t="s">
        <v>2016</v>
      </c>
      <c r="E40" s="3490" t="s">
        <v>363</v>
      </c>
      <c r="F40" s="3491" t="s">
        <v>1186</v>
      </c>
      <c r="G40" s="3492">
        <v>2004</v>
      </c>
      <c r="H40" s="640"/>
      <c r="I40" s="1326">
        <v>1047</v>
      </c>
      <c r="J40" s="3502">
        <v>1136</v>
      </c>
      <c r="K40" s="3505">
        <v>1409</v>
      </c>
      <c r="L40" s="3504">
        <v>1816</v>
      </c>
      <c r="M40" s="3504">
        <v>1145</v>
      </c>
      <c r="N40" s="3505">
        <v>1392</v>
      </c>
      <c r="O40" s="3496">
        <v>0</v>
      </c>
      <c r="P40" s="3496">
        <v>0</v>
      </c>
      <c r="Q40" s="3496">
        <v>0</v>
      </c>
      <c r="R40" s="3496">
        <v>0</v>
      </c>
      <c r="S40" s="3496">
        <v>0</v>
      </c>
      <c r="T40" s="3496">
        <v>0</v>
      </c>
      <c r="U40" s="1110"/>
    </row>
    <row r="41" spans="2:21" ht="24" customHeight="1" x14ac:dyDescent="0.3">
      <c r="B41" s="3476">
        <v>7</v>
      </c>
      <c r="C41" s="3477" t="s">
        <v>572</v>
      </c>
      <c r="D41" s="3478" t="s">
        <v>2017</v>
      </c>
      <c r="E41" s="3479" t="s">
        <v>363</v>
      </c>
      <c r="F41" s="3480" t="s">
        <v>1186</v>
      </c>
      <c r="G41" s="3481">
        <v>2004</v>
      </c>
      <c r="H41" s="638"/>
      <c r="I41" s="3497">
        <v>384.59500000000003</v>
      </c>
      <c r="J41" s="3512">
        <v>308</v>
      </c>
      <c r="K41" s="3484">
        <v>312</v>
      </c>
      <c r="L41" s="3511">
        <v>204</v>
      </c>
      <c r="M41" s="3511">
        <v>342</v>
      </c>
      <c r="N41" s="3484">
        <v>404</v>
      </c>
      <c r="O41" s="3487">
        <v>0</v>
      </c>
      <c r="P41" s="3487">
        <v>0</v>
      </c>
      <c r="Q41" s="3487">
        <v>0</v>
      </c>
      <c r="R41" s="3487">
        <v>0</v>
      </c>
      <c r="S41" s="3487">
        <v>0</v>
      </c>
      <c r="T41" s="3487">
        <v>0</v>
      </c>
      <c r="U41" s="544"/>
    </row>
    <row r="42" spans="2:21" ht="24" customHeight="1" x14ac:dyDescent="0.3">
      <c r="B42" s="3476">
        <v>8</v>
      </c>
      <c r="C42" s="3488" t="s">
        <v>572</v>
      </c>
      <c r="D42" s="3489" t="s">
        <v>2018</v>
      </c>
      <c r="E42" s="3490" t="s">
        <v>363</v>
      </c>
      <c r="F42" s="3491" t="s">
        <v>1186</v>
      </c>
      <c r="G42" s="3492">
        <v>2004</v>
      </c>
      <c r="H42" s="640"/>
      <c r="I42" s="1326">
        <v>25.01</v>
      </c>
      <c r="J42" s="3513">
        <v>0</v>
      </c>
      <c r="K42" s="3513">
        <v>0</v>
      </c>
      <c r="L42" s="3509">
        <v>430</v>
      </c>
      <c r="M42" s="3509">
        <v>269</v>
      </c>
      <c r="N42" s="3510">
        <v>433</v>
      </c>
      <c r="O42" s="3496">
        <v>0</v>
      </c>
      <c r="P42" s="3496">
        <v>0</v>
      </c>
      <c r="Q42" s="3496">
        <v>0</v>
      </c>
      <c r="R42" s="3496">
        <v>0</v>
      </c>
      <c r="S42" s="3496">
        <v>0</v>
      </c>
      <c r="T42" s="3496">
        <v>0</v>
      </c>
      <c r="U42" s="1110"/>
    </row>
    <row r="43" spans="2:21" ht="24" customHeight="1" x14ac:dyDescent="0.3">
      <c r="B43" s="3476">
        <v>9</v>
      </c>
      <c r="C43" s="3488" t="s">
        <v>572</v>
      </c>
      <c r="D43" s="3489" t="s">
        <v>2025</v>
      </c>
      <c r="E43" s="3490" t="s">
        <v>363</v>
      </c>
      <c r="F43" s="3491" t="s">
        <v>1186</v>
      </c>
      <c r="G43" s="3492"/>
      <c r="H43" s="638"/>
      <c r="I43" s="1326">
        <v>32</v>
      </c>
      <c r="J43" s="3514">
        <v>81</v>
      </c>
      <c r="K43" s="3495"/>
      <c r="L43" s="3509"/>
      <c r="M43" s="3509"/>
      <c r="N43" s="3510"/>
      <c r="O43" s="3496"/>
      <c r="P43" s="3496"/>
      <c r="Q43" s="3496"/>
      <c r="R43" s="3496"/>
      <c r="S43" s="3496"/>
      <c r="T43" s="3496"/>
      <c r="U43" s="1110"/>
    </row>
    <row r="44" spans="2:21" ht="24" customHeight="1" x14ac:dyDescent="0.3">
      <c r="B44" s="3476">
        <v>10</v>
      </c>
      <c r="C44" s="3477" t="s">
        <v>572</v>
      </c>
      <c r="D44" s="3478" t="s">
        <v>2026</v>
      </c>
      <c r="E44" s="3479" t="s">
        <v>363</v>
      </c>
      <c r="F44" s="3480" t="s">
        <v>1186</v>
      </c>
      <c r="G44" s="3481">
        <v>2004</v>
      </c>
      <c r="H44" s="640"/>
      <c r="I44" s="3497">
        <v>409</v>
      </c>
      <c r="J44" s="3483">
        <v>205</v>
      </c>
      <c r="K44" s="3484">
        <v>30</v>
      </c>
      <c r="L44" s="3511">
        <v>803</v>
      </c>
      <c r="M44" s="3485">
        <v>3402</v>
      </c>
      <c r="N44" s="3486">
        <v>1911</v>
      </c>
      <c r="O44" s="3487">
        <v>0</v>
      </c>
      <c r="P44" s="3487">
        <v>0</v>
      </c>
      <c r="Q44" s="3487">
        <v>0</v>
      </c>
      <c r="R44" s="3487">
        <v>0</v>
      </c>
      <c r="S44" s="3487">
        <v>0</v>
      </c>
      <c r="T44" s="3487">
        <v>0</v>
      </c>
      <c r="U44" s="544"/>
    </row>
    <row r="45" spans="2:21" ht="24" customHeight="1" x14ac:dyDescent="0.3">
      <c r="B45" s="3476">
        <v>11</v>
      </c>
      <c r="C45" s="3488" t="s">
        <v>572</v>
      </c>
      <c r="D45" s="3489" t="s">
        <v>2019</v>
      </c>
      <c r="E45" s="3490" t="s">
        <v>363</v>
      </c>
      <c r="F45" s="3491" t="s">
        <v>1186</v>
      </c>
      <c r="G45" s="3492">
        <v>2004</v>
      </c>
      <c r="H45" s="638"/>
      <c r="I45" s="1326">
        <v>277</v>
      </c>
      <c r="J45" s="3502">
        <v>161</v>
      </c>
      <c r="K45" s="3515">
        <v>277</v>
      </c>
      <c r="L45" s="3509">
        <v>62</v>
      </c>
      <c r="M45" s="3509">
        <v>272</v>
      </c>
      <c r="N45" s="3510">
        <v>305</v>
      </c>
      <c r="O45" s="3496">
        <v>0</v>
      </c>
      <c r="P45" s="3496">
        <v>0</v>
      </c>
      <c r="Q45" s="3496">
        <v>0</v>
      </c>
      <c r="R45" s="3496">
        <v>0</v>
      </c>
      <c r="S45" s="3496">
        <v>0</v>
      </c>
      <c r="T45" s="3496">
        <v>0</v>
      </c>
      <c r="U45" s="1110"/>
    </row>
    <row r="46" spans="2:21" ht="24" customHeight="1" x14ac:dyDescent="0.3">
      <c r="B46" s="3476">
        <v>12</v>
      </c>
      <c r="C46" s="3477" t="s">
        <v>572</v>
      </c>
      <c r="D46" s="3478" t="s">
        <v>2020</v>
      </c>
      <c r="E46" s="3479" t="s">
        <v>363</v>
      </c>
      <c r="F46" s="3480" t="s">
        <v>1186</v>
      </c>
      <c r="G46" s="3481">
        <v>2004</v>
      </c>
      <c r="H46" s="640"/>
      <c r="I46" s="3497">
        <v>796</v>
      </c>
      <c r="J46" s="3483">
        <v>750</v>
      </c>
      <c r="K46" s="3484">
        <v>109</v>
      </c>
      <c r="L46" s="3485">
        <v>3742</v>
      </c>
      <c r="M46" s="3485">
        <v>1374</v>
      </c>
      <c r="N46" s="3516">
        <v>0</v>
      </c>
      <c r="O46" s="3487">
        <v>0</v>
      </c>
      <c r="P46" s="3487">
        <v>0</v>
      </c>
      <c r="Q46" s="3487">
        <v>0</v>
      </c>
      <c r="R46" s="3487">
        <v>0</v>
      </c>
      <c r="S46" s="3487">
        <v>0</v>
      </c>
      <c r="T46" s="3487">
        <v>0</v>
      </c>
      <c r="U46" s="544"/>
    </row>
    <row r="47" spans="2:21" ht="24" customHeight="1" x14ac:dyDescent="0.3">
      <c r="B47" s="3476"/>
      <c r="C47" s="3488" t="s">
        <v>572</v>
      </c>
      <c r="D47" s="3489" t="s">
        <v>2027</v>
      </c>
      <c r="E47" s="3490" t="s">
        <v>363</v>
      </c>
      <c r="F47" s="3491" t="s">
        <v>1186</v>
      </c>
      <c r="G47" s="3492">
        <v>2004</v>
      </c>
      <c r="H47" s="638"/>
      <c r="I47" s="3507"/>
      <c r="J47" s="3508"/>
      <c r="K47" s="3517">
        <v>8261</v>
      </c>
      <c r="L47" s="3509">
        <v>278</v>
      </c>
      <c r="M47" s="3509">
        <v>61</v>
      </c>
      <c r="N47" s="3510">
        <v>33</v>
      </c>
      <c r="O47" s="3496">
        <v>0</v>
      </c>
      <c r="P47" s="3496">
        <v>0</v>
      </c>
      <c r="Q47" s="3496">
        <v>0</v>
      </c>
      <c r="R47" s="3496">
        <v>0</v>
      </c>
      <c r="S47" s="3496">
        <v>0</v>
      </c>
      <c r="T47" s="3496">
        <v>0</v>
      </c>
      <c r="U47" s="1110"/>
    </row>
    <row r="48" spans="2:21" ht="24" customHeight="1" x14ac:dyDescent="0.3">
      <c r="B48" s="3476"/>
      <c r="C48" s="3488"/>
      <c r="D48" s="3489" t="s">
        <v>2028</v>
      </c>
      <c r="E48" s="3490" t="s">
        <v>363</v>
      </c>
      <c r="F48" s="3491" t="s">
        <v>1186</v>
      </c>
      <c r="G48" s="3492"/>
      <c r="H48" s="640"/>
      <c r="I48" s="3507"/>
      <c r="J48" s="3508"/>
      <c r="K48" s="3518">
        <v>2800.9</v>
      </c>
      <c r="L48" s="3509"/>
      <c r="M48" s="3509"/>
      <c r="N48" s="3510"/>
      <c r="O48" s="3496"/>
      <c r="P48" s="3496"/>
      <c r="Q48" s="3496"/>
      <c r="R48" s="3496"/>
      <c r="S48" s="3496"/>
      <c r="T48" s="3496"/>
      <c r="U48" s="1110"/>
    </row>
    <row r="49" spans="2:21" ht="24" customHeight="1" x14ac:dyDescent="0.3">
      <c r="B49" s="3476"/>
      <c r="C49" s="3477" t="s">
        <v>572</v>
      </c>
      <c r="D49" s="3478" t="s">
        <v>2029</v>
      </c>
      <c r="E49" s="3479" t="s">
        <v>363</v>
      </c>
      <c r="F49" s="3480" t="s">
        <v>1186</v>
      </c>
      <c r="G49" s="3481">
        <v>2004</v>
      </c>
      <c r="H49" s="638"/>
      <c r="I49" s="1327">
        <v>0</v>
      </c>
      <c r="J49" s="3499">
        <v>0</v>
      </c>
      <c r="K49" s="3484">
        <v>63</v>
      </c>
      <c r="L49" s="3511">
        <v>420</v>
      </c>
      <c r="M49" s="3485">
        <v>1855</v>
      </c>
      <c r="N49" s="3486">
        <v>2292</v>
      </c>
      <c r="O49" s="3487">
        <v>0</v>
      </c>
      <c r="P49" s="3487">
        <v>0</v>
      </c>
      <c r="Q49" s="3487">
        <v>0</v>
      </c>
      <c r="R49" s="3487">
        <v>0</v>
      </c>
      <c r="S49" s="3487">
        <v>0</v>
      </c>
      <c r="T49" s="3487">
        <v>0</v>
      </c>
      <c r="U49" s="544"/>
    </row>
    <row r="50" spans="2:21" ht="24" customHeight="1" x14ac:dyDescent="0.3">
      <c r="B50" s="3476">
        <v>13</v>
      </c>
      <c r="C50" s="3488" t="s">
        <v>572</v>
      </c>
      <c r="D50" s="3489" t="s">
        <v>2030</v>
      </c>
      <c r="E50" s="3490" t="s">
        <v>363</v>
      </c>
      <c r="F50" s="3491" t="s">
        <v>1186</v>
      </c>
      <c r="G50" s="3492">
        <v>2004</v>
      </c>
      <c r="H50" s="640"/>
      <c r="I50" s="1326">
        <v>697.29100000000005</v>
      </c>
      <c r="J50" s="3502">
        <v>256</v>
      </c>
      <c r="K50" s="3510">
        <v>172</v>
      </c>
      <c r="L50" s="3504">
        <v>1088</v>
      </c>
      <c r="M50" s="3509">
        <v>501</v>
      </c>
      <c r="N50" s="3510">
        <v>518</v>
      </c>
      <c r="O50" s="3496">
        <v>0</v>
      </c>
      <c r="P50" s="3496">
        <v>0</v>
      </c>
      <c r="Q50" s="3496">
        <v>0</v>
      </c>
      <c r="R50" s="3496">
        <v>0</v>
      </c>
      <c r="S50" s="3496">
        <v>0</v>
      </c>
      <c r="T50" s="3496">
        <v>0</v>
      </c>
      <c r="U50" s="1110"/>
    </row>
    <row r="51" spans="2:21" ht="24" customHeight="1" x14ac:dyDescent="0.3">
      <c r="B51" s="3476">
        <v>14</v>
      </c>
      <c r="C51" s="3477" t="s">
        <v>572</v>
      </c>
      <c r="D51" s="3478" t="s">
        <v>2021</v>
      </c>
      <c r="E51" s="3479" t="s">
        <v>363</v>
      </c>
      <c r="F51" s="3480" t="s">
        <v>1186</v>
      </c>
      <c r="G51" s="3481">
        <v>2004</v>
      </c>
      <c r="H51" s="638"/>
      <c r="I51" s="3497">
        <v>105</v>
      </c>
      <c r="J51" s="3483">
        <v>82</v>
      </c>
      <c r="K51" s="3484">
        <v>115</v>
      </c>
      <c r="L51" s="3519">
        <v>0</v>
      </c>
      <c r="M51" s="3511">
        <v>120</v>
      </c>
      <c r="N51" s="3484">
        <v>170</v>
      </c>
      <c r="O51" s="3487">
        <v>0</v>
      </c>
      <c r="P51" s="3487">
        <v>0</v>
      </c>
      <c r="Q51" s="3487">
        <v>0</v>
      </c>
      <c r="R51" s="3487">
        <v>0</v>
      </c>
      <c r="S51" s="3487">
        <v>0</v>
      </c>
      <c r="T51" s="3487">
        <v>0</v>
      </c>
      <c r="U51" s="544"/>
    </row>
    <row r="52" spans="2:21" ht="24" customHeight="1" x14ac:dyDescent="0.3">
      <c r="B52" s="3476">
        <v>15</v>
      </c>
      <c r="C52" s="3488" t="s">
        <v>572</v>
      </c>
      <c r="D52" s="3489" t="s">
        <v>2031</v>
      </c>
      <c r="E52" s="3490" t="s">
        <v>363</v>
      </c>
      <c r="F52" s="3491" t="s">
        <v>1186</v>
      </c>
      <c r="G52" s="3492">
        <v>2004</v>
      </c>
      <c r="H52" s="640"/>
      <c r="I52" s="1326">
        <v>6511</v>
      </c>
      <c r="J52" s="3508"/>
      <c r="K52" s="3517">
        <v>8802</v>
      </c>
      <c r="L52" s="3509">
        <v>164</v>
      </c>
      <c r="M52" s="3504">
        <v>8003</v>
      </c>
      <c r="N52" s="3505">
        <v>7312</v>
      </c>
      <c r="O52" s="3496">
        <v>0</v>
      </c>
      <c r="P52" s="3496">
        <v>0</v>
      </c>
      <c r="Q52" s="3496">
        <v>0</v>
      </c>
      <c r="R52" s="3496">
        <v>0</v>
      </c>
      <c r="S52" s="3496">
        <v>0</v>
      </c>
      <c r="T52" s="3496">
        <v>0</v>
      </c>
      <c r="U52" s="1110"/>
    </row>
    <row r="53" spans="2:21" ht="24" customHeight="1" x14ac:dyDescent="0.3">
      <c r="B53" s="3476"/>
      <c r="C53" s="3488"/>
      <c r="D53" s="3489" t="s">
        <v>2032</v>
      </c>
      <c r="E53" s="3490" t="s">
        <v>363</v>
      </c>
      <c r="F53" s="3491" t="s">
        <v>1186</v>
      </c>
      <c r="G53" s="3492"/>
      <c r="H53" s="638"/>
      <c r="I53" s="3507">
        <v>6163.274322536854</v>
      </c>
      <c r="J53" s="3508"/>
      <c r="K53" s="3518">
        <v>2800.87</v>
      </c>
      <c r="L53" s="3509"/>
      <c r="M53" s="3509"/>
      <c r="N53" s="3510"/>
      <c r="O53" s="3496"/>
      <c r="P53" s="3496"/>
      <c r="Q53" s="3496"/>
      <c r="R53" s="3496"/>
      <c r="S53" s="3496"/>
      <c r="T53" s="3496"/>
      <c r="U53" s="1110"/>
    </row>
    <row r="54" spans="2:21" ht="24" customHeight="1" x14ac:dyDescent="0.3">
      <c r="B54" s="3476">
        <v>16</v>
      </c>
      <c r="C54" s="3477" t="s">
        <v>572</v>
      </c>
      <c r="D54" s="3478" t="s">
        <v>2033</v>
      </c>
      <c r="E54" s="3479" t="s">
        <v>363</v>
      </c>
      <c r="F54" s="3480" t="s">
        <v>1186</v>
      </c>
      <c r="G54" s="3481">
        <v>2004</v>
      </c>
      <c r="H54" s="640"/>
      <c r="I54" s="3520">
        <v>173</v>
      </c>
      <c r="J54" s="3483">
        <v>428</v>
      </c>
      <c r="K54" s="3484">
        <v>32</v>
      </c>
      <c r="L54" s="3519">
        <v>0</v>
      </c>
      <c r="M54" s="3511">
        <v>398</v>
      </c>
      <c r="N54" s="3484">
        <v>613</v>
      </c>
      <c r="O54" s="3487">
        <v>0</v>
      </c>
      <c r="P54" s="3487">
        <v>0</v>
      </c>
      <c r="Q54" s="3487">
        <v>0</v>
      </c>
      <c r="R54" s="3487">
        <v>0</v>
      </c>
      <c r="S54" s="3487">
        <v>0</v>
      </c>
      <c r="T54" s="3487">
        <v>0</v>
      </c>
      <c r="U54" s="544"/>
    </row>
    <row r="55" spans="2:21" ht="24" customHeight="1" x14ac:dyDescent="0.3">
      <c r="B55" s="3476"/>
      <c r="C55" s="3488" t="s">
        <v>572</v>
      </c>
      <c r="D55" s="3489" t="s">
        <v>2034</v>
      </c>
      <c r="E55" s="3490" t="s">
        <v>363</v>
      </c>
      <c r="F55" s="3491" t="s">
        <v>1186</v>
      </c>
      <c r="G55" s="3492">
        <v>2004</v>
      </c>
      <c r="H55" s="638"/>
      <c r="I55" s="3507">
        <v>0</v>
      </c>
      <c r="J55" s="3508">
        <v>0</v>
      </c>
      <c r="K55" s="3493">
        <v>0</v>
      </c>
      <c r="L55" s="3509">
        <v>337</v>
      </c>
      <c r="M55" s="3494">
        <v>0</v>
      </c>
      <c r="N55" s="3510">
        <v>205</v>
      </c>
      <c r="O55" s="3496">
        <v>0</v>
      </c>
      <c r="P55" s="3496">
        <v>0</v>
      </c>
      <c r="Q55" s="3496">
        <v>0</v>
      </c>
      <c r="R55" s="3496">
        <v>0</v>
      </c>
      <c r="S55" s="3496">
        <v>0</v>
      </c>
      <c r="T55" s="3496">
        <v>0</v>
      </c>
      <c r="U55" s="1110"/>
    </row>
    <row r="56" spans="2:21" ht="24" customHeight="1" x14ac:dyDescent="0.3">
      <c r="B56" s="3476"/>
      <c r="C56" s="3477" t="s">
        <v>572</v>
      </c>
      <c r="D56" s="3478" t="s">
        <v>2027</v>
      </c>
      <c r="E56" s="3479" t="s">
        <v>363</v>
      </c>
      <c r="F56" s="3480" t="s">
        <v>1186</v>
      </c>
      <c r="G56" s="3481">
        <v>2004</v>
      </c>
      <c r="H56" s="640"/>
      <c r="I56" s="1327">
        <v>0</v>
      </c>
      <c r="J56" s="3483">
        <v>23</v>
      </c>
      <c r="K56" s="3484">
        <v>152</v>
      </c>
      <c r="L56" s="3511">
        <v>468</v>
      </c>
      <c r="M56" s="3511">
        <v>460</v>
      </c>
      <c r="N56" s="3484">
        <v>265</v>
      </c>
      <c r="O56" s="3487">
        <v>0</v>
      </c>
      <c r="P56" s="3487">
        <v>0</v>
      </c>
      <c r="Q56" s="3487">
        <v>0</v>
      </c>
      <c r="R56" s="3487">
        <v>0</v>
      </c>
      <c r="S56" s="3487">
        <v>0</v>
      </c>
      <c r="T56" s="3487">
        <v>0</v>
      </c>
      <c r="U56" s="544"/>
    </row>
    <row r="57" spans="2:21" ht="24" customHeight="1" x14ac:dyDescent="0.3">
      <c r="B57" s="3476">
        <v>17</v>
      </c>
      <c r="C57" s="3488" t="s">
        <v>572</v>
      </c>
      <c r="D57" s="3489" t="s">
        <v>2035</v>
      </c>
      <c r="E57" s="3490" t="s">
        <v>363</v>
      </c>
      <c r="F57" s="3491" t="s">
        <v>1186</v>
      </c>
      <c r="G57" s="3492">
        <v>2004</v>
      </c>
      <c r="H57" s="638"/>
      <c r="I57" s="1326">
        <v>298</v>
      </c>
      <c r="J57" s="3508">
        <v>0</v>
      </c>
      <c r="K57" s="3515">
        <v>480</v>
      </c>
      <c r="L57" s="3509">
        <v>311</v>
      </c>
      <c r="M57" s="3509">
        <v>324</v>
      </c>
      <c r="N57" s="3510">
        <v>171</v>
      </c>
      <c r="O57" s="3496"/>
      <c r="P57" s="3496">
        <v>0</v>
      </c>
      <c r="Q57" s="3496">
        <v>0</v>
      </c>
      <c r="R57" s="3496">
        <v>0</v>
      </c>
      <c r="S57" s="3496">
        <v>0</v>
      </c>
      <c r="T57" s="3496">
        <v>0</v>
      </c>
      <c r="U57" s="1110"/>
    </row>
    <row r="58" spans="2:21" ht="24" customHeight="1" x14ac:dyDescent="0.3">
      <c r="B58" s="3476">
        <v>18</v>
      </c>
      <c r="C58" s="3477" t="s">
        <v>572</v>
      </c>
      <c r="D58" s="3478" t="s">
        <v>2022</v>
      </c>
      <c r="E58" s="3479" t="s">
        <v>363</v>
      </c>
      <c r="F58" s="3480" t="s">
        <v>1186</v>
      </c>
      <c r="G58" s="3481">
        <v>2004</v>
      </c>
      <c r="H58" s="640"/>
      <c r="I58" s="3497">
        <v>299</v>
      </c>
      <c r="J58" s="3483">
        <v>201</v>
      </c>
      <c r="K58" s="3484">
        <v>263</v>
      </c>
      <c r="L58" s="3485">
        <v>8855</v>
      </c>
      <c r="M58" s="3511">
        <v>431</v>
      </c>
      <c r="N58" s="3484">
        <v>429</v>
      </c>
      <c r="O58" s="3487"/>
      <c r="P58" s="3487">
        <v>0</v>
      </c>
      <c r="Q58" s="3487">
        <v>0</v>
      </c>
      <c r="R58" s="3487">
        <v>0</v>
      </c>
      <c r="S58" s="3487">
        <v>0</v>
      </c>
      <c r="T58" s="3487">
        <v>0</v>
      </c>
      <c r="U58" s="544"/>
    </row>
    <row r="59" spans="2:21" ht="24" customHeight="1" x14ac:dyDescent="0.3">
      <c r="B59" s="3476"/>
      <c r="C59" s="3488" t="s">
        <v>572</v>
      </c>
      <c r="D59" s="3489" t="s">
        <v>2036</v>
      </c>
      <c r="E59" s="3490" t="s">
        <v>363</v>
      </c>
      <c r="F59" s="3491" t="s">
        <v>1186</v>
      </c>
      <c r="G59" s="3492">
        <v>2004</v>
      </c>
      <c r="H59" s="640"/>
      <c r="I59" s="3507">
        <v>0</v>
      </c>
      <c r="J59" s="3521">
        <v>0</v>
      </c>
      <c r="K59" s="3495">
        <v>0</v>
      </c>
      <c r="L59" s="3509">
        <v>19</v>
      </c>
      <c r="M59" s="3509">
        <v>731</v>
      </c>
      <c r="N59" s="3495">
        <v>0</v>
      </c>
      <c r="O59" s="3496"/>
      <c r="P59" s="3496">
        <v>0</v>
      </c>
      <c r="Q59" s="3496">
        <v>0</v>
      </c>
      <c r="R59" s="3496">
        <v>0</v>
      </c>
      <c r="S59" s="3496">
        <v>0</v>
      </c>
      <c r="T59" s="3496">
        <v>0</v>
      </c>
      <c r="U59" s="1110"/>
    </row>
    <row r="60" spans="2:21" ht="24" customHeight="1" x14ac:dyDescent="0.3">
      <c r="B60" s="3476"/>
      <c r="C60" s="3477" t="s">
        <v>572</v>
      </c>
      <c r="D60" s="3478" t="s">
        <v>2036</v>
      </c>
      <c r="E60" s="3479" t="s">
        <v>363</v>
      </c>
      <c r="F60" s="3522" t="s">
        <v>1186</v>
      </c>
      <c r="G60" s="3481">
        <v>2004</v>
      </c>
      <c r="H60" s="640"/>
      <c r="I60" s="1327">
        <v>0</v>
      </c>
      <c r="J60" s="3499">
        <v>0</v>
      </c>
      <c r="K60" s="3499">
        <v>0</v>
      </c>
      <c r="L60" s="3519">
        <v>0</v>
      </c>
      <c r="M60" s="3484">
        <v>851</v>
      </c>
      <c r="N60" s="3516">
        <v>0</v>
      </c>
      <c r="O60" s="3487"/>
      <c r="P60" s="3487">
        <v>0</v>
      </c>
      <c r="Q60" s="3487">
        <v>0</v>
      </c>
      <c r="R60" s="3487">
        <v>0</v>
      </c>
      <c r="S60" s="3487">
        <v>0</v>
      </c>
      <c r="T60" s="3487">
        <v>0</v>
      </c>
      <c r="U60" s="544"/>
    </row>
    <row r="61" spans="2:21" ht="24" customHeight="1" x14ac:dyDescent="0.3">
      <c r="B61" s="1301">
        <v>19</v>
      </c>
      <c r="C61" s="3523" t="s">
        <v>572</v>
      </c>
      <c r="D61" s="3523" t="s">
        <v>2023</v>
      </c>
      <c r="E61" s="3524" t="s">
        <v>363</v>
      </c>
      <c r="F61" s="3523" t="s">
        <v>1186</v>
      </c>
      <c r="G61" s="3175">
        <v>2004</v>
      </c>
      <c r="H61" s="640"/>
      <c r="I61" s="1326">
        <v>960.02859354838699</v>
      </c>
      <c r="J61" s="3508">
        <v>0</v>
      </c>
      <c r="K61" s="3510">
        <v>341</v>
      </c>
      <c r="L61" s="3493"/>
      <c r="M61" s="3493"/>
      <c r="N61" s="3493"/>
      <c r="O61" s="3176"/>
      <c r="P61" s="3176"/>
      <c r="Q61" s="3176"/>
      <c r="R61" s="3176"/>
      <c r="S61" s="3176"/>
      <c r="T61" s="3176"/>
      <c r="U61" s="1110"/>
    </row>
    <row r="62" spans="2:21" ht="24" customHeight="1" x14ac:dyDescent="0.3">
      <c r="B62" s="1301"/>
      <c r="C62" s="3525" t="s">
        <v>572</v>
      </c>
      <c r="D62" s="3525" t="s">
        <v>2036</v>
      </c>
      <c r="E62" s="3526" t="s">
        <v>363</v>
      </c>
      <c r="F62" s="3525" t="s">
        <v>1186</v>
      </c>
      <c r="G62" s="3160">
        <v>2004</v>
      </c>
      <c r="H62" s="640"/>
      <c r="I62" s="1327">
        <v>0</v>
      </c>
      <c r="J62" s="3483">
        <v>178</v>
      </c>
      <c r="K62" s="3484">
        <v>71</v>
      </c>
      <c r="L62" s="3499"/>
      <c r="M62" s="3499"/>
      <c r="N62" s="3499"/>
      <c r="O62" s="3161"/>
      <c r="P62" s="3161"/>
      <c r="Q62" s="3161"/>
      <c r="R62" s="3161"/>
      <c r="S62" s="3161"/>
      <c r="T62" s="3161"/>
      <c r="U62" s="544"/>
    </row>
    <row r="63" spans="2:21" ht="24" customHeight="1" x14ac:dyDescent="0.3">
      <c r="B63" s="1301">
        <v>20</v>
      </c>
      <c r="C63" s="3523" t="s">
        <v>572</v>
      </c>
      <c r="D63" s="3523" t="s">
        <v>2037</v>
      </c>
      <c r="E63" s="3524" t="s">
        <v>363</v>
      </c>
      <c r="F63" s="3523" t="s">
        <v>1186</v>
      </c>
      <c r="G63" s="3175">
        <v>2004</v>
      </c>
      <c r="H63" s="638"/>
      <c r="I63" s="1326">
        <v>1252</v>
      </c>
      <c r="J63" s="3502">
        <v>684</v>
      </c>
      <c r="K63" s="3510">
        <v>70</v>
      </c>
      <c r="L63" s="3493"/>
      <c r="M63" s="3493"/>
      <c r="N63" s="3493"/>
      <c r="O63" s="3176"/>
      <c r="P63" s="3176"/>
      <c r="Q63" s="3176"/>
      <c r="R63" s="3176"/>
      <c r="S63" s="3176"/>
      <c r="T63" s="3176"/>
      <c r="U63" s="1110"/>
    </row>
    <row r="64" spans="2:21" ht="24" customHeight="1" x14ac:dyDescent="0.3">
      <c r="B64" s="1301"/>
      <c r="C64" s="3525" t="s">
        <v>572</v>
      </c>
      <c r="D64" s="3525" t="s">
        <v>2036</v>
      </c>
      <c r="E64" s="3526" t="s">
        <v>363</v>
      </c>
      <c r="F64" s="3525" t="s">
        <v>1186</v>
      </c>
      <c r="G64" s="3527">
        <v>2004</v>
      </c>
      <c r="H64" s="640"/>
      <c r="I64" s="1327">
        <v>0</v>
      </c>
      <c r="J64" s="3499">
        <v>0</v>
      </c>
      <c r="K64" s="3484">
        <v>15</v>
      </c>
      <c r="L64" s="3499"/>
      <c r="M64" s="3499"/>
      <c r="N64" s="3499"/>
      <c r="O64" s="3161"/>
      <c r="P64" s="3161"/>
      <c r="Q64" s="3161"/>
      <c r="R64" s="3161"/>
      <c r="S64" s="3161"/>
      <c r="T64" s="3161"/>
      <c r="U64" s="544"/>
    </row>
    <row r="65" spans="2:21" ht="24" customHeight="1" x14ac:dyDescent="0.3">
      <c r="B65" s="3528">
        <v>21</v>
      </c>
      <c r="C65" s="3529" t="s">
        <v>572</v>
      </c>
      <c r="D65" s="3530" t="s">
        <v>2038</v>
      </c>
      <c r="E65" s="3531" t="s">
        <v>363</v>
      </c>
      <c r="F65" s="3530" t="s">
        <v>1186</v>
      </c>
      <c r="G65" s="3532">
        <v>2004</v>
      </c>
      <c r="H65" s="646"/>
      <c r="I65" s="3533">
        <v>55</v>
      </c>
      <c r="J65" s="3534">
        <v>563</v>
      </c>
      <c r="K65" s="3535"/>
      <c r="L65" s="3536"/>
      <c r="M65" s="3536"/>
      <c r="N65" s="3537"/>
      <c r="O65" s="3538"/>
      <c r="P65" s="3539"/>
      <c r="Q65" s="1115"/>
      <c r="R65" s="1115"/>
      <c r="S65" s="1115"/>
      <c r="T65" s="1115"/>
      <c r="U65" s="1115"/>
    </row>
    <row r="66" spans="2:21" ht="15.75" customHeight="1" x14ac:dyDescent="0.3">
      <c r="I66" s="3540">
        <f>SUM(I32:I65)-I52</f>
        <v>22301.760711784158</v>
      </c>
    </row>
    <row r="67" spans="2:21" ht="15.75" customHeight="1" x14ac:dyDescent="0.3">
      <c r="B67" s="560" t="s">
        <v>355</v>
      </c>
      <c r="C67" s="561" t="s">
        <v>356</v>
      </c>
    </row>
    <row r="68" spans="2:21" ht="15.75" customHeight="1" x14ac:dyDescent="0.3"/>
    <row r="69" spans="2:21" ht="15.75" customHeight="1" x14ac:dyDescent="0.3">
      <c r="B69" s="4383" t="s">
        <v>357</v>
      </c>
      <c r="C69" s="4384"/>
      <c r="D69" s="3541"/>
    </row>
    <row r="70" spans="2:21" ht="15.75" customHeight="1" x14ac:dyDescent="0.3">
      <c r="B70" s="562" t="s">
        <v>301</v>
      </c>
    </row>
    <row r="71" spans="2:21" ht="15.75" customHeight="1" x14ac:dyDescent="0.3">
      <c r="B71" s="562" t="s">
        <v>301</v>
      </c>
      <c r="C71" s="1287" t="s">
        <v>2326</v>
      </c>
      <c r="D71" s="3500"/>
      <c r="E71" s="3500">
        <v>282</v>
      </c>
    </row>
    <row r="72" spans="2:21" ht="15.75" customHeight="1" x14ac:dyDescent="0.3"/>
    <row r="73" spans="2:21" ht="15.75" customHeight="1" x14ac:dyDescent="0.3"/>
    <row r="74" spans="2:21" ht="15.75" customHeight="1" x14ac:dyDescent="0.3"/>
    <row r="75" spans="2:21" ht="15.75" customHeight="1" x14ac:dyDescent="0.3"/>
    <row r="76" spans="2:21" ht="15.75" customHeight="1" x14ac:dyDescent="0.3"/>
    <row r="77" spans="2:21" ht="15.75" customHeight="1" x14ac:dyDescent="0.3"/>
    <row r="78" spans="2:21" ht="15.75" customHeight="1" x14ac:dyDescent="0.3"/>
    <row r="79" spans="2:21" ht="15.75" customHeight="1" x14ac:dyDescent="0.3"/>
    <row r="80" spans="2:21"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sheetData>
  <mergeCells count="2">
    <mergeCell ref="B22:C22"/>
    <mergeCell ref="B69:C69"/>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A00C5-9250-4719-898C-889C766F1A69}">
  <dimension ref="A1:Q996"/>
  <sheetViews>
    <sheetView topLeftCell="A28" workbookViewId="0">
      <selection activeCell="R13" sqref="R13"/>
    </sheetView>
  </sheetViews>
  <sheetFormatPr defaultColWidth="12.44140625" defaultRowHeight="15" customHeight="1" x14ac:dyDescent="0.3"/>
  <cols>
    <col min="1" max="1" width="2.6640625" style="428" customWidth="1"/>
    <col min="2" max="2" width="35.109375" style="428" customWidth="1"/>
    <col min="3" max="3" width="23.5546875" style="428" customWidth="1"/>
    <col min="4" max="6" width="20" style="428" hidden="1" customWidth="1"/>
    <col min="7" max="7" width="1.5546875" style="428" customWidth="1"/>
    <col min="8" max="8" width="14.6640625" style="428" customWidth="1"/>
    <col min="9" max="9" width="7.33203125" style="428" customWidth="1"/>
    <col min="10" max="10" width="34" style="428" hidden="1" customWidth="1"/>
    <col min="11" max="14" width="16" style="428" hidden="1" customWidth="1"/>
    <col min="15" max="15" width="1.5546875" style="428" hidden="1" customWidth="1"/>
    <col min="16" max="16" width="15.21875" style="428" hidden="1" customWidth="1"/>
    <col min="17" max="17" width="11.6640625" style="428" customWidth="1"/>
    <col min="18" max="16384" width="12.44140625" style="428"/>
  </cols>
  <sheetData>
    <row r="1" spans="1:17" ht="21.75" customHeight="1" x14ac:dyDescent="0.35">
      <c r="A1" s="424"/>
      <c r="B1" s="425" t="s">
        <v>549</v>
      </c>
      <c r="C1" s="426"/>
      <c r="G1" s="427"/>
      <c r="I1" s="427"/>
      <c r="O1" s="427"/>
    </row>
    <row r="2" spans="1:17" ht="15.75" customHeight="1" x14ac:dyDescent="0.3">
      <c r="A2" s="424"/>
      <c r="B2" s="429" t="s">
        <v>299</v>
      </c>
      <c r="C2" s="430"/>
      <c r="D2" s="430"/>
      <c r="E2" s="430"/>
      <c r="F2" s="430"/>
      <c r="G2" s="430"/>
      <c r="H2" s="430"/>
      <c r="I2" s="430"/>
      <c r="J2" s="430"/>
      <c r="K2" s="430"/>
      <c r="L2" s="430"/>
      <c r="M2" s="430"/>
      <c r="N2" s="430"/>
      <c r="O2" s="430"/>
      <c r="P2" s="430"/>
    </row>
    <row r="3" spans="1:17" ht="9.75" customHeight="1" x14ac:dyDescent="0.3">
      <c r="A3" s="427"/>
      <c r="B3" s="431"/>
      <c r="G3" s="427"/>
      <c r="I3" s="427"/>
      <c r="O3" s="427"/>
    </row>
    <row r="4" spans="1:17" ht="6" customHeight="1" x14ac:dyDescent="0.3">
      <c r="B4" s="427"/>
      <c r="G4" s="427"/>
      <c r="I4" s="427"/>
      <c r="O4" s="427"/>
    </row>
    <row r="5" spans="1:17" ht="6" customHeight="1" x14ac:dyDescent="0.3">
      <c r="A5" s="431"/>
      <c r="G5" s="427"/>
      <c r="I5" s="427"/>
      <c r="O5" s="427"/>
    </row>
    <row r="6" spans="1:17" ht="15.75" customHeight="1" x14ac:dyDescent="0.3">
      <c r="G6" s="427"/>
      <c r="H6" s="427"/>
      <c r="I6" s="427"/>
      <c r="O6" s="427"/>
    </row>
    <row r="7" spans="1:17" ht="37.200000000000003" customHeight="1" x14ac:dyDescent="0.3">
      <c r="A7" s="432"/>
      <c r="B7" s="433">
        <v>2024</v>
      </c>
      <c r="C7" s="4385" t="s">
        <v>22</v>
      </c>
      <c r="D7" s="4386"/>
      <c r="E7" s="4386"/>
      <c r="F7" s="4386"/>
      <c r="G7" s="1980"/>
      <c r="H7" s="435" t="s">
        <v>300</v>
      </c>
      <c r="I7" s="432"/>
      <c r="J7" s="433">
        <v>2024</v>
      </c>
      <c r="K7" s="4385" t="s">
        <v>23</v>
      </c>
      <c r="L7" s="4386"/>
      <c r="M7" s="4386"/>
      <c r="N7" s="4386"/>
      <c r="O7" s="609"/>
      <c r="P7" s="435" t="s">
        <v>300</v>
      </c>
      <c r="Q7" s="432"/>
    </row>
    <row r="8" spans="1:17" ht="18" customHeight="1" x14ac:dyDescent="0.35">
      <c r="B8" s="436" t="s">
        <v>301</v>
      </c>
      <c r="C8" s="648">
        <v>1</v>
      </c>
      <c r="D8" s="572">
        <v>2</v>
      </c>
      <c r="E8" s="649">
        <v>3</v>
      </c>
      <c r="F8" s="648">
        <v>4</v>
      </c>
      <c r="G8" s="2944"/>
      <c r="H8" s="438"/>
      <c r="I8" s="427"/>
      <c r="J8" s="436" t="s">
        <v>301</v>
      </c>
      <c r="K8" s="648">
        <v>1</v>
      </c>
      <c r="L8" s="572">
        <v>2</v>
      </c>
      <c r="M8" s="649">
        <v>3</v>
      </c>
      <c r="N8" s="572">
        <v>4</v>
      </c>
      <c r="O8" s="610"/>
      <c r="P8" s="438"/>
    </row>
    <row r="9" spans="1:17" ht="46.5" customHeight="1" x14ac:dyDescent="0.3">
      <c r="B9" s="439" t="s">
        <v>302</v>
      </c>
      <c r="C9" s="573" t="s">
        <v>2374</v>
      </c>
      <c r="D9" s="573" t="s">
        <v>2356</v>
      </c>
      <c r="E9" s="573" t="s">
        <v>2356</v>
      </c>
      <c r="F9" s="573" t="s">
        <v>2356</v>
      </c>
      <c r="G9" s="574"/>
      <c r="H9" s="442"/>
      <c r="I9" s="443"/>
      <c r="J9" s="439" t="s">
        <v>302</v>
      </c>
      <c r="K9" s="573" t="s">
        <v>2356</v>
      </c>
      <c r="L9" s="573" t="s">
        <v>2356</v>
      </c>
      <c r="M9" s="573" t="s">
        <v>2356</v>
      </c>
      <c r="N9" s="573" t="s">
        <v>2356</v>
      </c>
      <c r="O9" s="611"/>
      <c r="P9" s="442"/>
    </row>
    <row r="10" spans="1:17" ht="51" customHeight="1" x14ac:dyDescent="0.3">
      <c r="B10" s="444" t="s">
        <v>304</v>
      </c>
      <c r="C10" s="445" t="s">
        <v>2375</v>
      </c>
      <c r="D10" s="445" t="s">
        <v>2357</v>
      </c>
      <c r="E10" s="445" t="s">
        <v>2357</v>
      </c>
      <c r="F10" s="445" t="s">
        <v>2357</v>
      </c>
      <c r="G10" s="574"/>
      <c r="H10" s="446"/>
      <c r="I10" s="443"/>
      <c r="J10" s="444" t="s">
        <v>304</v>
      </c>
      <c r="K10" s="445" t="s">
        <v>2357</v>
      </c>
      <c r="L10" s="445" t="s">
        <v>2357</v>
      </c>
      <c r="M10" s="445" t="s">
        <v>2357</v>
      </c>
      <c r="N10" s="445" t="s">
        <v>2357</v>
      </c>
      <c r="O10" s="612"/>
      <c r="P10" s="446"/>
    </row>
    <row r="11" spans="1:17" ht="18.75" customHeight="1" x14ac:dyDescent="0.3">
      <c r="A11" s="447"/>
      <c r="B11" s="448" t="s">
        <v>306</v>
      </c>
      <c r="C11" s="575">
        <f>(C17*C18)+(C22*C23)</f>
        <v>589.58300129618226</v>
      </c>
      <c r="D11" s="575">
        <f>(D17*D18)+(D22*D23)</f>
        <v>0</v>
      </c>
      <c r="E11" s="575">
        <f>(E17*E18)+(E22*E23)</f>
        <v>0</v>
      </c>
      <c r="F11" s="575">
        <f>(F17*F18)+(F22*F23)</f>
        <v>0</v>
      </c>
      <c r="G11" s="576"/>
      <c r="H11" s="451">
        <f t="shared" ref="H11:H12" si="0">SUM(C11:F11)</f>
        <v>589.58300129618226</v>
      </c>
      <c r="I11" s="452"/>
      <c r="J11" s="448" t="s">
        <v>306</v>
      </c>
      <c r="K11" s="1089">
        <f>(K17*K18)+(K22*K23)</f>
        <v>0</v>
      </c>
      <c r="L11" s="613">
        <f>(L17*L18)+(L22*L23)</f>
        <v>0</v>
      </c>
      <c r="M11" s="613">
        <f>(M17*M18)+(M22*M23)</f>
        <v>0</v>
      </c>
      <c r="N11" s="613">
        <f>(N17*N18)+(N22*N23)</f>
        <v>0</v>
      </c>
      <c r="O11" s="614"/>
      <c r="P11" s="451">
        <f t="shared" ref="P11:P12" si="1">SUM(K11:N11)</f>
        <v>0</v>
      </c>
      <c r="Q11" s="447"/>
    </row>
    <row r="12" spans="1:17" ht="18.75" customHeight="1" x14ac:dyDescent="0.3">
      <c r="A12" s="447"/>
      <c r="B12" s="453" t="s">
        <v>307</v>
      </c>
      <c r="C12" s="577">
        <f t="shared" ref="C12:F12" si="2">(C27*C28)+(C32*C33)</f>
        <v>0</v>
      </c>
      <c r="D12" s="652">
        <f t="shared" si="2"/>
        <v>0</v>
      </c>
      <c r="E12" s="653">
        <f t="shared" si="2"/>
        <v>0</v>
      </c>
      <c r="F12" s="577">
        <f t="shared" si="2"/>
        <v>0</v>
      </c>
      <c r="G12" s="455"/>
      <c r="H12" s="456">
        <f t="shared" si="0"/>
        <v>0</v>
      </c>
      <c r="I12" s="457"/>
      <c r="J12" s="453" t="s">
        <v>307</v>
      </c>
      <c r="K12" s="577">
        <f t="shared" ref="K12:N12" si="3">(K27*K28)+(K32*K33)</f>
        <v>0</v>
      </c>
      <c r="L12" s="577">
        <f t="shared" si="3"/>
        <v>0</v>
      </c>
      <c r="M12" s="577">
        <f t="shared" si="3"/>
        <v>0</v>
      </c>
      <c r="N12" s="577">
        <f t="shared" si="3"/>
        <v>0</v>
      </c>
      <c r="O12" s="614"/>
      <c r="P12" s="456">
        <f t="shared" si="1"/>
        <v>0</v>
      </c>
      <c r="Q12" s="447"/>
    </row>
    <row r="13" spans="1:17" ht="18.75" customHeight="1" x14ac:dyDescent="0.3">
      <c r="A13" s="447"/>
      <c r="B13" s="448" t="s">
        <v>308</v>
      </c>
      <c r="C13" s="654" t="s">
        <v>8</v>
      </c>
      <c r="D13" s="578" t="s">
        <v>8</v>
      </c>
      <c r="E13" s="654" t="s">
        <v>8</v>
      </c>
      <c r="F13" s="2963" t="s">
        <v>8</v>
      </c>
      <c r="G13" s="2964"/>
      <c r="H13" s="460"/>
      <c r="I13" s="461"/>
      <c r="J13" s="448" t="s">
        <v>308</v>
      </c>
      <c r="K13" s="654" t="s">
        <v>8</v>
      </c>
      <c r="L13" s="578" t="s">
        <v>8</v>
      </c>
      <c r="M13" s="654" t="s">
        <v>8</v>
      </c>
      <c r="N13" s="578" t="s">
        <v>8</v>
      </c>
      <c r="O13" s="615"/>
      <c r="P13" s="460"/>
      <c r="Q13" s="447"/>
    </row>
    <row r="14" spans="1:17" ht="18.75" customHeight="1" x14ac:dyDescent="0.3">
      <c r="A14" s="447"/>
      <c r="B14" s="462" t="s">
        <v>309</v>
      </c>
      <c r="C14" s="655">
        <f t="shared" ref="C14:F14" si="4">C11-C12</f>
        <v>589.58300129618226</v>
      </c>
      <c r="D14" s="579">
        <f t="shared" si="4"/>
        <v>0</v>
      </c>
      <c r="E14" s="655">
        <f t="shared" si="4"/>
        <v>0</v>
      </c>
      <c r="F14" s="2945">
        <f t="shared" si="4"/>
        <v>0</v>
      </c>
      <c r="G14" s="2946"/>
      <c r="H14" s="464">
        <f>SUM(C14:F14)</f>
        <v>589.58300129618226</v>
      </c>
      <c r="I14" s="457"/>
      <c r="J14" s="462" t="s">
        <v>309</v>
      </c>
      <c r="K14" s="655">
        <f t="shared" ref="K14:N14" si="5">K11-K12</f>
        <v>0</v>
      </c>
      <c r="L14" s="579">
        <f t="shared" si="5"/>
        <v>0</v>
      </c>
      <c r="M14" s="655">
        <f t="shared" si="5"/>
        <v>0</v>
      </c>
      <c r="N14" s="579">
        <f t="shared" si="5"/>
        <v>0</v>
      </c>
      <c r="O14" s="614"/>
      <c r="P14" s="464">
        <f>SUM(K14:N14)</f>
        <v>0</v>
      </c>
      <c r="Q14" s="447"/>
    </row>
    <row r="15" spans="1:17" ht="19.5" customHeight="1" x14ac:dyDescent="0.4">
      <c r="B15" s="465" t="s">
        <v>310</v>
      </c>
      <c r="C15" s="656"/>
      <c r="D15" s="657"/>
      <c r="E15" s="658"/>
      <c r="F15" s="656"/>
      <c r="G15" s="2947"/>
      <c r="H15" s="468"/>
      <c r="I15" s="467"/>
      <c r="J15" s="616" t="s">
        <v>395</v>
      </c>
      <c r="K15" s="659"/>
      <c r="L15" s="617"/>
      <c r="M15" s="659"/>
      <c r="N15" s="617"/>
      <c r="O15" s="618"/>
      <c r="P15" s="468"/>
      <c r="Q15" s="427"/>
    </row>
    <row r="16" spans="1:17" ht="35.4" customHeight="1" x14ac:dyDescent="0.3">
      <c r="A16" s="447"/>
      <c r="B16" s="469" t="s">
        <v>311</v>
      </c>
      <c r="C16" s="601" t="s">
        <v>2376</v>
      </c>
      <c r="D16" s="601" t="s">
        <v>2358</v>
      </c>
      <c r="E16" s="601" t="s">
        <v>2358</v>
      </c>
      <c r="F16" s="601" t="s">
        <v>2358</v>
      </c>
      <c r="G16" s="581"/>
      <c r="H16" s="471"/>
      <c r="I16" s="457"/>
      <c r="J16" s="469" t="s">
        <v>311</v>
      </c>
      <c r="K16" s="601" t="s">
        <v>2358</v>
      </c>
      <c r="L16" s="601" t="s">
        <v>2358</v>
      </c>
      <c r="M16" s="601" t="s">
        <v>2358</v>
      </c>
      <c r="N16" s="601" t="s">
        <v>2358</v>
      </c>
      <c r="O16" s="619"/>
      <c r="P16" s="620"/>
      <c r="Q16" s="447"/>
    </row>
    <row r="17" spans="1:17" ht="21" customHeight="1" x14ac:dyDescent="0.3">
      <c r="A17" s="447"/>
      <c r="B17" s="472" t="s">
        <v>2342</v>
      </c>
      <c r="C17" s="582">
        <f>'CF-0710|GDS'!I16</f>
        <v>304487.76115829649</v>
      </c>
      <c r="D17" s="660">
        <v>0</v>
      </c>
      <c r="E17" s="661">
        <v>0</v>
      </c>
      <c r="F17" s="582">
        <v>0</v>
      </c>
      <c r="G17" s="583"/>
      <c r="I17" s="475"/>
      <c r="J17" s="472" t="s">
        <v>398</v>
      </c>
      <c r="K17" s="662">
        <v>0</v>
      </c>
      <c r="L17" s="662">
        <v>0</v>
      </c>
      <c r="M17" s="662">
        <v>0</v>
      </c>
      <c r="N17" s="621">
        <v>0</v>
      </c>
      <c r="O17" s="622"/>
      <c r="P17" s="623"/>
      <c r="Q17" s="447"/>
    </row>
    <row r="18" spans="1:17" ht="18.75" customHeight="1" x14ac:dyDescent="0.3">
      <c r="A18" s="447"/>
      <c r="B18" s="476" t="s">
        <v>314</v>
      </c>
      <c r="C18" s="584">
        <v>1.9363110000000002E-3</v>
      </c>
      <c r="D18" s="584">
        <v>0</v>
      </c>
      <c r="E18" s="584">
        <v>0</v>
      </c>
      <c r="F18" s="584">
        <v>0</v>
      </c>
      <c r="G18" s="478"/>
      <c r="I18" s="479"/>
      <c r="J18" s="476" t="s">
        <v>314</v>
      </c>
      <c r="K18" s="584">
        <v>0</v>
      </c>
      <c r="L18" s="584">
        <v>0</v>
      </c>
      <c r="M18" s="584">
        <v>0</v>
      </c>
      <c r="N18" s="584">
        <v>0</v>
      </c>
      <c r="O18" s="614"/>
      <c r="P18" s="491"/>
      <c r="Q18" s="447"/>
    </row>
    <row r="19" spans="1:17" ht="19.5" customHeight="1" x14ac:dyDescent="0.3">
      <c r="A19" s="447"/>
      <c r="B19" s="480" t="s">
        <v>315</v>
      </c>
      <c r="C19" s="663">
        <f>C17*C18</f>
        <v>589.58300129618226</v>
      </c>
      <c r="D19" s="664">
        <f>D17*D18</f>
        <v>0</v>
      </c>
      <c r="E19" s="585">
        <f>E17*E18</f>
        <v>0</v>
      </c>
      <c r="F19" s="585">
        <f>F17*F18</f>
        <v>0</v>
      </c>
      <c r="G19" s="586"/>
      <c r="I19" s="479"/>
      <c r="J19" s="480" t="s">
        <v>315</v>
      </c>
      <c r="K19" s="664">
        <f>K17*K18</f>
        <v>0</v>
      </c>
      <c r="L19" s="663">
        <f>L17*L18</f>
        <v>0</v>
      </c>
      <c r="M19" s="664">
        <f>M17*M18</f>
        <v>0</v>
      </c>
      <c r="N19" s="585">
        <f>N17*N18</f>
        <v>0</v>
      </c>
      <c r="O19" s="614"/>
      <c r="P19" s="494"/>
      <c r="Q19" s="447"/>
    </row>
    <row r="20" spans="1:17" ht="19.5" hidden="1" customHeight="1" x14ac:dyDescent="0.4">
      <c r="B20" s="465" t="s">
        <v>310</v>
      </c>
      <c r="C20" s="656"/>
      <c r="D20" s="657"/>
      <c r="E20" s="658"/>
      <c r="F20" s="580"/>
      <c r="G20" s="467"/>
      <c r="I20" s="467"/>
      <c r="J20" s="465"/>
      <c r="K20" s="656"/>
      <c r="L20" s="657"/>
      <c r="M20" s="656"/>
      <c r="N20" s="657"/>
      <c r="O20" s="618"/>
      <c r="P20" s="467"/>
    </row>
    <row r="21" spans="1:17" ht="37.950000000000003" hidden="1" customHeight="1" x14ac:dyDescent="0.3">
      <c r="A21" s="447"/>
      <c r="B21" s="469" t="s">
        <v>311</v>
      </c>
      <c r="C21" s="601" t="s">
        <v>2359</v>
      </c>
      <c r="D21" s="601" t="s">
        <v>2358</v>
      </c>
      <c r="E21" s="601" t="s">
        <v>2358</v>
      </c>
      <c r="F21" s="601" t="s">
        <v>2358</v>
      </c>
      <c r="G21" s="1094"/>
      <c r="I21" s="457"/>
      <c r="J21" s="469"/>
      <c r="K21" s="601"/>
      <c r="L21" s="601"/>
      <c r="M21" s="601"/>
      <c r="N21" s="601"/>
      <c r="O21" s="619"/>
      <c r="P21" s="620"/>
      <c r="Q21" s="447"/>
    </row>
    <row r="22" spans="1:17" ht="21" hidden="1" customHeight="1" x14ac:dyDescent="0.3">
      <c r="A22" s="447"/>
      <c r="B22" s="472" t="s">
        <v>2342</v>
      </c>
      <c r="C22" s="661">
        <v>0</v>
      </c>
      <c r="D22" s="661">
        <v>0</v>
      </c>
      <c r="E22" s="661">
        <v>0</v>
      </c>
      <c r="F22" s="661">
        <v>0</v>
      </c>
      <c r="G22" s="583"/>
      <c r="I22" s="475"/>
      <c r="J22" s="472"/>
      <c r="K22" s="662"/>
      <c r="L22" s="662"/>
      <c r="M22" s="662"/>
      <c r="N22" s="621"/>
      <c r="O22" s="622"/>
      <c r="P22" s="623"/>
      <c r="Q22" s="447"/>
    </row>
    <row r="23" spans="1:17" ht="18.75" hidden="1" customHeight="1" x14ac:dyDescent="0.3">
      <c r="A23" s="447"/>
      <c r="B23" s="476" t="s">
        <v>314</v>
      </c>
      <c r="C23" s="584">
        <v>0</v>
      </c>
      <c r="D23" s="584">
        <v>0</v>
      </c>
      <c r="E23" s="584">
        <v>0</v>
      </c>
      <c r="F23" s="584">
        <v>0</v>
      </c>
      <c r="G23" s="586"/>
      <c r="H23" s="1095"/>
      <c r="I23" s="479"/>
      <c r="J23" s="476"/>
      <c r="K23" s="584"/>
      <c r="L23" s="584"/>
      <c r="M23" s="584"/>
      <c r="N23" s="584"/>
      <c r="O23" s="614"/>
      <c r="P23" s="491"/>
      <c r="Q23" s="447"/>
    </row>
    <row r="24" spans="1:17" ht="19.5" hidden="1" customHeight="1" x14ac:dyDescent="0.3">
      <c r="A24" s="447"/>
      <c r="B24" s="480" t="s">
        <v>315</v>
      </c>
      <c r="C24" s="663">
        <f>C22*C23</f>
        <v>0</v>
      </c>
      <c r="D24" s="664">
        <f>D22*D23</f>
        <v>0</v>
      </c>
      <c r="E24" s="585">
        <f>E22*E23</f>
        <v>0</v>
      </c>
      <c r="F24" s="585">
        <f>F22*F23</f>
        <v>0</v>
      </c>
      <c r="G24" s="586"/>
      <c r="H24" s="1096"/>
      <c r="I24" s="479"/>
      <c r="J24" s="480"/>
      <c r="K24" s="663"/>
      <c r="L24" s="663"/>
      <c r="M24" s="663"/>
      <c r="N24" s="664"/>
      <c r="O24" s="614"/>
      <c r="P24" s="494"/>
      <c r="Q24" s="447"/>
    </row>
    <row r="25" spans="1:17" ht="21" customHeight="1" x14ac:dyDescent="0.4">
      <c r="B25" s="465" t="s">
        <v>316</v>
      </c>
      <c r="C25" s="665"/>
      <c r="D25" s="587"/>
      <c r="E25" s="665"/>
      <c r="F25" s="2965"/>
      <c r="G25" s="2955"/>
      <c r="H25" s="484"/>
      <c r="I25" s="483"/>
      <c r="J25" s="465" t="s">
        <v>316</v>
      </c>
      <c r="K25" s="665"/>
      <c r="L25" s="587"/>
      <c r="M25" s="665"/>
      <c r="N25" s="587"/>
      <c r="O25" s="618"/>
      <c r="P25" s="495"/>
    </row>
    <row r="26" spans="1:17" ht="26.4" customHeight="1" x14ac:dyDescent="0.3">
      <c r="A26" s="447"/>
      <c r="B26" s="469" t="s">
        <v>183</v>
      </c>
      <c r="C26" s="601" t="s">
        <v>88</v>
      </c>
      <c r="D26" s="601" t="s">
        <v>2359</v>
      </c>
      <c r="E26" s="601" t="s">
        <v>2359</v>
      </c>
      <c r="F26" s="601" t="s">
        <v>2359</v>
      </c>
      <c r="G26" s="588"/>
      <c r="H26" s="485"/>
      <c r="I26" s="479"/>
      <c r="J26" s="469" t="s">
        <v>183</v>
      </c>
      <c r="K26" s="601" t="s">
        <v>2359</v>
      </c>
      <c r="L26" s="601" t="s">
        <v>2359</v>
      </c>
      <c r="M26" s="601" t="s">
        <v>2359</v>
      </c>
      <c r="N26" s="601" t="s">
        <v>2359</v>
      </c>
      <c r="O26" s="614"/>
      <c r="P26" s="496"/>
      <c r="Q26" s="447"/>
    </row>
    <row r="27" spans="1:17" ht="21" customHeight="1" x14ac:dyDescent="0.3">
      <c r="A27" s="447"/>
      <c r="B27" s="486" t="s">
        <v>2342</v>
      </c>
      <c r="C27" s="487">
        <v>0</v>
      </c>
      <c r="D27" s="1146">
        <v>0</v>
      </c>
      <c r="E27" s="666">
        <v>0</v>
      </c>
      <c r="F27" s="589">
        <v>0</v>
      </c>
      <c r="G27" s="479"/>
      <c r="H27" s="488"/>
      <c r="I27" s="479"/>
      <c r="J27" s="486" t="s">
        <v>398</v>
      </c>
      <c r="K27" s="666">
        <f>K17</f>
        <v>0</v>
      </c>
      <c r="L27" s="589">
        <f>L17</f>
        <v>0</v>
      </c>
      <c r="M27" s="666">
        <f>M17</f>
        <v>0</v>
      </c>
      <c r="N27" s="589">
        <f>N17</f>
        <v>0</v>
      </c>
      <c r="O27" s="622"/>
      <c r="P27" s="623"/>
      <c r="Q27" s="447"/>
    </row>
    <row r="28" spans="1:17" ht="21" customHeight="1" x14ac:dyDescent="0.3">
      <c r="A28" s="447"/>
      <c r="B28" s="489" t="s">
        <v>314</v>
      </c>
      <c r="C28" s="590">
        <v>0</v>
      </c>
      <c r="D28" s="590">
        <f>C28</f>
        <v>0</v>
      </c>
      <c r="E28" s="590">
        <v>0</v>
      </c>
      <c r="F28" s="590">
        <v>0</v>
      </c>
      <c r="G28" s="588"/>
      <c r="H28" s="491"/>
      <c r="I28" s="479"/>
      <c r="J28" s="489" t="s">
        <v>314</v>
      </c>
      <c r="K28" s="590">
        <v>0</v>
      </c>
      <c r="L28" s="590">
        <v>0</v>
      </c>
      <c r="M28" s="590">
        <v>0</v>
      </c>
      <c r="N28" s="590">
        <v>0</v>
      </c>
      <c r="O28" s="614"/>
      <c r="P28" s="491"/>
      <c r="Q28" s="447"/>
    </row>
    <row r="29" spans="1:17" ht="21" customHeight="1" x14ac:dyDescent="0.3">
      <c r="A29" s="447"/>
      <c r="B29" s="492" t="s">
        <v>315</v>
      </c>
      <c r="C29" s="668">
        <f t="shared" ref="C29:F29" si="6">C27*C28</f>
        <v>0</v>
      </c>
      <c r="D29" s="668">
        <f t="shared" si="6"/>
        <v>0</v>
      </c>
      <c r="E29" s="668">
        <f t="shared" si="6"/>
        <v>0</v>
      </c>
      <c r="F29" s="591">
        <f t="shared" si="6"/>
        <v>0</v>
      </c>
      <c r="G29" s="588"/>
      <c r="H29" s="494"/>
      <c r="I29" s="479"/>
      <c r="J29" s="492" t="s">
        <v>315</v>
      </c>
      <c r="K29" s="668">
        <f t="shared" ref="K29:N29" si="7">K27*K28</f>
        <v>0</v>
      </c>
      <c r="L29" s="591">
        <f t="shared" si="7"/>
        <v>0</v>
      </c>
      <c r="M29" s="624">
        <f t="shared" si="7"/>
        <v>0</v>
      </c>
      <c r="N29" s="624">
        <f t="shared" si="7"/>
        <v>0</v>
      </c>
      <c r="O29" s="614"/>
      <c r="P29" s="494"/>
      <c r="Q29" s="447"/>
    </row>
    <row r="30" spans="1:17" ht="21" hidden="1" customHeight="1" x14ac:dyDescent="0.4">
      <c r="B30" s="465" t="s">
        <v>316</v>
      </c>
      <c r="C30" s="665"/>
      <c r="D30" s="587"/>
      <c r="E30" s="665"/>
      <c r="F30" s="587"/>
      <c r="G30" s="483"/>
      <c r="H30" s="495"/>
      <c r="I30" s="483"/>
      <c r="J30" s="465"/>
      <c r="K30" s="665"/>
      <c r="L30" s="587"/>
      <c r="M30" s="665"/>
      <c r="N30" s="587"/>
      <c r="O30" s="618"/>
      <c r="P30" s="495"/>
    </row>
    <row r="31" spans="1:17" ht="30.6" hidden="1" customHeight="1" x14ac:dyDescent="0.3">
      <c r="A31" s="447"/>
      <c r="B31" s="469" t="s">
        <v>183</v>
      </c>
      <c r="C31" s="601" t="s">
        <v>2359</v>
      </c>
      <c r="D31" s="601" t="s">
        <v>2359</v>
      </c>
      <c r="E31" s="601" t="s">
        <v>2359</v>
      </c>
      <c r="F31" s="601" t="s">
        <v>2359</v>
      </c>
      <c r="G31" s="588"/>
      <c r="H31" s="496"/>
      <c r="I31" s="479"/>
      <c r="J31" s="469"/>
      <c r="K31" s="601"/>
      <c r="L31" s="601"/>
      <c r="M31" s="601"/>
      <c r="N31" s="601"/>
      <c r="O31" s="614"/>
      <c r="P31" s="496"/>
      <c r="Q31" s="447"/>
    </row>
    <row r="32" spans="1:17" ht="21" hidden="1" customHeight="1" x14ac:dyDescent="0.3">
      <c r="A32" s="447"/>
      <c r="B32" s="486" t="s">
        <v>2342</v>
      </c>
      <c r="C32" s="666">
        <v>0</v>
      </c>
      <c r="D32" s="589">
        <v>0</v>
      </c>
      <c r="E32" s="666">
        <v>0</v>
      </c>
      <c r="F32" s="589">
        <v>0</v>
      </c>
      <c r="G32" s="479"/>
      <c r="H32" s="488"/>
      <c r="I32" s="479"/>
      <c r="J32" s="486"/>
      <c r="K32" s="666"/>
      <c r="L32" s="589"/>
      <c r="M32" s="666"/>
      <c r="N32" s="589"/>
      <c r="O32" s="622"/>
      <c r="P32" s="623"/>
      <c r="Q32" s="447"/>
    </row>
    <row r="33" spans="1:17" ht="21" hidden="1" customHeight="1" x14ac:dyDescent="0.3">
      <c r="A33" s="447"/>
      <c r="B33" s="489" t="s">
        <v>314</v>
      </c>
      <c r="C33" s="590">
        <v>0</v>
      </c>
      <c r="D33" s="590">
        <v>0</v>
      </c>
      <c r="E33" s="590">
        <v>0</v>
      </c>
      <c r="F33" s="590">
        <v>0</v>
      </c>
      <c r="G33" s="588"/>
      <c r="H33" s="491"/>
      <c r="I33" s="479"/>
      <c r="J33" s="489"/>
      <c r="K33" s="625"/>
      <c r="L33" s="669"/>
      <c r="M33" s="590"/>
      <c r="N33" s="625"/>
      <c r="O33" s="614"/>
      <c r="P33" s="491"/>
      <c r="Q33" s="447"/>
    </row>
    <row r="34" spans="1:17" ht="21" hidden="1" customHeight="1" x14ac:dyDescent="0.3">
      <c r="A34" s="447"/>
      <c r="B34" s="492" t="s">
        <v>315</v>
      </c>
      <c r="C34" s="668">
        <f t="shared" ref="C34:F34" si="8">C32*C33</f>
        <v>0</v>
      </c>
      <c r="D34" s="668">
        <f t="shared" si="8"/>
        <v>0</v>
      </c>
      <c r="E34" s="668">
        <f t="shared" si="8"/>
        <v>0</v>
      </c>
      <c r="F34" s="591">
        <f t="shared" si="8"/>
        <v>0</v>
      </c>
      <c r="G34" s="588"/>
      <c r="H34" s="494"/>
      <c r="I34" s="479"/>
      <c r="J34" s="492"/>
      <c r="K34" s="591"/>
      <c r="L34" s="624"/>
      <c r="M34" s="668"/>
      <c r="N34" s="591"/>
      <c r="O34" s="614"/>
      <c r="P34" s="494"/>
      <c r="Q34" s="447"/>
    </row>
    <row r="35" spans="1:17" ht="28.5" customHeight="1" x14ac:dyDescent="0.3">
      <c r="A35" s="447"/>
      <c r="B35" s="498" t="s">
        <v>320</v>
      </c>
      <c r="C35" s="592" t="s">
        <v>639</v>
      </c>
      <c r="D35" s="592" t="s">
        <v>1625</v>
      </c>
      <c r="E35" s="592" t="s">
        <v>1625</v>
      </c>
      <c r="F35" s="592" t="s">
        <v>1625</v>
      </c>
      <c r="G35" s="593"/>
      <c r="H35" s="501"/>
      <c r="I35" s="500"/>
      <c r="J35" s="498" t="s">
        <v>320</v>
      </c>
      <c r="K35" s="626" t="s">
        <v>1625</v>
      </c>
      <c r="L35" s="626" t="s">
        <v>1625</v>
      </c>
      <c r="M35" s="626" t="s">
        <v>1625</v>
      </c>
      <c r="N35" s="626" t="s">
        <v>1625</v>
      </c>
      <c r="O35" s="614"/>
      <c r="P35" s="496"/>
      <c r="Q35" s="447"/>
    </row>
    <row r="36" spans="1:17" ht="24" customHeight="1" x14ac:dyDescent="0.3">
      <c r="B36" s="502" t="s">
        <v>322</v>
      </c>
      <c r="C36" s="3407">
        <v>3</v>
      </c>
      <c r="D36" s="594">
        <v>3</v>
      </c>
      <c r="E36" s="673">
        <v>3</v>
      </c>
      <c r="F36" s="594">
        <v>3</v>
      </c>
      <c r="G36" s="504"/>
      <c r="H36" s="505"/>
      <c r="I36" s="504"/>
      <c r="J36" s="502" t="s">
        <v>322</v>
      </c>
      <c r="K36" s="674">
        <v>13</v>
      </c>
      <c r="L36" s="596">
        <v>13</v>
      </c>
      <c r="M36" s="674">
        <v>13</v>
      </c>
      <c r="N36" s="596">
        <v>13</v>
      </c>
      <c r="O36" s="618"/>
      <c r="P36" s="495"/>
    </row>
    <row r="37" spans="1:17" ht="33" customHeight="1" x14ac:dyDescent="0.3">
      <c r="A37" s="447"/>
      <c r="B37" s="506" t="s">
        <v>323</v>
      </c>
      <c r="C37" s="3408" t="s">
        <v>324</v>
      </c>
      <c r="D37" s="1156" t="s">
        <v>324</v>
      </c>
      <c r="E37" s="496" t="s">
        <v>324</v>
      </c>
      <c r="F37" s="595" t="s">
        <v>324</v>
      </c>
      <c r="G37" s="479"/>
      <c r="H37" s="496"/>
      <c r="I37" s="479"/>
      <c r="J37" s="506" t="s">
        <v>323</v>
      </c>
      <c r="K37" s="496" t="s">
        <v>324</v>
      </c>
      <c r="L37" s="595" t="s">
        <v>324</v>
      </c>
      <c r="M37" s="496" t="s">
        <v>324</v>
      </c>
      <c r="N37" s="595" t="s">
        <v>324</v>
      </c>
      <c r="O37" s="614"/>
      <c r="P37" s="496"/>
      <c r="Q37" s="447"/>
    </row>
    <row r="38" spans="1:17" ht="33" customHeight="1" x14ac:dyDescent="0.3">
      <c r="A38" s="447"/>
      <c r="B38" s="508" t="s">
        <v>325</v>
      </c>
      <c r="C38" s="674" t="s">
        <v>326</v>
      </c>
      <c r="D38" s="596" t="s">
        <v>326</v>
      </c>
      <c r="E38" s="674" t="s">
        <v>326</v>
      </c>
      <c r="F38" s="627" t="s">
        <v>326</v>
      </c>
      <c r="G38" s="2951"/>
      <c r="H38" s="496"/>
      <c r="I38" s="479"/>
      <c r="J38" s="508" t="s">
        <v>325</v>
      </c>
      <c r="K38" s="674" t="s">
        <v>326</v>
      </c>
      <c r="L38" s="596" t="s">
        <v>326</v>
      </c>
      <c r="M38" s="674" t="s">
        <v>326</v>
      </c>
      <c r="N38" s="627" t="s">
        <v>326</v>
      </c>
      <c r="O38" s="614"/>
      <c r="P38" s="496"/>
      <c r="Q38" s="447"/>
    </row>
    <row r="39" spans="1:17" ht="33" customHeight="1" x14ac:dyDescent="0.3">
      <c r="A39" s="447"/>
      <c r="B39" s="506" t="s">
        <v>327</v>
      </c>
      <c r="C39" s="595" t="s">
        <v>925</v>
      </c>
      <c r="D39" s="595" t="s">
        <v>729</v>
      </c>
      <c r="E39" s="595" t="s">
        <v>729</v>
      </c>
      <c r="F39" s="595" t="s">
        <v>729</v>
      </c>
      <c r="G39" s="479"/>
      <c r="H39" s="496"/>
      <c r="I39" s="479"/>
      <c r="J39" s="506" t="s">
        <v>327</v>
      </c>
      <c r="K39" s="595" t="s">
        <v>402</v>
      </c>
      <c r="L39" s="595" t="s">
        <v>402</v>
      </c>
      <c r="M39" s="595" t="s">
        <v>402</v>
      </c>
      <c r="N39" s="595" t="s">
        <v>402</v>
      </c>
      <c r="O39" s="614"/>
      <c r="P39" s="496"/>
      <c r="Q39" s="447"/>
    </row>
    <row r="40" spans="1:17" ht="21" customHeight="1" x14ac:dyDescent="0.3">
      <c r="B40" s="510" t="s">
        <v>329</v>
      </c>
      <c r="C40" s="596">
        <v>1</v>
      </c>
      <c r="D40" s="596">
        <v>0</v>
      </c>
      <c r="E40" s="596">
        <v>0</v>
      </c>
      <c r="F40" s="596">
        <v>0</v>
      </c>
      <c r="G40" s="467"/>
      <c r="H40" s="467"/>
      <c r="I40" s="467"/>
      <c r="J40" s="510" t="s">
        <v>329</v>
      </c>
      <c r="K40" s="596">
        <v>0</v>
      </c>
      <c r="L40" s="596">
        <v>0</v>
      </c>
      <c r="M40" s="596">
        <v>0</v>
      </c>
      <c r="N40" s="596">
        <v>0</v>
      </c>
      <c r="O40" s="618"/>
      <c r="P40" s="467"/>
    </row>
    <row r="41" spans="1:17" ht="21" customHeight="1" x14ac:dyDescent="0.3">
      <c r="B41" s="453" t="s">
        <v>330</v>
      </c>
      <c r="C41" s="496" t="s">
        <v>324</v>
      </c>
      <c r="D41" s="595" t="s">
        <v>324</v>
      </c>
      <c r="E41" s="496" t="s">
        <v>324</v>
      </c>
      <c r="F41" s="2954" t="s">
        <v>324</v>
      </c>
      <c r="G41" s="2955"/>
      <c r="H41" s="495"/>
      <c r="I41" s="483"/>
      <c r="J41" s="453" t="s">
        <v>330</v>
      </c>
      <c r="K41" s="496" t="s">
        <v>324</v>
      </c>
      <c r="L41" s="595" t="s">
        <v>324</v>
      </c>
      <c r="M41" s="496" t="s">
        <v>324</v>
      </c>
      <c r="N41" s="595" t="s">
        <v>324</v>
      </c>
      <c r="O41" s="618"/>
      <c r="P41" s="495"/>
    </row>
    <row r="42" spans="1:17" ht="21" customHeight="1" x14ac:dyDescent="0.3">
      <c r="B42" s="510" t="s">
        <v>331</v>
      </c>
      <c r="C42" s="674" t="s">
        <v>324</v>
      </c>
      <c r="D42" s="596" t="s">
        <v>324</v>
      </c>
      <c r="E42" s="674" t="s">
        <v>324</v>
      </c>
      <c r="F42" s="627" t="s">
        <v>324</v>
      </c>
      <c r="G42" s="2955"/>
      <c r="H42" s="495"/>
      <c r="I42" s="483"/>
      <c r="J42" s="510" t="s">
        <v>331</v>
      </c>
      <c r="K42" s="674" t="s">
        <v>324</v>
      </c>
      <c r="L42" s="596" t="s">
        <v>324</v>
      </c>
      <c r="M42" s="674" t="s">
        <v>324</v>
      </c>
      <c r="N42" s="596" t="s">
        <v>324</v>
      </c>
      <c r="O42" s="618"/>
      <c r="P42" s="495"/>
    </row>
    <row r="43" spans="1:17" ht="21" customHeight="1" x14ac:dyDescent="0.3">
      <c r="B43" s="462" t="s">
        <v>332</v>
      </c>
      <c r="C43" s="511" t="s">
        <v>333</v>
      </c>
      <c r="D43" s="1158" t="s">
        <v>333</v>
      </c>
      <c r="E43" s="676" t="s">
        <v>333</v>
      </c>
      <c r="F43" s="555" t="s">
        <v>333</v>
      </c>
      <c r="G43" s="483"/>
      <c r="H43" s="495"/>
      <c r="I43" s="483"/>
      <c r="J43" s="462" t="s">
        <v>332</v>
      </c>
      <c r="K43" s="675" t="s">
        <v>333</v>
      </c>
      <c r="L43" s="555" t="s">
        <v>333</v>
      </c>
      <c r="M43" s="676" t="s">
        <v>333</v>
      </c>
      <c r="N43" s="555" t="s">
        <v>333</v>
      </c>
      <c r="O43" s="618"/>
      <c r="P43" s="495"/>
    </row>
    <row r="44" spans="1:17" ht="15.75" customHeight="1" x14ac:dyDescent="0.3">
      <c r="B44" s="427"/>
      <c r="C44" s="427"/>
      <c r="D44" s="427"/>
      <c r="E44" s="427"/>
      <c r="F44" s="427"/>
      <c r="G44" s="483"/>
      <c r="H44" s="483"/>
      <c r="I44" s="483"/>
      <c r="J44" s="427"/>
      <c r="O44" s="427"/>
      <c r="P44" s="427"/>
    </row>
    <row r="45" spans="1:17" ht="15.75" customHeight="1" x14ac:dyDescent="0.3">
      <c r="B45" s="512" t="s">
        <v>334</v>
      </c>
      <c r="C45" s="427"/>
      <c r="D45" s="427"/>
      <c r="E45" s="427"/>
      <c r="F45" s="427"/>
      <c r="G45" s="483"/>
      <c r="H45" s="483"/>
      <c r="I45" s="483"/>
      <c r="O45" s="427"/>
      <c r="P45" s="427"/>
    </row>
    <row r="46" spans="1:17" ht="15.75" customHeight="1" x14ac:dyDescent="0.3">
      <c r="B46" s="512" t="s">
        <v>335</v>
      </c>
      <c r="C46" s="427"/>
      <c r="D46" s="427"/>
      <c r="E46" s="427"/>
      <c r="F46" s="427"/>
      <c r="G46" s="483"/>
      <c r="H46" s="483"/>
      <c r="I46" s="483"/>
      <c r="O46" s="427"/>
      <c r="P46" s="427"/>
    </row>
    <row r="47" spans="1:17" ht="15.75" customHeight="1" x14ac:dyDescent="0.3">
      <c r="B47" s="512" t="s">
        <v>336</v>
      </c>
      <c r="C47" s="427"/>
      <c r="D47" s="427"/>
      <c r="E47" s="427"/>
      <c r="F47" s="427"/>
      <c r="G47" s="483"/>
      <c r="H47" s="483"/>
      <c r="I47" s="483"/>
      <c r="O47" s="427"/>
      <c r="P47" s="427"/>
    </row>
    <row r="48" spans="1:17" ht="15.75" customHeight="1" x14ac:dyDescent="0.3">
      <c r="B48" s="512" t="s">
        <v>337</v>
      </c>
      <c r="C48" s="427"/>
      <c r="D48" s="427"/>
      <c r="E48" s="427"/>
      <c r="F48" s="427"/>
      <c r="G48" s="483"/>
      <c r="H48" s="483"/>
      <c r="I48" s="483"/>
      <c r="O48" s="427"/>
      <c r="P48" s="427"/>
    </row>
    <row r="49" spans="2:16" ht="15.75" customHeight="1" x14ac:dyDescent="0.3">
      <c r="B49" s="512" t="s">
        <v>338</v>
      </c>
      <c r="G49" s="427"/>
      <c r="I49" s="427"/>
      <c r="O49" s="427"/>
      <c r="P49" s="427"/>
    </row>
    <row r="50" spans="2:16" ht="15.75" customHeight="1" x14ac:dyDescent="0.3">
      <c r="B50" s="512" t="s">
        <v>339</v>
      </c>
      <c r="G50" s="427"/>
      <c r="I50" s="427"/>
      <c r="O50" s="427"/>
      <c r="P50" s="427"/>
    </row>
    <row r="51" spans="2:16" ht="15.75" customHeight="1" x14ac:dyDescent="0.3">
      <c r="G51" s="427"/>
      <c r="I51" s="427"/>
      <c r="O51" s="427"/>
      <c r="P51" s="427"/>
    </row>
    <row r="52" spans="2:16" ht="15.75" customHeight="1" x14ac:dyDescent="0.3">
      <c r="G52" s="427"/>
      <c r="I52" s="427"/>
      <c r="O52" s="427"/>
      <c r="P52" s="427"/>
    </row>
    <row r="53" spans="2:16" ht="15.75" customHeight="1" x14ac:dyDescent="0.3">
      <c r="G53" s="427"/>
      <c r="I53" s="427"/>
      <c r="O53" s="427"/>
      <c r="P53" s="427"/>
    </row>
    <row r="54" spans="2:16" ht="15.75" customHeight="1" x14ac:dyDescent="0.3">
      <c r="G54" s="427"/>
      <c r="I54" s="427"/>
      <c r="O54" s="427"/>
    </row>
    <row r="55" spans="2:16" ht="15.75" customHeight="1" x14ac:dyDescent="0.3">
      <c r="G55" s="427"/>
      <c r="I55" s="427"/>
      <c r="O55" s="427"/>
    </row>
    <row r="56" spans="2:16" ht="15.75" customHeight="1" x14ac:dyDescent="0.3">
      <c r="G56" s="427"/>
      <c r="I56" s="427"/>
      <c r="O56" s="427"/>
    </row>
    <row r="57" spans="2:16" ht="15.75" customHeight="1" x14ac:dyDescent="0.3">
      <c r="G57" s="427"/>
      <c r="I57" s="427"/>
      <c r="O57" s="427"/>
    </row>
    <row r="58" spans="2:16" ht="15.75" customHeight="1" x14ac:dyDescent="0.3">
      <c r="G58" s="427"/>
      <c r="I58" s="427"/>
      <c r="O58" s="427"/>
    </row>
    <row r="59" spans="2:16" ht="15.75" customHeight="1" x14ac:dyDescent="0.3">
      <c r="G59" s="427"/>
      <c r="I59" s="427"/>
      <c r="O59" s="427"/>
    </row>
    <row r="60" spans="2:16" ht="15.75" customHeight="1" x14ac:dyDescent="0.3">
      <c r="G60" s="427"/>
      <c r="I60" s="427"/>
      <c r="O60" s="427"/>
    </row>
    <row r="61" spans="2:16" ht="15.75" customHeight="1" x14ac:dyDescent="0.3">
      <c r="G61" s="427"/>
      <c r="I61" s="427"/>
      <c r="O61" s="427"/>
    </row>
    <row r="62" spans="2:16" ht="15.75" customHeight="1" x14ac:dyDescent="0.3">
      <c r="G62" s="427"/>
      <c r="I62" s="427"/>
      <c r="O62" s="427"/>
    </row>
    <row r="63" spans="2:16" ht="15.75" customHeight="1" x14ac:dyDescent="0.3">
      <c r="G63" s="427"/>
      <c r="I63" s="427"/>
      <c r="O63" s="427"/>
    </row>
    <row r="64" spans="2:16" ht="15.75" customHeight="1" x14ac:dyDescent="0.3">
      <c r="G64" s="427"/>
      <c r="I64" s="427"/>
      <c r="O64" s="427"/>
    </row>
    <row r="65" spans="7:15" ht="15.75" customHeight="1" x14ac:dyDescent="0.3">
      <c r="G65" s="427"/>
      <c r="I65" s="427"/>
      <c r="O65" s="427"/>
    </row>
    <row r="66" spans="7:15" ht="15.75" customHeight="1" x14ac:dyDescent="0.3">
      <c r="G66" s="427"/>
      <c r="I66" s="427"/>
      <c r="O66" s="427"/>
    </row>
    <row r="67" spans="7:15" ht="15.75" customHeight="1" x14ac:dyDescent="0.3">
      <c r="G67" s="427"/>
      <c r="I67" s="427"/>
      <c r="O67" s="427"/>
    </row>
    <row r="68" spans="7:15" ht="15.75" customHeight="1" x14ac:dyDescent="0.3">
      <c r="G68" s="427"/>
      <c r="I68" s="427"/>
      <c r="O68" s="427"/>
    </row>
    <row r="69" spans="7:15" ht="15.75" customHeight="1" x14ac:dyDescent="0.3">
      <c r="G69" s="427"/>
      <c r="I69" s="427"/>
      <c r="O69" s="427"/>
    </row>
    <row r="70" spans="7:15" ht="15.75" customHeight="1" x14ac:dyDescent="0.3">
      <c r="G70" s="427"/>
      <c r="I70" s="427"/>
      <c r="O70" s="427"/>
    </row>
    <row r="71" spans="7:15" ht="15.75" customHeight="1" x14ac:dyDescent="0.3">
      <c r="G71" s="427"/>
      <c r="I71" s="427"/>
      <c r="O71" s="427"/>
    </row>
    <row r="72" spans="7:15" ht="15.75" customHeight="1" x14ac:dyDescent="0.3">
      <c r="G72" s="427"/>
      <c r="I72" s="427"/>
      <c r="O72" s="427"/>
    </row>
    <row r="73" spans="7:15" ht="15.75" customHeight="1" x14ac:dyDescent="0.3">
      <c r="G73" s="427"/>
      <c r="I73" s="427"/>
      <c r="O73" s="427"/>
    </row>
    <row r="74" spans="7:15" ht="15.75" customHeight="1" x14ac:dyDescent="0.3">
      <c r="G74" s="427"/>
      <c r="I74" s="427"/>
      <c r="O74" s="427"/>
    </row>
    <row r="75" spans="7:15" ht="15.75" customHeight="1" x14ac:dyDescent="0.3">
      <c r="G75" s="427"/>
      <c r="I75" s="427"/>
      <c r="O75" s="427"/>
    </row>
    <row r="76" spans="7:15" ht="15.75" customHeight="1" x14ac:dyDescent="0.3">
      <c r="G76" s="427"/>
      <c r="I76" s="427"/>
      <c r="O76" s="427"/>
    </row>
    <row r="77" spans="7:15" ht="15.75" customHeight="1" x14ac:dyDescent="0.3">
      <c r="G77" s="427"/>
      <c r="I77" s="427"/>
      <c r="O77" s="427"/>
    </row>
    <row r="78" spans="7:15" ht="15.75" customHeight="1" x14ac:dyDescent="0.3">
      <c r="G78" s="427"/>
      <c r="I78" s="427"/>
      <c r="O78" s="427"/>
    </row>
    <row r="79" spans="7:15" ht="15.75" customHeight="1" x14ac:dyDescent="0.3">
      <c r="G79" s="427"/>
      <c r="I79" s="427"/>
      <c r="O79" s="427"/>
    </row>
    <row r="80" spans="7:15" ht="15.75" customHeight="1" x14ac:dyDescent="0.3">
      <c r="G80" s="427"/>
      <c r="I80" s="427"/>
      <c r="O80" s="427"/>
    </row>
    <row r="81" spans="7:15" ht="15.75" customHeight="1" x14ac:dyDescent="0.3">
      <c r="G81" s="427"/>
      <c r="I81" s="427"/>
      <c r="O81" s="427"/>
    </row>
    <row r="82" spans="7:15" ht="15.75" customHeight="1" x14ac:dyDescent="0.3">
      <c r="G82" s="427"/>
      <c r="I82" s="427"/>
      <c r="O82" s="427"/>
    </row>
    <row r="83" spans="7:15" ht="15.75" customHeight="1" x14ac:dyDescent="0.3">
      <c r="G83" s="427"/>
      <c r="I83" s="427"/>
      <c r="O83" s="427"/>
    </row>
    <row r="84" spans="7:15" ht="15.75" customHeight="1" x14ac:dyDescent="0.3">
      <c r="G84" s="427"/>
      <c r="I84" s="427"/>
      <c r="O84" s="427"/>
    </row>
    <row r="85" spans="7:15" ht="15.75" customHeight="1" x14ac:dyDescent="0.3">
      <c r="G85" s="427"/>
      <c r="I85" s="427"/>
      <c r="O85" s="427"/>
    </row>
    <row r="86" spans="7:15" ht="15.75" customHeight="1" x14ac:dyDescent="0.3">
      <c r="G86" s="427"/>
      <c r="I86" s="427"/>
      <c r="O86" s="427"/>
    </row>
    <row r="87" spans="7:15" ht="15.75" customHeight="1" x14ac:dyDescent="0.3">
      <c r="G87" s="427"/>
      <c r="I87" s="427"/>
      <c r="O87" s="427"/>
    </row>
    <row r="88" spans="7:15" ht="15.75" customHeight="1" x14ac:dyDescent="0.3">
      <c r="G88" s="427"/>
      <c r="I88" s="427"/>
      <c r="O88" s="427"/>
    </row>
    <row r="89" spans="7:15" ht="15.75" customHeight="1" x14ac:dyDescent="0.3">
      <c r="G89" s="427"/>
      <c r="I89" s="427"/>
      <c r="O89" s="427"/>
    </row>
    <row r="90" spans="7:15" ht="15.75" customHeight="1" x14ac:dyDescent="0.3">
      <c r="G90" s="427"/>
      <c r="I90" s="427"/>
      <c r="O90" s="427"/>
    </row>
    <row r="91" spans="7:15" ht="15.75" customHeight="1" x14ac:dyDescent="0.3">
      <c r="G91" s="427"/>
      <c r="I91" s="427"/>
      <c r="O91" s="427"/>
    </row>
    <row r="92" spans="7:15" ht="15.75" customHeight="1" x14ac:dyDescent="0.3">
      <c r="G92" s="427"/>
      <c r="I92" s="427"/>
      <c r="O92" s="427"/>
    </row>
    <row r="93" spans="7:15" ht="15.75" customHeight="1" x14ac:dyDescent="0.3">
      <c r="G93" s="427"/>
      <c r="I93" s="427"/>
      <c r="O93" s="427"/>
    </row>
    <row r="94" spans="7:15" ht="15.75" customHeight="1" x14ac:dyDescent="0.3">
      <c r="G94" s="427"/>
      <c r="I94" s="427"/>
      <c r="O94" s="427"/>
    </row>
    <row r="95" spans="7:15" ht="15.75" customHeight="1" x14ac:dyDescent="0.3">
      <c r="G95" s="427"/>
      <c r="I95" s="427"/>
      <c r="O95" s="427"/>
    </row>
    <row r="96" spans="7:15" ht="15.75" customHeight="1" x14ac:dyDescent="0.3">
      <c r="G96" s="427"/>
      <c r="I96" s="427"/>
      <c r="O96" s="427"/>
    </row>
    <row r="97" spans="7:15" ht="15.75" customHeight="1" x14ac:dyDescent="0.3">
      <c r="G97" s="427"/>
      <c r="I97" s="427"/>
      <c r="O97" s="427"/>
    </row>
    <row r="98" spans="7:15" ht="15.75" customHeight="1" x14ac:dyDescent="0.3">
      <c r="G98" s="427"/>
      <c r="I98" s="427"/>
      <c r="O98" s="427"/>
    </row>
    <row r="99" spans="7:15" ht="15.75" customHeight="1" x14ac:dyDescent="0.3">
      <c r="G99" s="427"/>
      <c r="I99" s="427"/>
      <c r="O99" s="427"/>
    </row>
    <row r="100" spans="7:15" ht="15.75" customHeight="1" x14ac:dyDescent="0.3">
      <c r="G100" s="427"/>
      <c r="I100" s="427"/>
      <c r="O100" s="427"/>
    </row>
    <row r="101" spans="7:15" ht="15.75" customHeight="1" x14ac:dyDescent="0.3">
      <c r="G101" s="427"/>
      <c r="I101" s="427"/>
      <c r="O101" s="427"/>
    </row>
    <row r="102" spans="7:15" ht="15.75" customHeight="1" x14ac:dyDescent="0.3">
      <c r="G102" s="427"/>
      <c r="I102" s="427"/>
      <c r="O102" s="427"/>
    </row>
    <row r="103" spans="7:15" ht="15.75" customHeight="1" x14ac:dyDescent="0.3">
      <c r="G103" s="427"/>
      <c r="I103" s="427"/>
      <c r="O103" s="427"/>
    </row>
    <row r="104" spans="7:15" ht="15.75" customHeight="1" x14ac:dyDescent="0.3">
      <c r="G104" s="427"/>
      <c r="I104" s="427"/>
      <c r="O104" s="427"/>
    </row>
    <row r="105" spans="7:15" ht="15.75" customHeight="1" x14ac:dyDescent="0.3">
      <c r="G105" s="427"/>
      <c r="I105" s="427"/>
      <c r="O105" s="427"/>
    </row>
    <row r="106" spans="7:15" ht="15.75" customHeight="1" x14ac:dyDescent="0.3">
      <c r="G106" s="427"/>
      <c r="I106" s="427"/>
      <c r="O106" s="427"/>
    </row>
    <row r="107" spans="7:15" ht="15.75" customHeight="1" x14ac:dyDescent="0.3">
      <c r="G107" s="427"/>
      <c r="I107" s="427"/>
      <c r="O107" s="427"/>
    </row>
    <row r="108" spans="7:15" ht="15.75" customHeight="1" x14ac:dyDescent="0.3">
      <c r="G108" s="427"/>
      <c r="I108" s="427"/>
      <c r="O108" s="427"/>
    </row>
    <row r="109" spans="7:15" ht="15.75" customHeight="1" x14ac:dyDescent="0.3">
      <c r="G109" s="427"/>
      <c r="I109" s="427"/>
      <c r="O109" s="427"/>
    </row>
    <row r="110" spans="7:15" ht="15.75" customHeight="1" x14ac:dyDescent="0.3">
      <c r="G110" s="427"/>
      <c r="I110" s="427"/>
      <c r="O110" s="427"/>
    </row>
    <row r="111" spans="7:15" ht="15.75" customHeight="1" x14ac:dyDescent="0.3">
      <c r="G111" s="427"/>
      <c r="I111" s="427"/>
      <c r="O111" s="427"/>
    </row>
    <row r="112" spans="7:15" ht="15.75" customHeight="1" x14ac:dyDescent="0.3">
      <c r="G112" s="427"/>
      <c r="I112" s="427"/>
      <c r="O112" s="427"/>
    </row>
    <row r="113" spans="7:15" ht="15.75" customHeight="1" x14ac:dyDescent="0.3">
      <c r="G113" s="427"/>
      <c r="I113" s="427"/>
      <c r="O113" s="427"/>
    </row>
    <row r="114" spans="7:15" ht="15.75" customHeight="1" x14ac:dyDescent="0.3">
      <c r="G114" s="427"/>
      <c r="I114" s="427"/>
      <c r="O114" s="427"/>
    </row>
    <row r="115" spans="7:15" ht="15.75" customHeight="1" x14ac:dyDescent="0.3">
      <c r="G115" s="427"/>
      <c r="I115" s="427"/>
      <c r="O115" s="427"/>
    </row>
    <row r="116" spans="7:15" ht="15.75" customHeight="1" x14ac:dyDescent="0.3">
      <c r="G116" s="427"/>
      <c r="I116" s="427"/>
      <c r="O116" s="427"/>
    </row>
    <row r="117" spans="7:15" ht="15.75" customHeight="1" x14ac:dyDescent="0.3">
      <c r="G117" s="427"/>
      <c r="I117" s="427"/>
      <c r="O117" s="427"/>
    </row>
    <row r="118" spans="7:15" ht="15.75" customHeight="1" x14ac:dyDescent="0.3">
      <c r="G118" s="427"/>
      <c r="I118" s="427"/>
      <c r="O118" s="427"/>
    </row>
    <row r="119" spans="7:15" ht="15.75" customHeight="1" x14ac:dyDescent="0.3">
      <c r="G119" s="427"/>
      <c r="I119" s="427"/>
      <c r="O119" s="427"/>
    </row>
    <row r="120" spans="7:15" ht="15.75" customHeight="1" x14ac:dyDescent="0.3">
      <c r="G120" s="427"/>
      <c r="I120" s="427"/>
      <c r="O120" s="427"/>
    </row>
    <row r="121" spans="7:15" ht="15.75" customHeight="1" x14ac:dyDescent="0.3">
      <c r="G121" s="427"/>
      <c r="I121" s="427"/>
      <c r="O121" s="427"/>
    </row>
    <row r="122" spans="7:15" ht="15.75" customHeight="1" x14ac:dyDescent="0.3">
      <c r="G122" s="427"/>
      <c r="I122" s="427"/>
      <c r="O122" s="427"/>
    </row>
    <row r="123" spans="7:15" ht="15.75" customHeight="1" x14ac:dyDescent="0.3">
      <c r="G123" s="427"/>
      <c r="I123" s="427"/>
      <c r="O123" s="427"/>
    </row>
    <row r="124" spans="7:15" ht="15.75" customHeight="1" x14ac:dyDescent="0.3">
      <c r="G124" s="427"/>
      <c r="I124" s="427"/>
      <c r="O124" s="427"/>
    </row>
    <row r="125" spans="7:15" ht="15.75" customHeight="1" x14ac:dyDescent="0.3">
      <c r="G125" s="427"/>
      <c r="I125" s="427"/>
      <c r="O125" s="427"/>
    </row>
    <row r="126" spans="7:15" ht="15.75" customHeight="1" x14ac:dyDescent="0.3">
      <c r="G126" s="427"/>
      <c r="I126" s="427"/>
      <c r="O126" s="427"/>
    </row>
    <row r="127" spans="7:15" ht="15.75" customHeight="1" x14ac:dyDescent="0.3">
      <c r="G127" s="427"/>
      <c r="I127" s="427"/>
      <c r="O127" s="427"/>
    </row>
    <row r="128" spans="7:15" ht="15.75" customHeight="1" x14ac:dyDescent="0.3">
      <c r="G128" s="427"/>
      <c r="I128" s="427"/>
      <c r="O128" s="427"/>
    </row>
    <row r="129" spans="7:15" ht="15.75" customHeight="1" x14ac:dyDescent="0.3">
      <c r="G129" s="427"/>
      <c r="I129" s="427"/>
      <c r="O129" s="427"/>
    </row>
    <row r="130" spans="7:15" ht="15.75" customHeight="1" x14ac:dyDescent="0.3">
      <c r="G130" s="427"/>
      <c r="I130" s="427"/>
      <c r="O130" s="427"/>
    </row>
    <row r="131" spans="7:15" ht="15.75" customHeight="1" x14ac:dyDescent="0.3">
      <c r="G131" s="427"/>
      <c r="I131" s="427"/>
      <c r="O131" s="427"/>
    </row>
    <row r="132" spans="7:15" ht="15.75" customHeight="1" x14ac:dyDescent="0.3">
      <c r="G132" s="427"/>
      <c r="I132" s="427"/>
      <c r="O132" s="427"/>
    </row>
    <row r="133" spans="7:15" ht="15.75" customHeight="1" x14ac:dyDescent="0.3">
      <c r="G133" s="427"/>
      <c r="I133" s="427"/>
      <c r="O133" s="427"/>
    </row>
    <row r="134" spans="7:15" ht="15.75" customHeight="1" x14ac:dyDescent="0.3">
      <c r="G134" s="427"/>
      <c r="I134" s="427"/>
      <c r="O134" s="427"/>
    </row>
    <row r="135" spans="7:15" ht="15.75" customHeight="1" x14ac:dyDescent="0.3">
      <c r="G135" s="427"/>
      <c r="I135" s="427"/>
      <c r="O135" s="427"/>
    </row>
    <row r="136" spans="7:15" ht="15.75" customHeight="1" x14ac:dyDescent="0.3">
      <c r="G136" s="427"/>
      <c r="I136" s="427"/>
      <c r="O136" s="427"/>
    </row>
    <row r="137" spans="7:15" ht="15.75" customHeight="1" x14ac:dyDescent="0.3">
      <c r="G137" s="427"/>
      <c r="I137" s="427"/>
      <c r="O137" s="427"/>
    </row>
    <row r="138" spans="7:15" ht="15.75" customHeight="1" x14ac:dyDescent="0.3">
      <c r="G138" s="427"/>
      <c r="I138" s="427"/>
      <c r="O138" s="427"/>
    </row>
    <row r="139" spans="7:15" ht="15.75" customHeight="1" x14ac:dyDescent="0.3">
      <c r="G139" s="427"/>
      <c r="I139" s="427"/>
      <c r="O139" s="427"/>
    </row>
    <row r="140" spans="7:15" ht="15.75" customHeight="1" x14ac:dyDescent="0.3">
      <c r="G140" s="427"/>
      <c r="I140" s="427"/>
      <c r="O140" s="427"/>
    </row>
    <row r="141" spans="7:15" ht="15.75" customHeight="1" x14ac:dyDescent="0.3">
      <c r="G141" s="427"/>
      <c r="I141" s="427"/>
      <c r="O141" s="427"/>
    </row>
    <row r="142" spans="7:15" ht="15.75" customHeight="1" x14ac:dyDescent="0.3">
      <c r="G142" s="427"/>
      <c r="I142" s="427"/>
      <c r="O142" s="427"/>
    </row>
    <row r="143" spans="7:15" ht="15.75" customHeight="1" x14ac:dyDescent="0.3">
      <c r="G143" s="427"/>
      <c r="I143" s="427"/>
      <c r="O143" s="427"/>
    </row>
    <row r="144" spans="7:15" ht="15.75" customHeight="1" x14ac:dyDescent="0.3">
      <c r="G144" s="427"/>
      <c r="I144" s="427"/>
      <c r="O144" s="427"/>
    </row>
    <row r="145" spans="7:15" ht="15.75" customHeight="1" x14ac:dyDescent="0.3">
      <c r="G145" s="427"/>
      <c r="I145" s="427"/>
      <c r="O145" s="427"/>
    </row>
    <row r="146" spans="7:15" ht="15.75" customHeight="1" x14ac:dyDescent="0.3">
      <c r="G146" s="427"/>
      <c r="I146" s="427"/>
      <c r="O146" s="427"/>
    </row>
    <row r="147" spans="7:15" ht="15.75" customHeight="1" x14ac:dyDescent="0.3">
      <c r="G147" s="427"/>
      <c r="I147" s="427"/>
      <c r="O147" s="427"/>
    </row>
    <row r="148" spans="7:15" ht="15.75" customHeight="1" x14ac:dyDescent="0.3">
      <c r="G148" s="427"/>
      <c r="I148" s="427"/>
      <c r="O148" s="427"/>
    </row>
    <row r="149" spans="7:15" ht="15.75" customHeight="1" x14ac:dyDescent="0.3">
      <c r="G149" s="427"/>
      <c r="I149" s="427"/>
      <c r="O149" s="427"/>
    </row>
    <row r="150" spans="7:15" ht="15.75" customHeight="1" x14ac:dyDescent="0.3">
      <c r="G150" s="427"/>
      <c r="I150" s="427"/>
      <c r="O150" s="427"/>
    </row>
    <row r="151" spans="7:15" ht="15.75" customHeight="1" x14ac:dyDescent="0.3">
      <c r="G151" s="427"/>
      <c r="I151" s="427"/>
      <c r="O151" s="427"/>
    </row>
    <row r="152" spans="7:15" ht="15.75" customHeight="1" x14ac:dyDescent="0.3">
      <c r="G152" s="427"/>
      <c r="I152" s="427"/>
      <c r="O152" s="427"/>
    </row>
    <row r="153" spans="7:15" ht="15.75" customHeight="1" x14ac:dyDescent="0.3">
      <c r="G153" s="427"/>
      <c r="I153" s="427"/>
      <c r="O153" s="427"/>
    </row>
    <row r="154" spans="7:15" ht="15.75" customHeight="1" x14ac:dyDescent="0.3">
      <c r="G154" s="427"/>
      <c r="I154" s="427"/>
      <c r="O154" s="427"/>
    </row>
    <row r="155" spans="7:15" ht="15.75" customHeight="1" x14ac:dyDescent="0.3">
      <c r="G155" s="427"/>
      <c r="I155" s="427"/>
      <c r="O155" s="427"/>
    </row>
    <row r="156" spans="7:15" ht="15.75" customHeight="1" x14ac:dyDescent="0.3">
      <c r="G156" s="427"/>
      <c r="I156" s="427"/>
      <c r="O156" s="427"/>
    </row>
    <row r="157" spans="7:15" ht="15.75" customHeight="1" x14ac:dyDescent="0.3">
      <c r="G157" s="427"/>
      <c r="I157" s="427"/>
      <c r="O157" s="427"/>
    </row>
    <row r="158" spans="7:15" ht="15.75" customHeight="1" x14ac:dyDescent="0.3">
      <c r="G158" s="427"/>
      <c r="I158" s="427"/>
      <c r="O158" s="427"/>
    </row>
    <row r="159" spans="7:15" ht="15.75" customHeight="1" x14ac:dyDescent="0.3">
      <c r="G159" s="427"/>
      <c r="I159" s="427"/>
      <c r="O159" s="427"/>
    </row>
    <row r="160" spans="7:15" ht="15.75" customHeight="1" x14ac:dyDescent="0.3">
      <c r="G160" s="427"/>
      <c r="I160" s="427"/>
      <c r="O160" s="427"/>
    </row>
    <row r="161" spans="7:15" ht="15.75" customHeight="1" x14ac:dyDescent="0.3">
      <c r="G161" s="427"/>
      <c r="I161" s="427"/>
      <c r="O161" s="427"/>
    </row>
    <row r="162" spans="7:15" ht="15.75" customHeight="1" x14ac:dyDescent="0.3">
      <c r="G162" s="427"/>
      <c r="I162" s="427"/>
      <c r="O162" s="427"/>
    </row>
    <row r="163" spans="7:15" ht="15.75" customHeight="1" x14ac:dyDescent="0.3">
      <c r="G163" s="427"/>
      <c r="I163" s="427"/>
      <c r="O163" s="427"/>
    </row>
    <row r="164" spans="7:15" ht="15.75" customHeight="1" x14ac:dyDescent="0.3">
      <c r="G164" s="427"/>
      <c r="I164" s="427"/>
      <c r="O164" s="427"/>
    </row>
    <row r="165" spans="7:15" ht="15.75" customHeight="1" x14ac:dyDescent="0.3">
      <c r="G165" s="427"/>
      <c r="I165" s="427"/>
      <c r="O165" s="427"/>
    </row>
    <row r="166" spans="7:15" ht="15.75" customHeight="1" x14ac:dyDescent="0.3">
      <c r="G166" s="427"/>
      <c r="I166" s="427"/>
      <c r="O166" s="427"/>
    </row>
    <row r="167" spans="7:15" ht="15.75" customHeight="1" x14ac:dyDescent="0.3">
      <c r="G167" s="427"/>
      <c r="I167" s="427"/>
      <c r="O167" s="427"/>
    </row>
    <row r="168" spans="7:15" ht="15.75" customHeight="1" x14ac:dyDescent="0.3">
      <c r="G168" s="427"/>
      <c r="I168" s="427"/>
      <c r="O168" s="427"/>
    </row>
    <row r="169" spans="7:15" ht="15.75" customHeight="1" x14ac:dyDescent="0.3">
      <c r="G169" s="427"/>
      <c r="I169" s="427"/>
      <c r="O169" s="427"/>
    </row>
    <row r="170" spans="7:15" ht="15.75" customHeight="1" x14ac:dyDescent="0.3">
      <c r="G170" s="427"/>
      <c r="I170" s="427"/>
      <c r="O170" s="427"/>
    </row>
    <row r="171" spans="7:15" ht="15.75" customHeight="1" x14ac:dyDescent="0.3">
      <c r="G171" s="427"/>
      <c r="I171" s="427"/>
      <c r="O171" s="427"/>
    </row>
    <row r="172" spans="7:15" ht="15.75" customHeight="1" x14ac:dyDescent="0.3">
      <c r="G172" s="427"/>
      <c r="I172" s="427"/>
      <c r="O172" s="427"/>
    </row>
    <row r="173" spans="7:15" ht="15.75" customHeight="1" x14ac:dyDescent="0.3">
      <c r="G173" s="427"/>
      <c r="I173" s="427"/>
      <c r="O173" s="427"/>
    </row>
    <row r="174" spans="7:15" ht="15.75" customHeight="1" x14ac:dyDescent="0.3">
      <c r="G174" s="427"/>
      <c r="I174" s="427"/>
      <c r="O174" s="427"/>
    </row>
    <row r="175" spans="7:15" ht="15.75" customHeight="1" x14ac:dyDescent="0.3">
      <c r="G175" s="427"/>
      <c r="I175" s="427"/>
      <c r="O175" s="427"/>
    </row>
    <row r="176" spans="7:15" ht="15.75" customHeight="1" x14ac:dyDescent="0.3">
      <c r="G176" s="427"/>
      <c r="I176" s="427"/>
      <c r="O176" s="427"/>
    </row>
    <row r="177" spans="7:15" ht="15.75" customHeight="1" x14ac:dyDescent="0.3">
      <c r="G177" s="427"/>
      <c r="I177" s="427"/>
      <c r="O177" s="427"/>
    </row>
    <row r="178" spans="7:15" ht="15.75" customHeight="1" x14ac:dyDescent="0.3">
      <c r="G178" s="427"/>
      <c r="I178" s="427"/>
      <c r="O178" s="427"/>
    </row>
    <row r="179" spans="7:15" ht="15.75" customHeight="1" x14ac:dyDescent="0.3">
      <c r="G179" s="427"/>
      <c r="I179" s="427"/>
      <c r="O179" s="427"/>
    </row>
    <row r="180" spans="7:15" ht="15.75" customHeight="1" x14ac:dyDescent="0.3">
      <c r="G180" s="427"/>
      <c r="I180" s="427"/>
      <c r="O180" s="427"/>
    </row>
    <row r="181" spans="7:15" ht="15.75" customHeight="1" x14ac:dyDescent="0.3">
      <c r="G181" s="427"/>
      <c r="I181" s="427"/>
      <c r="O181" s="427"/>
    </row>
    <row r="182" spans="7:15" ht="15.75" customHeight="1" x14ac:dyDescent="0.3">
      <c r="G182" s="427"/>
      <c r="I182" s="427"/>
      <c r="O182" s="427"/>
    </row>
    <row r="183" spans="7:15" ht="15.75" customHeight="1" x14ac:dyDescent="0.3">
      <c r="G183" s="427"/>
      <c r="I183" s="427"/>
      <c r="O183" s="427"/>
    </row>
    <row r="184" spans="7:15" ht="15.75" customHeight="1" x14ac:dyDescent="0.3">
      <c r="G184" s="427"/>
      <c r="I184" s="427"/>
      <c r="O184" s="427"/>
    </row>
    <row r="185" spans="7:15" ht="15.75" customHeight="1" x14ac:dyDescent="0.3">
      <c r="G185" s="427"/>
      <c r="I185" s="427"/>
      <c r="O185" s="427"/>
    </row>
    <row r="186" spans="7:15" ht="15.75" customHeight="1" x14ac:dyDescent="0.3">
      <c r="G186" s="427"/>
      <c r="I186" s="427"/>
      <c r="O186" s="427"/>
    </row>
    <row r="187" spans="7:15" ht="15.75" customHeight="1" x14ac:dyDescent="0.3">
      <c r="G187" s="427"/>
      <c r="I187" s="427"/>
      <c r="O187" s="427"/>
    </row>
    <row r="188" spans="7:15" ht="15.75" customHeight="1" x14ac:dyDescent="0.3">
      <c r="G188" s="427"/>
      <c r="I188" s="427"/>
      <c r="O188" s="427"/>
    </row>
    <row r="189" spans="7:15" ht="15.75" customHeight="1" x14ac:dyDescent="0.3">
      <c r="G189" s="427"/>
      <c r="I189" s="427"/>
      <c r="O189" s="427"/>
    </row>
    <row r="190" spans="7:15" ht="15.75" customHeight="1" x14ac:dyDescent="0.3">
      <c r="G190" s="427"/>
      <c r="I190" s="427"/>
      <c r="O190" s="427"/>
    </row>
    <row r="191" spans="7:15" ht="15.75" customHeight="1" x14ac:dyDescent="0.3">
      <c r="G191" s="427"/>
      <c r="I191" s="427"/>
      <c r="O191" s="427"/>
    </row>
    <row r="192" spans="7:15" ht="15.75" customHeight="1" x14ac:dyDescent="0.3">
      <c r="G192" s="427"/>
      <c r="I192" s="427"/>
      <c r="O192" s="427"/>
    </row>
    <row r="193" spans="7:15" ht="15.75" customHeight="1" x14ac:dyDescent="0.3">
      <c r="G193" s="427"/>
      <c r="I193" s="427"/>
      <c r="O193" s="427"/>
    </row>
    <row r="194" spans="7:15" ht="15.75" customHeight="1" x14ac:dyDescent="0.3">
      <c r="G194" s="427"/>
      <c r="I194" s="427"/>
      <c r="O194" s="427"/>
    </row>
    <row r="195" spans="7:15" ht="15.75" customHeight="1" x14ac:dyDescent="0.3">
      <c r="G195" s="427"/>
      <c r="I195" s="427"/>
      <c r="O195" s="427"/>
    </row>
    <row r="196" spans="7:15" ht="15.75" customHeight="1" x14ac:dyDescent="0.3">
      <c r="G196" s="427"/>
      <c r="I196" s="427"/>
      <c r="O196" s="427"/>
    </row>
    <row r="197" spans="7:15" ht="15.75" customHeight="1" x14ac:dyDescent="0.3">
      <c r="G197" s="427"/>
      <c r="I197" s="427"/>
      <c r="O197" s="427"/>
    </row>
    <row r="198" spans="7:15" ht="15.75" customHeight="1" x14ac:dyDescent="0.3">
      <c r="G198" s="427"/>
      <c r="I198" s="427"/>
      <c r="O198" s="427"/>
    </row>
    <row r="199" spans="7:15" ht="15.75" customHeight="1" x14ac:dyDescent="0.3">
      <c r="G199" s="427"/>
      <c r="I199" s="427"/>
      <c r="O199" s="427"/>
    </row>
    <row r="200" spans="7:15" ht="15.75" customHeight="1" x14ac:dyDescent="0.3">
      <c r="G200" s="427"/>
      <c r="I200" s="427"/>
      <c r="O200" s="427"/>
    </row>
    <row r="201" spans="7:15" ht="15.75" customHeight="1" x14ac:dyDescent="0.3">
      <c r="G201" s="427"/>
      <c r="I201" s="427"/>
      <c r="O201" s="427"/>
    </row>
    <row r="202" spans="7:15" ht="15.75" customHeight="1" x14ac:dyDescent="0.3">
      <c r="G202" s="427"/>
      <c r="I202" s="427"/>
      <c r="O202" s="427"/>
    </row>
    <row r="203" spans="7:15" ht="15.75" customHeight="1" x14ac:dyDescent="0.3">
      <c r="G203" s="427"/>
      <c r="I203" s="427"/>
      <c r="O203" s="427"/>
    </row>
    <row r="204" spans="7:15" ht="15.75" customHeight="1" x14ac:dyDescent="0.3">
      <c r="G204" s="427"/>
      <c r="I204" s="427"/>
      <c r="O204" s="427"/>
    </row>
    <row r="205" spans="7:15" ht="15.75" customHeight="1" x14ac:dyDescent="0.3">
      <c r="G205" s="427"/>
      <c r="I205" s="427"/>
      <c r="O205" s="427"/>
    </row>
    <row r="206" spans="7:15" ht="15.75" customHeight="1" x14ac:dyDescent="0.3">
      <c r="G206" s="427"/>
      <c r="I206" s="427"/>
      <c r="O206" s="427"/>
    </row>
    <row r="207" spans="7:15" ht="15.75" customHeight="1" x14ac:dyDescent="0.3">
      <c r="G207" s="427"/>
      <c r="I207" s="427"/>
      <c r="O207" s="427"/>
    </row>
    <row r="208" spans="7:15" ht="15.75" customHeight="1" x14ac:dyDescent="0.3">
      <c r="G208" s="427"/>
      <c r="I208" s="427"/>
      <c r="O208" s="427"/>
    </row>
    <row r="209" spans="7:15" ht="15.75" customHeight="1" x14ac:dyDescent="0.3">
      <c r="G209" s="427"/>
      <c r="I209" s="427"/>
      <c r="O209" s="427"/>
    </row>
    <row r="210" spans="7:15" ht="15.75" customHeight="1" x14ac:dyDescent="0.3">
      <c r="G210" s="427"/>
      <c r="I210" s="427"/>
      <c r="O210" s="427"/>
    </row>
    <row r="211" spans="7:15" ht="15.75" customHeight="1" x14ac:dyDescent="0.3">
      <c r="G211" s="427"/>
      <c r="I211" s="427"/>
      <c r="O211" s="427"/>
    </row>
    <row r="212" spans="7:15" ht="15.75" customHeight="1" x14ac:dyDescent="0.3">
      <c r="G212" s="427"/>
      <c r="I212" s="427"/>
      <c r="O212" s="427"/>
    </row>
    <row r="213" spans="7:15" ht="15.75" customHeight="1" x14ac:dyDescent="0.3">
      <c r="G213" s="427"/>
      <c r="I213" s="427"/>
      <c r="O213" s="427"/>
    </row>
    <row r="214" spans="7:15" ht="15.75" customHeight="1" x14ac:dyDescent="0.3">
      <c r="G214" s="427"/>
      <c r="I214" s="427"/>
      <c r="O214" s="427"/>
    </row>
    <row r="215" spans="7:15" ht="15.75" customHeight="1" x14ac:dyDescent="0.3">
      <c r="G215" s="427"/>
      <c r="I215" s="427"/>
      <c r="O215" s="427"/>
    </row>
    <row r="216" spans="7:15" ht="15.75" customHeight="1" x14ac:dyDescent="0.3">
      <c r="G216" s="427"/>
      <c r="I216" s="427"/>
      <c r="O216" s="427"/>
    </row>
    <row r="217" spans="7:15" ht="15.75" customHeight="1" x14ac:dyDescent="0.3">
      <c r="G217" s="427"/>
      <c r="I217" s="427"/>
      <c r="O217" s="427"/>
    </row>
    <row r="218" spans="7:15" ht="15.75" customHeight="1" x14ac:dyDescent="0.3">
      <c r="G218" s="427"/>
      <c r="I218" s="427"/>
      <c r="O218" s="427"/>
    </row>
    <row r="219" spans="7:15" ht="15.75" customHeight="1" x14ac:dyDescent="0.3">
      <c r="G219" s="427"/>
      <c r="I219" s="427"/>
      <c r="O219" s="427"/>
    </row>
    <row r="220" spans="7:15" ht="15.75" customHeight="1" x14ac:dyDescent="0.3">
      <c r="G220" s="427"/>
      <c r="I220" s="427"/>
      <c r="O220" s="427"/>
    </row>
    <row r="221" spans="7:15" ht="15.75" customHeight="1" x14ac:dyDescent="0.3">
      <c r="G221" s="427"/>
      <c r="I221" s="427"/>
      <c r="O221" s="427"/>
    </row>
    <row r="222" spans="7:15" ht="15.75" customHeight="1" x14ac:dyDescent="0.3">
      <c r="G222" s="427"/>
      <c r="I222" s="427"/>
      <c r="O222" s="427"/>
    </row>
    <row r="223" spans="7:15" ht="15.75" customHeight="1" x14ac:dyDescent="0.3">
      <c r="G223" s="427"/>
      <c r="I223" s="427"/>
      <c r="O223" s="427"/>
    </row>
    <row r="224" spans="7:15" ht="15.75" customHeight="1" x14ac:dyDescent="0.3">
      <c r="G224" s="427"/>
      <c r="I224" s="427"/>
      <c r="O224" s="427"/>
    </row>
    <row r="225" spans="7:15" ht="15.75" customHeight="1" x14ac:dyDescent="0.3">
      <c r="G225" s="427"/>
      <c r="I225" s="427"/>
      <c r="O225" s="427"/>
    </row>
    <row r="226" spans="7:15" ht="15.75" customHeight="1" x14ac:dyDescent="0.3">
      <c r="G226" s="427"/>
      <c r="I226" s="427"/>
      <c r="O226" s="427"/>
    </row>
    <row r="227" spans="7:15" ht="15.75" customHeight="1" x14ac:dyDescent="0.3">
      <c r="G227" s="427"/>
      <c r="I227" s="427"/>
      <c r="O227" s="427"/>
    </row>
    <row r="228" spans="7:15" ht="15.75" customHeight="1" x14ac:dyDescent="0.3">
      <c r="G228" s="427"/>
      <c r="I228" s="427"/>
      <c r="O228" s="427"/>
    </row>
    <row r="229" spans="7:15" ht="15.75" customHeight="1" x14ac:dyDescent="0.3">
      <c r="G229" s="427"/>
      <c r="I229" s="427"/>
      <c r="O229" s="427"/>
    </row>
    <row r="230" spans="7:15" ht="15.75" customHeight="1" x14ac:dyDescent="0.3">
      <c r="G230" s="427"/>
      <c r="I230" s="427"/>
      <c r="O230" s="427"/>
    </row>
    <row r="231" spans="7:15" ht="15.75" customHeight="1" x14ac:dyDescent="0.3">
      <c r="G231" s="427"/>
      <c r="I231" s="427"/>
      <c r="O231" s="427"/>
    </row>
    <row r="232" spans="7:15" ht="15.75" customHeight="1" x14ac:dyDescent="0.3">
      <c r="G232" s="427"/>
      <c r="I232" s="427"/>
      <c r="O232" s="427"/>
    </row>
    <row r="233" spans="7:15" ht="15.75" customHeight="1" x14ac:dyDescent="0.3">
      <c r="G233" s="427"/>
      <c r="I233" s="427"/>
      <c r="O233" s="427"/>
    </row>
    <row r="234" spans="7:15" ht="15.75" customHeight="1" x14ac:dyDescent="0.3">
      <c r="G234" s="427"/>
      <c r="I234" s="427"/>
      <c r="O234" s="427"/>
    </row>
    <row r="235" spans="7:15" ht="15.75" customHeight="1" x14ac:dyDescent="0.3">
      <c r="G235" s="427"/>
      <c r="I235" s="427"/>
      <c r="O235" s="427"/>
    </row>
    <row r="236" spans="7:15" ht="15.75" customHeight="1" x14ac:dyDescent="0.3">
      <c r="G236" s="427"/>
      <c r="I236" s="427"/>
      <c r="O236" s="427"/>
    </row>
    <row r="237" spans="7:15" ht="15.75" customHeight="1" x14ac:dyDescent="0.3">
      <c r="G237" s="427"/>
      <c r="I237" s="427"/>
      <c r="O237" s="427"/>
    </row>
    <row r="238" spans="7:15" ht="15.75" customHeight="1" x14ac:dyDescent="0.3">
      <c r="G238" s="427"/>
      <c r="I238" s="427"/>
      <c r="O238" s="427"/>
    </row>
    <row r="239" spans="7:15" ht="15.75" customHeight="1" x14ac:dyDescent="0.3">
      <c r="G239" s="427"/>
      <c r="I239" s="427"/>
      <c r="O239" s="427"/>
    </row>
    <row r="240" spans="7:15" ht="15.75" customHeight="1" x14ac:dyDescent="0.3">
      <c r="G240" s="427"/>
      <c r="I240" s="427"/>
      <c r="O240" s="427"/>
    </row>
    <row r="241" spans="7:15" ht="15.75" customHeight="1" x14ac:dyDescent="0.3">
      <c r="G241" s="427"/>
      <c r="I241" s="427"/>
      <c r="O241" s="427"/>
    </row>
    <row r="242" spans="7:15" ht="15.75" customHeight="1" x14ac:dyDescent="0.3">
      <c r="G242" s="427"/>
      <c r="I242" s="427"/>
      <c r="O242" s="427"/>
    </row>
    <row r="243" spans="7:15" ht="15.75" customHeight="1" x14ac:dyDescent="0.3">
      <c r="G243" s="427"/>
      <c r="I243" s="427"/>
      <c r="O243" s="427"/>
    </row>
    <row r="244" spans="7:15" ht="15.75" customHeight="1" x14ac:dyDescent="0.3">
      <c r="G244" s="427"/>
      <c r="I244" s="427"/>
      <c r="O244" s="427"/>
    </row>
    <row r="245" spans="7:15" ht="15.75" customHeight="1" x14ac:dyDescent="0.3">
      <c r="G245" s="427"/>
      <c r="I245" s="427"/>
      <c r="O245" s="427"/>
    </row>
    <row r="246" spans="7:15" ht="15.75" customHeight="1" x14ac:dyDescent="0.3">
      <c r="G246" s="427"/>
      <c r="I246" s="427"/>
      <c r="O246" s="427"/>
    </row>
    <row r="247" spans="7:15" ht="15.75" customHeight="1" x14ac:dyDescent="0.3">
      <c r="G247" s="427"/>
      <c r="I247" s="427"/>
      <c r="O247" s="427"/>
    </row>
    <row r="248" spans="7:15" ht="15.75" customHeight="1" x14ac:dyDescent="0.3">
      <c r="G248" s="427"/>
      <c r="I248" s="427"/>
      <c r="O248" s="427"/>
    </row>
    <row r="249" spans="7:15" ht="15.75" customHeight="1" x14ac:dyDescent="0.3">
      <c r="G249" s="427"/>
      <c r="I249" s="427"/>
      <c r="O249" s="427"/>
    </row>
    <row r="250" spans="7:15" ht="15.75" customHeight="1" x14ac:dyDescent="0.3">
      <c r="G250" s="427"/>
      <c r="I250" s="427"/>
      <c r="O250" s="427"/>
    </row>
    <row r="251" spans="7:15" ht="15.75" customHeight="1" x14ac:dyDescent="0.3"/>
    <row r="252" spans="7:15" ht="15.75" customHeight="1" x14ac:dyDescent="0.3"/>
    <row r="253" spans="7:15" ht="15.75" customHeight="1" x14ac:dyDescent="0.3"/>
    <row r="254" spans="7:15" ht="15.75" customHeight="1" x14ac:dyDescent="0.3"/>
    <row r="255" spans="7:15" ht="15.75" customHeight="1" x14ac:dyDescent="0.3"/>
    <row r="256" spans="7:15"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2">
    <mergeCell ref="C7:F7"/>
    <mergeCell ref="K7:N7"/>
  </mergeCells>
  <dataValidations count="1">
    <dataValidation type="list" allowBlank="1" showErrorMessage="1" sqref="B17 B22 B27 B32" xr:uid="{2198F2F2-B297-4F69-9C77-025E91445E6F}">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9FBDC-11AE-4E93-A846-784D7EAA53FD}">
  <dimension ref="A1:AD888"/>
  <sheetViews>
    <sheetView zoomScale="94" workbookViewId="0">
      <selection activeCell="AD13" sqref="AD13"/>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5.88671875" style="428" customWidth="1"/>
    <col min="5" max="5" width="8.88671875" style="428" customWidth="1"/>
    <col min="6" max="6" width="32.44140625" style="428" customWidth="1"/>
    <col min="7" max="7" width="12.77734375" style="428" customWidth="1"/>
    <col min="8" max="8" width="12.77734375" style="428" hidden="1" customWidth="1"/>
    <col min="9" max="9" width="13"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2377</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348</v>
      </c>
      <c r="D10" s="531" t="s">
        <v>1677</v>
      </c>
      <c r="E10" s="3409" t="s">
        <v>1678</v>
      </c>
      <c r="F10" s="533" t="s">
        <v>1679</v>
      </c>
      <c r="G10" s="534" t="s">
        <v>1680</v>
      </c>
      <c r="H10" s="535"/>
      <c r="I10" s="3410">
        <v>300</v>
      </c>
      <c r="J10" s="628">
        <v>300</v>
      </c>
      <c r="K10" s="628">
        <v>300</v>
      </c>
      <c r="L10" s="628">
        <v>300</v>
      </c>
      <c r="M10" s="628">
        <v>300</v>
      </c>
      <c r="N10" s="535"/>
      <c r="O10" s="535"/>
      <c r="P10" s="535"/>
      <c r="Q10" s="535"/>
      <c r="R10" s="535"/>
      <c r="S10" s="535"/>
      <c r="T10" s="535"/>
      <c r="U10" s="542"/>
      <c r="V10" s="535"/>
      <c r="W10" s="542"/>
      <c r="X10" s="535"/>
      <c r="Y10" s="542"/>
      <c r="Z10" s="535"/>
      <c r="AA10" s="528"/>
      <c r="AB10" s="528"/>
      <c r="AC10" s="528"/>
      <c r="AD10" s="528"/>
    </row>
    <row r="11" spans="1:30" ht="24" customHeight="1" x14ac:dyDescent="0.3">
      <c r="A11" s="528"/>
      <c r="B11" s="529"/>
      <c r="C11" s="453" t="s">
        <v>348</v>
      </c>
      <c r="D11" s="453" t="s">
        <v>1681</v>
      </c>
      <c r="E11" s="543" t="s">
        <v>939</v>
      </c>
      <c r="F11" s="506"/>
      <c r="G11" s="496"/>
      <c r="H11" s="544"/>
      <c r="I11" s="3411">
        <v>4500</v>
      </c>
      <c r="J11" s="630">
        <v>4500</v>
      </c>
      <c r="K11" s="630">
        <v>4500</v>
      </c>
      <c r="L11" s="630">
        <v>4500</v>
      </c>
      <c r="M11" s="630">
        <v>4500</v>
      </c>
      <c r="N11" s="544"/>
      <c r="O11" s="544"/>
      <c r="P11" s="544"/>
      <c r="Q11" s="544"/>
      <c r="R11" s="544"/>
      <c r="S11" s="544"/>
      <c r="T11" s="544"/>
      <c r="U11" s="548"/>
      <c r="V11" s="544"/>
      <c r="W11" s="548"/>
      <c r="X11" s="544"/>
      <c r="Y11" s="548"/>
      <c r="Z11" s="544"/>
      <c r="AA11" s="528"/>
      <c r="AB11" s="528"/>
      <c r="AC11" s="528"/>
      <c r="AD11" s="528"/>
    </row>
    <row r="12" spans="1:30" ht="30" customHeight="1" x14ac:dyDescent="0.3">
      <c r="A12" s="528"/>
      <c r="B12" s="529"/>
      <c r="C12" s="531" t="s">
        <v>374</v>
      </c>
      <c r="D12" s="531" t="s">
        <v>1682</v>
      </c>
      <c r="E12" s="532" t="s">
        <v>942</v>
      </c>
      <c r="F12" s="533"/>
      <c r="G12" s="549"/>
      <c r="H12" s="550"/>
      <c r="I12" s="3412">
        <f>I10*I11*1.08</f>
        <v>1458000</v>
      </c>
      <c r="J12" s="631">
        <f t="shared" ref="J12:M12" si="0">J10*J11*1.08</f>
        <v>1458000</v>
      </c>
      <c r="K12" s="631">
        <f t="shared" si="0"/>
        <v>1458000</v>
      </c>
      <c r="L12" s="631">
        <f t="shared" si="0"/>
        <v>1458000</v>
      </c>
      <c r="M12" s="631">
        <f t="shared" si="0"/>
        <v>1458000</v>
      </c>
      <c r="N12" s="550"/>
      <c r="O12" s="550"/>
      <c r="P12" s="550"/>
      <c r="Q12" s="550"/>
      <c r="R12" s="550"/>
      <c r="S12" s="550"/>
      <c r="T12" s="550"/>
      <c r="U12" s="542"/>
      <c r="V12" s="550"/>
      <c r="W12" s="542"/>
      <c r="X12" s="550"/>
      <c r="Y12" s="542"/>
      <c r="Z12" s="550"/>
      <c r="AA12" s="528"/>
      <c r="AB12" s="528"/>
      <c r="AC12" s="528"/>
      <c r="AD12" s="528"/>
    </row>
    <row r="13" spans="1:30" ht="30" customHeight="1" x14ac:dyDescent="0.3">
      <c r="A13" s="528"/>
      <c r="B13" s="529"/>
      <c r="C13" s="453" t="s">
        <v>1683</v>
      </c>
      <c r="D13" s="453" t="s">
        <v>1684</v>
      </c>
      <c r="E13" s="543" t="s">
        <v>1685</v>
      </c>
      <c r="F13" s="506"/>
      <c r="G13" s="496"/>
      <c r="H13" s="544"/>
      <c r="I13" s="3411">
        <v>7500</v>
      </c>
      <c r="J13" s="630">
        <v>7500</v>
      </c>
      <c r="K13" s="630">
        <v>7500</v>
      </c>
      <c r="L13" s="630">
        <v>7500</v>
      </c>
      <c r="M13" s="630">
        <v>7500</v>
      </c>
      <c r="N13" s="544"/>
      <c r="O13" s="544"/>
      <c r="P13" s="544"/>
      <c r="Q13" s="544"/>
      <c r="R13" s="544"/>
      <c r="S13" s="544"/>
      <c r="T13" s="544"/>
      <c r="U13" s="548"/>
      <c r="V13" s="544"/>
      <c r="W13" s="548"/>
      <c r="X13" s="544"/>
      <c r="Y13" s="548"/>
      <c r="Z13" s="544"/>
      <c r="AA13" s="528"/>
      <c r="AB13" s="528"/>
      <c r="AC13" s="528"/>
      <c r="AD13" s="528"/>
    </row>
    <row r="14" spans="1:30" ht="24" customHeight="1" x14ac:dyDescent="0.3">
      <c r="A14" s="528"/>
      <c r="B14" s="529"/>
      <c r="C14" s="531" t="s">
        <v>374</v>
      </c>
      <c r="D14" s="531" t="s">
        <v>1686</v>
      </c>
      <c r="E14" s="532" t="s">
        <v>944</v>
      </c>
      <c r="F14" s="533" t="s">
        <v>1687</v>
      </c>
      <c r="G14" s="549"/>
      <c r="H14" s="550"/>
      <c r="I14" s="3412">
        <f>I12/3412.14</f>
        <v>427.29782482547608</v>
      </c>
      <c r="J14" s="631">
        <v>427.29761998528392</v>
      </c>
      <c r="K14" s="631">
        <v>427.29761998528392</v>
      </c>
      <c r="L14" s="631">
        <v>427.29761998528392</v>
      </c>
      <c r="M14" s="631">
        <v>427.29761998528392</v>
      </c>
      <c r="N14" s="550"/>
      <c r="O14" s="550"/>
      <c r="P14" s="550"/>
      <c r="Q14" s="550"/>
      <c r="R14" s="550"/>
      <c r="S14" s="550"/>
      <c r="T14" s="550"/>
      <c r="U14" s="542"/>
      <c r="V14" s="550"/>
      <c r="W14" s="542"/>
      <c r="X14" s="550"/>
      <c r="Y14" s="542"/>
      <c r="Z14" s="550"/>
      <c r="AA14" s="528"/>
      <c r="AB14" s="528"/>
      <c r="AC14" s="528"/>
      <c r="AD14" s="528"/>
    </row>
    <row r="15" spans="1:30" ht="24" customHeight="1" x14ac:dyDescent="0.3">
      <c r="A15" s="528"/>
      <c r="B15" s="529"/>
      <c r="C15" s="453"/>
      <c r="D15" s="453"/>
      <c r="E15" s="543" t="s">
        <v>353</v>
      </c>
      <c r="F15" s="506"/>
      <c r="G15" s="496"/>
      <c r="H15" s="544"/>
      <c r="I15" s="3411">
        <f>I14*I13</f>
        <v>3204733.6861910708</v>
      </c>
      <c r="J15" s="630">
        <f t="shared" ref="J15:M15" si="1">J14*J13</f>
        <v>3204732.1498896293</v>
      </c>
      <c r="K15" s="630">
        <f t="shared" si="1"/>
        <v>3204732.1498896293</v>
      </c>
      <c r="L15" s="630">
        <f t="shared" si="1"/>
        <v>3204732.1498896293</v>
      </c>
      <c r="M15" s="630">
        <f t="shared" si="1"/>
        <v>3204732.1498896293</v>
      </c>
      <c r="N15" s="544"/>
      <c r="O15" s="544"/>
      <c r="P15" s="544"/>
      <c r="Q15" s="544"/>
      <c r="R15" s="544"/>
      <c r="S15" s="544"/>
      <c r="T15" s="544"/>
      <c r="U15" s="548"/>
      <c r="V15" s="544"/>
      <c r="W15" s="548"/>
      <c r="X15" s="544"/>
      <c r="Y15" s="548"/>
      <c r="Z15" s="544"/>
      <c r="AA15" s="528"/>
      <c r="AB15" s="528"/>
      <c r="AC15" s="528"/>
      <c r="AD15" s="528"/>
    </row>
    <row r="16" spans="1:30" ht="24" customHeight="1" x14ac:dyDescent="0.3">
      <c r="A16" s="528"/>
      <c r="B16" s="529"/>
      <c r="C16" s="531"/>
      <c r="D16" s="531" t="s">
        <v>1688</v>
      </c>
      <c r="E16" s="532" t="s">
        <v>653</v>
      </c>
      <c r="F16" s="533" t="s">
        <v>2334</v>
      </c>
      <c r="G16" s="551"/>
      <c r="H16" s="550"/>
      <c r="I16" s="678">
        <f>I15/10.525</f>
        <v>304487.76115829649</v>
      </c>
      <c r="J16" s="631">
        <v>304487.61494782363</v>
      </c>
      <c r="K16" s="631">
        <v>304487.61494782363</v>
      </c>
      <c r="L16" s="631">
        <v>304487.61494782363</v>
      </c>
      <c r="M16" s="631">
        <v>304487.61494782363</v>
      </c>
      <c r="N16" s="550"/>
      <c r="O16" s="550"/>
      <c r="P16" s="550"/>
      <c r="Q16" s="550"/>
      <c r="R16" s="550"/>
      <c r="S16" s="550"/>
      <c r="T16" s="550"/>
      <c r="U16" s="542"/>
      <c r="V16" s="550"/>
      <c r="W16" s="542"/>
      <c r="X16" s="550"/>
      <c r="Y16" s="542"/>
      <c r="Z16" s="550"/>
      <c r="AA16" s="528"/>
      <c r="AB16" s="528"/>
      <c r="AC16" s="528"/>
      <c r="AD16" s="528"/>
    </row>
    <row r="17" spans="1:30" ht="24" customHeight="1" x14ac:dyDescent="0.3">
      <c r="A17" s="528"/>
      <c r="B17" s="552"/>
      <c r="C17" s="462"/>
      <c r="D17" s="462"/>
      <c r="E17" s="553"/>
      <c r="F17" s="554"/>
      <c r="G17" s="555"/>
      <c r="H17" s="556"/>
      <c r="I17" s="556"/>
      <c r="J17" s="556"/>
      <c r="K17" s="556"/>
      <c r="L17" s="556"/>
      <c r="M17" s="556"/>
      <c r="N17" s="556"/>
      <c r="O17" s="556"/>
      <c r="P17" s="556"/>
      <c r="Q17" s="556"/>
      <c r="R17" s="556"/>
      <c r="S17" s="556"/>
      <c r="T17" s="556"/>
      <c r="U17" s="557"/>
      <c r="V17" s="556"/>
      <c r="W17" s="557"/>
      <c r="X17" s="556"/>
      <c r="Y17" s="557"/>
      <c r="Z17" s="556"/>
      <c r="AA17" s="528"/>
      <c r="AB17" s="528"/>
      <c r="AC17" s="528"/>
      <c r="AD17" s="528"/>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560" t="s">
        <v>355</v>
      </c>
      <c r="C19" s="561" t="s">
        <v>356</v>
      </c>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58"/>
      <c r="C20" s="528"/>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4383" t="s">
        <v>357</v>
      </c>
      <c r="C21" s="4384"/>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562" t="s">
        <v>365</v>
      </c>
      <c r="C22" s="1287" t="s">
        <v>1689</v>
      </c>
      <c r="D22" s="1287" t="s">
        <v>1690</v>
      </c>
      <c r="E22" s="528"/>
      <c r="F22" s="528"/>
      <c r="G22" s="479"/>
      <c r="H22" s="479"/>
      <c r="I22" s="479"/>
      <c r="J22" s="479"/>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562"/>
      <c r="C23" s="1287" t="s">
        <v>1691</v>
      </c>
      <c r="D23" s="528"/>
      <c r="E23" s="528"/>
      <c r="F23" s="528"/>
      <c r="G23" s="479"/>
      <c r="H23" s="479"/>
      <c r="I23" s="479"/>
      <c r="J23" s="479"/>
      <c r="K23" s="479"/>
      <c r="L23" s="479"/>
      <c r="M23" s="559"/>
      <c r="N23" s="559"/>
      <c r="O23" s="559"/>
      <c r="P23" s="559"/>
      <c r="Q23" s="559"/>
      <c r="R23" s="559"/>
      <c r="S23" s="559"/>
      <c r="T23" s="559"/>
      <c r="U23" s="559"/>
      <c r="V23" s="559"/>
      <c r="W23" s="559"/>
      <c r="X23" s="559"/>
      <c r="Y23" s="559"/>
      <c r="Z23" s="559"/>
      <c r="AA23" s="528"/>
      <c r="AB23" s="528"/>
      <c r="AC23" s="528"/>
      <c r="AD23" s="528"/>
    </row>
    <row r="24" spans="1:30" ht="15.75" customHeight="1" x14ac:dyDescent="0.3">
      <c r="C24" s="1287" t="s">
        <v>1692</v>
      </c>
    </row>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964E-2A08-4C80-B4DF-B7C9F204D5AC}">
  <dimension ref="A1:G986"/>
  <sheetViews>
    <sheetView topLeftCell="A15" workbookViewId="0">
      <selection activeCell="C29" sqref="C29"/>
    </sheetView>
  </sheetViews>
  <sheetFormatPr defaultColWidth="12.44140625" defaultRowHeight="15" customHeight="1" x14ac:dyDescent="0.3"/>
  <cols>
    <col min="1" max="1" width="2.6640625" style="1456" customWidth="1"/>
    <col min="2" max="2" width="35.109375" style="1456" customWidth="1"/>
    <col min="3" max="3" width="22.44140625" style="1456" customWidth="1"/>
    <col min="4" max="4" width="1.5546875" style="1456" customWidth="1"/>
    <col min="5" max="5" width="14.6640625" style="1456" customWidth="1"/>
    <col min="6" max="6" width="7.33203125" style="1456" customWidth="1"/>
    <col min="7" max="7" width="11.6640625" style="1456" customWidth="1"/>
    <col min="8" max="16384" width="12.44140625" style="1456"/>
  </cols>
  <sheetData>
    <row r="1" spans="1:7" ht="21.75" customHeight="1" x14ac:dyDescent="0.35">
      <c r="A1" s="1454"/>
      <c r="B1" s="1455" t="s">
        <v>549</v>
      </c>
      <c r="D1" s="1457"/>
      <c r="F1" s="1457"/>
    </row>
    <row r="2" spans="1:7" ht="15.75" customHeight="1" x14ac:dyDescent="0.3">
      <c r="A2" s="1454"/>
      <c r="B2" s="1458" t="s">
        <v>299</v>
      </c>
      <c r="C2" s="1459"/>
      <c r="D2" s="1459"/>
      <c r="E2" s="1459"/>
      <c r="F2" s="1459"/>
    </row>
    <row r="3" spans="1:7" ht="9.75" customHeight="1" x14ac:dyDescent="0.3">
      <c r="A3" s="1457"/>
      <c r="B3" s="1460"/>
      <c r="D3" s="1457"/>
      <c r="F3" s="1457"/>
    </row>
    <row r="4" spans="1:7" ht="6" customHeight="1" x14ac:dyDescent="0.3">
      <c r="B4" s="1457"/>
      <c r="D4" s="1457"/>
      <c r="F4" s="1457"/>
    </row>
    <row r="5" spans="1:7" ht="6" customHeight="1" x14ac:dyDescent="0.3">
      <c r="A5" s="1460"/>
      <c r="D5" s="1457"/>
      <c r="F5" s="1457"/>
    </row>
    <row r="6" spans="1:7" ht="15.75" customHeight="1" x14ac:dyDescent="0.3">
      <c r="C6" s="1456">
        <v>1000000</v>
      </c>
      <c r="D6" s="1457"/>
      <c r="E6" s="1457"/>
      <c r="F6" s="1457"/>
    </row>
    <row r="7" spans="1:7" ht="37.200000000000003" customHeight="1" x14ac:dyDescent="0.3">
      <c r="A7" s="1461"/>
      <c r="B7" s="1462">
        <v>2024</v>
      </c>
      <c r="C7" s="1463" t="s">
        <v>22</v>
      </c>
      <c r="D7" s="1461"/>
      <c r="E7" s="1464" t="s">
        <v>300</v>
      </c>
      <c r="F7" s="1461"/>
      <c r="G7" s="1461"/>
    </row>
    <row r="8" spans="1:7" ht="18" customHeight="1" x14ac:dyDescent="0.35">
      <c r="B8" s="1465" t="s">
        <v>301</v>
      </c>
      <c r="C8" s="1466">
        <v>1</v>
      </c>
      <c r="D8" s="1457"/>
      <c r="E8" s="1467"/>
      <c r="F8" s="1457"/>
    </row>
    <row r="9" spans="1:7" ht="46.5" customHeight="1" x14ac:dyDescent="0.3">
      <c r="B9" s="1468" t="s">
        <v>302</v>
      </c>
      <c r="C9" s="1469" t="s">
        <v>889</v>
      </c>
      <c r="D9" s="1470"/>
      <c r="E9" s="1471"/>
      <c r="F9" s="1472"/>
    </row>
    <row r="10" spans="1:7" ht="46.5" customHeight="1" x14ac:dyDescent="0.3">
      <c r="B10" s="1473" t="s">
        <v>304</v>
      </c>
      <c r="C10" s="1474" t="s">
        <v>890</v>
      </c>
      <c r="D10" s="1470"/>
      <c r="E10" s="1475"/>
      <c r="F10" s="1472"/>
    </row>
    <row r="11" spans="1:7" ht="18.75" customHeight="1" x14ac:dyDescent="0.3">
      <c r="A11" s="1476"/>
      <c r="B11" s="1477" t="s">
        <v>306</v>
      </c>
      <c r="C11" s="1478">
        <f>(C17*C18)</f>
        <v>128.41166234420001</v>
      </c>
      <c r="D11" s="1479"/>
      <c r="E11" s="1480">
        <f>SUM(C11:C11)</f>
        <v>128.41166234420001</v>
      </c>
      <c r="F11" s="1481"/>
      <c r="G11" s="1476"/>
    </row>
    <row r="12" spans="1:7" ht="18.75" customHeight="1" x14ac:dyDescent="0.3">
      <c r="A12" s="1476"/>
      <c r="B12" s="1482" t="s">
        <v>307</v>
      </c>
      <c r="C12" s="1483">
        <f>(C22*C23)</f>
        <v>0.39683534018221306</v>
      </c>
      <c r="D12" s="1484"/>
      <c r="E12" s="1485">
        <f>SUM(C12:C12)</f>
        <v>0.39683534018221306</v>
      </c>
      <c r="F12" s="1486"/>
      <c r="G12" s="1476"/>
    </row>
    <row r="13" spans="1:7" ht="18.75" customHeight="1" x14ac:dyDescent="0.3">
      <c r="A13" s="1476"/>
      <c r="B13" s="1477" t="s">
        <v>308</v>
      </c>
      <c r="C13" s="1487" t="s">
        <v>8</v>
      </c>
      <c r="D13" s="1488"/>
      <c r="E13" s="1489"/>
      <c r="F13" s="1490"/>
      <c r="G13" s="1476"/>
    </row>
    <row r="14" spans="1:7" ht="18.75" customHeight="1" x14ac:dyDescent="0.3">
      <c r="A14" s="1476"/>
      <c r="B14" s="1491" t="s">
        <v>309</v>
      </c>
      <c r="C14" s="1492">
        <f t="shared" ref="C14" si="0">C11-C12</f>
        <v>128.0148270040178</v>
      </c>
      <c r="D14" s="1484"/>
      <c r="E14" s="1493">
        <f>SUM(C14:C14)</f>
        <v>128.0148270040178</v>
      </c>
      <c r="F14" s="1486"/>
      <c r="G14" s="1476"/>
    </row>
    <row r="15" spans="1:7" ht="19.5" customHeight="1" x14ac:dyDescent="0.4">
      <c r="B15" s="1494" t="s">
        <v>310</v>
      </c>
      <c r="C15" s="1495"/>
      <c r="D15" s="1496"/>
      <c r="E15" s="1497"/>
      <c r="F15" s="1496"/>
      <c r="G15" s="1457"/>
    </row>
    <row r="16" spans="1:7" ht="35.4" customHeight="1" x14ac:dyDescent="0.3">
      <c r="A16" s="1476"/>
      <c r="B16" s="1498" t="s">
        <v>311</v>
      </c>
      <c r="C16" s="1499" t="s">
        <v>523</v>
      </c>
      <c r="D16" s="1500"/>
      <c r="E16" s="1501"/>
      <c r="F16" s="1486"/>
      <c r="G16" s="1476"/>
    </row>
    <row r="17" spans="1:7" ht="21" customHeight="1" x14ac:dyDescent="0.3">
      <c r="A17" s="1476"/>
      <c r="B17" s="1502" t="s">
        <v>313</v>
      </c>
      <c r="C17" s="1503">
        <f>'CF-0801|GDS'!S10</f>
        <v>46969.4</v>
      </c>
      <c r="D17" s="1504"/>
      <c r="F17" s="1505"/>
      <c r="G17" s="1476"/>
    </row>
    <row r="18" spans="1:7" ht="18.75" customHeight="1" x14ac:dyDescent="0.3">
      <c r="A18" s="1476"/>
      <c r="B18" s="1506" t="s">
        <v>314</v>
      </c>
      <c r="C18" s="1507">
        <v>2.7339430000000004E-3</v>
      </c>
      <c r="D18" s="1508"/>
      <c r="F18" s="1509"/>
      <c r="G18" s="1476"/>
    </row>
    <row r="19" spans="1:7" ht="19.5" customHeight="1" x14ac:dyDescent="0.3">
      <c r="A19" s="1476"/>
      <c r="B19" s="1510" t="s">
        <v>315</v>
      </c>
      <c r="C19" s="1511">
        <f>C17*C18</f>
        <v>128.41166234420001</v>
      </c>
      <c r="D19" s="1512"/>
      <c r="F19" s="1509"/>
      <c r="G19" s="1476"/>
    </row>
    <row r="20" spans="1:7" ht="21" customHeight="1" x14ac:dyDescent="0.4">
      <c r="B20" s="1494" t="s">
        <v>316</v>
      </c>
      <c r="C20" s="1513"/>
      <c r="D20" s="1514"/>
      <c r="E20" s="1515"/>
      <c r="F20" s="1514"/>
    </row>
    <row r="21" spans="1:7" ht="32.4" customHeight="1" x14ac:dyDescent="0.3">
      <c r="A21" s="1476"/>
      <c r="B21" s="1498" t="s">
        <v>183</v>
      </c>
      <c r="C21" s="1499" t="s">
        <v>352</v>
      </c>
      <c r="D21" s="1516"/>
      <c r="E21" s="1517"/>
      <c r="F21" s="1509"/>
      <c r="G21" s="1476"/>
    </row>
    <row r="22" spans="1:7" ht="21" customHeight="1" x14ac:dyDescent="0.3">
      <c r="A22" s="1476"/>
      <c r="B22" s="1518" t="s">
        <v>319</v>
      </c>
      <c r="C22" s="1519">
        <f>'CF-0801|GDS'!I11</f>
        <v>233432.55304836063</v>
      </c>
      <c r="D22" s="1509"/>
      <c r="E22" s="1520"/>
      <c r="F22" s="1509"/>
      <c r="G22" s="1476"/>
    </row>
    <row r="23" spans="1:7" ht="21" customHeight="1" x14ac:dyDescent="0.3">
      <c r="A23" s="1476"/>
      <c r="B23" s="1521" t="s">
        <v>314</v>
      </c>
      <c r="C23" s="1522">
        <v>1.7E-6</v>
      </c>
      <c r="D23" s="1516"/>
      <c r="E23" s="1523"/>
      <c r="F23" s="1509"/>
      <c r="G23" s="1476"/>
    </row>
    <row r="24" spans="1:7" ht="21" customHeight="1" x14ac:dyDescent="0.3">
      <c r="A24" s="1476"/>
      <c r="B24" s="1524" t="s">
        <v>315</v>
      </c>
      <c r="C24" s="1525">
        <f t="shared" ref="C24" si="1">C22*C23</f>
        <v>0.39683534018221306</v>
      </c>
      <c r="D24" s="1516"/>
      <c r="E24" s="1526"/>
      <c r="F24" s="1509"/>
      <c r="G24" s="1476"/>
    </row>
    <row r="25" spans="1:7" ht="28.5" customHeight="1" x14ac:dyDescent="0.3">
      <c r="A25" s="1476"/>
      <c r="B25" s="1527" t="s">
        <v>320</v>
      </c>
      <c r="C25" s="1528" t="s">
        <v>891</v>
      </c>
      <c r="D25" s="1529"/>
      <c r="E25" s="1530"/>
      <c r="F25" s="1531"/>
      <c r="G25" s="1476"/>
    </row>
    <row r="26" spans="1:7" ht="24" customHeight="1" x14ac:dyDescent="0.3">
      <c r="B26" s="1532" t="s">
        <v>322</v>
      </c>
      <c r="C26" s="1533">
        <v>3</v>
      </c>
      <c r="D26" s="1534"/>
      <c r="E26" s="1535"/>
      <c r="F26" s="1534"/>
    </row>
    <row r="27" spans="1:7" ht="33" customHeight="1" x14ac:dyDescent="0.3">
      <c r="A27" s="1476"/>
      <c r="B27" s="1536" t="s">
        <v>323</v>
      </c>
      <c r="C27" s="1537" t="s">
        <v>324</v>
      </c>
      <c r="D27" s="1509"/>
      <c r="E27" s="1538"/>
      <c r="F27" s="1509"/>
      <c r="G27" s="1476"/>
    </row>
    <row r="28" spans="1:7" ht="33" customHeight="1" x14ac:dyDescent="0.3">
      <c r="A28" s="1476"/>
      <c r="B28" s="1539" t="s">
        <v>325</v>
      </c>
      <c r="C28" s="1540" t="s">
        <v>326</v>
      </c>
      <c r="D28" s="1509"/>
      <c r="E28" s="1538"/>
      <c r="F28" s="1509"/>
      <c r="G28" s="1476"/>
    </row>
    <row r="29" spans="1:7" ht="33" customHeight="1" x14ac:dyDescent="0.3">
      <c r="A29" s="1476"/>
      <c r="B29" s="1536" t="s">
        <v>327</v>
      </c>
      <c r="C29" s="1537" t="s">
        <v>433</v>
      </c>
      <c r="D29" s="1509"/>
      <c r="E29" s="1538"/>
      <c r="F29" s="1509"/>
      <c r="G29" s="1476"/>
    </row>
    <row r="30" spans="1:7" ht="21" customHeight="1" x14ac:dyDescent="0.3">
      <c r="B30" s="1541" t="s">
        <v>329</v>
      </c>
      <c r="C30" s="1540">
        <v>1</v>
      </c>
      <c r="D30" s="1496"/>
      <c r="E30" s="1496"/>
      <c r="F30" s="1496"/>
    </row>
    <row r="31" spans="1:7" ht="21" customHeight="1" x14ac:dyDescent="0.3">
      <c r="B31" s="1482" t="s">
        <v>330</v>
      </c>
      <c r="C31" s="1537" t="s">
        <v>324</v>
      </c>
      <c r="D31" s="1514"/>
      <c r="E31" s="1542"/>
      <c r="F31" s="1514"/>
    </row>
    <row r="32" spans="1:7" ht="21" customHeight="1" x14ac:dyDescent="0.3">
      <c r="B32" s="1541" t="s">
        <v>331</v>
      </c>
      <c r="C32" s="1540" t="s">
        <v>324</v>
      </c>
      <c r="D32" s="1514"/>
      <c r="E32" s="1542"/>
      <c r="F32" s="1514"/>
    </row>
    <row r="33" spans="2:6" ht="21" customHeight="1" x14ac:dyDescent="0.3">
      <c r="B33" s="1491" t="s">
        <v>332</v>
      </c>
      <c r="C33" s="1543" t="s">
        <v>333</v>
      </c>
      <c r="D33" s="1514"/>
      <c r="E33" s="1542"/>
      <c r="F33" s="1514"/>
    </row>
    <row r="34" spans="2:6" ht="15.75" customHeight="1" x14ac:dyDescent="0.3">
      <c r="B34" s="1457"/>
      <c r="C34" s="1457"/>
      <c r="D34" s="1514"/>
      <c r="E34" s="1514"/>
      <c r="F34" s="1514"/>
    </row>
    <row r="35" spans="2:6" ht="15.75" customHeight="1" x14ac:dyDescent="0.3">
      <c r="B35" s="1544" t="s">
        <v>334</v>
      </c>
      <c r="C35" s="1457"/>
      <c r="D35" s="1514"/>
      <c r="E35" s="1514"/>
      <c r="F35" s="1514"/>
    </row>
    <row r="36" spans="2:6" ht="15.75" customHeight="1" x14ac:dyDescent="0.3">
      <c r="B36" s="1544" t="s">
        <v>335</v>
      </c>
      <c r="C36" s="1457"/>
      <c r="D36" s="1514"/>
      <c r="E36" s="1514"/>
      <c r="F36" s="1514"/>
    </row>
    <row r="37" spans="2:6" ht="15.75" customHeight="1" x14ac:dyDescent="0.3">
      <c r="B37" s="1544" t="s">
        <v>336</v>
      </c>
      <c r="C37" s="1457"/>
      <c r="D37" s="1514"/>
      <c r="E37" s="1514"/>
      <c r="F37" s="1514"/>
    </row>
    <row r="38" spans="2:6" ht="15.75" customHeight="1" x14ac:dyDescent="0.3">
      <c r="B38" s="1544" t="s">
        <v>337</v>
      </c>
      <c r="C38" s="1457"/>
      <c r="D38" s="1514"/>
      <c r="E38" s="1514"/>
      <c r="F38" s="1514"/>
    </row>
    <row r="39" spans="2:6" ht="15.75" customHeight="1" x14ac:dyDescent="0.3">
      <c r="B39" s="1544" t="s">
        <v>338</v>
      </c>
      <c r="D39" s="1457"/>
      <c r="F39" s="1457"/>
    </row>
    <row r="40" spans="2:6" ht="15.75" customHeight="1" x14ac:dyDescent="0.3">
      <c r="B40" s="1544" t="s">
        <v>339</v>
      </c>
      <c r="D40" s="1457"/>
      <c r="F40" s="1457"/>
    </row>
    <row r="41" spans="2:6" ht="15.75" customHeight="1" x14ac:dyDescent="0.3">
      <c r="D41" s="1457"/>
      <c r="F41" s="1457"/>
    </row>
    <row r="42" spans="2:6" ht="15.75" customHeight="1" x14ac:dyDescent="0.3">
      <c r="D42" s="1457"/>
      <c r="F42" s="1457"/>
    </row>
    <row r="43" spans="2:6" ht="15.75" customHeight="1" x14ac:dyDescent="0.3">
      <c r="D43" s="1457"/>
      <c r="F43" s="1457"/>
    </row>
    <row r="44" spans="2:6" ht="15.75" customHeight="1" x14ac:dyDescent="0.3">
      <c r="D44" s="1457"/>
      <c r="F44" s="1457"/>
    </row>
    <row r="45" spans="2:6" ht="15.75" customHeight="1" x14ac:dyDescent="0.3">
      <c r="D45" s="1457"/>
      <c r="F45" s="1457"/>
    </row>
    <row r="46" spans="2:6" ht="15.75" customHeight="1" x14ac:dyDescent="0.3">
      <c r="D46" s="1457"/>
      <c r="F46" s="1457"/>
    </row>
    <row r="47" spans="2:6" ht="15.75" customHeight="1" x14ac:dyDescent="0.3">
      <c r="D47" s="1457"/>
      <c r="F47" s="1457"/>
    </row>
    <row r="48" spans="2:6" ht="15.75" customHeight="1" x14ac:dyDescent="0.3">
      <c r="D48" s="1457"/>
      <c r="F48" s="1457"/>
    </row>
    <row r="49" spans="4:6" ht="15.75" customHeight="1" x14ac:dyDescent="0.3">
      <c r="D49" s="1457"/>
      <c r="F49" s="1457"/>
    </row>
    <row r="50" spans="4:6" ht="15.75" customHeight="1" x14ac:dyDescent="0.3">
      <c r="D50" s="1457"/>
      <c r="F50" s="1457"/>
    </row>
    <row r="51" spans="4:6" ht="15.75" customHeight="1" x14ac:dyDescent="0.3">
      <c r="D51" s="1457"/>
      <c r="F51" s="1457"/>
    </row>
    <row r="52" spans="4:6" ht="15.75" customHeight="1" x14ac:dyDescent="0.3">
      <c r="D52" s="1457"/>
      <c r="F52" s="1457"/>
    </row>
    <row r="53" spans="4:6" ht="15.75" customHeight="1" x14ac:dyDescent="0.3">
      <c r="D53" s="1457"/>
      <c r="F53" s="1457"/>
    </row>
    <row r="54" spans="4:6" ht="15.75" customHeight="1" x14ac:dyDescent="0.3">
      <c r="D54" s="1457"/>
      <c r="F54" s="1457"/>
    </row>
    <row r="55" spans="4:6" ht="15.75" customHeight="1" x14ac:dyDescent="0.3">
      <c r="D55" s="1457"/>
      <c r="F55" s="1457"/>
    </row>
    <row r="56" spans="4:6" ht="15.75" customHeight="1" x14ac:dyDescent="0.3">
      <c r="D56" s="1457"/>
      <c r="F56" s="1457"/>
    </row>
    <row r="57" spans="4:6" ht="15.75" customHeight="1" x14ac:dyDescent="0.3">
      <c r="D57" s="1457"/>
      <c r="F57" s="1457"/>
    </row>
    <row r="58" spans="4:6" ht="15.75" customHeight="1" x14ac:dyDescent="0.3">
      <c r="D58" s="1457"/>
      <c r="F58" s="1457"/>
    </row>
    <row r="59" spans="4:6" ht="15.75" customHeight="1" x14ac:dyDescent="0.3">
      <c r="D59" s="1457"/>
      <c r="F59" s="1457"/>
    </row>
    <row r="60" spans="4:6" ht="15.75" customHeight="1" x14ac:dyDescent="0.3">
      <c r="D60" s="1457"/>
      <c r="F60" s="1457"/>
    </row>
    <row r="61" spans="4:6" ht="15.75" customHeight="1" x14ac:dyDescent="0.3">
      <c r="D61" s="1457"/>
      <c r="F61" s="1457"/>
    </row>
    <row r="62" spans="4:6" ht="15.75" customHeight="1" x14ac:dyDescent="0.3">
      <c r="D62" s="1457"/>
      <c r="F62" s="1457"/>
    </row>
    <row r="63" spans="4:6" ht="15.75" customHeight="1" x14ac:dyDescent="0.3">
      <c r="D63" s="1457"/>
      <c r="F63" s="1457"/>
    </row>
    <row r="64" spans="4:6" ht="15.75" customHeight="1" x14ac:dyDescent="0.3">
      <c r="D64" s="1457"/>
      <c r="F64" s="1457"/>
    </row>
    <row r="65" spans="4:6" ht="15.75" customHeight="1" x14ac:dyDescent="0.3">
      <c r="D65" s="1457"/>
      <c r="F65" s="1457"/>
    </row>
    <row r="66" spans="4:6" ht="15.75" customHeight="1" x14ac:dyDescent="0.3">
      <c r="D66" s="1457"/>
      <c r="F66" s="1457"/>
    </row>
    <row r="67" spans="4:6" ht="15.75" customHeight="1" x14ac:dyDescent="0.3">
      <c r="D67" s="1457"/>
      <c r="F67" s="1457"/>
    </row>
    <row r="68" spans="4:6" ht="15.75" customHeight="1" x14ac:dyDescent="0.3">
      <c r="D68" s="1457"/>
      <c r="F68" s="1457"/>
    </row>
    <row r="69" spans="4:6" ht="15.75" customHeight="1" x14ac:dyDescent="0.3">
      <c r="D69" s="1457"/>
      <c r="F69" s="1457"/>
    </row>
    <row r="70" spans="4:6" ht="15.75" customHeight="1" x14ac:dyDescent="0.3">
      <c r="D70" s="1457"/>
      <c r="F70" s="1457"/>
    </row>
    <row r="71" spans="4:6" ht="15.75" customHeight="1" x14ac:dyDescent="0.3">
      <c r="D71" s="1457"/>
      <c r="F71" s="1457"/>
    </row>
    <row r="72" spans="4:6" ht="15.75" customHeight="1" x14ac:dyDescent="0.3">
      <c r="D72" s="1457"/>
      <c r="F72" s="1457"/>
    </row>
    <row r="73" spans="4:6" ht="15.75" customHeight="1" x14ac:dyDescent="0.3">
      <c r="D73" s="1457"/>
      <c r="F73" s="1457"/>
    </row>
    <row r="74" spans="4:6" ht="15.75" customHeight="1" x14ac:dyDescent="0.3">
      <c r="D74" s="1457"/>
      <c r="F74" s="1457"/>
    </row>
    <row r="75" spans="4:6" ht="15.75" customHeight="1" x14ac:dyDescent="0.3">
      <c r="D75" s="1457"/>
      <c r="F75" s="1457"/>
    </row>
    <row r="76" spans="4:6" ht="15.75" customHeight="1" x14ac:dyDescent="0.3">
      <c r="D76" s="1457"/>
      <c r="F76" s="1457"/>
    </row>
    <row r="77" spans="4:6" ht="15.75" customHeight="1" x14ac:dyDescent="0.3">
      <c r="D77" s="1457"/>
      <c r="F77" s="1457"/>
    </row>
    <row r="78" spans="4:6" ht="15.75" customHeight="1" x14ac:dyDescent="0.3">
      <c r="D78" s="1457"/>
      <c r="F78" s="1457"/>
    </row>
    <row r="79" spans="4:6" ht="15.75" customHeight="1" x14ac:dyDescent="0.3">
      <c r="D79" s="1457"/>
      <c r="F79" s="1457"/>
    </row>
    <row r="80" spans="4:6" ht="15.75" customHeight="1" x14ac:dyDescent="0.3">
      <c r="D80" s="1457"/>
      <c r="F80" s="1457"/>
    </row>
    <row r="81" spans="4:6" ht="15.75" customHeight="1" x14ac:dyDescent="0.3">
      <c r="D81" s="1457"/>
      <c r="F81" s="1457"/>
    </row>
    <row r="82" spans="4:6" ht="15.75" customHeight="1" x14ac:dyDescent="0.3">
      <c r="D82" s="1457"/>
      <c r="F82" s="1457"/>
    </row>
    <row r="83" spans="4:6" ht="15.75" customHeight="1" x14ac:dyDescent="0.3">
      <c r="D83" s="1457"/>
      <c r="F83" s="1457"/>
    </row>
    <row r="84" spans="4:6" ht="15.75" customHeight="1" x14ac:dyDescent="0.3">
      <c r="D84" s="1457"/>
      <c r="F84" s="1457"/>
    </row>
    <row r="85" spans="4:6" ht="15.75" customHeight="1" x14ac:dyDescent="0.3">
      <c r="D85" s="1457"/>
      <c r="F85" s="1457"/>
    </row>
    <row r="86" spans="4:6" ht="15.75" customHeight="1" x14ac:dyDescent="0.3">
      <c r="D86" s="1457"/>
      <c r="F86" s="1457"/>
    </row>
    <row r="87" spans="4:6" ht="15.75" customHeight="1" x14ac:dyDescent="0.3">
      <c r="D87" s="1457"/>
      <c r="F87" s="1457"/>
    </row>
    <row r="88" spans="4:6" ht="15.75" customHeight="1" x14ac:dyDescent="0.3">
      <c r="D88" s="1457"/>
      <c r="F88" s="1457"/>
    </row>
    <row r="89" spans="4:6" ht="15.75" customHeight="1" x14ac:dyDescent="0.3">
      <c r="D89" s="1457"/>
      <c r="F89" s="1457"/>
    </row>
    <row r="90" spans="4:6" ht="15.75" customHeight="1" x14ac:dyDescent="0.3">
      <c r="D90" s="1457"/>
      <c r="F90" s="1457"/>
    </row>
    <row r="91" spans="4:6" ht="15.75" customHeight="1" x14ac:dyDescent="0.3">
      <c r="D91" s="1457"/>
      <c r="F91" s="1457"/>
    </row>
    <row r="92" spans="4:6" ht="15.75" customHeight="1" x14ac:dyDescent="0.3">
      <c r="D92" s="1457"/>
      <c r="F92" s="1457"/>
    </row>
    <row r="93" spans="4:6" ht="15.75" customHeight="1" x14ac:dyDescent="0.3">
      <c r="D93" s="1457"/>
      <c r="F93" s="1457"/>
    </row>
    <row r="94" spans="4:6" ht="15.75" customHeight="1" x14ac:dyDescent="0.3">
      <c r="D94" s="1457"/>
      <c r="F94" s="1457"/>
    </row>
    <row r="95" spans="4:6" ht="15.75" customHeight="1" x14ac:dyDescent="0.3">
      <c r="D95" s="1457"/>
      <c r="F95" s="1457"/>
    </row>
    <row r="96" spans="4:6" ht="15.75" customHeight="1" x14ac:dyDescent="0.3">
      <c r="D96" s="1457"/>
      <c r="F96" s="1457"/>
    </row>
    <row r="97" spans="4:6" ht="15.75" customHeight="1" x14ac:dyDescent="0.3">
      <c r="D97" s="1457"/>
      <c r="F97" s="1457"/>
    </row>
    <row r="98" spans="4:6" ht="15.75" customHeight="1" x14ac:dyDescent="0.3">
      <c r="D98" s="1457"/>
      <c r="F98" s="1457"/>
    </row>
    <row r="99" spans="4:6" ht="15.75" customHeight="1" x14ac:dyDescent="0.3">
      <c r="D99" s="1457"/>
      <c r="F99" s="1457"/>
    </row>
    <row r="100" spans="4:6" ht="15.75" customHeight="1" x14ac:dyDescent="0.3">
      <c r="D100" s="1457"/>
      <c r="F100" s="1457"/>
    </row>
    <row r="101" spans="4:6" ht="15.75" customHeight="1" x14ac:dyDescent="0.3">
      <c r="D101" s="1457"/>
      <c r="F101" s="1457"/>
    </row>
    <row r="102" spans="4:6" ht="15.75" customHeight="1" x14ac:dyDescent="0.3">
      <c r="D102" s="1457"/>
      <c r="F102" s="1457"/>
    </row>
    <row r="103" spans="4:6" ht="15.75" customHeight="1" x14ac:dyDescent="0.3">
      <c r="D103" s="1457"/>
      <c r="F103" s="1457"/>
    </row>
    <row r="104" spans="4:6" ht="15.75" customHeight="1" x14ac:dyDescent="0.3">
      <c r="D104" s="1457"/>
      <c r="F104" s="1457"/>
    </row>
    <row r="105" spans="4:6" ht="15.75" customHeight="1" x14ac:dyDescent="0.3">
      <c r="D105" s="1457"/>
      <c r="F105" s="1457"/>
    </row>
    <row r="106" spans="4:6" ht="15.75" customHeight="1" x14ac:dyDescent="0.3">
      <c r="D106" s="1457"/>
      <c r="F106" s="1457"/>
    </row>
    <row r="107" spans="4:6" ht="15.75" customHeight="1" x14ac:dyDescent="0.3">
      <c r="D107" s="1457"/>
      <c r="F107" s="1457"/>
    </row>
    <row r="108" spans="4:6" ht="15.75" customHeight="1" x14ac:dyDescent="0.3">
      <c r="D108" s="1457"/>
      <c r="F108" s="1457"/>
    </row>
    <row r="109" spans="4:6" ht="15.75" customHeight="1" x14ac:dyDescent="0.3">
      <c r="D109" s="1457"/>
      <c r="F109" s="1457"/>
    </row>
    <row r="110" spans="4:6" ht="15.75" customHeight="1" x14ac:dyDescent="0.3">
      <c r="D110" s="1457"/>
      <c r="F110" s="1457"/>
    </row>
    <row r="111" spans="4:6" ht="15.75" customHeight="1" x14ac:dyDescent="0.3">
      <c r="D111" s="1457"/>
      <c r="F111" s="1457"/>
    </row>
    <row r="112" spans="4:6" ht="15.75" customHeight="1" x14ac:dyDescent="0.3">
      <c r="D112" s="1457"/>
      <c r="F112" s="1457"/>
    </row>
    <row r="113" spans="4:6" ht="15.75" customHeight="1" x14ac:dyDescent="0.3">
      <c r="D113" s="1457"/>
      <c r="F113" s="1457"/>
    </row>
    <row r="114" spans="4:6" ht="15.75" customHeight="1" x14ac:dyDescent="0.3">
      <c r="D114" s="1457"/>
      <c r="F114" s="1457"/>
    </row>
    <row r="115" spans="4:6" ht="15.75" customHeight="1" x14ac:dyDescent="0.3">
      <c r="D115" s="1457"/>
      <c r="F115" s="1457"/>
    </row>
    <row r="116" spans="4:6" ht="15.75" customHeight="1" x14ac:dyDescent="0.3">
      <c r="D116" s="1457"/>
      <c r="F116" s="1457"/>
    </row>
    <row r="117" spans="4:6" ht="15.75" customHeight="1" x14ac:dyDescent="0.3">
      <c r="D117" s="1457"/>
      <c r="F117" s="1457"/>
    </row>
    <row r="118" spans="4:6" ht="15.75" customHeight="1" x14ac:dyDescent="0.3">
      <c r="D118" s="1457"/>
      <c r="F118" s="1457"/>
    </row>
    <row r="119" spans="4:6" ht="15.75" customHeight="1" x14ac:dyDescent="0.3">
      <c r="D119" s="1457"/>
      <c r="F119" s="1457"/>
    </row>
    <row r="120" spans="4:6" ht="15.75" customHeight="1" x14ac:dyDescent="0.3">
      <c r="D120" s="1457"/>
      <c r="F120" s="1457"/>
    </row>
    <row r="121" spans="4:6" ht="15.75" customHeight="1" x14ac:dyDescent="0.3">
      <c r="D121" s="1457"/>
      <c r="F121" s="1457"/>
    </row>
    <row r="122" spans="4:6" ht="15.75" customHeight="1" x14ac:dyDescent="0.3">
      <c r="D122" s="1457"/>
      <c r="F122" s="1457"/>
    </row>
    <row r="123" spans="4:6" ht="15.75" customHeight="1" x14ac:dyDescent="0.3">
      <c r="D123" s="1457"/>
      <c r="F123" s="1457"/>
    </row>
    <row r="124" spans="4:6" ht="15.75" customHeight="1" x14ac:dyDescent="0.3">
      <c r="D124" s="1457"/>
      <c r="F124" s="1457"/>
    </row>
    <row r="125" spans="4:6" ht="15.75" customHeight="1" x14ac:dyDescent="0.3">
      <c r="D125" s="1457"/>
      <c r="F125" s="1457"/>
    </row>
    <row r="126" spans="4:6" ht="15.75" customHeight="1" x14ac:dyDescent="0.3">
      <c r="D126" s="1457"/>
      <c r="F126" s="1457"/>
    </row>
    <row r="127" spans="4:6" ht="15.75" customHeight="1" x14ac:dyDescent="0.3">
      <c r="D127" s="1457"/>
      <c r="F127" s="1457"/>
    </row>
    <row r="128" spans="4:6" ht="15.75" customHeight="1" x14ac:dyDescent="0.3">
      <c r="D128" s="1457"/>
      <c r="F128" s="1457"/>
    </row>
    <row r="129" spans="4:6" ht="15.75" customHeight="1" x14ac:dyDescent="0.3">
      <c r="D129" s="1457"/>
      <c r="F129" s="1457"/>
    </row>
    <row r="130" spans="4:6" ht="15.75" customHeight="1" x14ac:dyDescent="0.3">
      <c r="D130" s="1457"/>
      <c r="F130" s="1457"/>
    </row>
    <row r="131" spans="4:6" ht="15.75" customHeight="1" x14ac:dyDescent="0.3">
      <c r="D131" s="1457"/>
      <c r="F131" s="1457"/>
    </row>
    <row r="132" spans="4:6" ht="15.75" customHeight="1" x14ac:dyDescent="0.3">
      <c r="D132" s="1457"/>
      <c r="F132" s="1457"/>
    </row>
    <row r="133" spans="4:6" ht="15.75" customHeight="1" x14ac:dyDescent="0.3">
      <c r="D133" s="1457"/>
      <c r="F133" s="1457"/>
    </row>
    <row r="134" spans="4:6" ht="15.75" customHeight="1" x14ac:dyDescent="0.3">
      <c r="D134" s="1457"/>
      <c r="F134" s="1457"/>
    </row>
    <row r="135" spans="4:6" ht="15.75" customHeight="1" x14ac:dyDescent="0.3">
      <c r="D135" s="1457"/>
      <c r="F135" s="1457"/>
    </row>
    <row r="136" spans="4:6" ht="15.75" customHeight="1" x14ac:dyDescent="0.3">
      <c r="D136" s="1457"/>
      <c r="F136" s="1457"/>
    </row>
    <row r="137" spans="4:6" ht="15.75" customHeight="1" x14ac:dyDescent="0.3">
      <c r="D137" s="1457"/>
      <c r="F137" s="1457"/>
    </row>
    <row r="138" spans="4:6" ht="15.75" customHeight="1" x14ac:dyDescent="0.3">
      <c r="D138" s="1457"/>
      <c r="F138" s="1457"/>
    </row>
    <row r="139" spans="4:6" ht="15.75" customHeight="1" x14ac:dyDescent="0.3">
      <c r="D139" s="1457"/>
      <c r="F139" s="1457"/>
    </row>
    <row r="140" spans="4:6" ht="15.75" customHeight="1" x14ac:dyDescent="0.3">
      <c r="D140" s="1457"/>
      <c r="F140" s="1457"/>
    </row>
    <row r="141" spans="4:6" ht="15.75" customHeight="1" x14ac:dyDescent="0.3">
      <c r="D141" s="1457"/>
      <c r="F141" s="1457"/>
    </row>
    <row r="142" spans="4:6" ht="15.75" customHeight="1" x14ac:dyDescent="0.3">
      <c r="D142" s="1457"/>
      <c r="F142" s="1457"/>
    </row>
    <row r="143" spans="4:6" ht="15.75" customHeight="1" x14ac:dyDescent="0.3">
      <c r="D143" s="1457"/>
      <c r="F143" s="1457"/>
    </row>
    <row r="144" spans="4:6" ht="15.75" customHeight="1" x14ac:dyDescent="0.3">
      <c r="D144" s="1457"/>
      <c r="F144" s="1457"/>
    </row>
    <row r="145" spans="4:6" ht="15.75" customHeight="1" x14ac:dyDescent="0.3">
      <c r="D145" s="1457"/>
      <c r="F145" s="1457"/>
    </row>
    <row r="146" spans="4:6" ht="15.75" customHeight="1" x14ac:dyDescent="0.3">
      <c r="D146" s="1457"/>
      <c r="F146" s="1457"/>
    </row>
    <row r="147" spans="4:6" ht="15.75" customHeight="1" x14ac:dyDescent="0.3">
      <c r="D147" s="1457"/>
      <c r="F147" s="1457"/>
    </row>
    <row r="148" spans="4:6" ht="15.75" customHeight="1" x14ac:dyDescent="0.3">
      <c r="D148" s="1457"/>
      <c r="F148" s="1457"/>
    </row>
    <row r="149" spans="4:6" ht="15.75" customHeight="1" x14ac:dyDescent="0.3">
      <c r="D149" s="1457"/>
      <c r="F149" s="1457"/>
    </row>
    <row r="150" spans="4:6" ht="15.75" customHeight="1" x14ac:dyDescent="0.3">
      <c r="D150" s="1457"/>
      <c r="F150" s="1457"/>
    </row>
    <row r="151" spans="4:6" ht="15.75" customHeight="1" x14ac:dyDescent="0.3">
      <c r="D151" s="1457"/>
      <c r="F151" s="1457"/>
    </row>
    <row r="152" spans="4:6" ht="15.75" customHeight="1" x14ac:dyDescent="0.3">
      <c r="D152" s="1457"/>
      <c r="F152" s="1457"/>
    </row>
    <row r="153" spans="4:6" ht="15.75" customHeight="1" x14ac:dyDescent="0.3">
      <c r="D153" s="1457"/>
      <c r="F153" s="1457"/>
    </row>
    <row r="154" spans="4:6" ht="15.75" customHeight="1" x14ac:dyDescent="0.3">
      <c r="D154" s="1457"/>
      <c r="F154" s="1457"/>
    </row>
    <row r="155" spans="4:6" ht="15.75" customHeight="1" x14ac:dyDescent="0.3">
      <c r="D155" s="1457"/>
      <c r="F155" s="1457"/>
    </row>
    <row r="156" spans="4:6" ht="15.75" customHeight="1" x14ac:dyDescent="0.3">
      <c r="D156" s="1457"/>
      <c r="F156" s="1457"/>
    </row>
    <row r="157" spans="4:6" ht="15.75" customHeight="1" x14ac:dyDescent="0.3">
      <c r="D157" s="1457"/>
      <c r="F157" s="1457"/>
    </row>
    <row r="158" spans="4:6" ht="15.75" customHeight="1" x14ac:dyDescent="0.3">
      <c r="D158" s="1457"/>
      <c r="F158" s="1457"/>
    </row>
    <row r="159" spans="4:6" ht="15.75" customHeight="1" x14ac:dyDescent="0.3">
      <c r="D159" s="1457"/>
      <c r="F159" s="1457"/>
    </row>
    <row r="160" spans="4:6" ht="15.75" customHeight="1" x14ac:dyDescent="0.3">
      <c r="D160" s="1457"/>
      <c r="F160" s="1457"/>
    </row>
    <row r="161" spans="4:6" ht="15.75" customHeight="1" x14ac:dyDescent="0.3">
      <c r="D161" s="1457"/>
      <c r="F161" s="1457"/>
    </row>
    <row r="162" spans="4:6" ht="15.75" customHeight="1" x14ac:dyDescent="0.3">
      <c r="D162" s="1457"/>
      <c r="F162" s="1457"/>
    </row>
    <row r="163" spans="4:6" ht="15.75" customHeight="1" x14ac:dyDescent="0.3">
      <c r="D163" s="1457"/>
      <c r="F163" s="1457"/>
    </row>
    <row r="164" spans="4:6" ht="15.75" customHeight="1" x14ac:dyDescent="0.3">
      <c r="D164" s="1457"/>
      <c r="F164" s="1457"/>
    </row>
    <row r="165" spans="4:6" ht="15.75" customHeight="1" x14ac:dyDescent="0.3">
      <c r="D165" s="1457"/>
      <c r="F165" s="1457"/>
    </row>
    <row r="166" spans="4:6" ht="15.75" customHeight="1" x14ac:dyDescent="0.3">
      <c r="D166" s="1457"/>
      <c r="F166" s="1457"/>
    </row>
    <row r="167" spans="4:6" ht="15.75" customHeight="1" x14ac:dyDescent="0.3">
      <c r="D167" s="1457"/>
      <c r="F167" s="1457"/>
    </row>
    <row r="168" spans="4:6" ht="15.75" customHeight="1" x14ac:dyDescent="0.3">
      <c r="D168" s="1457"/>
      <c r="F168" s="1457"/>
    </row>
    <row r="169" spans="4:6" ht="15.75" customHeight="1" x14ac:dyDescent="0.3">
      <c r="D169" s="1457"/>
      <c r="F169" s="1457"/>
    </row>
    <row r="170" spans="4:6" ht="15.75" customHeight="1" x14ac:dyDescent="0.3">
      <c r="D170" s="1457"/>
      <c r="F170" s="1457"/>
    </row>
    <row r="171" spans="4:6" ht="15.75" customHeight="1" x14ac:dyDescent="0.3">
      <c r="D171" s="1457"/>
      <c r="F171" s="1457"/>
    </row>
    <row r="172" spans="4:6" ht="15.75" customHeight="1" x14ac:dyDescent="0.3">
      <c r="D172" s="1457"/>
      <c r="F172" s="1457"/>
    </row>
    <row r="173" spans="4:6" ht="15.75" customHeight="1" x14ac:dyDescent="0.3">
      <c r="D173" s="1457"/>
      <c r="F173" s="1457"/>
    </row>
    <row r="174" spans="4:6" ht="15.75" customHeight="1" x14ac:dyDescent="0.3">
      <c r="D174" s="1457"/>
      <c r="F174" s="1457"/>
    </row>
    <row r="175" spans="4:6" ht="15.75" customHeight="1" x14ac:dyDescent="0.3">
      <c r="D175" s="1457"/>
      <c r="F175" s="1457"/>
    </row>
    <row r="176" spans="4:6" ht="15.75" customHeight="1" x14ac:dyDescent="0.3">
      <c r="D176" s="1457"/>
      <c r="F176" s="1457"/>
    </row>
    <row r="177" spans="4:6" ht="15.75" customHeight="1" x14ac:dyDescent="0.3">
      <c r="D177" s="1457"/>
      <c r="F177" s="1457"/>
    </row>
    <row r="178" spans="4:6" ht="15.75" customHeight="1" x14ac:dyDescent="0.3">
      <c r="D178" s="1457"/>
      <c r="F178" s="1457"/>
    </row>
    <row r="179" spans="4:6" ht="15.75" customHeight="1" x14ac:dyDescent="0.3">
      <c r="D179" s="1457"/>
      <c r="F179" s="1457"/>
    </row>
    <row r="180" spans="4:6" ht="15.75" customHeight="1" x14ac:dyDescent="0.3">
      <c r="D180" s="1457"/>
      <c r="F180" s="1457"/>
    </row>
    <row r="181" spans="4:6" ht="15.75" customHeight="1" x14ac:dyDescent="0.3">
      <c r="D181" s="1457"/>
      <c r="F181" s="1457"/>
    </row>
    <row r="182" spans="4:6" ht="15.75" customHeight="1" x14ac:dyDescent="0.3">
      <c r="D182" s="1457"/>
      <c r="F182" s="1457"/>
    </row>
    <row r="183" spans="4:6" ht="15.75" customHeight="1" x14ac:dyDescent="0.3">
      <c r="D183" s="1457"/>
      <c r="F183" s="1457"/>
    </row>
    <row r="184" spans="4:6" ht="15.75" customHeight="1" x14ac:dyDescent="0.3">
      <c r="D184" s="1457"/>
      <c r="F184" s="1457"/>
    </row>
    <row r="185" spans="4:6" ht="15.75" customHeight="1" x14ac:dyDescent="0.3">
      <c r="D185" s="1457"/>
      <c r="F185" s="1457"/>
    </row>
    <row r="186" spans="4:6" ht="15.75" customHeight="1" x14ac:dyDescent="0.3">
      <c r="D186" s="1457"/>
      <c r="F186" s="1457"/>
    </row>
    <row r="187" spans="4:6" ht="15.75" customHeight="1" x14ac:dyDescent="0.3">
      <c r="D187" s="1457"/>
      <c r="F187" s="1457"/>
    </row>
    <row r="188" spans="4:6" ht="15.75" customHeight="1" x14ac:dyDescent="0.3">
      <c r="D188" s="1457"/>
      <c r="F188" s="1457"/>
    </row>
    <row r="189" spans="4:6" ht="15.75" customHeight="1" x14ac:dyDescent="0.3">
      <c r="D189" s="1457"/>
      <c r="F189" s="1457"/>
    </row>
    <row r="190" spans="4:6" ht="15.75" customHeight="1" x14ac:dyDescent="0.3">
      <c r="D190" s="1457"/>
      <c r="F190" s="1457"/>
    </row>
    <row r="191" spans="4:6" ht="15.75" customHeight="1" x14ac:dyDescent="0.3">
      <c r="D191" s="1457"/>
      <c r="F191" s="1457"/>
    </row>
    <row r="192" spans="4:6" ht="15.75" customHeight="1" x14ac:dyDescent="0.3">
      <c r="D192" s="1457"/>
      <c r="F192" s="1457"/>
    </row>
    <row r="193" spans="4:6" ht="15.75" customHeight="1" x14ac:dyDescent="0.3">
      <c r="D193" s="1457"/>
      <c r="F193" s="1457"/>
    </row>
    <row r="194" spans="4:6" ht="15.75" customHeight="1" x14ac:dyDescent="0.3">
      <c r="D194" s="1457"/>
      <c r="F194" s="1457"/>
    </row>
    <row r="195" spans="4:6" ht="15.75" customHeight="1" x14ac:dyDescent="0.3">
      <c r="D195" s="1457"/>
      <c r="F195" s="1457"/>
    </row>
    <row r="196" spans="4:6" ht="15.75" customHeight="1" x14ac:dyDescent="0.3">
      <c r="D196" s="1457"/>
      <c r="F196" s="1457"/>
    </row>
    <row r="197" spans="4:6" ht="15.75" customHeight="1" x14ac:dyDescent="0.3">
      <c r="D197" s="1457"/>
      <c r="F197" s="1457"/>
    </row>
    <row r="198" spans="4:6" ht="15.75" customHeight="1" x14ac:dyDescent="0.3">
      <c r="D198" s="1457"/>
      <c r="F198" s="1457"/>
    </row>
    <row r="199" spans="4:6" ht="15.75" customHeight="1" x14ac:dyDescent="0.3">
      <c r="D199" s="1457"/>
      <c r="F199" s="1457"/>
    </row>
    <row r="200" spans="4:6" ht="15.75" customHeight="1" x14ac:dyDescent="0.3">
      <c r="D200" s="1457"/>
      <c r="F200" s="1457"/>
    </row>
    <row r="201" spans="4:6" ht="15.75" customHeight="1" x14ac:dyDescent="0.3">
      <c r="D201" s="1457"/>
      <c r="F201" s="1457"/>
    </row>
    <row r="202" spans="4:6" ht="15.75" customHeight="1" x14ac:dyDescent="0.3">
      <c r="D202" s="1457"/>
      <c r="F202" s="1457"/>
    </row>
    <row r="203" spans="4:6" ht="15.75" customHeight="1" x14ac:dyDescent="0.3">
      <c r="D203" s="1457"/>
      <c r="F203" s="1457"/>
    </row>
    <row r="204" spans="4:6" ht="15.75" customHeight="1" x14ac:dyDescent="0.3">
      <c r="D204" s="1457"/>
      <c r="F204" s="1457"/>
    </row>
    <row r="205" spans="4:6" ht="15.75" customHeight="1" x14ac:dyDescent="0.3">
      <c r="D205" s="1457"/>
      <c r="F205" s="1457"/>
    </row>
    <row r="206" spans="4:6" ht="15.75" customHeight="1" x14ac:dyDescent="0.3">
      <c r="D206" s="1457"/>
      <c r="F206" s="1457"/>
    </row>
    <row r="207" spans="4:6" ht="15.75" customHeight="1" x14ac:dyDescent="0.3">
      <c r="D207" s="1457"/>
      <c r="F207" s="1457"/>
    </row>
    <row r="208" spans="4:6" ht="15.75" customHeight="1" x14ac:dyDescent="0.3">
      <c r="D208" s="1457"/>
      <c r="F208" s="1457"/>
    </row>
    <row r="209" spans="4:6" ht="15.75" customHeight="1" x14ac:dyDescent="0.3">
      <c r="D209" s="1457"/>
      <c r="F209" s="1457"/>
    </row>
    <row r="210" spans="4:6" ht="15.75" customHeight="1" x14ac:dyDescent="0.3">
      <c r="D210" s="1457"/>
      <c r="F210" s="1457"/>
    </row>
    <row r="211" spans="4:6" ht="15.75" customHeight="1" x14ac:dyDescent="0.3">
      <c r="D211" s="1457"/>
      <c r="F211" s="1457"/>
    </row>
    <row r="212" spans="4:6" ht="15.75" customHeight="1" x14ac:dyDescent="0.3">
      <c r="D212" s="1457"/>
      <c r="F212" s="1457"/>
    </row>
    <row r="213" spans="4:6" ht="15.75" customHeight="1" x14ac:dyDescent="0.3">
      <c r="D213" s="1457"/>
      <c r="F213" s="1457"/>
    </row>
    <row r="214" spans="4:6" ht="15.75" customHeight="1" x14ac:dyDescent="0.3">
      <c r="D214" s="1457"/>
      <c r="F214" s="1457"/>
    </row>
    <row r="215" spans="4:6" ht="15.75" customHeight="1" x14ac:dyDescent="0.3">
      <c r="D215" s="1457"/>
      <c r="F215" s="1457"/>
    </row>
    <row r="216" spans="4:6" ht="15.75" customHeight="1" x14ac:dyDescent="0.3">
      <c r="D216" s="1457"/>
      <c r="F216" s="1457"/>
    </row>
    <row r="217" spans="4:6" ht="15.75" customHeight="1" x14ac:dyDescent="0.3">
      <c r="D217" s="1457"/>
      <c r="F217" s="1457"/>
    </row>
    <row r="218" spans="4:6" ht="15.75" customHeight="1" x14ac:dyDescent="0.3">
      <c r="D218" s="1457"/>
      <c r="F218" s="1457"/>
    </row>
    <row r="219" spans="4:6" ht="15.75" customHeight="1" x14ac:dyDescent="0.3">
      <c r="D219" s="1457"/>
      <c r="F219" s="1457"/>
    </row>
    <row r="220" spans="4:6" ht="15.75" customHeight="1" x14ac:dyDescent="0.3">
      <c r="D220" s="1457"/>
      <c r="F220" s="1457"/>
    </row>
    <row r="221" spans="4:6" ht="15.75" customHeight="1" x14ac:dyDescent="0.3">
      <c r="D221" s="1457"/>
      <c r="F221" s="1457"/>
    </row>
    <row r="222" spans="4:6" ht="15.75" customHeight="1" x14ac:dyDescent="0.3">
      <c r="D222" s="1457"/>
      <c r="F222" s="1457"/>
    </row>
    <row r="223" spans="4:6" ht="15.75" customHeight="1" x14ac:dyDescent="0.3">
      <c r="D223" s="1457"/>
      <c r="F223" s="1457"/>
    </row>
    <row r="224" spans="4:6" ht="15.75" customHeight="1" x14ac:dyDescent="0.3">
      <c r="D224" s="1457"/>
      <c r="F224" s="1457"/>
    </row>
    <row r="225" spans="4:6" ht="15.75" customHeight="1" x14ac:dyDescent="0.3">
      <c r="D225" s="1457"/>
      <c r="F225" s="1457"/>
    </row>
    <row r="226" spans="4:6" ht="15.75" customHeight="1" x14ac:dyDescent="0.3">
      <c r="D226" s="1457"/>
      <c r="F226" s="1457"/>
    </row>
    <row r="227" spans="4:6" ht="15.75" customHeight="1" x14ac:dyDescent="0.3">
      <c r="D227" s="1457"/>
      <c r="F227" s="1457"/>
    </row>
    <row r="228" spans="4:6" ht="15.75" customHeight="1" x14ac:dyDescent="0.3">
      <c r="D228" s="1457"/>
      <c r="F228" s="1457"/>
    </row>
    <row r="229" spans="4:6" ht="15.75" customHeight="1" x14ac:dyDescent="0.3">
      <c r="D229" s="1457"/>
      <c r="F229" s="1457"/>
    </row>
    <row r="230" spans="4:6" ht="15.75" customHeight="1" x14ac:dyDescent="0.3">
      <c r="D230" s="1457"/>
      <c r="F230" s="1457"/>
    </row>
    <row r="231" spans="4:6" ht="15.75" customHeight="1" x14ac:dyDescent="0.3">
      <c r="D231" s="1457"/>
      <c r="F231" s="1457"/>
    </row>
    <row r="232" spans="4:6" ht="15.75" customHeight="1" x14ac:dyDescent="0.3">
      <c r="D232" s="1457"/>
      <c r="F232" s="1457"/>
    </row>
    <row r="233" spans="4:6" ht="15.75" customHeight="1" x14ac:dyDescent="0.3">
      <c r="D233" s="1457"/>
      <c r="F233" s="1457"/>
    </row>
    <row r="234" spans="4:6" ht="15.75" customHeight="1" x14ac:dyDescent="0.3">
      <c r="D234" s="1457"/>
      <c r="F234" s="1457"/>
    </row>
    <row r="235" spans="4:6" ht="15.75" customHeight="1" x14ac:dyDescent="0.3">
      <c r="D235" s="1457"/>
      <c r="F235" s="1457"/>
    </row>
    <row r="236" spans="4:6" ht="15.75" customHeight="1" x14ac:dyDescent="0.3">
      <c r="D236" s="1457"/>
      <c r="F236" s="1457"/>
    </row>
    <row r="237" spans="4:6" ht="15.75" customHeight="1" x14ac:dyDescent="0.3">
      <c r="D237" s="1457"/>
      <c r="F237" s="1457"/>
    </row>
    <row r="238" spans="4:6" ht="15.75" customHeight="1" x14ac:dyDescent="0.3">
      <c r="D238" s="1457"/>
      <c r="F238" s="1457"/>
    </row>
    <row r="239" spans="4:6" ht="15.75" customHeight="1" x14ac:dyDescent="0.3">
      <c r="D239" s="1457"/>
      <c r="F239" s="1457"/>
    </row>
    <row r="240" spans="4:6" ht="15.75" customHeight="1" x14ac:dyDescent="0.3">
      <c r="D240" s="1457"/>
      <c r="F240" s="145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dataValidations count="1">
    <dataValidation type="list" allowBlank="1" showErrorMessage="1" sqref="B17 B22" xr:uid="{81E5F455-084D-46A9-BE94-094F18886FE1}">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CADEE-0CB9-4F41-A866-FA08982A46B3}">
  <dimension ref="A1:AD885"/>
  <sheetViews>
    <sheetView workbookViewId="0">
      <selection activeCell="I19" sqref="I19"/>
    </sheetView>
  </sheetViews>
  <sheetFormatPr defaultColWidth="12.44140625" defaultRowHeight="15" customHeight="1" x14ac:dyDescent="0.3"/>
  <cols>
    <col min="1" max="1" width="2.6640625" style="1456" customWidth="1"/>
    <col min="2" max="2" width="5.109375" style="1456" customWidth="1"/>
    <col min="3" max="3" width="36" style="1456" customWidth="1"/>
    <col min="4" max="4" width="34" style="1456" customWidth="1"/>
    <col min="5" max="5" width="8.88671875" style="1456" customWidth="1"/>
    <col min="6" max="6" width="32.44140625" style="1456" customWidth="1"/>
    <col min="7" max="7" width="12.77734375" style="1456" customWidth="1"/>
    <col min="8" max="8" width="12.77734375" style="1456" hidden="1" customWidth="1"/>
    <col min="9" max="9" width="12.77734375" style="1456" customWidth="1"/>
    <col min="10" max="12" width="12.77734375" style="1456" hidden="1" customWidth="1"/>
    <col min="13" max="18" width="11.5546875" style="1456" hidden="1" customWidth="1"/>
    <col min="19" max="19" width="11.5546875" style="1456" customWidth="1"/>
    <col min="20" max="25" width="11.5546875" style="1456" hidden="1" customWidth="1"/>
    <col min="26" max="26" width="11.5546875" style="1456" customWidth="1"/>
    <col min="27" max="30" width="11.6640625" style="1456" customWidth="1"/>
    <col min="31" max="16384" width="12.44140625" style="1456"/>
  </cols>
  <sheetData>
    <row r="1" spans="1:30" ht="23.25" customHeight="1" x14ac:dyDescent="0.35">
      <c r="A1" s="1545"/>
      <c r="B1" s="1546" t="s">
        <v>2378</v>
      </c>
    </row>
    <row r="2" spans="1:30" ht="13.5" customHeight="1" x14ac:dyDescent="0.3">
      <c r="A2" s="1545"/>
      <c r="B2" s="1547" t="s">
        <v>340</v>
      </c>
      <c r="C2" s="1459"/>
      <c r="D2" s="1459"/>
      <c r="E2" s="1459"/>
      <c r="F2" s="1459"/>
      <c r="G2" s="1459"/>
      <c r="H2" s="1459"/>
      <c r="I2" s="1459"/>
      <c r="J2" s="1459"/>
      <c r="K2" s="1459"/>
      <c r="L2" s="1459"/>
      <c r="M2" s="1459"/>
      <c r="N2" s="1459"/>
      <c r="O2" s="1459"/>
      <c r="P2" s="1459"/>
      <c r="Q2" s="1459"/>
      <c r="R2" s="1459"/>
      <c r="S2" s="1459"/>
      <c r="T2" s="1459"/>
      <c r="U2" s="1459"/>
      <c r="V2" s="1459"/>
      <c r="W2" s="1459"/>
      <c r="X2" s="1459"/>
      <c r="Y2" s="1459"/>
      <c r="Z2" s="1459"/>
    </row>
    <row r="3" spans="1:30" ht="15.75" customHeight="1" x14ac:dyDescent="0.3">
      <c r="B3" s="1548"/>
    </row>
    <row r="4" spans="1:30" ht="19.2" customHeight="1" x14ac:dyDescent="0.3">
      <c r="B4" s="1549" t="s">
        <v>899</v>
      </c>
      <c r="C4" s="1550"/>
      <c r="D4" s="1550"/>
    </row>
    <row r="5" spans="1:30" ht="19.2" customHeight="1" x14ac:dyDescent="0.3">
      <c r="B5" s="1549" t="s">
        <v>341</v>
      </c>
      <c r="C5" s="1550"/>
      <c r="D5" s="1550"/>
    </row>
    <row r="6" spans="1:30" ht="15.75" customHeight="1" x14ac:dyDescent="0.3">
      <c r="B6" s="1548"/>
    </row>
    <row r="7" spans="1:30" ht="15.75" customHeight="1" x14ac:dyDescent="0.3">
      <c r="B7" s="1551" t="s">
        <v>342</v>
      </c>
    </row>
    <row r="8" spans="1:30" ht="9" customHeight="1" x14ac:dyDescent="0.3">
      <c r="B8" s="1552"/>
      <c r="G8" s="1457"/>
      <c r="H8" s="1457"/>
      <c r="I8" s="1457"/>
      <c r="J8" s="1457"/>
      <c r="K8" s="1457"/>
      <c r="L8" s="1457"/>
      <c r="Z8" s="1457"/>
    </row>
    <row r="9" spans="1:30" ht="15.75" customHeight="1" x14ac:dyDescent="0.3">
      <c r="B9" s="1553" t="s">
        <v>301</v>
      </c>
      <c r="C9" s="1554" t="s">
        <v>343</v>
      </c>
      <c r="D9" s="1555" t="s">
        <v>344</v>
      </c>
      <c r="E9" s="1555" t="s">
        <v>345</v>
      </c>
      <c r="F9" s="1555" t="s">
        <v>346</v>
      </c>
      <c r="G9" s="1556" t="s">
        <v>347</v>
      </c>
      <c r="H9" s="1557">
        <v>2025</v>
      </c>
      <c r="I9" s="1557">
        <v>2024</v>
      </c>
      <c r="J9" s="1557">
        <v>2023</v>
      </c>
      <c r="K9" s="1557">
        <v>2022</v>
      </c>
      <c r="L9" s="1557">
        <v>2021</v>
      </c>
      <c r="M9" s="1557">
        <v>2020</v>
      </c>
      <c r="N9" s="1557">
        <v>2019</v>
      </c>
      <c r="O9" s="1558">
        <v>2018</v>
      </c>
      <c r="P9" s="1558">
        <v>2017</v>
      </c>
      <c r="Q9" s="1558">
        <v>2016</v>
      </c>
      <c r="R9" s="1558">
        <v>2015</v>
      </c>
      <c r="S9" s="1558">
        <v>2014</v>
      </c>
      <c r="T9" s="1558">
        <v>2013</v>
      </c>
      <c r="U9" s="1558">
        <v>2012</v>
      </c>
      <c r="V9" s="1558">
        <v>2011</v>
      </c>
      <c r="W9" s="1558">
        <v>2010</v>
      </c>
      <c r="X9" s="1558">
        <v>2009</v>
      </c>
      <c r="Y9" s="1558">
        <v>2008</v>
      </c>
      <c r="Z9" s="1559" t="s">
        <v>332</v>
      </c>
    </row>
    <row r="10" spans="1:30" ht="25.8" customHeight="1" x14ac:dyDescent="0.3">
      <c r="A10" s="1560"/>
      <c r="B10" s="1561">
        <v>1</v>
      </c>
      <c r="C10" s="1562" t="s">
        <v>474</v>
      </c>
      <c r="D10" s="1563" t="s">
        <v>892</v>
      </c>
      <c r="E10" s="1564" t="s">
        <v>350</v>
      </c>
      <c r="F10" s="1565"/>
      <c r="G10" s="1566">
        <v>2014</v>
      </c>
      <c r="H10" s="1567"/>
      <c r="I10" s="1567">
        <v>0</v>
      </c>
      <c r="J10" s="1568">
        <v>0</v>
      </c>
      <c r="K10" s="1569">
        <v>0</v>
      </c>
      <c r="L10" s="1569">
        <v>0</v>
      </c>
      <c r="M10" s="1568">
        <v>0</v>
      </c>
      <c r="N10" s="1569">
        <v>0</v>
      </c>
      <c r="O10" s="1569">
        <v>0</v>
      </c>
      <c r="P10" s="1569">
        <v>0</v>
      </c>
      <c r="Q10" s="1569" t="s">
        <v>893</v>
      </c>
      <c r="R10" s="1569" t="s">
        <v>894</v>
      </c>
      <c r="S10" s="1589">
        <v>46969.4</v>
      </c>
      <c r="T10" s="1567"/>
      <c r="U10" s="1570"/>
      <c r="V10" s="1567"/>
      <c r="W10" s="1570"/>
      <c r="X10" s="1567"/>
      <c r="Y10" s="1570"/>
      <c r="Z10" s="1567"/>
      <c r="AA10" s="1560"/>
      <c r="AB10" s="1560"/>
      <c r="AC10" s="1560"/>
      <c r="AD10" s="1560"/>
    </row>
    <row r="11" spans="1:30" ht="27.6" customHeight="1" x14ac:dyDescent="0.3">
      <c r="A11" s="1560"/>
      <c r="B11" s="1561"/>
      <c r="C11" s="1482" t="s">
        <v>474</v>
      </c>
      <c r="D11" s="1482" t="s">
        <v>516</v>
      </c>
      <c r="E11" s="1571" t="s">
        <v>353</v>
      </c>
      <c r="F11" s="1536"/>
      <c r="G11" s="1538">
        <v>2014</v>
      </c>
      <c r="H11" s="1572"/>
      <c r="I11" s="1573">
        <v>233432.55304836063</v>
      </c>
      <c r="J11" s="1574">
        <v>301787</v>
      </c>
      <c r="K11" s="1575">
        <v>262856</v>
      </c>
      <c r="L11" s="1575">
        <v>277686</v>
      </c>
      <c r="M11" s="1575">
        <v>271339</v>
      </c>
      <c r="N11" s="1575" t="s">
        <v>895</v>
      </c>
      <c r="O11" s="1575" t="s">
        <v>896</v>
      </c>
      <c r="P11" s="1575" t="s">
        <v>897</v>
      </c>
      <c r="Q11" s="1575" t="s">
        <v>898</v>
      </c>
      <c r="R11" s="1575">
        <v>0</v>
      </c>
      <c r="S11" s="1572">
        <v>0</v>
      </c>
      <c r="T11" s="1572"/>
      <c r="U11" s="1576"/>
      <c r="V11" s="1572"/>
      <c r="W11" s="1576"/>
      <c r="X11" s="1572"/>
      <c r="Y11" s="1576"/>
      <c r="Z11" s="1572"/>
      <c r="AA11" s="1560"/>
      <c r="AB11" s="1560"/>
      <c r="AC11" s="1560"/>
      <c r="AD11" s="1560"/>
    </row>
    <row r="12" spans="1:30" ht="25.2" customHeight="1" x14ac:dyDescent="0.3">
      <c r="A12" s="1560"/>
      <c r="B12" s="1561"/>
      <c r="C12" s="1563"/>
      <c r="D12" s="1563"/>
      <c r="E12" s="1564"/>
      <c r="F12" s="1565"/>
      <c r="G12" s="1577"/>
      <c r="H12" s="1578"/>
      <c r="I12" s="1578"/>
      <c r="J12" s="1578"/>
      <c r="K12" s="1578"/>
      <c r="L12" s="1578"/>
      <c r="M12" s="1578"/>
      <c r="N12" s="1578"/>
      <c r="O12" s="1578"/>
      <c r="P12" s="1578"/>
      <c r="Q12" s="1578"/>
      <c r="R12" s="1578"/>
      <c r="S12" s="1578"/>
      <c r="T12" s="1578"/>
      <c r="U12" s="1570"/>
      <c r="V12" s="1578"/>
      <c r="W12" s="1570"/>
      <c r="X12" s="1578"/>
      <c r="Y12" s="1570"/>
      <c r="Z12" s="1578"/>
      <c r="AA12" s="1560"/>
      <c r="AB12" s="1560"/>
      <c r="AC12" s="1560"/>
      <c r="AD12" s="1560"/>
    </row>
    <row r="13" spans="1:30" ht="24" customHeight="1" x14ac:dyDescent="0.3">
      <c r="A13" s="1560"/>
      <c r="B13" s="1579"/>
      <c r="C13" s="1491"/>
      <c r="D13" s="1491"/>
      <c r="E13" s="1580"/>
      <c r="F13" s="1581"/>
      <c r="G13" s="1543"/>
      <c r="H13" s="1582"/>
      <c r="I13" s="1582"/>
      <c r="J13" s="1582"/>
      <c r="K13" s="1582"/>
      <c r="L13" s="1582"/>
      <c r="M13" s="1582"/>
      <c r="N13" s="1582"/>
      <c r="O13" s="1582"/>
      <c r="P13" s="1582"/>
      <c r="Q13" s="1582"/>
      <c r="R13" s="1582"/>
      <c r="S13" s="1582"/>
      <c r="T13" s="1582"/>
      <c r="U13" s="1583"/>
      <c r="V13" s="1582"/>
      <c r="W13" s="1583"/>
      <c r="X13" s="1582"/>
      <c r="Y13" s="1583"/>
      <c r="Z13" s="1582"/>
      <c r="AA13" s="1560"/>
      <c r="AB13" s="1560"/>
      <c r="AC13" s="1560"/>
      <c r="AD13" s="1560"/>
    </row>
    <row r="14" spans="1:30" ht="15.75" customHeight="1" x14ac:dyDescent="0.3">
      <c r="A14" s="1560"/>
      <c r="B14" s="1584"/>
      <c r="C14" s="1560"/>
      <c r="D14" s="1560"/>
      <c r="E14" s="1560"/>
      <c r="F14" s="1560"/>
      <c r="G14" s="1509"/>
      <c r="H14" s="1509"/>
      <c r="I14" s="1509"/>
      <c r="J14" s="1509"/>
      <c r="K14" s="1509"/>
      <c r="L14" s="1509"/>
      <c r="M14" s="1585"/>
      <c r="N14" s="1585"/>
      <c r="O14" s="1585"/>
      <c r="P14" s="1585"/>
      <c r="Q14" s="1585"/>
      <c r="R14" s="1585"/>
      <c r="S14" s="1585"/>
      <c r="T14" s="1585"/>
      <c r="U14" s="1585"/>
      <c r="V14" s="1585"/>
      <c r="W14" s="1585"/>
      <c r="X14" s="1585"/>
      <c r="Y14" s="1585"/>
      <c r="Z14" s="1585"/>
      <c r="AA14" s="1560"/>
      <c r="AB14" s="1560"/>
      <c r="AC14" s="1560"/>
      <c r="AD14" s="1560"/>
    </row>
    <row r="15" spans="1:30" ht="15.75" customHeight="1" x14ac:dyDescent="0.3">
      <c r="A15" s="1560"/>
      <c r="B15" s="1586" t="s">
        <v>355</v>
      </c>
      <c r="C15" s="1587" t="s">
        <v>356</v>
      </c>
      <c r="D15" s="1560"/>
      <c r="E15" s="1560"/>
      <c r="F15" s="1560"/>
      <c r="G15" s="1509"/>
      <c r="H15" s="1509"/>
      <c r="I15" s="1509"/>
      <c r="J15" s="1509"/>
      <c r="K15" s="1509"/>
      <c r="L15" s="1509"/>
      <c r="M15" s="1585"/>
      <c r="N15" s="1585"/>
      <c r="O15" s="1585"/>
      <c r="P15" s="1585"/>
      <c r="Q15" s="1585"/>
      <c r="R15" s="1585"/>
      <c r="S15" s="1585"/>
      <c r="T15" s="1585"/>
      <c r="U15" s="1585"/>
      <c r="V15" s="1585"/>
      <c r="W15" s="1585"/>
      <c r="X15" s="1585"/>
      <c r="Y15" s="1585"/>
      <c r="Z15" s="1585"/>
      <c r="AA15" s="1560"/>
      <c r="AB15" s="1560"/>
      <c r="AC15" s="1560"/>
      <c r="AD15" s="1560"/>
    </row>
    <row r="16" spans="1:30" ht="15.75" customHeight="1" x14ac:dyDescent="0.3">
      <c r="A16" s="1560"/>
      <c r="B16" s="1584"/>
      <c r="C16" s="1560"/>
      <c r="D16" s="1560"/>
      <c r="E16" s="1560"/>
      <c r="F16" s="1560"/>
      <c r="G16" s="1509"/>
      <c r="H16" s="1509"/>
      <c r="I16" s="1509"/>
      <c r="J16" s="1509"/>
      <c r="K16" s="1509"/>
      <c r="L16" s="1509"/>
      <c r="M16" s="1585"/>
      <c r="N16" s="1585"/>
      <c r="O16" s="1585"/>
      <c r="P16" s="1585"/>
      <c r="Q16" s="1585"/>
      <c r="R16" s="1585"/>
      <c r="S16" s="1585"/>
      <c r="T16" s="1585"/>
      <c r="U16" s="1585"/>
      <c r="V16" s="1585"/>
      <c r="W16" s="1585"/>
      <c r="X16" s="1585"/>
      <c r="Y16" s="1585"/>
      <c r="Z16" s="1585"/>
      <c r="AA16" s="1560"/>
      <c r="AB16" s="1560"/>
      <c r="AC16" s="1560"/>
      <c r="AD16" s="1560"/>
    </row>
    <row r="17" spans="1:30" ht="15.75" customHeight="1" x14ac:dyDescent="0.3">
      <c r="A17" s="1560"/>
      <c r="B17" s="4405" t="s">
        <v>357</v>
      </c>
      <c r="C17" s="4406"/>
      <c r="D17" s="1560"/>
      <c r="E17" s="1560"/>
      <c r="F17" s="1560"/>
      <c r="G17" s="1509"/>
      <c r="H17" s="1509"/>
      <c r="I17" s="1509"/>
      <c r="J17" s="1509"/>
      <c r="K17" s="1509"/>
      <c r="L17" s="1509"/>
      <c r="M17" s="1585"/>
      <c r="N17" s="1585"/>
      <c r="O17" s="1585"/>
      <c r="P17" s="1585"/>
      <c r="Q17" s="1585"/>
      <c r="R17" s="1585"/>
      <c r="S17" s="1585"/>
      <c r="T17" s="1585"/>
      <c r="U17" s="1585"/>
      <c r="V17" s="1585"/>
      <c r="W17" s="1585"/>
      <c r="X17" s="1585"/>
      <c r="Y17" s="1585"/>
      <c r="Z17" s="1585"/>
      <c r="AA17" s="1560"/>
      <c r="AB17" s="1560"/>
      <c r="AC17" s="1560"/>
      <c r="AD17" s="1560"/>
    </row>
    <row r="18" spans="1:30" ht="15.75" customHeight="1" x14ac:dyDescent="0.3">
      <c r="A18" s="1560"/>
      <c r="B18" s="1588" t="s">
        <v>301</v>
      </c>
      <c r="C18" s="1560"/>
      <c r="D18" s="1560"/>
      <c r="E18" s="1560"/>
      <c r="F18" s="1560"/>
      <c r="G18" s="1509"/>
      <c r="H18" s="1509"/>
      <c r="I18" s="1509"/>
      <c r="J18" s="1509"/>
      <c r="K18" s="1509"/>
      <c r="L18" s="1509"/>
      <c r="M18" s="1585"/>
      <c r="N18" s="1585"/>
      <c r="O18" s="1585"/>
      <c r="P18" s="1585"/>
      <c r="Q18" s="1585"/>
      <c r="R18" s="1585"/>
      <c r="S18" s="1585"/>
      <c r="T18" s="1585"/>
      <c r="U18" s="1585"/>
      <c r="V18" s="1585"/>
      <c r="W18" s="1585"/>
      <c r="X18" s="1585"/>
      <c r="Y18" s="1585"/>
      <c r="Z18" s="1585"/>
      <c r="AA18" s="1560"/>
      <c r="AB18" s="1560"/>
      <c r="AC18" s="1560"/>
      <c r="AD18" s="1560"/>
    </row>
    <row r="19" spans="1:30" ht="15.75" customHeight="1" x14ac:dyDescent="0.3">
      <c r="A19" s="1560"/>
      <c r="B19" s="1588" t="s">
        <v>301</v>
      </c>
      <c r="C19" s="1560"/>
      <c r="D19" s="1560"/>
      <c r="E19" s="1560"/>
      <c r="F19" s="1560"/>
      <c r="G19" s="1509"/>
      <c r="H19" s="1509"/>
      <c r="I19" s="1509"/>
      <c r="J19" s="1509"/>
      <c r="K19" s="1509"/>
      <c r="L19" s="1509"/>
      <c r="M19" s="1585"/>
      <c r="N19" s="1585"/>
      <c r="O19" s="1585"/>
      <c r="P19" s="1585"/>
      <c r="Q19" s="1585"/>
      <c r="R19" s="1585"/>
      <c r="S19" s="1585"/>
      <c r="T19" s="1585"/>
      <c r="U19" s="1585"/>
      <c r="V19" s="1585"/>
      <c r="W19" s="1585"/>
      <c r="X19" s="1585"/>
      <c r="Y19" s="1585"/>
      <c r="Z19" s="1585"/>
      <c r="AA19" s="1560"/>
      <c r="AB19" s="1560"/>
      <c r="AC19" s="1560"/>
      <c r="AD19" s="1560"/>
    </row>
    <row r="20" spans="1:30" ht="15.75" customHeight="1" x14ac:dyDescent="0.3"/>
    <row r="21" spans="1:30" ht="15.75" customHeight="1" x14ac:dyDescent="0.3"/>
    <row r="22" spans="1:30" ht="15.75" customHeight="1" x14ac:dyDescent="0.3"/>
    <row r="23" spans="1:30" ht="15.75" customHeight="1" x14ac:dyDescent="0.3"/>
    <row r="24" spans="1:30" ht="15.75" customHeight="1" x14ac:dyDescent="0.3"/>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C61A-99F6-4804-8DAB-1F685C0C1652}">
  <dimension ref="A1:H986"/>
  <sheetViews>
    <sheetView workbookViewId="0">
      <selection activeCell="D18" sqref="D18"/>
    </sheetView>
  </sheetViews>
  <sheetFormatPr defaultColWidth="12.44140625" defaultRowHeight="15" customHeight="1" x14ac:dyDescent="0.3"/>
  <cols>
    <col min="1" max="1" width="2.6640625" style="2686" customWidth="1"/>
    <col min="2" max="2" width="34" style="2686" customWidth="1"/>
    <col min="3" max="5" width="20.44140625" style="2686" customWidth="1"/>
    <col min="6" max="6" width="1.5546875" style="2686" customWidth="1"/>
    <col min="7" max="7" width="15.21875" style="2686" customWidth="1"/>
    <col min="8" max="8" width="11.6640625" style="2686" customWidth="1"/>
    <col min="9" max="16384" width="12.44140625" style="2686"/>
  </cols>
  <sheetData>
    <row r="1" spans="1:8" ht="21.75" customHeight="1" x14ac:dyDescent="0.35">
      <c r="A1" s="2682"/>
      <c r="B1" s="2683" t="s">
        <v>549</v>
      </c>
      <c r="F1" s="2685"/>
    </row>
    <row r="2" spans="1:8" ht="15.75" customHeight="1" x14ac:dyDescent="0.3">
      <c r="A2" s="2682"/>
      <c r="B2" s="2687" t="s">
        <v>299</v>
      </c>
      <c r="C2" s="2688"/>
      <c r="D2" s="2688"/>
      <c r="E2" s="2688"/>
      <c r="F2" s="2688"/>
      <c r="G2" s="2688"/>
    </row>
    <row r="3" spans="1:8" ht="9.75" customHeight="1" x14ac:dyDescent="0.3">
      <c r="A3" s="2685"/>
      <c r="F3" s="2685"/>
    </row>
    <row r="4" spans="1:8" ht="6" customHeight="1" x14ac:dyDescent="0.3">
      <c r="F4" s="2685"/>
    </row>
    <row r="5" spans="1:8" ht="6" customHeight="1" x14ac:dyDescent="0.3">
      <c r="A5" s="2689"/>
      <c r="F5" s="2685"/>
    </row>
    <row r="6" spans="1:8" ht="15.75" customHeight="1" x14ac:dyDescent="0.3">
      <c r="F6" s="2685"/>
    </row>
    <row r="7" spans="1:8" ht="37.200000000000003" customHeight="1" x14ac:dyDescent="0.3">
      <c r="A7" s="2690"/>
      <c r="B7" s="2691">
        <v>2024</v>
      </c>
      <c r="C7" s="4407" t="s">
        <v>23</v>
      </c>
      <c r="D7" s="4408"/>
      <c r="E7" s="4408"/>
      <c r="F7" s="3193"/>
      <c r="G7" s="2693" t="s">
        <v>300</v>
      </c>
      <c r="H7" s="2690"/>
    </row>
    <row r="8" spans="1:8" ht="18" customHeight="1" x14ac:dyDescent="0.35">
      <c r="B8" s="2694" t="s">
        <v>301</v>
      </c>
      <c r="C8" s="2695">
        <v>1</v>
      </c>
      <c r="D8" s="3194">
        <v>2</v>
      </c>
      <c r="E8" s="3195">
        <v>3</v>
      </c>
      <c r="F8" s="3196"/>
      <c r="G8" s="2697"/>
    </row>
    <row r="9" spans="1:8" ht="46.5" customHeight="1" x14ac:dyDescent="0.3">
      <c r="B9" s="2698" t="s">
        <v>302</v>
      </c>
      <c r="C9" s="2699" t="s">
        <v>1604</v>
      </c>
      <c r="D9" s="2699" t="s">
        <v>1605</v>
      </c>
      <c r="E9" s="2699" t="s">
        <v>1606</v>
      </c>
      <c r="F9" s="3197"/>
      <c r="G9" s="2701"/>
    </row>
    <row r="10" spans="1:8" ht="46.5" customHeight="1" x14ac:dyDescent="0.3">
      <c r="B10" s="2703" t="s">
        <v>304</v>
      </c>
      <c r="C10" s="2704" t="s">
        <v>1336</v>
      </c>
      <c r="D10" s="2704" t="s">
        <v>1382</v>
      </c>
      <c r="E10" s="2704" t="s">
        <v>1607</v>
      </c>
      <c r="F10" s="3198"/>
      <c r="G10" s="2705"/>
    </row>
    <row r="11" spans="1:8" ht="18.75" customHeight="1" x14ac:dyDescent="0.3">
      <c r="A11" s="2706"/>
      <c r="B11" s="2707" t="s">
        <v>306</v>
      </c>
      <c r="C11" s="3199">
        <f>(C17*C18)</f>
        <v>458.34403146236207</v>
      </c>
      <c r="D11" s="3200">
        <f t="shared" ref="D11:E11" si="0">(D17*D18)</f>
        <v>849.040080048964</v>
      </c>
      <c r="E11" s="3199">
        <f t="shared" si="0"/>
        <v>4970.3143535227591</v>
      </c>
      <c r="F11" s="3201"/>
      <c r="G11" s="2710">
        <f>SUM(C11:E11)</f>
        <v>6277.6984650340855</v>
      </c>
      <c r="H11" s="2706"/>
    </row>
    <row r="12" spans="1:8" ht="18.75" customHeight="1" x14ac:dyDescent="0.3">
      <c r="A12" s="2706"/>
      <c r="B12" s="2712" t="s">
        <v>307</v>
      </c>
      <c r="C12" s="2713">
        <f>(C22*C23)</f>
        <v>0</v>
      </c>
      <c r="D12" s="2713">
        <f t="shared" ref="D12:E12" si="1">(D22*D23)</f>
        <v>0</v>
      </c>
      <c r="E12" s="2713">
        <f t="shared" si="1"/>
        <v>0</v>
      </c>
      <c r="F12" s="3201"/>
      <c r="G12" s="2715">
        <f>SUM(C12:E12)</f>
        <v>0</v>
      </c>
      <c r="H12" s="2706"/>
    </row>
    <row r="13" spans="1:8" ht="18.75" customHeight="1" x14ac:dyDescent="0.3">
      <c r="A13" s="2706"/>
      <c r="B13" s="2707" t="s">
        <v>308</v>
      </c>
      <c r="C13" s="2717" t="s">
        <v>8</v>
      </c>
      <c r="D13" s="3202" t="s">
        <v>8</v>
      </c>
      <c r="E13" s="2717" t="s">
        <v>8</v>
      </c>
      <c r="F13" s="3203"/>
      <c r="G13" s="2719"/>
      <c r="H13" s="2706"/>
    </row>
    <row r="14" spans="1:8" ht="18.75" customHeight="1" x14ac:dyDescent="0.3">
      <c r="A14" s="2706"/>
      <c r="B14" s="2721" t="s">
        <v>309</v>
      </c>
      <c r="C14" s="2722">
        <f t="shared" ref="C14:E14" si="2">C11-C12</f>
        <v>458.34403146236207</v>
      </c>
      <c r="D14" s="3204">
        <f t="shared" si="2"/>
        <v>849.040080048964</v>
      </c>
      <c r="E14" s="2722">
        <f t="shared" si="2"/>
        <v>4970.3143535227591</v>
      </c>
      <c r="F14" s="3201"/>
      <c r="G14" s="2724">
        <f>SUM(C14:E14)</f>
        <v>6277.6984650340855</v>
      </c>
      <c r="H14" s="2706"/>
    </row>
    <row r="15" spans="1:8" ht="19.5" customHeight="1" x14ac:dyDescent="0.4">
      <c r="B15" s="3205" t="s">
        <v>395</v>
      </c>
      <c r="C15" s="2933"/>
      <c r="D15" s="3206"/>
      <c r="E15" s="2933"/>
      <c r="F15" s="3207"/>
      <c r="G15" s="2728"/>
      <c r="H15" s="2685"/>
    </row>
    <row r="16" spans="1:8" ht="35.4" customHeight="1" x14ac:dyDescent="0.3">
      <c r="A16" s="2706"/>
      <c r="B16" s="2729" t="s">
        <v>311</v>
      </c>
      <c r="C16" s="2730" t="s">
        <v>496</v>
      </c>
      <c r="D16" s="2730" t="s">
        <v>496</v>
      </c>
      <c r="E16" s="2730" t="s">
        <v>496</v>
      </c>
      <c r="F16" s="3208"/>
      <c r="G16" s="3209"/>
      <c r="H16" s="2706"/>
    </row>
    <row r="17" spans="1:8" ht="21" customHeight="1" x14ac:dyDescent="0.3">
      <c r="A17" s="2706"/>
      <c r="B17" s="2733" t="s">
        <v>398</v>
      </c>
      <c r="C17" s="3210">
        <f>'CF-0807|GDS'!H9</f>
        <v>564.98</v>
      </c>
      <c r="D17" s="3210">
        <f>'CF-0807|GDS'!H10</f>
        <v>1178.79</v>
      </c>
      <c r="E17" s="3210">
        <f>'CF-0807|GDS'!H13</f>
        <v>1359.7565</v>
      </c>
      <c r="F17" s="3211"/>
      <c r="G17" s="3212"/>
      <c r="H17" s="2706"/>
    </row>
    <row r="18" spans="1:8" ht="18.75" customHeight="1" x14ac:dyDescent="0.3">
      <c r="A18" s="2706"/>
      <c r="B18" s="2740" t="s">
        <v>314</v>
      </c>
      <c r="C18" s="2741">
        <v>0.81125709133484736</v>
      </c>
      <c r="D18" s="2741">
        <v>0.7202640674326759</v>
      </c>
      <c r="E18" s="2741">
        <v>3.65529736649375</v>
      </c>
      <c r="F18" s="3201"/>
      <c r="G18" s="2756"/>
      <c r="H18" s="2706"/>
    </row>
    <row r="19" spans="1:8" ht="19.5" customHeight="1" x14ac:dyDescent="0.3">
      <c r="A19" s="2706"/>
      <c r="B19" s="2743" t="s">
        <v>315</v>
      </c>
      <c r="C19" s="3213">
        <f>C17*C18</f>
        <v>458.34403146236207</v>
      </c>
      <c r="D19" s="2744">
        <f>D17*D18</f>
        <v>849.040080048964</v>
      </c>
      <c r="E19" s="3213">
        <f>E17*E18</f>
        <v>4970.3143535227591</v>
      </c>
      <c r="F19" s="3201"/>
      <c r="G19" s="2759"/>
      <c r="H19" s="3289"/>
    </row>
    <row r="20" spans="1:8" ht="21" customHeight="1" x14ac:dyDescent="0.4">
      <c r="B20" s="2725" t="s">
        <v>316</v>
      </c>
      <c r="C20" s="3214"/>
      <c r="D20" s="3215"/>
      <c r="E20" s="3214"/>
      <c r="F20" s="3207"/>
      <c r="G20" s="2777"/>
    </row>
    <row r="21" spans="1:8" ht="32.4" customHeight="1" x14ac:dyDescent="0.3">
      <c r="A21" s="2706"/>
      <c r="B21" s="2729" t="s">
        <v>183</v>
      </c>
      <c r="C21" s="2730" t="s">
        <v>1608</v>
      </c>
      <c r="D21" s="2730" t="s">
        <v>1609</v>
      </c>
      <c r="E21" s="2730" t="s">
        <v>1610</v>
      </c>
      <c r="F21" s="3201"/>
      <c r="G21" s="2769"/>
      <c r="H21" s="2706"/>
    </row>
    <row r="22" spans="1:8" ht="21" customHeight="1" x14ac:dyDescent="0.3">
      <c r="A22" s="2706"/>
      <c r="B22" s="2751" t="s">
        <v>398</v>
      </c>
      <c r="C22" s="2752">
        <f>C17</f>
        <v>564.98</v>
      </c>
      <c r="D22" s="3216">
        <f>D17</f>
        <v>1178.79</v>
      </c>
      <c r="E22" s="2752">
        <f>E17</f>
        <v>1359.7565</v>
      </c>
      <c r="F22" s="3211"/>
      <c r="G22" s="3212"/>
      <c r="H22" s="2706"/>
    </row>
    <row r="23" spans="1:8" ht="21" customHeight="1" x14ac:dyDescent="0.3">
      <c r="A23" s="2706"/>
      <c r="B23" s="2754" t="s">
        <v>314</v>
      </c>
      <c r="C23" s="2755">
        <v>0</v>
      </c>
      <c r="D23" s="2755">
        <v>0</v>
      </c>
      <c r="E23" s="2755">
        <v>0</v>
      </c>
      <c r="F23" s="3201"/>
      <c r="G23" s="2756"/>
      <c r="H23" s="2706"/>
    </row>
    <row r="24" spans="1:8" ht="21" customHeight="1" x14ac:dyDescent="0.3">
      <c r="A24" s="2706"/>
      <c r="B24" s="2757" t="s">
        <v>315</v>
      </c>
      <c r="C24" s="2758">
        <f t="shared" ref="C24:E24" si="3">C22*C23</f>
        <v>0</v>
      </c>
      <c r="D24" s="3217">
        <f t="shared" si="3"/>
        <v>0</v>
      </c>
      <c r="E24" s="3218">
        <f t="shared" si="3"/>
        <v>0</v>
      </c>
      <c r="F24" s="3201"/>
      <c r="G24" s="2759"/>
      <c r="H24" s="2706"/>
    </row>
    <row r="25" spans="1:8" ht="28.5" customHeight="1" x14ac:dyDescent="0.3">
      <c r="A25" s="2706"/>
      <c r="B25" s="2760" t="s">
        <v>320</v>
      </c>
      <c r="C25" s="3219" t="s">
        <v>401</v>
      </c>
      <c r="D25" s="3219" t="s">
        <v>401</v>
      </c>
      <c r="E25" s="3219" t="s">
        <v>401</v>
      </c>
      <c r="F25" s="3201"/>
      <c r="G25" s="2769"/>
      <c r="H25" s="2706"/>
    </row>
    <row r="26" spans="1:8" ht="24" customHeight="1" x14ac:dyDescent="0.3">
      <c r="B26" s="2764" t="s">
        <v>322</v>
      </c>
      <c r="C26" s="2772">
        <v>13</v>
      </c>
      <c r="D26" s="2775">
        <v>13</v>
      </c>
      <c r="E26" s="2772">
        <v>13</v>
      </c>
      <c r="F26" s="3207"/>
      <c r="G26" s="2777"/>
    </row>
    <row r="27" spans="1:8" ht="33" customHeight="1" x14ac:dyDescent="0.3">
      <c r="A27" s="2706"/>
      <c r="B27" s="2768" t="s">
        <v>323</v>
      </c>
      <c r="C27" s="2769" t="s">
        <v>324</v>
      </c>
      <c r="D27" s="2773" t="s">
        <v>324</v>
      </c>
      <c r="E27" s="2769" t="s">
        <v>324</v>
      </c>
      <c r="F27" s="3201"/>
      <c r="G27" s="2769"/>
      <c r="H27" s="2706"/>
    </row>
    <row r="28" spans="1:8" ht="33" customHeight="1" x14ac:dyDescent="0.3">
      <c r="A28" s="2706"/>
      <c r="B28" s="2771" t="s">
        <v>325</v>
      </c>
      <c r="C28" s="2772" t="s">
        <v>326</v>
      </c>
      <c r="D28" s="2775" t="s">
        <v>326</v>
      </c>
      <c r="E28" s="2772" t="s">
        <v>326</v>
      </c>
      <c r="F28" s="3201"/>
      <c r="G28" s="2769"/>
      <c r="H28" s="2706"/>
    </row>
    <row r="29" spans="1:8" ht="33" customHeight="1" x14ac:dyDescent="0.3">
      <c r="A29" s="2706"/>
      <c r="B29" s="2768" t="s">
        <v>327</v>
      </c>
      <c r="C29" s="2773" t="s">
        <v>402</v>
      </c>
      <c r="D29" s="2773" t="s">
        <v>402</v>
      </c>
      <c r="E29" s="2773" t="s">
        <v>402</v>
      </c>
      <c r="F29" s="3201"/>
      <c r="G29" s="2769"/>
      <c r="H29" s="2706"/>
    </row>
    <row r="30" spans="1:8" ht="21" customHeight="1" x14ac:dyDescent="0.3">
      <c r="B30" s="2774" t="s">
        <v>329</v>
      </c>
      <c r="C30" s="2775">
        <v>1</v>
      </c>
      <c r="D30" s="2775">
        <v>1</v>
      </c>
      <c r="E30" s="2775">
        <v>1</v>
      </c>
      <c r="F30" s="3207"/>
      <c r="G30" s="2727"/>
    </row>
    <row r="31" spans="1:8" ht="21" customHeight="1" x14ac:dyDescent="0.3">
      <c r="B31" s="2712" t="s">
        <v>330</v>
      </c>
      <c r="C31" s="2769" t="s">
        <v>324</v>
      </c>
      <c r="D31" s="2773" t="s">
        <v>324</v>
      </c>
      <c r="E31" s="2769" t="s">
        <v>324</v>
      </c>
      <c r="F31" s="3207"/>
      <c r="G31" s="2777"/>
    </row>
    <row r="32" spans="1:8" ht="21" customHeight="1" x14ac:dyDescent="0.3">
      <c r="B32" s="2774" t="s">
        <v>331</v>
      </c>
      <c r="C32" s="2772" t="s">
        <v>324</v>
      </c>
      <c r="D32" s="2775" t="s">
        <v>324</v>
      </c>
      <c r="E32" s="2772" t="s">
        <v>324</v>
      </c>
      <c r="F32" s="3207"/>
      <c r="G32" s="2777"/>
    </row>
    <row r="33" spans="2:7" ht="21" customHeight="1" x14ac:dyDescent="0.3">
      <c r="B33" s="2721" t="s">
        <v>332</v>
      </c>
      <c r="C33" s="2778" t="s">
        <v>333</v>
      </c>
      <c r="D33" s="2813" t="s">
        <v>333</v>
      </c>
      <c r="E33" s="3220" t="s">
        <v>333</v>
      </c>
      <c r="F33" s="3207"/>
      <c r="G33" s="2777"/>
    </row>
    <row r="34" spans="2:7" ht="15.75" customHeight="1" x14ac:dyDescent="0.3">
      <c r="B34" s="2685"/>
      <c r="F34" s="2685"/>
      <c r="G34" s="2685"/>
    </row>
    <row r="35" spans="2:7" ht="15.75" customHeight="1" x14ac:dyDescent="0.3">
      <c r="F35" s="2685"/>
      <c r="G35" s="2685"/>
    </row>
    <row r="36" spans="2:7" ht="15.75" customHeight="1" x14ac:dyDescent="0.3">
      <c r="F36" s="2685"/>
      <c r="G36" s="2685"/>
    </row>
    <row r="37" spans="2:7" ht="15.75" customHeight="1" x14ac:dyDescent="0.3">
      <c r="F37" s="2685"/>
      <c r="G37" s="2685"/>
    </row>
    <row r="38" spans="2:7" ht="15.75" customHeight="1" x14ac:dyDescent="0.3">
      <c r="F38" s="2685"/>
      <c r="G38" s="2685"/>
    </row>
    <row r="39" spans="2:7" ht="15.75" customHeight="1" x14ac:dyDescent="0.3">
      <c r="F39" s="2685"/>
      <c r="G39" s="2685"/>
    </row>
    <row r="40" spans="2:7" ht="15.75" customHeight="1" x14ac:dyDescent="0.3">
      <c r="F40" s="2685"/>
      <c r="G40" s="2685"/>
    </row>
    <row r="41" spans="2:7" ht="15.75" customHeight="1" x14ac:dyDescent="0.3">
      <c r="F41" s="2685"/>
      <c r="G41" s="2685"/>
    </row>
    <row r="42" spans="2:7" ht="15.75" customHeight="1" x14ac:dyDescent="0.3">
      <c r="F42" s="2685"/>
      <c r="G42" s="2685"/>
    </row>
    <row r="43" spans="2:7" ht="15.75" customHeight="1" x14ac:dyDescent="0.3">
      <c r="F43" s="2685"/>
      <c r="G43" s="2685"/>
    </row>
    <row r="44" spans="2:7" ht="15.75" customHeight="1" x14ac:dyDescent="0.3">
      <c r="F44" s="2685"/>
    </row>
    <row r="45" spans="2:7" ht="15.75" customHeight="1" x14ac:dyDescent="0.3">
      <c r="F45" s="2685"/>
    </row>
    <row r="46" spans="2:7" ht="15.75" customHeight="1" x14ac:dyDescent="0.3">
      <c r="F46" s="2685"/>
    </row>
    <row r="47" spans="2:7" ht="15.75" customHeight="1" x14ac:dyDescent="0.3">
      <c r="F47" s="2685"/>
    </row>
    <row r="48" spans="2:7" ht="15.75" customHeight="1" x14ac:dyDescent="0.3">
      <c r="F48" s="2685"/>
    </row>
    <row r="49" spans="6:6" ht="15.75" customHeight="1" x14ac:dyDescent="0.3">
      <c r="F49" s="2685"/>
    </row>
    <row r="50" spans="6:6" ht="15.75" customHeight="1" x14ac:dyDescent="0.3">
      <c r="F50" s="2685"/>
    </row>
    <row r="51" spans="6:6" ht="15.75" customHeight="1" x14ac:dyDescent="0.3">
      <c r="F51" s="2685"/>
    </row>
    <row r="52" spans="6:6" ht="15.75" customHeight="1" x14ac:dyDescent="0.3">
      <c r="F52" s="2685"/>
    </row>
    <row r="53" spans="6:6" ht="15.75" customHeight="1" x14ac:dyDescent="0.3">
      <c r="F53" s="2685"/>
    </row>
    <row r="54" spans="6:6" ht="15.75" customHeight="1" x14ac:dyDescent="0.3">
      <c r="F54" s="2685"/>
    </row>
    <row r="55" spans="6:6" ht="15.75" customHeight="1" x14ac:dyDescent="0.3">
      <c r="F55" s="2685"/>
    </row>
    <row r="56" spans="6:6" ht="15.75" customHeight="1" x14ac:dyDescent="0.3">
      <c r="F56" s="2685"/>
    </row>
    <row r="57" spans="6:6" ht="15.75" customHeight="1" x14ac:dyDescent="0.3">
      <c r="F57" s="2685"/>
    </row>
    <row r="58" spans="6:6" ht="15.75" customHeight="1" x14ac:dyDescent="0.3">
      <c r="F58" s="2685"/>
    </row>
    <row r="59" spans="6:6" ht="15.75" customHeight="1" x14ac:dyDescent="0.3">
      <c r="F59" s="2685"/>
    </row>
    <row r="60" spans="6:6" ht="15.75" customHeight="1" x14ac:dyDescent="0.3">
      <c r="F60" s="2685"/>
    </row>
    <row r="61" spans="6:6" ht="15.75" customHeight="1" x14ac:dyDescent="0.3">
      <c r="F61" s="2685"/>
    </row>
    <row r="62" spans="6:6" ht="15.75" customHeight="1" x14ac:dyDescent="0.3">
      <c r="F62" s="2685"/>
    </row>
    <row r="63" spans="6:6" ht="15.75" customHeight="1" x14ac:dyDescent="0.3">
      <c r="F63" s="2685"/>
    </row>
    <row r="64" spans="6:6" ht="15.75" customHeight="1" x14ac:dyDescent="0.3">
      <c r="F64" s="2685"/>
    </row>
    <row r="65" spans="6:6" ht="15.75" customHeight="1" x14ac:dyDescent="0.3">
      <c r="F65" s="2685"/>
    </row>
    <row r="66" spans="6:6" ht="15.75" customHeight="1" x14ac:dyDescent="0.3">
      <c r="F66" s="2685"/>
    </row>
    <row r="67" spans="6:6" ht="15.75" customHeight="1" x14ac:dyDescent="0.3">
      <c r="F67" s="2685"/>
    </row>
    <row r="68" spans="6:6" ht="15.75" customHeight="1" x14ac:dyDescent="0.3">
      <c r="F68" s="2685"/>
    </row>
    <row r="69" spans="6:6" ht="15.75" customHeight="1" x14ac:dyDescent="0.3">
      <c r="F69" s="2685"/>
    </row>
    <row r="70" spans="6:6" ht="15.75" customHeight="1" x14ac:dyDescent="0.3">
      <c r="F70" s="2685"/>
    </row>
    <row r="71" spans="6:6" ht="15.75" customHeight="1" x14ac:dyDescent="0.3">
      <c r="F71" s="2685"/>
    </row>
    <row r="72" spans="6:6" ht="15.75" customHeight="1" x14ac:dyDescent="0.3">
      <c r="F72" s="2685"/>
    </row>
    <row r="73" spans="6:6" ht="15.75" customHeight="1" x14ac:dyDescent="0.3">
      <c r="F73" s="2685"/>
    </row>
    <row r="74" spans="6:6" ht="15.75" customHeight="1" x14ac:dyDescent="0.3">
      <c r="F74" s="2685"/>
    </row>
    <row r="75" spans="6:6" ht="15.75" customHeight="1" x14ac:dyDescent="0.3">
      <c r="F75" s="2685"/>
    </row>
    <row r="76" spans="6:6" ht="15.75" customHeight="1" x14ac:dyDescent="0.3">
      <c r="F76" s="2685"/>
    </row>
    <row r="77" spans="6:6" ht="15.75" customHeight="1" x14ac:dyDescent="0.3">
      <c r="F77" s="2685"/>
    </row>
    <row r="78" spans="6:6" ht="15.75" customHeight="1" x14ac:dyDescent="0.3">
      <c r="F78" s="2685"/>
    </row>
    <row r="79" spans="6:6" ht="15.75" customHeight="1" x14ac:dyDescent="0.3">
      <c r="F79" s="2685"/>
    </row>
    <row r="80" spans="6:6" ht="15.75" customHeight="1" x14ac:dyDescent="0.3">
      <c r="F80" s="2685"/>
    </row>
    <row r="81" spans="6:6" ht="15.75" customHeight="1" x14ac:dyDescent="0.3">
      <c r="F81" s="2685"/>
    </row>
    <row r="82" spans="6:6" ht="15.75" customHeight="1" x14ac:dyDescent="0.3">
      <c r="F82" s="2685"/>
    </row>
    <row r="83" spans="6:6" ht="15.75" customHeight="1" x14ac:dyDescent="0.3">
      <c r="F83" s="2685"/>
    </row>
    <row r="84" spans="6:6" ht="15.75" customHeight="1" x14ac:dyDescent="0.3">
      <c r="F84" s="2685"/>
    </row>
    <row r="85" spans="6:6" ht="15.75" customHeight="1" x14ac:dyDescent="0.3">
      <c r="F85" s="2685"/>
    </row>
    <row r="86" spans="6:6" ht="15.75" customHeight="1" x14ac:dyDescent="0.3">
      <c r="F86" s="2685"/>
    </row>
    <row r="87" spans="6:6" ht="15.75" customHeight="1" x14ac:dyDescent="0.3">
      <c r="F87" s="2685"/>
    </row>
    <row r="88" spans="6:6" ht="15.75" customHeight="1" x14ac:dyDescent="0.3">
      <c r="F88" s="2685"/>
    </row>
    <row r="89" spans="6:6" ht="15.75" customHeight="1" x14ac:dyDescent="0.3">
      <c r="F89" s="2685"/>
    </row>
    <row r="90" spans="6:6" ht="15.75" customHeight="1" x14ac:dyDescent="0.3">
      <c r="F90" s="2685"/>
    </row>
    <row r="91" spans="6:6" ht="15.75" customHeight="1" x14ac:dyDescent="0.3">
      <c r="F91" s="2685"/>
    </row>
    <row r="92" spans="6:6" ht="15.75" customHeight="1" x14ac:dyDescent="0.3">
      <c r="F92" s="2685"/>
    </row>
    <row r="93" spans="6:6" ht="15.75" customHeight="1" x14ac:dyDescent="0.3">
      <c r="F93" s="2685"/>
    </row>
    <row r="94" spans="6:6" ht="15.75" customHeight="1" x14ac:dyDescent="0.3">
      <c r="F94" s="2685"/>
    </row>
    <row r="95" spans="6:6" ht="15.75" customHeight="1" x14ac:dyDescent="0.3">
      <c r="F95" s="2685"/>
    </row>
    <row r="96" spans="6:6" ht="15.75" customHeight="1" x14ac:dyDescent="0.3">
      <c r="F96" s="2685"/>
    </row>
    <row r="97" spans="6:6" ht="15.75" customHeight="1" x14ac:dyDescent="0.3">
      <c r="F97" s="2685"/>
    </row>
    <row r="98" spans="6:6" ht="15.75" customHeight="1" x14ac:dyDescent="0.3">
      <c r="F98" s="2685"/>
    </row>
    <row r="99" spans="6:6" ht="15.75" customHeight="1" x14ac:dyDescent="0.3">
      <c r="F99" s="2685"/>
    </row>
    <row r="100" spans="6:6" ht="15.75" customHeight="1" x14ac:dyDescent="0.3">
      <c r="F100" s="2685"/>
    </row>
    <row r="101" spans="6:6" ht="15.75" customHeight="1" x14ac:dyDescent="0.3">
      <c r="F101" s="2685"/>
    </row>
    <row r="102" spans="6:6" ht="15.75" customHeight="1" x14ac:dyDescent="0.3">
      <c r="F102" s="2685"/>
    </row>
    <row r="103" spans="6:6" ht="15.75" customHeight="1" x14ac:dyDescent="0.3">
      <c r="F103" s="2685"/>
    </row>
    <row r="104" spans="6:6" ht="15.75" customHeight="1" x14ac:dyDescent="0.3">
      <c r="F104" s="2685"/>
    </row>
    <row r="105" spans="6:6" ht="15.75" customHeight="1" x14ac:dyDescent="0.3">
      <c r="F105" s="2685"/>
    </row>
    <row r="106" spans="6:6" ht="15.75" customHeight="1" x14ac:dyDescent="0.3">
      <c r="F106" s="2685"/>
    </row>
    <row r="107" spans="6:6" ht="15.75" customHeight="1" x14ac:dyDescent="0.3">
      <c r="F107" s="2685"/>
    </row>
    <row r="108" spans="6:6" ht="15.75" customHeight="1" x14ac:dyDescent="0.3">
      <c r="F108" s="2685"/>
    </row>
    <row r="109" spans="6:6" ht="15.75" customHeight="1" x14ac:dyDescent="0.3">
      <c r="F109" s="2685"/>
    </row>
    <row r="110" spans="6:6" ht="15.75" customHeight="1" x14ac:dyDescent="0.3">
      <c r="F110" s="2685"/>
    </row>
    <row r="111" spans="6:6" ht="15.75" customHeight="1" x14ac:dyDescent="0.3">
      <c r="F111" s="2685"/>
    </row>
    <row r="112" spans="6:6" ht="15.75" customHeight="1" x14ac:dyDescent="0.3">
      <c r="F112" s="2685"/>
    </row>
    <row r="113" spans="6:6" ht="15.75" customHeight="1" x14ac:dyDescent="0.3">
      <c r="F113" s="2685"/>
    </row>
    <row r="114" spans="6:6" ht="15.75" customHeight="1" x14ac:dyDescent="0.3">
      <c r="F114" s="2685"/>
    </row>
    <row r="115" spans="6:6" ht="15.75" customHeight="1" x14ac:dyDescent="0.3">
      <c r="F115" s="2685"/>
    </row>
    <row r="116" spans="6:6" ht="15.75" customHeight="1" x14ac:dyDescent="0.3">
      <c r="F116" s="2685"/>
    </row>
    <row r="117" spans="6:6" ht="15.75" customHeight="1" x14ac:dyDescent="0.3">
      <c r="F117" s="2685"/>
    </row>
    <row r="118" spans="6:6" ht="15.75" customHeight="1" x14ac:dyDescent="0.3">
      <c r="F118" s="2685"/>
    </row>
    <row r="119" spans="6:6" ht="15.75" customHeight="1" x14ac:dyDescent="0.3">
      <c r="F119" s="2685"/>
    </row>
    <row r="120" spans="6:6" ht="15.75" customHeight="1" x14ac:dyDescent="0.3">
      <c r="F120" s="2685"/>
    </row>
    <row r="121" spans="6:6" ht="15.75" customHeight="1" x14ac:dyDescent="0.3">
      <c r="F121" s="2685"/>
    </row>
    <row r="122" spans="6:6" ht="15.75" customHeight="1" x14ac:dyDescent="0.3">
      <c r="F122" s="2685"/>
    </row>
    <row r="123" spans="6:6" ht="15.75" customHeight="1" x14ac:dyDescent="0.3">
      <c r="F123" s="2685"/>
    </row>
    <row r="124" spans="6:6" ht="15.75" customHeight="1" x14ac:dyDescent="0.3">
      <c r="F124" s="2685"/>
    </row>
    <row r="125" spans="6:6" ht="15.75" customHeight="1" x14ac:dyDescent="0.3">
      <c r="F125" s="2685"/>
    </row>
    <row r="126" spans="6:6" ht="15.75" customHeight="1" x14ac:dyDescent="0.3">
      <c r="F126" s="2685"/>
    </row>
    <row r="127" spans="6:6" ht="15.75" customHeight="1" x14ac:dyDescent="0.3">
      <c r="F127" s="2685"/>
    </row>
    <row r="128" spans="6:6" ht="15.75" customHeight="1" x14ac:dyDescent="0.3">
      <c r="F128" s="2685"/>
    </row>
    <row r="129" spans="6:6" ht="15.75" customHeight="1" x14ac:dyDescent="0.3">
      <c r="F129" s="2685"/>
    </row>
    <row r="130" spans="6:6" ht="15.75" customHeight="1" x14ac:dyDescent="0.3">
      <c r="F130" s="2685"/>
    </row>
    <row r="131" spans="6:6" ht="15.75" customHeight="1" x14ac:dyDescent="0.3">
      <c r="F131" s="2685"/>
    </row>
    <row r="132" spans="6:6" ht="15.75" customHeight="1" x14ac:dyDescent="0.3">
      <c r="F132" s="2685"/>
    </row>
    <row r="133" spans="6:6" ht="15.75" customHeight="1" x14ac:dyDescent="0.3">
      <c r="F133" s="2685"/>
    </row>
    <row r="134" spans="6:6" ht="15.75" customHeight="1" x14ac:dyDescent="0.3">
      <c r="F134" s="2685"/>
    </row>
    <row r="135" spans="6:6" ht="15.75" customHeight="1" x14ac:dyDescent="0.3">
      <c r="F135" s="2685"/>
    </row>
    <row r="136" spans="6:6" ht="15.75" customHeight="1" x14ac:dyDescent="0.3">
      <c r="F136" s="2685"/>
    </row>
    <row r="137" spans="6:6" ht="15.75" customHeight="1" x14ac:dyDescent="0.3">
      <c r="F137" s="2685"/>
    </row>
    <row r="138" spans="6:6" ht="15.75" customHeight="1" x14ac:dyDescent="0.3">
      <c r="F138" s="2685"/>
    </row>
    <row r="139" spans="6:6" ht="15.75" customHeight="1" x14ac:dyDescent="0.3">
      <c r="F139" s="2685"/>
    </row>
    <row r="140" spans="6:6" ht="15.75" customHeight="1" x14ac:dyDescent="0.3">
      <c r="F140" s="2685"/>
    </row>
    <row r="141" spans="6:6" ht="15.75" customHeight="1" x14ac:dyDescent="0.3">
      <c r="F141" s="2685"/>
    </row>
    <row r="142" spans="6:6" ht="15.75" customHeight="1" x14ac:dyDescent="0.3">
      <c r="F142" s="2685"/>
    </row>
    <row r="143" spans="6:6" ht="15.75" customHeight="1" x14ac:dyDescent="0.3">
      <c r="F143" s="2685"/>
    </row>
    <row r="144" spans="6:6" ht="15.75" customHeight="1" x14ac:dyDescent="0.3">
      <c r="F144" s="2685"/>
    </row>
    <row r="145" spans="6:6" ht="15.75" customHeight="1" x14ac:dyDescent="0.3">
      <c r="F145" s="2685"/>
    </row>
    <row r="146" spans="6:6" ht="15.75" customHeight="1" x14ac:dyDescent="0.3">
      <c r="F146" s="2685"/>
    </row>
    <row r="147" spans="6:6" ht="15.75" customHeight="1" x14ac:dyDescent="0.3">
      <c r="F147" s="2685"/>
    </row>
    <row r="148" spans="6:6" ht="15.75" customHeight="1" x14ac:dyDescent="0.3">
      <c r="F148" s="2685"/>
    </row>
    <row r="149" spans="6:6" ht="15.75" customHeight="1" x14ac:dyDescent="0.3">
      <c r="F149" s="2685"/>
    </row>
    <row r="150" spans="6:6" ht="15.75" customHeight="1" x14ac:dyDescent="0.3">
      <c r="F150" s="2685"/>
    </row>
    <row r="151" spans="6:6" ht="15.75" customHeight="1" x14ac:dyDescent="0.3">
      <c r="F151" s="2685"/>
    </row>
    <row r="152" spans="6:6" ht="15.75" customHeight="1" x14ac:dyDescent="0.3">
      <c r="F152" s="2685"/>
    </row>
    <row r="153" spans="6:6" ht="15.75" customHeight="1" x14ac:dyDescent="0.3">
      <c r="F153" s="2685"/>
    </row>
    <row r="154" spans="6:6" ht="15.75" customHeight="1" x14ac:dyDescent="0.3">
      <c r="F154" s="2685"/>
    </row>
    <row r="155" spans="6:6" ht="15.75" customHeight="1" x14ac:dyDescent="0.3">
      <c r="F155" s="2685"/>
    </row>
    <row r="156" spans="6:6" ht="15.75" customHeight="1" x14ac:dyDescent="0.3">
      <c r="F156" s="2685"/>
    </row>
    <row r="157" spans="6:6" ht="15.75" customHeight="1" x14ac:dyDescent="0.3">
      <c r="F157" s="2685"/>
    </row>
    <row r="158" spans="6:6" ht="15.75" customHeight="1" x14ac:dyDescent="0.3">
      <c r="F158" s="2685"/>
    </row>
    <row r="159" spans="6:6" ht="15.75" customHeight="1" x14ac:dyDescent="0.3">
      <c r="F159" s="2685"/>
    </row>
    <row r="160" spans="6:6" ht="15.75" customHeight="1" x14ac:dyDescent="0.3">
      <c r="F160" s="2685"/>
    </row>
    <row r="161" spans="6:6" ht="15.75" customHeight="1" x14ac:dyDescent="0.3">
      <c r="F161" s="2685"/>
    </row>
    <row r="162" spans="6:6" ht="15.75" customHeight="1" x14ac:dyDescent="0.3">
      <c r="F162" s="2685"/>
    </row>
    <row r="163" spans="6:6" ht="15.75" customHeight="1" x14ac:dyDescent="0.3">
      <c r="F163" s="2685"/>
    </row>
    <row r="164" spans="6:6" ht="15.75" customHeight="1" x14ac:dyDescent="0.3">
      <c r="F164" s="2685"/>
    </row>
    <row r="165" spans="6:6" ht="15.75" customHeight="1" x14ac:dyDescent="0.3">
      <c r="F165" s="2685"/>
    </row>
    <row r="166" spans="6:6" ht="15.75" customHeight="1" x14ac:dyDescent="0.3">
      <c r="F166" s="2685"/>
    </row>
    <row r="167" spans="6:6" ht="15.75" customHeight="1" x14ac:dyDescent="0.3">
      <c r="F167" s="2685"/>
    </row>
    <row r="168" spans="6:6" ht="15.75" customHeight="1" x14ac:dyDescent="0.3">
      <c r="F168" s="2685"/>
    </row>
    <row r="169" spans="6:6" ht="15.75" customHeight="1" x14ac:dyDescent="0.3">
      <c r="F169" s="2685"/>
    </row>
    <row r="170" spans="6:6" ht="15.75" customHeight="1" x14ac:dyDescent="0.3">
      <c r="F170" s="2685"/>
    </row>
    <row r="171" spans="6:6" ht="15.75" customHeight="1" x14ac:dyDescent="0.3">
      <c r="F171" s="2685"/>
    </row>
    <row r="172" spans="6:6" ht="15.75" customHeight="1" x14ac:dyDescent="0.3">
      <c r="F172" s="2685"/>
    </row>
    <row r="173" spans="6:6" ht="15.75" customHeight="1" x14ac:dyDescent="0.3">
      <c r="F173" s="2685"/>
    </row>
    <row r="174" spans="6:6" ht="15.75" customHeight="1" x14ac:dyDescent="0.3">
      <c r="F174" s="2685"/>
    </row>
    <row r="175" spans="6:6" ht="15.75" customHeight="1" x14ac:dyDescent="0.3">
      <c r="F175" s="2685"/>
    </row>
    <row r="176" spans="6:6" ht="15.75" customHeight="1" x14ac:dyDescent="0.3">
      <c r="F176" s="2685"/>
    </row>
    <row r="177" spans="6:6" ht="15.75" customHeight="1" x14ac:dyDescent="0.3">
      <c r="F177" s="2685"/>
    </row>
    <row r="178" spans="6:6" ht="15.75" customHeight="1" x14ac:dyDescent="0.3">
      <c r="F178" s="2685"/>
    </row>
    <row r="179" spans="6:6" ht="15.75" customHeight="1" x14ac:dyDescent="0.3">
      <c r="F179" s="2685"/>
    </row>
    <row r="180" spans="6:6" ht="15.75" customHeight="1" x14ac:dyDescent="0.3">
      <c r="F180" s="2685"/>
    </row>
    <row r="181" spans="6:6" ht="15.75" customHeight="1" x14ac:dyDescent="0.3">
      <c r="F181" s="2685"/>
    </row>
    <row r="182" spans="6:6" ht="15.75" customHeight="1" x14ac:dyDescent="0.3">
      <c r="F182" s="2685"/>
    </row>
    <row r="183" spans="6:6" ht="15.75" customHeight="1" x14ac:dyDescent="0.3">
      <c r="F183" s="2685"/>
    </row>
    <row r="184" spans="6:6" ht="15.75" customHeight="1" x14ac:dyDescent="0.3">
      <c r="F184" s="2685"/>
    </row>
    <row r="185" spans="6:6" ht="15.75" customHeight="1" x14ac:dyDescent="0.3">
      <c r="F185" s="2685"/>
    </row>
    <row r="186" spans="6:6" ht="15.75" customHeight="1" x14ac:dyDescent="0.3">
      <c r="F186" s="2685"/>
    </row>
    <row r="187" spans="6:6" ht="15.75" customHeight="1" x14ac:dyDescent="0.3">
      <c r="F187" s="2685"/>
    </row>
    <row r="188" spans="6:6" ht="15.75" customHeight="1" x14ac:dyDescent="0.3">
      <c r="F188" s="2685"/>
    </row>
    <row r="189" spans="6:6" ht="15.75" customHeight="1" x14ac:dyDescent="0.3">
      <c r="F189" s="2685"/>
    </row>
    <row r="190" spans="6:6" ht="15.75" customHeight="1" x14ac:dyDescent="0.3">
      <c r="F190" s="2685"/>
    </row>
    <row r="191" spans="6:6" ht="15.75" customHeight="1" x14ac:dyDescent="0.3">
      <c r="F191" s="2685"/>
    </row>
    <row r="192" spans="6:6" ht="15.75" customHeight="1" x14ac:dyDescent="0.3">
      <c r="F192" s="2685"/>
    </row>
    <row r="193" spans="6:6" ht="15.75" customHeight="1" x14ac:dyDescent="0.3">
      <c r="F193" s="2685"/>
    </row>
    <row r="194" spans="6:6" ht="15.75" customHeight="1" x14ac:dyDescent="0.3">
      <c r="F194" s="2685"/>
    </row>
    <row r="195" spans="6:6" ht="15.75" customHeight="1" x14ac:dyDescent="0.3">
      <c r="F195" s="2685"/>
    </row>
    <row r="196" spans="6:6" ht="15.75" customHeight="1" x14ac:dyDescent="0.3">
      <c r="F196" s="2685"/>
    </row>
    <row r="197" spans="6:6" ht="15.75" customHeight="1" x14ac:dyDescent="0.3">
      <c r="F197" s="2685"/>
    </row>
    <row r="198" spans="6:6" ht="15.75" customHeight="1" x14ac:dyDescent="0.3">
      <c r="F198" s="2685"/>
    </row>
    <row r="199" spans="6:6" ht="15.75" customHeight="1" x14ac:dyDescent="0.3">
      <c r="F199" s="2685"/>
    </row>
    <row r="200" spans="6:6" ht="15.75" customHeight="1" x14ac:dyDescent="0.3">
      <c r="F200" s="2685"/>
    </row>
    <row r="201" spans="6:6" ht="15.75" customHeight="1" x14ac:dyDescent="0.3">
      <c r="F201" s="2685"/>
    </row>
    <row r="202" spans="6:6" ht="15.75" customHeight="1" x14ac:dyDescent="0.3">
      <c r="F202" s="2685"/>
    </row>
    <row r="203" spans="6:6" ht="15.75" customHeight="1" x14ac:dyDescent="0.3">
      <c r="F203" s="2685"/>
    </row>
    <row r="204" spans="6:6" ht="15.75" customHeight="1" x14ac:dyDescent="0.3">
      <c r="F204" s="2685"/>
    </row>
    <row r="205" spans="6:6" ht="15.75" customHeight="1" x14ac:dyDescent="0.3">
      <c r="F205" s="2685"/>
    </row>
    <row r="206" spans="6:6" ht="15.75" customHeight="1" x14ac:dyDescent="0.3">
      <c r="F206" s="2685"/>
    </row>
    <row r="207" spans="6:6" ht="15.75" customHeight="1" x14ac:dyDescent="0.3">
      <c r="F207" s="2685"/>
    </row>
    <row r="208" spans="6:6" ht="15.75" customHeight="1" x14ac:dyDescent="0.3">
      <c r="F208" s="2685"/>
    </row>
    <row r="209" spans="6:6" ht="15.75" customHeight="1" x14ac:dyDescent="0.3">
      <c r="F209" s="2685"/>
    </row>
    <row r="210" spans="6:6" ht="15.75" customHeight="1" x14ac:dyDescent="0.3">
      <c r="F210" s="2685"/>
    </row>
    <row r="211" spans="6:6" ht="15.75" customHeight="1" x14ac:dyDescent="0.3">
      <c r="F211" s="2685"/>
    </row>
    <row r="212" spans="6:6" ht="15.75" customHeight="1" x14ac:dyDescent="0.3">
      <c r="F212" s="2685"/>
    </row>
    <row r="213" spans="6:6" ht="15.75" customHeight="1" x14ac:dyDescent="0.3">
      <c r="F213" s="2685"/>
    </row>
    <row r="214" spans="6:6" ht="15.75" customHeight="1" x14ac:dyDescent="0.3">
      <c r="F214" s="2685"/>
    </row>
    <row r="215" spans="6:6" ht="15.75" customHeight="1" x14ac:dyDescent="0.3">
      <c r="F215" s="2685"/>
    </row>
    <row r="216" spans="6:6" ht="15.75" customHeight="1" x14ac:dyDescent="0.3">
      <c r="F216" s="2685"/>
    </row>
    <row r="217" spans="6:6" ht="15.75" customHeight="1" x14ac:dyDescent="0.3">
      <c r="F217" s="2685"/>
    </row>
    <row r="218" spans="6:6" ht="15.75" customHeight="1" x14ac:dyDescent="0.3">
      <c r="F218" s="2685"/>
    </row>
    <row r="219" spans="6:6" ht="15.75" customHeight="1" x14ac:dyDescent="0.3">
      <c r="F219" s="2685"/>
    </row>
    <row r="220" spans="6:6" ht="15.75" customHeight="1" x14ac:dyDescent="0.3">
      <c r="F220" s="2685"/>
    </row>
    <row r="221" spans="6:6" ht="15.75" customHeight="1" x14ac:dyDescent="0.3">
      <c r="F221" s="2685"/>
    </row>
    <row r="222" spans="6:6" ht="15.75" customHeight="1" x14ac:dyDescent="0.3">
      <c r="F222" s="2685"/>
    </row>
    <row r="223" spans="6:6" ht="15.75" customHeight="1" x14ac:dyDescent="0.3">
      <c r="F223" s="2685"/>
    </row>
    <row r="224" spans="6:6" ht="15.75" customHeight="1" x14ac:dyDescent="0.3">
      <c r="F224" s="2685"/>
    </row>
    <row r="225" spans="6:6" ht="15.75" customHeight="1" x14ac:dyDescent="0.3">
      <c r="F225" s="2685"/>
    </row>
    <row r="226" spans="6:6" ht="15.75" customHeight="1" x14ac:dyDescent="0.3">
      <c r="F226" s="2685"/>
    </row>
    <row r="227" spans="6:6" ht="15.75" customHeight="1" x14ac:dyDescent="0.3">
      <c r="F227" s="2685"/>
    </row>
    <row r="228" spans="6:6" ht="15.75" customHeight="1" x14ac:dyDescent="0.3">
      <c r="F228" s="2685"/>
    </row>
    <row r="229" spans="6:6" ht="15.75" customHeight="1" x14ac:dyDescent="0.3">
      <c r="F229" s="2685"/>
    </row>
    <row r="230" spans="6:6" ht="15.75" customHeight="1" x14ac:dyDescent="0.3">
      <c r="F230" s="2685"/>
    </row>
    <row r="231" spans="6:6" ht="15.75" customHeight="1" x14ac:dyDescent="0.3">
      <c r="F231" s="2685"/>
    </row>
    <row r="232" spans="6:6" ht="15.75" customHeight="1" x14ac:dyDescent="0.3">
      <c r="F232" s="2685"/>
    </row>
    <row r="233" spans="6:6" ht="15.75" customHeight="1" x14ac:dyDescent="0.3">
      <c r="F233" s="2685"/>
    </row>
    <row r="234" spans="6:6" ht="15.75" customHeight="1" x14ac:dyDescent="0.3">
      <c r="F234" s="2685"/>
    </row>
    <row r="235" spans="6:6" ht="15.75" customHeight="1" x14ac:dyDescent="0.3">
      <c r="F235" s="2685"/>
    </row>
    <row r="236" spans="6:6" ht="15.75" customHeight="1" x14ac:dyDescent="0.3">
      <c r="F236" s="2685"/>
    </row>
    <row r="237" spans="6:6" ht="15.75" customHeight="1" x14ac:dyDescent="0.3">
      <c r="F237" s="2685"/>
    </row>
    <row r="238" spans="6:6" ht="15.75" customHeight="1" x14ac:dyDescent="0.3">
      <c r="F238" s="2685"/>
    </row>
    <row r="239" spans="6:6" ht="15.75" customHeight="1" x14ac:dyDescent="0.3">
      <c r="F239" s="2685"/>
    </row>
    <row r="240" spans="6:6" ht="15.75" customHeight="1" x14ac:dyDescent="0.3">
      <c r="F240" s="2685"/>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C7:E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E3A2-0C5F-460F-A5AF-CD1CCED38EDF}">
  <dimension ref="A1:Y884"/>
  <sheetViews>
    <sheetView workbookViewId="0">
      <selection activeCell="AB14" sqref="AB14"/>
    </sheetView>
  </sheetViews>
  <sheetFormatPr defaultColWidth="12.44140625" defaultRowHeight="15" customHeight="1" x14ac:dyDescent="0.3"/>
  <cols>
    <col min="1" max="1" width="2.44140625" style="3223" customWidth="1"/>
    <col min="2" max="2" width="5.109375" style="3223" customWidth="1"/>
    <col min="3" max="3" width="30.21875" style="3223" customWidth="1"/>
    <col min="4" max="4" width="45.6640625" style="3223" customWidth="1"/>
    <col min="5" max="5" width="9.5546875" style="3223" customWidth="1"/>
    <col min="6" max="6" width="30" style="3223" customWidth="1"/>
    <col min="7" max="7" width="12.77734375" style="3223" customWidth="1"/>
    <col min="8" max="8" width="13" style="3223" customWidth="1"/>
    <col min="9" max="11" width="12.77734375" style="3223" hidden="1" customWidth="1"/>
    <col min="12" max="24" width="11.33203125" style="3223" hidden="1" customWidth="1"/>
    <col min="25" max="25" width="11.33203125" style="3223" customWidth="1"/>
    <col min="26" max="29" width="11.6640625" style="3223" customWidth="1"/>
    <col min="30" max="16384" width="12.44140625" style="3223"/>
  </cols>
  <sheetData>
    <row r="1" spans="1:25" ht="23.25" customHeight="1" x14ac:dyDescent="0.35">
      <c r="A1" s="3221"/>
      <c r="B1" s="3222" t="s">
        <v>2379</v>
      </c>
    </row>
    <row r="2" spans="1:25" ht="13.5" customHeight="1" x14ac:dyDescent="0.3">
      <c r="A2" s="3221"/>
      <c r="B2" s="3224" t="s">
        <v>340</v>
      </c>
      <c r="C2" s="3225"/>
      <c r="D2" s="3225"/>
      <c r="E2" s="3225"/>
      <c r="F2" s="3225"/>
      <c r="G2" s="3225"/>
      <c r="H2" s="3225"/>
      <c r="I2" s="3225"/>
      <c r="J2" s="3225"/>
      <c r="K2" s="3225"/>
      <c r="L2" s="3225"/>
      <c r="M2" s="3225"/>
      <c r="N2" s="3225"/>
      <c r="O2" s="3225"/>
      <c r="P2" s="3225"/>
      <c r="Q2" s="3225"/>
      <c r="R2" s="3225"/>
      <c r="S2" s="3225"/>
      <c r="T2" s="3225"/>
      <c r="U2" s="3225"/>
      <c r="V2" s="3225"/>
      <c r="W2" s="3225"/>
      <c r="X2" s="3225"/>
      <c r="Y2" s="3225"/>
    </row>
    <row r="3" spans="1:25" ht="19.95" customHeight="1" x14ac:dyDescent="0.3">
      <c r="B3" s="3226"/>
    </row>
    <row r="4" spans="1:25" ht="21" customHeight="1" x14ac:dyDescent="0.3">
      <c r="B4" s="3227" t="s">
        <v>409</v>
      </c>
    </row>
    <row r="5" spans="1:25" ht="9" customHeight="1" x14ac:dyDescent="0.3">
      <c r="B5" s="3227"/>
    </row>
    <row r="6" spans="1:25" ht="21" customHeight="1" x14ac:dyDescent="0.3">
      <c r="B6" s="3228" t="s">
        <v>410</v>
      </c>
      <c r="C6" s="3229"/>
      <c r="D6" s="3229"/>
    </row>
    <row r="7" spans="1:25" ht="12" customHeight="1" x14ac:dyDescent="0.3"/>
    <row r="8" spans="1:25" ht="15.75" customHeight="1" x14ac:dyDescent="0.3">
      <c r="B8" s="3230" t="s">
        <v>301</v>
      </c>
      <c r="C8" s="3231" t="s">
        <v>343</v>
      </c>
      <c r="D8" s="3232" t="s">
        <v>344</v>
      </c>
      <c r="E8" s="3232" t="s">
        <v>345</v>
      </c>
      <c r="F8" s="3232" t="s">
        <v>346</v>
      </c>
      <c r="G8" s="3233" t="s">
        <v>347</v>
      </c>
      <c r="H8" s="3234">
        <v>2024</v>
      </c>
      <c r="I8" s="3234">
        <v>2023</v>
      </c>
      <c r="J8" s="3235">
        <v>2022</v>
      </c>
      <c r="K8" s="3235">
        <v>2021</v>
      </c>
      <c r="L8" s="3235">
        <v>2020</v>
      </c>
      <c r="M8" s="3235">
        <v>2019</v>
      </c>
      <c r="N8" s="3236">
        <v>2018</v>
      </c>
      <c r="O8" s="3236">
        <v>2017</v>
      </c>
      <c r="P8" s="3236">
        <v>2016</v>
      </c>
      <c r="Q8" s="3236">
        <v>2015</v>
      </c>
      <c r="R8" s="3236">
        <v>2014</v>
      </c>
      <c r="S8" s="3236">
        <v>2013</v>
      </c>
      <c r="T8" s="3236">
        <v>2012</v>
      </c>
      <c r="U8" s="3236">
        <v>2011</v>
      </c>
      <c r="V8" s="3237">
        <v>2010</v>
      </c>
      <c r="W8" s="3237">
        <v>2009</v>
      </c>
      <c r="X8" s="3237">
        <v>2008</v>
      </c>
      <c r="Y8" s="3238" t="s">
        <v>332</v>
      </c>
    </row>
    <row r="9" spans="1:25" ht="24" customHeight="1" x14ac:dyDescent="0.3">
      <c r="B9" s="3239">
        <v>1</v>
      </c>
      <c r="C9" s="3240" t="s">
        <v>474</v>
      </c>
      <c r="D9" s="3241" t="s">
        <v>1611</v>
      </c>
      <c r="E9" s="3242" t="s">
        <v>363</v>
      </c>
      <c r="F9" s="3241" t="s">
        <v>1612</v>
      </c>
      <c r="G9" s="3243">
        <v>2012</v>
      </c>
      <c r="H9" s="3244">
        <f>564980/1000</f>
        <v>564.98</v>
      </c>
      <c r="I9" s="3245">
        <v>568.66999999999996</v>
      </c>
      <c r="J9" s="3246">
        <v>591.54999999999995</v>
      </c>
      <c r="K9" s="3246">
        <v>490.1</v>
      </c>
      <c r="L9" s="3246">
        <v>592.79</v>
      </c>
      <c r="M9" s="3246">
        <v>538.79</v>
      </c>
      <c r="N9" s="3246">
        <v>487.75</v>
      </c>
      <c r="O9" s="3246">
        <v>535.91999999999996</v>
      </c>
      <c r="P9" s="3246">
        <v>420.15</v>
      </c>
      <c r="Q9" s="3246">
        <v>434.01</v>
      </c>
      <c r="R9" s="3246">
        <v>265.16000000000003</v>
      </c>
      <c r="S9" s="3246">
        <v>290.57</v>
      </c>
      <c r="T9" s="3247">
        <v>0</v>
      </c>
      <c r="U9" s="3246">
        <v>0</v>
      </c>
      <c r="V9" s="3248"/>
      <c r="W9" s="3249"/>
      <c r="X9" s="3248"/>
      <c r="Y9" s="3249"/>
    </row>
    <row r="10" spans="1:25" ht="24" customHeight="1" x14ac:dyDescent="0.3">
      <c r="B10" s="3239">
        <v>2</v>
      </c>
      <c r="C10" s="3250" t="s">
        <v>474</v>
      </c>
      <c r="D10" s="3250" t="s">
        <v>1350</v>
      </c>
      <c r="E10" s="3251" t="s">
        <v>363</v>
      </c>
      <c r="F10" s="3250"/>
      <c r="G10" s="3252">
        <v>2009</v>
      </c>
      <c r="H10" s="3253">
        <v>1178.79</v>
      </c>
      <c r="I10" s="3254">
        <v>1121.8800000000001</v>
      </c>
      <c r="J10" s="3255">
        <v>1254.6600000000001</v>
      </c>
      <c r="K10" s="3255">
        <v>1233.57</v>
      </c>
      <c r="L10" s="3255">
        <v>1317.38</v>
      </c>
      <c r="M10" s="3255">
        <v>1291.6199999999999</v>
      </c>
      <c r="N10" s="3255">
        <v>1321.69</v>
      </c>
      <c r="O10" s="3255">
        <v>1251.72</v>
      </c>
      <c r="P10" s="3255">
        <v>1239.3900000000001</v>
      </c>
      <c r="Q10" s="3255">
        <v>1308.8800000000001</v>
      </c>
      <c r="R10" s="3255">
        <v>1320.82</v>
      </c>
      <c r="S10" s="3255">
        <v>1382.36</v>
      </c>
      <c r="T10" s="3256">
        <v>1297.73</v>
      </c>
      <c r="U10" s="3257">
        <v>97.49</v>
      </c>
      <c r="V10" s="3258"/>
      <c r="W10" s="3259"/>
      <c r="X10" s="3258"/>
      <c r="Y10" s="3259"/>
    </row>
    <row r="11" spans="1:25" ht="24" customHeight="1" x14ac:dyDescent="0.3">
      <c r="B11" s="3239">
        <v>3</v>
      </c>
      <c r="C11" s="3241" t="s">
        <v>474</v>
      </c>
      <c r="D11" s="3241" t="s">
        <v>1392</v>
      </c>
      <c r="E11" s="3242" t="s">
        <v>363</v>
      </c>
      <c r="F11" s="3241"/>
      <c r="G11" s="3260">
        <v>2011</v>
      </c>
      <c r="H11" s="3261">
        <v>1915.15</v>
      </c>
      <c r="I11" s="3262">
        <v>1879.99</v>
      </c>
      <c r="J11" s="3263">
        <v>1780.62</v>
      </c>
      <c r="K11" s="3263">
        <v>1782.26</v>
      </c>
      <c r="L11" s="3263">
        <v>1722.52</v>
      </c>
      <c r="M11" s="3263">
        <v>1729.19</v>
      </c>
      <c r="N11" s="3263">
        <v>1689.53</v>
      </c>
      <c r="O11" s="3263">
        <v>1703.47</v>
      </c>
      <c r="P11" s="3263">
        <v>1706</v>
      </c>
      <c r="Q11" s="3263">
        <v>1772.25</v>
      </c>
      <c r="R11" s="3263">
        <v>1902.35</v>
      </c>
      <c r="S11" s="3263">
        <v>1916.31</v>
      </c>
      <c r="T11" s="3264">
        <v>2040.36</v>
      </c>
      <c r="U11" s="3265">
        <v>0</v>
      </c>
      <c r="V11" s="3266"/>
      <c r="W11" s="3267"/>
      <c r="X11" s="3266"/>
      <c r="Y11" s="3267"/>
    </row>
    <row r="12" spans="1:25" ht="24" customHeight="1" x14ac:dyDescent="0.3">
      <c r="B12" s="3239"/>
      <c r="C12" s="3250" t="s">
        <v>374</v>
      </c>
      <c r="D12" s="3250" t="s">
        <v>1354</v>
      </c>
      <c r="E12" s="3251" t="s">
        <v>453</v>
      </c>
      <c r="F12" s="3250"/>
      <c r="G12" s="3252"/>
      <c r="H12" s="3268">
        <v>0.71</v>
      </c>
      <c r="I12" s="3269">
        <v>0.71</v>
      </c>
      <c r="J12" s="3270">
        <v>0.81</v>
      </c>
      <c r="K12" s="3270">
        <v>0.81</v>
      </c>
      <c r="L12" s="3270">
        <v>0.81</v>
      </c>
      <c r="M12" s="3270">
        <v>0.81</v>
      </c>
      <c r="N12" s="3270">
        <v>0.71</v>
      </c>
      <c r="O12" s="3270">
        <v>0.71</v>
      </c>
      <c r="P12" s="3270">
        <v>0.71</v>
      </c>
      <c r="Q12" s="3270">
        <v>0.71</v>
      </c>
      <c r="R12" s="3270">
        <v>0.74</v>
      </c>
      <c r="S12" s="3270">
        <v>0.74</v>
      </c>
      <c r="T12" s="3271">
        <v>0.74</v>
      </c>
      <c r="U12" s="3270">
        <v>0.75</v>
      </c>
      <c r="V12" s="3258"/>
      <c r="W12" s="3259"/>
      <c r="X12" s="3258"/>
      <c r="Y12" s="3259"/>
    </row>
    <row r="13" spans="1:25" ht="24" customHeight="1" x14ac:dyDescent="0.3">
      <c r="B13" s="3239"/>
      <c r="C13" s="3241" t="s">
        <v>374</v>
      </c>
      <c r="D13" s="3241" t="s">
        <v>1395</v>
      </c>
      <c r="E13" s="3242" t="s">
        <v>363</v>
      </c>
      <c r="F13" s="3241"/>
      <c r="G13" s="3260"/>
      <c r="H13" s="3272">
        <f>H11*H12</f>
        <v>1359.7565</v>
      </c>
      <c r="I13" s="3273">
        <f>I11*I12</f>
        <v>1334.7928999999999</v>
      </c>
      <c r="J13" s="3263">
        <v>1442.3</v>
      </c>
      <c r="K13" s="3263">
        <v>1443.63</v>
      </c>
      <c r="L13" s="3263">
        <v>1395.24</v>
      </c>
      <c r="M13" s="3263">
        <v>1400.64</v>
      </c>
      <c r="N13" s="3263">
        <v>1199.57</v>
      </c>
      <c r="O13" s="3263">
        <v>1209.46</v>
      </c>
      <c r="P13" s="3263">
        <v>1211.26</v>
      </c>
      <c r="Q13" s="3263">
        <v>1258.3</v>
      </c>
      <c r="R13" s="3263">
        <v>1407.74</v>
      </c>
      <c r="S13" s="3263">
        <v>1418.07</v>
      </c>
      <c r="T13" s="3264">
        <v>1509.87</v>
      </c>
      <c r="U13" s="3265">
        <v>0</v>
      </c>
      <c r="V13" s="3266"/>
      <c r="W13" s="3267"/>
      <c r="X13" s="3266"/>
      <c r="Y13" s="3267"/>
    </row>
    <row r="14" spans="1:25" ht="24" customHeight="1" x14ac:dyDescent="0.3">
      <c r="B14" s="3274"/>
      <c r="C14" s="3275"/>
      <c r="D14" s="3275" t="s">
        <v>1395</v>
      </c>
      <c r="E14" s="3276" t="s">
        <v>363</v>
      </c>
      <c r="F14" s="3275"/>
      <c r="G14" s="3277"/>
      <c r="H14" s="3278"/>
      <c r="I14" s="3279"/>
      <c r="J14" s="3279">
        <v>1270.93</v>
      </c>
      <c r="K14" s="3279"/>
      <c r="L14" s="3279"/>
      <c r="M14" s="3279"/>
      <c r="N14" s="3279"/>
      <c r="O14" s="3279"/>
      <c r="P14" s="3279"/>
      <c r="Q14" s="3279"/>
      <c r="R14" s="3279"/>
      <c r="S14" s="3279"/>
      <c r="T14" s="3280"/>
      <c r="U14" s="3279"/>
      <c r="V14" s="3258"/>
      <c r="W14" s="3259"/>
      <c r="X14" s="3258"/>
      <c r="Y14" s="3259"/>
    </row>
    <row r="15" spans="1:25" ht="15.75" customHeight="1" x14ac:dyDescent="0.3"/>
    <row r="16" spans="1:25" ht="15.75" customHeight="1" x14ac:dyDescent="0.3">
      <c r="B16" s="3281" t="s">
        <v>355</v>
      </c>
      <c r="C16" s="3282" t="s">
        <v>356</v>
      </c>
    </row>
    <row r="17" spans="2:4" ht="15.75" customHeight="1" x14ac:dyDescent="0.3"/>
    <row r="18" spans="2:4" ht="15.75" customHeight="1" x14ac:dyDescent="0.3">
      <c r="B18" s="4409" t="s">
        <v>357</v>
      </c>
      <c r="C18" s="4410"/>
    </row>
    <row r="19" spans="2:4" ht="15.75" customHeight="1" x14ac:dyDescent="0.3">
      <c r="B19" s="3283" t="s">
        <v>365</v>
      </c>
      <c r="C19" s="3284" t="s">
        <v>1613</v>
      </c>
      <c r="D19" s="3285"/>
    </row>
    <row r="20" spans="2:4" ht="15.75" customHeight="1" x14ac:dyDescent="0.3">
      <c r="B20" s="3286"/>
      <c r="C20" s="3284" t="s">
        <v>1614</v>
      </c>
      <c r="D20" s="3285"/>
    </row>
    <row r="21" spans="2:4" ht="15.75" customHeight="1" x14ac:dyDescent="0.3">
      <c r="B21" s="3283" t="s">
        <v>508</v>
      </c>
      <c r="C21" s="3287" t="s">
        <v>1615</v>
      </c>
      <c r="D21" s="3286"/>
    </row>
    <row r="22" spans="2:4" ht="15.75" customHeight="1" x14ac:dyDescent="0.3">
      <c r="B22" s="4411"/>
      <c r="C22" s="4411"/>
      <c r="D22" s="3286"/>
    </row>
    <row r="23" spans="2:4" ht="15.75" customHeight="1" x14ac:dyDescent="0.3">
      <c r="B23" s="3286"/>
      <c r="C23" s="3288"/>
      <c r="D23" s="3288"/>
    </row>
    <row r="24" spans="2:4" ht="15.75" customHeight="1" x14ac:dyDescent="0.3">
      <c r="B24" s="3286"/>
      <c r="C24" s="3288"/>
      <c r="D24" s="3288"/>
    </row>
    <row r="25" spans="2:4" ht="15.75" customHeight="1" x14ac:dyDescent="0.3"/>
    <row r="26" spans="2:4" ht="15.75" customHeight="1" x14ac:dyDescent="0.3"/>
    <row r="27" spans="2:4" ht="15.75" customHeight="1" x14ac:dyDescent="0.3"/>
    <row r="28" spans="2:4" ht="15.75" customHeight="1" x14ac:dyDescent="0.3"/>
    <row r="29" spans="2:4" ht="15.75" customHeight="1" x14ac:dyDescent="0.3"/>
    <row r="30" spans="2:4" ht="15.75" customHeight="1" x14ac:dyDescent="0.3"/>
    <row r="31" spans="2:4" ht="15.75" customHeight="1" x14ac:dyDescent="0.3"/>
    <row r="32" spans="2: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sheetData>
  <mergeCells count="2">
    <mergeCell ref="B18:C18"/>
    <mergeCell ref="B22:C2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E8816-907A-48F5-A3C0-E483AF779FB1}">
  <dimension ref="A1:G991"/>
  <sheetViews>
    <sheetView topLeftCell="A22" workbookViewId="0">
      <selection activeCell="K32" sqref="K32"/>
    </sheetView>
  </sheetViews>
  <sheetFormatPr defaultColWidth="12.44140625" defaultRowHeight="15" customHeight="1" x14ac:dyDescent="0.3"/>
  <cols>
    <col min="1" max="1" width="2.6640625" style="428" customWidth="1"/>
    <col min="2" max="2" width="35.109375" style="428" customWidth="1"/>
    <col min="3" max="3" width="21.5546875" style="428" customWidth="1"/>
    <col min="4" max="4" width="1.5546875" style="428" customWidth="1"/>
    <col min="5" max="5" width="14.6640625" style="428" customWidth="1"/>
    <col min="6" max="6" width="7.33203125" style="428" customWidth="1"/>
    <col min="7" max="7" width="11.6640625" style="428" customWidth="1"/>
    <col min="8" max="16384" width="12.44140625" style="428"/>
  </cols>
  <sheetData>
    <row r="1" spans="1:7" ht="21.75" customHeight="1" x14ac:dyDescent="0.35">
      <c r="A1" s="424"/>
      <c r="B1" s="425" t="s">
        <v>549</v>
      </c>
      <c r="D1" s="427"/>
      <c r="F1" s="427"/>
    </row>
    <row r="2" spans="1:7" ht="15.75" customHeight="1" x14ac:dyDescent="0.3">
      <c r="A2" s="424"/>
      <c r="B2" s="429" t="s">
        <v>299</v>
      </c>
      <c r="C2" s="430"/>
      <c r="D2" s="430"/>
      <c r="E2" s="430"/>
      <c r="F2" s="430"/>
    </row>
    <row r="3" spans="1:7" ht="9.75" customHeight="1" x14ac:dyDescent="0.3">
      <c r="A3" s="427"/>
      <c r="B3" s="431"/>
      <c r="D3" s="427"/>
      <c r="F3" s="427"/>
    </row>
    <row r="4" spans="1:7" ht="6" customHeight="1" x14ac:dyDescent="0.3">
      <c r="B4" s="427"/>
      <c r="D4" s="427"/>
      <c r="F4" s="427"/>
    </row>
    <row r="5" spans="1:7" ht="6" customHeight="1" x14ac:dyDescent="0.3">
      <c r="A5" s="431"/>
      <c r="D5" s="427"/>
      <c r="F5" s="427"/>
    </row>
    <row r="6" spans="1:7" ht="15.75" customHeight="1" x14ac:dyDescent="0.3">
      <c r="C6" s="428">
        <v>1000000</v>
      </c>
      <c r="D6" s="427"/>
      <c r="E6" s="427"/>
      <c r="F6" s="427"/>
    </row>
    <row r="7" spans="1:7" ht="37.200000000000003" customHeight="1" x14ac:dyDescent="0.3">
      <c r="A7" s="432"/>
      <c r="B7" s="433">
        <v>2024</v>
      </c>
      <c r="C7" s="434" t="s">
        <v>22</v>
      </c>
      <c r="D7" s="432"/>
      <c r="E7" s="435" t="s">
        <v>300</v>
      </c>
      <c r="F7" s="432"/>
      <c r="G7" s="432"/>
    </row>
    <row r="8" spans="1:7" ht="18" customHeight="1" x14ac:dyDescent="0.35">
      <c r="B8" s="436" t="s">
        <v>301</v>
      </c>
      <c r="C8" s="572">
        <v>1</v>
      </c>
      <c r="D8" s="427"/>
      <c r="E8" s="438"/>
      <c r="F8" s="427"/>
    </row>
    <row r="9" spans="1:7" ht="46.5" customHeight="1" x14ac:dyDescent="0.3">
      <c r="B9" s="439" t="s">
        <v>302</v>
      </c>
      <c r="C9" s="573" t="s">
        <v>900</v>
      </c>
      <c r="D9" s="574"/>
      <c r="E9" s="442"/>
      <c r="F9" s="443"/>
    </row>
    <row r="10" spans="1:7" ht="46.5" customHeight="1" x14ac:dyDescent="0.3">
      <c r="B10" s="444" t="s">
        <v>304</v>
      </c>
      <c r="C10" s="445" t="s">
        <v>901</v>
      </c>
      <c r="D10" s="574"/>
      <c r="E10" s="446"/>
      <c r="F10" s="443"/>
    </row>
    <row r="11" spans="1:7" ht="18.75" customHeight="1" x14ac:dyDescent="0.3">
      <c r="A11" s="447"/>
      <c r="B11" s="448" t="s">
        <v>306</v>
      </c>
      <c r="C11" s="575">
        <f>(C17*C18)</f>
        <v>550.73272250000002</v>
      </c>
      <c r="D11" s="576"/>
      <c r="E11" s="451">
        <f>SUM(C11:C11)</f>
        <v>550.73272250000002</v>
      </c>
      <c r="F11" s="452"/>
      <c r="G11" s="447"/>
    </row>
    <row r="12" spans="1:7" ht="18.75" customHeight="1" x14ac:dyDescent="0.3">
      <c r="A12" s="447"/>
      <c r="B12" s="453" t="s">
        <v>307</v>
      </c>
      <c r="C12" s="577">
        <f>(C22*C23)+(C27*C28)</f>
        <v>108.20768845000001</v>
      </c>
      <c r="D12" s="455"/>
      <c r="E12" s="456">
        <f>SUM(C12:C12)</f>
        <v>108.20768845000001</v>
      </c>
      <c r="F12" s="457"/>
      <c r="G12" s="447"/>
    </row>
    <row r="13" spans="1:7" ht="18.75" customHeight="1" x14ac:dyDescent="0.3">
      <c r="A13" s="447"/>
      <c r="B13" s="448" t="s">
        <v>308</v>
      </c>
      <c r="C13" s="578" t="s">
        <v>8</v>
      </c>
      <c r="D13" s="459"/>
      <c r="E13" s="460"/>
      <c r="F13" s="461"/>
      <c r="G13" s="447"/>
    </row>
    <row r="14" spans="1:7" ht="18.75" customHeight="1" x14ac:dyDescent="0.3">
      <c r="A14" s="447"/>
      <c r="B14" s="462" t="s">
        <v>309</v>
      </c>
      <c r="C14" s="579">
        <f t="shared" ref="C14" si="0">C11-C12</f>
        <v>442.52503405000004</v>
      </c>
      <c r="D14" s="455"/>
      <c r="E14" s="464">
        <f>SUM(C14:C14)</f>
        <v>442.52503405000004</v>
      </c>
      <c r="F14" s="457"/>
      <c r="G14" s="447"/>
    </row>
    <row r="15" spans="1:7" ht="19.5" customHeight="1" x14ac:dyDescent="0.4">
      <c r="B15" s="465" t="s">
        <v>310</v>
      </c>
      <c r="C15" s="580"/>
      <c r="D15" s="467"/>
      <c r="E15" s="468"/>
      <c r="F15" s="467"/>
      <c r="G15" s="427"/>
    </row>
    <row r="16" spans="1:7" ht="35.4" customHeight="1" x14ac:dyDescent="0.3">
      <c r="A16" s="447"/>
      <c r="B16" s="469" t="s">
        <v>311</v>
      </c>
      <c r="C16" s="601" t="s">
        <v>902</v>
      </c>
      <c r="D16" s="581"/>
      <c r="E16" s="471"/>
      <c r="F16" s="457"/>
      <c r="G16" s="447"/>
    </row>
    <row r="17" spans="1:7" ht="21" customHeight="1" x14ac:dyDescent="0.3">
      <c r="A17" s="447"/>
      <c r="B17" s="472" t="s">
        <v>313</v>
      </c>
      <c r="C17" s="582">
        <f>'CF-0810|GDS'!I13</f>
        <v>390590.58333333337</v>
      </c>
      <c r="D17" s="583"/>
      <c r="F17" s="475"/>
      <c r="G17" s="447"/>
    </row>
    <row r="18" spans="1:7" ht="18.75" customHeight="1" x14ac:dyDescent="0.3">
      <c r="A18" s="447"/>
      <c r="B18" s="476" t="s">
        <v>314</v>
      </c>
      <c r="C18" s="584">
        <v>1.41E-3</v>
      </c>
      <c r="D18" s="478"/>
      <c r="F18" s="479"/>
      <c r="G18" s="447"/>
    </row>
    <row r="19" spans="1:7" ht="19.5" customHeight="1" x14ac:dyDescent="0.3">
      <c r="A19" s="447"/>
      <c r="B19" s="480" t="s">
        <v>315</v>
      </c>
      <c r="C19" s="585">
        <f>C17*C18</f>
        <v>550.73272250000002</v>
      </c>
      <c r="D19" s="586"/>
      <c r="F19" s="479"/>
      <c r="G19" s="447"/>
    </row>
    <row r="20" spans="1:7" ht="21" customHeight="1" x14ac:dyDescent="0.4">
      <c r="B20" s="465" t="s">
        <v>316</v>
      </c>
      <c r="C20" s="587"/>
      <c r="D20" s="483"/>
      <c r="E20" s="484"/>
      <c r="F20" s="483"/>
    </row>
    <row r="21" spans="1:7" ht="32.4" customHeight="1" x14ac:dyDescent="0.3">
      <c r="A21" s="447"/>
      <c r="B21" s="469" t="s">
        <v>183</v>
      </c>
      <c r="C21" s="601" t="s">
        <v>361</v>
      </c>
      <c r="D21" s="588"/>
      <c r="E21" s="485"/>
      <c r="F21" s="479"/>
      <c r="G21" s="447"/>
    </row>
    <row r="22" spans="1:7" ht="21" customHeight="1" x14ac:dyDescent="0.3">
      <c r="A22" s="447"/>
      <c r="B22" s="486" t="s">
        <v>369</v>
      </c>
      <c r="C22" s="589">
        <f>'CF-0810|GDS'!I11</f>
        <v>564650</v>
      </c>
      <c r="D22" s="479"/>
      <c r="E22" s="488"/>
      <c r="F22" s="479"/>
      <c r="G22" s="447"/>
    </row>
    <row r="23" spans="1:7" ht="21" customHeight="1" x14ac:dyDescent="0.3">
      <c r="A23" s="447"/>
      <c r="B23" s="489" t="s">
        <v>314</v>
      </c>
      <c r="C23" s="590">
        <v>3.6533000000000004E-5</v>
      </c>
      <c r="D23" s="588"/>
      <c r="E23" s="491"/>
      <c r="F23" s="479"/>
      <c r="G23" s="447"/>
    </row>
    <row r="24" spans="1:7" ht="21" customHeight="1" x14ac:dyDescent="0.3">
      <c r="A24" s="447"/>
      <c r="B24" s="492" t="s">
        <v>315</v>
      </c>
      <c r="C24" s="591">
        <f t="shared" ref="C24" si="1">C22*C23</f>
        <v>20.628358450000004</v>
      </c>
      <c r="D24" s="588"/>
      <c r="E24" s="494"/>
      <c r="F24" s="479"/>
      <c r="G24" s="447"/>
    </row>
    <row r="25" spans="1:7" ht="21" customHeight="1" x14ac:dyDescent="0.4">
      <c r="B25" s="465" t="s">
        <v>316</v>
      </c>
      <c r="C25" s="587"/>
      <c r="D25" s="483"/>
      <c r="E25" s="495"/>
      <c r="F25" s="483"/>
    </row>
    <row r="26" spans="1:7" ht="30.6" customHeight="1" x14ac:dyDescent="0.3">
      <c r="A26" s="447"/>
      <c r="B26" s="469" t="s">
        <v>183</v>
      </c>
      <c r="C26" s="601" t="s">
        <v>903</v>
      </c>
      <c r="D26" s="588"/>
      <c r="E26" s="496"/>
      <c r="F26" s="479"/>
      <c r="G26" s="447"/>
    </row>
    <row r="27" spans="1:7" ht="21" customHeight="1" x14ac:dyDescent="0.3">
      <c r="A27" s="447"/>
      <c r="B27" s="486" t="s">
        <v>313</v>
      </c>
      <c r="C27" s="589">
        <f>'CF-0810|GDS'!I12</f>
        <v>62113</v>
      </c>
      <c r="D27" s="479"/>
      <c r="E27" s="488"/>
      <c r="F27" s="479"/>
      <c r="G27" s="447"/>
    </row>
    <row r="28" spans="1:7" ht="21" customHeight="1" x14ac:dyDescent="0.3">
      <c r="A28" s="447"/>
      <c r="B28" s="489" t="s">
        <v>314</v>
      </c>
      <c r="C28" s="590">
        <v>1.41E-3</v>
      </c>
      <c r="D28" s="588"/>
      <c r="E28" s="491"/>
      <c r="F28" s="479"/>
      <c r="G28" s="447"/>
    </row>
    <row r="29" spans="1:7" ht="21" customHeight="1" x14ac:dyDescent="0.3">
      <c r="A29" s="447"/>
      <c r="B29" s="492" t="s">
        <v>315</v>
      </c>
      <c r="C29" s="591">
        <f t="shared" ref="C29" si="2">C27*C28</f>
        <v>87.579329999999999</v>
      </c>
      <c r="D29" s="588"/>
      <c r="E29" s="494"/>
      <c r="F29" s="479"/>
      <c r="G29" s="447"/>
    </row>
    <row r="30" spans="1:7" ht="28.5" customHeight="1" x14ac:dyDescent="0.3">
      <c r="A30" s="447"/>
      <c r="B30" s="498" t="s">
        <v>320</v>
      </c>
      <c r="C30" s="592" t="s">
        <v>321</v>
      </c>
      <c r="D30" s="593"/>
      <c r="E30" s="501"/>
      <c r="F30" s="500"/>
      <c r="G30" s="447"/>
    </row>
    <row r="31" spans="1:7" ht="24" customHeight="1" x14ac:dyDescent="0.3">
      <c r="B31" s="502" t="s">
        <v>322</v>
      </c>
      <c r="C31" s="594">
        <v>3</v>
      </c>
      <c r="D31" s="504"/>
      <c r="E31" s="505"/>
      <c r="F31" s="504"/>
    </row>
    <row r="32" spans="1:7" ht="33" customHeight="1" x14ac:dyDescent="0.3">
      <c r="A32" s="447"/>
      <c r="B32" s="506" t="s">
        <v>323</v>
      </c>
      <c r="C32" s="595" t="s">
        <v>324</v>
      </c>
      <c r="D32" s="479"/>
      <c r="E32" s="496"/>
      <c r="F32" s="479"/>
      <c r="G32" s="447"/>
    </row>
    <row r="33" spans="1:7" ht="33" customHeight="1" x14ac:dyDescent="0.3">
      <c r="A33" s="447"/>
      <c r="B33" s="508" t="s">
        <v>325</v>
      </c>
      <c r="C33" s="596" t="s">
        <v>326</v>
      </c>
      <c r="D33" s="479"/>
      <c r="E33" s="496"/>
      <c r="F33" s="479"/>
      <c r="G33" s="447"/>
    </row>
    <row r="34" spans="1:7" ht="33" customHeight="1" x14ac:dyDescent="0.3">
      <c r="A34" s="447"/>
      <c r="B34" s="506" t="s">
        <v>327</v>
      </c>
      <c r="C34" s="595" t="s">
        <v>729</v>
      </c>
      <c r="D34" s="479"/>
      <c r="E34" s="496"/>
      <c r="F34" s="479"/>
      <c r="G34" s="447"/>
    </row>
    <row r="35" spans="1:7" ht="21" customHeight="1" x14ac:dyDescent="0.3">
      <c r="B35" s="510" t="s">
        <v>329</v>
      </c>
      <c r="C35" s="596">
        <v>18</v>
      </c>
      <c r="D35" s="467"/>
      <c r="E35" s="467"/>
      <c r="F35" s="467"/>
    </row>
    <row r="36" spans="1:7" ht="21" customHeight="1" x14ac:dyDescent="0.3">
      <c r="B36" s="453" t="s">
        <v>330</v>
      </c>
      <c r="C36" s="595" t="s">
        <v>324</v>
      </c>
      <c r="D36" s="483"/>
      <c r="E36" s="495"/>
      <c r="F36" s="483"/>
    </row>
    <row r="37" spans="1:7" ht="21" customHeight="1" x14ac:dyDescent="0.3">
      <c r="B37" s="510" t="s">
        <v>331</v>
      </c>
      <c r="C37" s="596" t="s">
        <v>324</v>
      </c>
      <c r="D37" s="483"/>
      <c r="E37" s="495"/>
      <c r="F37" s="483"/>
    </row>
    <row r="38" spans="1:7" ht="21" customHeight="1" x14ac:dyDescent="0.3">
      <c r="B38" s="462" t="s">
        <v>332</v>
      </c>
      <c r="C38" s="555" t="s">
        <v>333</v>
      </c>
      <c r="D38" s="483"/>
      <c r="E38" s="495"/>
      <c r="F38" s="483"/>
    </row>
    <row r="39" spans="1:7" ht="15.75" customHeight="1" x14ac:dyDescent="0.3">
      <c r="B39" s="427"/>
      <c r="C39" s="427"/>
      <c r="D39" s="483"/>
      <c r="E39" s="483"/>
      <c r="F39" s="483"/>
    </row>
    <row r="40" spans="1:7" ht="15.75" customHeight="1" x14ac:dyDescent="0.3">
      <c r="B40" s="512" t="s">
        <v>334</v>
      </c>
      <c r="C40" s="427"/>
      <c r="D40" s="483"/>
      <c r="E40" s="483"/>
      <c r="F40" s="483"/>
    </row>
    <row r="41" spans="1:7" ht="15.75" customHeight="1" x14ac:dyDescent="0.3">
      <c r="B41" s="512" t="s">
        <v>335</v>
      </c>
      <c r="C41" s="427"/>
      <c r="D41" s="483"/>
      <c r="E41" s="483"/>
      <c r="F41" s="483"/>
    </row>
    <row r="42" spans="1:7" ht="15.75" customHeight="1" x14ac:dyDescent="0.3">
      <c r="B42" s="512" t="s">
        <v>336</v>
      </c>
      <c r="C42" s="427"/>
      <c r="D42" s="483"/>
      <c r="E42" s="483"/>
      <c r="F42" s="483"/>
    </row>
    <row r="43" spans="1:7" ht="15.75" customHeight="1" x14ac:dyDescent="0.3">
      <c r="B43" s="512" t="s">
        <v>337</v>
      </c>
      <c r="C43" s="427"/>
      <c r="D43" s="483"/>
      <c r="E43" s="483"/>
      <c r="F43" s="483"/>
    </row>
    <row r="44" spans="1:7" ht="15.75" customHeight="1" x14ac:dyDescent="0.3">
      <c r="B44" s="512" t="s">
        <v>338</v>
      </c>
      <c r="D44" s="427"/>
      <c r="F44" s="427"/>
    </row>
    <row r="45" spans="1:7" ht="15.75" customHeight="1" x14ac:dyDescent="0.3">
      <c r="B45" s="512" t="s">
        <v>339</v>
      </c>
      <c r="D45" s="427"/>
      <c r="F45" s="427"/>
    </row>
    <row r="46" spans="1:7" ht="15.75" customHeight="1" x14ac:dyDescent="0.3">
      <c r="D46" s="427"/>
      <c r="F46" s="427"/>
    </row>
    <row r="47" spans="1:7" ht="15.75" customHeight="1" x14ac:dyDescent="0.3">
      <c r="D47" s="427"/>
      <c r="F47" s="427"/>
    </row>
    <row r="48" spans="1:7" ht="15.75" customHeight="1" x14ac:dyDescent="0.3">
      <c r="D48" s="427"/>
      <c r="F48" s="427"/>
    </row>
    <row r="49" spans="4:6" ht="15.75" customHeight="1" x14ac:dyDescent="0.3">
      <c r="D49" s="427"/>
      <c r="F49" s="427"/>
    </row>
    <row r="50" spans="4:6" ht="15.75" customHeight="1" x14ac:dyDescent="0.3">
      <c r="D50" s="427"/>
      <c r="F50" s="427"/>
    </row>
    <row r="51" spans="4:6" ht="15.75" customHeight="1" x14ac:dyDescent="0.3">
      <c r="D51" s="427"/>
      <c r="F51" s="427"/>
    </row>
    <row r="52" spans="4:6" ht="15.75" customHeight="1" x14ac:dyDescent="0.3">
      <c r="D52" s="427"/>
      <c r="F52" s="427"/>
    </row>
    <row r="53" spans="4:6" ht="15.75" customHeight="1" x14ac:dyDescent="0.3">
      <c r="D53" s="427"/>
      <c r="F53" s="427"/>
    </row>
    <row r="54" spans="4:6" ht="15.75" customHeight="1" x14ac:dyDescent="0.3">
      <c r="D54" s="427"/>
      <c r="F54" s="427"/>
    </row>
    <row r="55" spans="4:6" ht="15.75" customHeight="1" x14ac:dyDescent="0.3">
      <c r="D55" s="427"/>
      <c r="F55" s="427"/>
    </row>
    <row r="56" spans="4:6" ht="15.75" customHeight="1" x14ac:dyDescent="0.3">
      <c r="D56" s="427"/>
      <c r="F56" s="427"/>
    </row>
    <row r="57" spans="4:6" ht="15.75" customHeight="1" x14ac:dyDescent="0.3">
      <c r="D57" s="427"/>
      <c r="F57" s="427"/>
    </row>
    <row r="58" spans="4:6" ht="15.75" customHeight="1" x14ac:dyDescent="0.3">
      <c r="D58" s="427"/>
      <c r="F58" s="427"/>
    </row>
    <row r="59" spans="4:6" ht="15.75" customHeight="1" x14ac:dyDescent="0.3">
      <c r="D59" s="427"/>
      <c r="F59" s="427"/>
    </row>
    <row r="60" spans="4:6" ht="15.75" customHeight="1" x14ac:dyDescent="0.3">
      <c r="D60" s="427"/>
      <c r="F60" s="427"/>
    </row>
    <row r="61" spans="4:6" ht="15.75" customHeight="1" x14ac:dyDescent="0.3">
      <c r="D61" s="427"/>
      <c r="F61" s="427"/>
    </row>
    <row r="62" spans="4:6" ht="15.75" customHeight="1" x14ac:dyDescent="0.3">
      <c r="D62" s="427"/>
      <c r="F62" s="427"/>
    </row>
    <row r="63" spans="4:6" ht="15.75" customHeight="1" x14ac:dyDescent="0.3">
      <c r="D63" s="427"/>
      <c r="F63" s="427"/>
    </row>
    <row r="64" spans="4:6" ht="15.75" customHeight="1" x14ac:dyDescent="0.3">
      <c r="D64" s="427"/>
      <c r="F64" s="427"/>
    </row>
    <row r="65" spans="4:6" ht="15.75" customHeight="1" x14ac:dyDescent="0.3">
      <c r="D65" s="427"/>
      <c r="F65" s="427"/>
    </row>
    <row r="66" spans="4:6" ht="15.75" customHeight="1" x14ac:dyDescent="0.3">
      <c r="D66" s="427"/>
      <c r="F66" s="427"/>
    </row>
    <row r="67" spans="4:6" ht="15.75" customHeight="1" x14ac:dyDescent="0.3">
      <c r="D67" s="427"/>
      <c r="F67" s="427"/>
    </row>
    <row r="68" spans="4:6" ht="15.75" customHeight="1" x14ac:dyDescent="0.3">
      <c r="D68" s="427"/>
      <c r="F68" s="427"/>
    </row>
    <row r="69" spans="4:6" ht="15.75" customHeight="1" x14ac:dyDescent="0.3">
      <c r="D69" s="427"/>
      <c r="F69" s="427"/>
    </row>
    <row r="70" spans="4:6" ht="15.75" customHeight="1" x14ac:dyDescent="0.3">
      <c r="D70" s="427"/>
      <c r="F70" s="427"/>
    </row>
    <row r="71" spans="4:6" ht="15.75" customHeight="1" x14ac:dyDescent="0.3">
      <c r="D71" s="427"/>
      <c r="F71" s="427"/>
    </row>
    <row r="72" spans="4:6" ht="15.75" customHeight="1" x14ac:dyDescent="0.3">
      <c r="D72" s="427"/>
      <c r="F72" s="427"/>
    </row>
    <row r="73" spans="4:6" ht="15.75" customHeight="1" x14ac:dyDescent="0.3">
      <c r="D73" s="427"/>
      <c r="F73" s="427"/>
    </row>
    <row r="74" spans="4:6" ht="15.75" customHeight="1" x14ac:dyDescent="0.3">
      <c r="D74" s="427"/>
      <c r="F74" s="427"/>
    </row>
    <row r="75" spans="4:6" ht="15.75" customHeight="1" x14ac:dyDescent="0.3">
      <c r="D75" s="427"/>
      <c r="F75" s="427"/>
    </row>
    <row r="76" spans="4:6" ht="15.75" customHeight="1" x14ac:dyDescent="0.3">
      <c r="D76" s="427"/>
      <c r="F76" s="427"/>
    </row>
    <row r="77" spans="4:6" ht="15.75" customHeight="1" x14ac:dyDescent="0.3">
      <c r="D77" s="427"/>
      <c r="F77" s="427"/>
    </row>
    <row r="78" spans="4:6" ht="15.75" customHeight="1" x14ac:dyDescent="0.3">
      <c r="D78" s="427"/>
      <c r="F78" s="427"/>
    </row>
    <row r="79" spans="4:6" ht="15.75" customHeight="1" x14ac:dyDescent="0.3">
      <c r="D79" s="427"/>
      <c r="F79" s="427"/>
    </row>
    <row r="80" spans="4:6" ht="15.75" customHeight="1" x14ac:dyDescent="0.3">
      <c r="D80" s="427"/>
      <c r="F80" s="427"/>
    </row>
    <row r="81" spans="4:6" ht="15.75" customHeight="1" x14ac:dyDescent="0.3">
      <c r="D81" s="427"/>
      <c r="F81" s="427"/>
    </row>
    <row r="82" spans="4:6" ht="15.75" customHeight="1" x14ac:dyDescent="0.3">
      <c r="D82" s="427"/>
      <c r="F82" s="427"/>
    </row>
    <row r="83" spans="4:6" ht="15.75" customHeight="1" x14ac:dyDescent="0.3">
      <c r="D83" s="427"/>
      <c r="F83" s="427"/>
    </row>
    <row r="84" spans="4:6" ht="15.75" customHeight="1" x14ac:dyDescent="0.3">
      <c r="D84" s="427"/>
      <c r="F84" s="427"/>
    </row>
    <row r="85" spans="4:6" ht="15.75" customHeight="1" x14ac:dyDescent="0.3">
      <c r="D85" s="427"/>
      <c r="F85" s="427"/>
    </row>
    <row r="86" spans="4:6" ht="15.75" customHeight="1" x14ac:dyDescent="0.3">
      <c r="D86" s="427"/>
      <c r="F86" s="427"/>
    </row>
    <row r="87" spans="4:6" ht="15.75" customHeight="1" x14ac:dyDescent="0.3">
      <c r="D87" s="427"/>
      <c r="F87" s="427"/>
    </row>
    <row r="88" spans="4:6" ht="15.75" customHeight="1" x14ac:dyDescent="0.3">
      <c r="D88" s="427"/>
      <c r="F88" s="427"/>
    </row>
    <row r="89" spans="4:6" ht="15.75" customHeight="1" x14ac:dyDescent="0.3">
      <c r="D89" s="427"/>
      <c r="F89" s="427"/>
    </row>
    <row r="90" spans="4:6" ht="15.75" customHeight="1" x14ac:dyDescent="0.3">
      <c r="D90" s="427"/>
      <c r="F90" s="427"/>
    </row>
    <row r="91" spans="4:6" ht="15.75" customHeight="1" x14ac:dyDescent="0.3">
      <c r="D91" s="427"/>
      <c r="F91" s="427"/>
    </row>
    <row r="92" spans="4:6" ht="15.75" customHeight="1" x14ac:dyDescent="0.3">
      <c r="D92" s="427"/>
      <c r="F92" s="427"/>
    </row>
    <row r="93" spans="4:6" ht="15.75" customHeight="1" x14ac:dyDescent="0.3">
      <c r="D93" s="427"/>
      <c r="F93" s="427"/>
    </row>
    <row r="94" spans="4:6" ht="15.75" customHeight="1" x14ac:dyDescent="0.3">
      <c r="D94" s="427"/>
      <c r="F94" s="427"/>
    </row>
    <row r="95" spans="4:6" ht="15.75" customHeight="1" x14ac:dyDescent="0.3">
      <c r="D95" s="427"/>
      <c r="F95" s="427"/>
    </row>
    <row r="96" spans="4:6" ht="15.75" customHeight="1" x14ac:dyDescent="0.3">
      <c r="D96" s="427"/>
      <c r="F96" s="427"/>
    </row>
    <row r="97" spans="4:6" ht="15.75" customHeight="1" x14ac:dyDescent="0.3">
      <c r="D97" s="427"/>
      <c r="F97" s="427"/>
    </row>
    <row r="98" spans="4:6" ht="15.75" customHeight="1" x14ac:dyDescent="0.3">
      <c r="D98" s="427"/>
      <c r="F98" s="427"/>
    </row>
    <row r="99" spans="4:6" ht="15.75" customHeight="1" x14ac:dyDescent="0.3">
      <c r="D99" s="427"/>
      <c r="F99" s="427"/>
    </row>
    <row r="100" spans="4:6" ht="15.75" customHeight="1" x14ac:dyDescent="0.3">
      <c r="D100" s="427"/>
      <c r="F100" s="427"/>
    </row>
    <row r="101" spans="4:6" ht="15.75" customHeight="1" x14ac:dyDescent="0.3">
      <c r="D101" s="427"/>
      <c r="F101" s="427"/>
    </row>
    <row r="102" spans="4:6" ht="15.75" customHeight="1" x14ac:dyDescent="0.3">
      <c r="D102" s="427"/>
      <c r="F102" s="427"/>
    </row>
    <row r="103" spans="4:6" ht="15.75" customHeight="1" x14ac:dyDescent="0.3">
      <c r="D103" s="427"/>
      <c r="F103" s="427"/>
    </row>
    <row r="104" spans="4:6" ht="15.75" customHeight="1" x14ac:dyDescent="0.3">
      <c r="D104" s="427"/>
      <c r="F104" s="427"/>
    </row>
    <row r="105" spans="4:6" ht="15.75" customHeight="1" x14ac:dyDescent="0.3">
      <c r="D105" s="427"/>
      <c r="F105" s="427"/>
    </row>
    <row r="106" spans="4:6" ht="15.75" customHeight="1" x14ac:dyDescent="0.3">
      <c r="D106" s="427"/>
      <c r="F106" s="427"/>
    </row>
    <row r="107" spans="4:6" ht="15.75" customHeight="1" x14ac:dyDescent="0.3">
      <c r="D107" s="427"/>
      <c r="F107" s="427"/>
    </row>
    <row r="108" spans="4:6" ht="15.75" customHeight="1" x14ac:dyDescent="0.3">
      <c r="D108" s="427"/>
      <c r="F108" s="427"/>
    </row>
    <row r="109" spans="4:6" ht="15.75" customHeight="1" x14ac:dyDescent="0.3">
      <c r="D109" s="427"/>
      <c r="F109" s="427"/>
    </row>
    <row r="110" spans="4:6" ht="15.75" customHeight="1" x14ac:dyDescent="0.3">
      <c r="D110" s="427"/>
      <c r="F110" s="427"/>
    </row>
    <row r="111" spans="4:6" ht="15.75" customHeight="1" x14ac:dyDescent="0.3">
      <c r="D111" s="427"/>
      <c r="F111" s="427"/>
    </row>
    <row r="112" spans="4:6" ht="15.75" customHeight="1" x14ac:dyDescent="0.3">
      <c r="D112" s="427"/>
      <c r="F112" s="427"/>
    </row>
    <row r="113" spans="4:6" ht="15.75" customHeight="1" x14ac:dyDescent="0.3">
      <c r="D113" s="427"/>
      <c r="F113" s="427"/>
    </row>
    <row r="114" spans="4:6" ht="15.75" customHeight="1" x14ac:dyDescent="0.3">
      <c r="D114" s="427"/>
      <c r="F114" s="427"/>
    </row>
    <row r="115" spans="4:6" ht="15.75" customHeight="1" x14ac:dyDescent="0.3">
      <c r="D115" s="427"/>
      <c r="F115" s="427"/>
    </row>
    <row r="116" spans="4:6" ht="15.75" customHeight="1" x14ac:dyDescent="0.3">
      <c r="D116" s="427"/>
      <c r="F116" s="427"/>
    </row>
    <row r="117" spans="4:6" ht="15.75" customHeight="1" x14ac:dyDescent="0.3">
      <c r="D117" s="427"/>
      <c r="F117" s="427"/>
    </row>
    <row r="118" spans="4:6" ht="15.75" customHeight="1" x14ac:dyDescent="0.3">
      <c r="D118" s="427"/>
      <c r="F118" s="427"/>
    </row>
    <row r="119" spans="4:6" ht="15.75" customHeight="1" x14ac:dyDescent="0.3">
      <c r="D119" s="427"/>
      <c r="F119" s="427"/>
    </row>
    <row r="120" spans="4:6" ht="15.75" customHeight="1" x14ac:dyDescent="0.3">
      <c r="D120" s="427"/>
      <c r="F120" s="427"/>
    </row>
    <row r="121" spans="4:6" ht="15.75" customHeight="1" x14ac:dyDescent="0.3">
      <c r="D121" s="427"/>
      <c r="F121" s="427"/>
    </row>
    <row r="122" spans="4:6" ht="15.75" customHeight="1" x14ac:dyDescent="0.3">
      <c r="D122" s="427"/>
      <c r="F122" s="427"/>
    </row>
    <row r="123" spans="4:6" ht="15.75" customHeight="1" x14ac:dyDescent="0.3">
      <c r="D123" s="427"/>
      <c r="F123" s="427"/>
    </row>
    <row r="124" spans="4:6" ht="15.75" customHeight="1" x14ac:dyDescent="0.3">
      <c r="D124" s="427"/>
      <c r="F124" s="427"/>
    </row>
    <row r="125" spans="4:6" ht="15.75" customHeight="1" x14ac:dyDescent="0.3">
      <c r="D125" s="427"/>
      <c r="F125" s="427"/>
    </row>
    <row r="126" spans="4:6" ht="15.75" customHeight="1" x14ac:dyDescent="0.3">
      <c r="D126" s="427"/>
      <c r="F126" s="427"/>
    </row>
    <row r="127" spans="4:6" ht="15.75" customHeight="1" x14ac:dyDescent="0.3">
      <c r="D127" s="427"/>
      <c r="F127" s="427"/>
    </row>
    <row r="128" spans="4:6" ht="15.75" customHeight="1" x14ac:dyDescent="0.3">
      <c r="D128" s="427"/>
      <c r="F128" s="427"/>
    </row>
    <row r="129" spans="4:6" ht="15.75" customHeight="1" x14ac:dyDescent="0.3">
      <c r="D129" s="427"/>
      <c r="F129" s="427"/>
    </row>
    <row r="130" spans="4:6" ht="15.75" customHeight="1" x14ac:dyDescent="0.3">
      <c r="D130" s="427"/>
      <c r="F130" s="427"/>
    </row>
    <row r="131" spans="4:6" ht="15.75" customHeight="1" x14ac:dyDescent="0.3">
      <c r="D131" s="427"/>
      <c r="F131" s="427"/>
    </row>
    <row r="132" spans="4:6" ht="15.75" customHeight="1" x14ac:dyDescent="0.3">
      <c r="D132" s="427"/>
      <c r="F132" s="427"/>
    </row>
    <row r="133" spans="4:6" ht="15.75" customHeight="1" x14ac:dyDescent="0.3">
      <c r="D133" s="427"/>
      <c r="F133" s="427"/>
    </row>
    <row r="134" spans="4:6" ht="15.75" customHeight="1" x14ac:dyDescent="0.3">
      <c r="D134" s="427"/>
      <c r="F134" s="427"/>
    </row>
    <row r="135" spans="4:6" ht="15.75" customHeight="1" x14ac:dyDescent="0.3">
      <c r="D135" s="427"/>
      <c r="F135" s="427"/>
    </row>
    <row r="136" spans="4:6" ht="15.75" customHeight="1" x14ac:dyDescent="0.3">
      <c r="D136" s="427"/>
      <c r="F136" s="427"/>
    </row>
    <row r="137" spans="4:6" ht="15.75" customHeight="1" x14ac:dyDescent="0.3">
      <c r="D137" s="427"/>
      <c r="F137" s="427"/>
    </row>
    <row r="138" spans="4:6" ht="15.75" customHeight="1" x14ac:dyDescent="0.3">
      <c r="D138" s="427"/>
      <c r="F138" s="427"/>
    </row>
    <row r="139" spans="4:6" ht="15.75" customHeight="1" x14ac:dyDescent="0.3">
      <c r="D139" s="427"/>
      <c r="F139" s="427"/>
    </row>
    <row r="140" spans="4:6" ht="15.75" customHeight="1" x14ac:dyDescent="0.3">
      <c r="D140" s="427"/>
      <c r="F140" s="427"/>
    </row>
    <row r="141" spans="4:6" ht="15.75" customHeight="1" x14ac:dyDescent="0.3">
      <c r="D141" s="427"/>
      <c r="F141" s="427"/>
    </row>
    <row r="142" spans="4:6" ht="15.75" customHeight="1" x14ac:dyDescent="0.3">
      <c r="D142" s="427"/>
      <c r="F142" s="427"/>
    </row>
    <row r="143" spans="4:6" ht="15.75" customHeight="1" x14ac:dyDescent="0.3">
      <c r="D143" s="427"/>
      <c r="F143" s="427"/>
    </row>
    <row r="144" spans="4:6" ht="15.75" customHeight="1" x14ac:dyDescent="0.3">
      <c r="D144" s="427"/>
      <c r="F144" s="427"/>
    </row>
    <row r="145" spans="4:6" ht="15.75" customHeight="1" x14ac:dyDescent="0.3">
      <c r="D145" s="427"/>
      <c r="F145" s="427"/>
    </row>
    <row r="146" spans="4:6" ht="15.75" customHeight="1" x14ac:dyDescent="0.3">
      <c r="D146" s="427"/>
      <c r="F146" s="427"/>
    </row>
    <row r="147" spans="4:6" ht="15.75" customHeight="1" x14ac:dyDescent="0.3">
      <c r="D147" s="427"/>
      <c r="F147" s="427"/>
    </row>
    <row r="148" spans="4:6" ht="15.75" customHeight="1" x14ac:dyDescent="0.3">
      <c r="D148" s="427"/>
      <c r="F148" s="427"/>
    </row>
    <row r="149" spans="4:6" ht="15.75" customHeight="1" x14ac:dyDescent="0.3">
      <c r="D149" s="427"/>
      <c r="F149" s="427"/>
    </row>
    <row r="150" spans="4:6" ht="15.75" customHeight="1" x14ac:dyDescent="0.3">
      <c r="D150" s="427"/>
      <c r="F150" s="427"/>
    </row>
    <row r="151" spans="4:6" ht="15.75" customHeight="1" x14ac:dyDescent="0.3">
      <c r="D151" s="427"/>
      <c r="F151" s="427"/>
    </row>
    <row r="152" spans="4:6" ht="15.75" customHeight="1" x14ac:dyDescent="0.3">
      <c r="D152" s="427"/>
      <c r="F152" s="427"/>
    </row>
    <row r="153" spans="4:6" ht="15.75" customHeight="1" x14ac:dyDescent="0.3">
      <c r="D153" s="427"/>
      <c r="F153" s="427"/>
    </row>
    <row r="154" spans="4:6" ht="15.75" customHeight="1" x14ac:dyDescent="0.3">
      <c r="D154" s="427"/>
      <c r="F154" s="427"/>
    </row>
    <row r="155" spans="4:6" ht="15.75" customHeight="1" x14ac:dyDescent="0.3">
      <c r="D155" s="427"/>
      <c r="F155" s="427"/>
    </row>
    <row r="156" spans="4:6" ht="15.75" customHeight="1" x14ac:dyDescent="0.3">
      <c r="D156" s="427"/>
      <c r="F156" s="427"/>
    </row>
    <row r="157" spans="4:6" ht="15.75" customHeight="1" x14ac:dyDescent="0.3">
      <c r="D157" s="427"/>
      <c r="F157" s="427"/>
    </row>
    <row r="158" spans="4:6" ht="15.75" customHeight="1" x14ac:dyDescent="0.3">
      <c r="D158" s="427"/>
      <c r="F158" s="427"/>
    </row>
    <row r="159" spans="4:6" ht="15.75" customHeight="1" x14ac:dyDescent="0.3">
      <c r="D159" s="427"/>
      <c r="F159" s="427"/>
    </row>
    <row r="160" spans="4:6" ht="15.75" customHeight="1" x14ac:dyDescent="0.3">
      <c r="D160" s="427"/>
      <c r="F160" s="427"/>
    </row>
    <row r="161" spans="4:6" ht="15.75" customHeight="1" x14ac:dyDescent="0.3">
      <c r="D161" s="427"/>
      <c r="F161" s="427"/>
    </row>
    <row r="162" spans="4:6" ht="15.75" customHeight="1" x14ac:dyDescent="0.3">
      <c r="D162" s="427"/>
      <c r="F162" s="427"/>
    </row>
    <row r="163" spans="4:6" ht="15.75" customHeight="1" x14ac:dyDescent="0.3">
      <c r="D163" s="427"/>
      <c r="F163" s="427"/>
    </row>
    <row r="164" spans="4:6" ht="15.75" customHeight="1" x14ac:dyDescent="0.3">
      <c r="D164" s="427"/>
      <c r="F164" s="427"/>
    </row>
    <row r="165" spans="4:6" ht="15.75" customHeight="1" x14ac:dyDescent="0.3">
      <c r="D165" s="427"/>
      <c r="F165" s="427"/>
    </row>
    <row r="166" spans="4:6" ht="15.75" customHeight="1" x14ac:dyDescent="0.3">
      <c r="D166" s="427"/>
      <c r="F166" s="427"/>
    </row>
    <row r="167" spans="4:6" ht="15.75" customHeight="1" x14ac:dyDescent="0.3">
      <c r="D167" s="427"/>
      <c r="F167" s="427"/>
    </row>
    <row r="168" spans="4:6" ht="15.75" customHeight="1" x14ac:dyDescent="0.3">
      <c r="D168" s="427"/>
      <c r="F168" s="427"/>
    </row>
    <row r="169" spans="4:6" ht="15.75" customHeight="1" x14ac:dyDescent="0.3">
      <c r="D169" s="427"/>
      <c r="F169" s="427"/>
    </row>
    <row r="170" spans="4:6" ht="15.75" customHeight="1" x14ac:dyDescent="0.3">
      <c r="D170" s="427"/>
      <c r="F170" s="427"/>
    </row>
    <row r="171" spans="4:6" ht="15.75" customHeight="1" x14ac:dyDescent="0.3">
      <c r="D171" s="427"/>
      <c r="F171" s="427"/>
    </row>
    <row r="172" spans="4:6" ht="15.75" customHeight="1" x14ac:dyDescent="0.3">
      <c r="D172" s="427"/>
      <c r="F172" s="427"/>
    </row>
    <row r="173" spans="4:6" ht="15.75" customHeight="1" x14ac:dyDescent="0.3">
      <c r="D173" s="427"/>
      <c r="F173" s="427"/>
    </row>
    <row r="174" spans="4:6" ht="15.75" customHeight="1" x14ac:dyDescent="0.3">
      <c r="D174" s="427"/>
      <c r="F174" s="427"/>
    </row>
    <row r="175" spans="4:6" ht="15.75" customHeight="1" x14ac:dyDescent="0.3">
      <c r="D175" s="427"/>
      <c r="F175" s="427"/>
    </row>
    <row r="176" spans="4:6" ht="15.75" customHeight="1" x14ac:dyDescent="0.3">
      <c r="D176" s="427"/>
      <c r="F176" s="427"/>
    </row>
    <row r="177" spans="4:6" ht="15.75" customHeight="1" x14ac:dyDescent="0.3">
      <c r="D177" s="427"/>
      <c r="F177" s="427"/>
    </row>
    <row r="178" spans="4:6" ht="15.75" customHeight="1" x14ac:dyDescent="0.3">
      <c r="D178" s="427"/>
      <c r="F178" s="427"/>
    </row>
    <row r="179" spans="4:6" ht="15.75" customHeight="1" x14ac:dyDescent="0.3">
      <c r="D179" s="427"/>
      <c r="F179" s="427"/>
    </row>
    <row r="180" spans="4:6" ht="15.75" customHeight="1" x14ac:dyDescent="0.3">
      <c r="D180" s="427"/>
      <c r="F180" s="427"/>
    </row>
    <row r="181" spans="4:6" ht="15.75" customHeight="1" x14ac:dyDescent="0.3">
      <c r="D181" s="427"/>
      <c r="F181" s="427"/>
    </row>
    <row r="182" spans="4:6" ht="15.75" customHeight="1" x14ac:dyDescent="0.3">
      <c r="D182" s="427"/>
      <c r="F182" s="427"/>
    </row>
    <row r="183" spans="4:6" ht="15.75" customHeight="1" x14ac:dyDescent="0.3">
      <c r="D183" s="427"/>
      <c r="F183" s="427"/>
    </row>
    <row r="184" spans="4:6" ht="15.75" customHeight="1" x14ac:dyDescent="0.3">
      <c r="D184" s="427"/>
      <c r="F184" s="427"/>
    </row>
    <row r="185" spans="4:6" ht="15.75" customHeight="1" x14ac:dyDescent="0.3">
      <c r="D185" s="427"/>
      <c r="F185" s="427"/>
    </row>
    <row r="186" spans="4:6" ht="15.75" customHeight="1" x14ac:dyDescent="0.3">
      <c r="D186" s="427"/>
      <c r="F186" s="427"/>
    </row>
    <row r="187" spans="4:6" ht="15.75" customHeight="1" x14ac:dyDescent="0.3">
      <c r="D187" s="427"/>
      <c r="F187" s="427"/>
    </row>
    <row r="188" spans="4:6" ht="15.75" customHeight="1" x14ac:dyDescent="0.3">
      <c r="D188" s="427"/>
      <c r="F188" s="427"/>
    </row>
    <row r="189" spans="4:6" ht="15.75" customHeight="1" x14ac:dyDescent="0.3">
      <c r="D189" s="427"/>
      <c r="F189" s="427"/>
    </row>
    <row r="190" spans="4:6" ht="15.75" customHeight="1" x14ac:dyDescent="0.3">
      <c r="D190" s="427"/>
      <c r="F190" s="427"/>
    </row>
    <row r="191" spans="4:6" ht="15.75" customHeight="1" x14ac:dyDescent="0.3">
      <c r="D191" s="427"/>
      <c r="F191" s="427"/>
    </row>
    <row r="192" spans="4:6" ht="15.75" customHeight="1" x14ac:dyDescent="0.3">
      <c r="D192" s="427"/>
      <c r="F192" s="427"/>
    </row>
    <row r="193" spans="4:6" ht="15.75" customHeight="1" x14ac:dyDescent="0.3">
      <c r="D193" s="427"/>
      <c r="F193" s="427"/>
    </row>
    <row r="194" spans="4:6" ht="15.75" customHeight="1" x14ac:dyDescent="0.3">
      <c r="D194" s="427"/>
      <c r="F194" s="427"/>
    </row>
    <row r="195" spans="4:6" ht="15.75" customHeight="1" x14ac:dyDescent="0.3">
      <c r="D195" s="427"/>
      <c r="F195" s="427"/>
    </row>
    <row r="196" spans="4:6" ht="15.75" customHeight="1" x14ac:dyDescent="0.3">
      <c r="D196" s="427"/>
      <c r="F196" s="427"/>
    </row>
    <row r="197" spans="4:6" ht="15.75" customHeight="1" x14ac:dyDescent="0.3">
      <c r="D197" s="427"/>
      <c r="F197" s="427"/>
    </row>
    <row r="198" spans="4:6" ht="15.75" customHeight="1" x14ac:dyDescent="0.3">
      <c r="D198" s="427"/>
      <c r="F198" s="427"/>
    </row>
    <row r="199" spans="4:6" ht="15.75" customHeight="1" x14ac:dyDescent="0.3">
      <c r="D199" s="427"/>
      <c r="F199" s="427"/>
    </row>
    <row r="200" spans="4:6" ht="15.75" customHeight="1" x14ac:dyDescent="0.3">
      <c r="D200" s="427"/>
      <c r="F200" s="427"/>
    </row>
    <row r="201" spans="4:6" ht="15.75" customHeight="1" x14ac:dyDescent="0.3">
      <c r="D201" s="427"/>
      <c r="F201" s="427"/>
    </row>
    <row r="202" spans="4:6" ht="15.75" customHeight="1" x14ac:dyDescent="0.3">
      <c r="D202" s="427"/>
      <c r="F202" s="427"/>
    </row>
    <row r="203" spans="4:6" ht="15.75" customHeight="1" x14ac:dyDescent="0.3">
      <c r="D203" s="427"/>
      <c r="F203" s="427"/>
    </row>
    <row r="204" spans="4:6" ht="15.75" customHeight="1" x14ac:dyDescent="0.3">
      <c r="D204" s="427"/>
      <c r="F204" s="427"/>
    </row>
    <row r="205" spans="4:6" ht="15.75" customHeight="1" x14ac:dyDescent="0.3">
      <c r="D205" s="427"/>
      <c r="F205" s="427"/>
    </row>
    <row r="206" spans="4:6" ht="15.75" customHeight="1" x14ac:dyDescent="0.3">
      <c r="D206" s="427"/>
      <c r="F206" s="427"/>
    </row>
    <row r="207" spans="4:6" ht="15.75" customHeight="1" x14ac:dyDescent="0.3">
      <c r="D207" s="427"/>
      <c r="F207" s="427"/>
    </row>
    <row r="208" spans="4:6" ht="15.75" customHeight="1" x14ac:dyDescent="0.3">
      <c r="D208" s="427"/>
      <c r="F208" s="427"/>
    </row>
    <row r="209" spans="4:6" ht="15.75" customHeight="1" x14ac:dyDescent="0.3">
      <c r="D209" s="427"/>
      <c r="F209" s="427"/>
    </row>
    <row r="210" spans="4:6" ht="15.75" customHeight="1" x14ac:dyDescent="0.3">
      <c r="D210" s="427"/>
      <c r="F210" s="427"/>
    </row>
    <row r="211" spans="4:6" ht="15.75" customHeight="1" x14ac:dyDescent="0.3">
      <c r="D211" s="427"/>
      <c r="F211" s="427"/>
    </row>
    <row r="212" spans="4:6" ht="15.75" customHeight="1" x14ac:dyDescent="0.3">
      <c r="D212" s="427"/>
      <c r="F212" s="427"/>
    </row>
    <row r="213" spans="4:6" ht="15.75" customHeight="1" x14ac:dyDescent="0.3">
      <c r="D213" s="427"/>
      <c r="F213" s="427"/>
    </row>
    <row r="214" spans="4:6" ht="15.75" customHeight="1" x14ac:dyDescent="0.3">
      <c r="D214" s="427"/>
      <c r="F214" s="427"/>
    </row>
    <row r="215" spans="4:6" ht="15.75" customHeight="1" x14ac:dyDescent="0.3">
      <c r="D215" s="427"/>
      <c r="F215" s="427"/>
    </row>
    <row r="216" spans="4:6" ht="15.75" customHeight="1" x14ac:dyDescent="0.3">
      <c r="D216" s="427"/>
      <c r="F216" s="427"/>
    </row>
    <row r="217" spans="4:6" ht="15.75" customHeight="1" x14ac:dyDescent="0.3">
      <c r="D217" s="427"/>
      <c r="F217" s="427"/>
    </row>
    <row r="218" spans="4:6" ht="15.75" customHeight="1" x14ac:dyDescent="0.3">
      <c r="D218" s="427"/>
      <c r="F218" s="427"/>
    </row>
    <row r="219" spans="4:6" ht="15.75" customHeight="1" x14ac:dyDescent="0.3">
      <c r="D219" s="427"/>
      <c r="F219" s="427"/>
    </row>
    <row r="220" spans="4:6" ht="15.75" customHeight="1" x14ac:dyDescent="0.3">
      <c r="D220" s="427"/>
      <c r="F220" s="427"/>
    </row>
    <row r="221" spans="4:6" ht="15.75" customHeight="1" x14ac:dyDescent="0.3">
      <c r="D221" s="427"/>
      <c r="F221" s="427"/>
    </row>
    <row r="222" spans="4:6" ht="15.75" customHeight="1" x14ac:dyDescent="0.3">
      <c r="D222" s="427"/>
      <c r="F222" s="427"/>
    </row>
    <row r="223" spans="4:6" ht="15.75" customHeight="1" x14ac:dyDescent="0.3">
      <c r="D223" s="427"/>
      <c r="F223" s="427"/>
    </row>
    <row r="224" spans="4:6" ht="15.75" customHeight="1" x14ac:dyDescent="0.3">
      <c r="D224" s="427"/>
      <c r="F224" s="427"/>
    </row>
    <row r="225" spans="4:6" ht="15.75" customHeight="1" x14ac:dyDescent="0.3">
      <c r="D225" s="427"/>
      <c r="F225" s="427"/>
    </row>
    <row r="226" spans="4:6" ht="15.75" customHeight="1" x14ac:dyDescent="0.3">
      <c r="D226" s="427"/>
      <c r="F226" s="427"/>
    </row>
    <row r="227" spans="4:6" ht="15.75" customHeight="1" x14ac:dyDescent="0.3">
      <c r="D227" s="427"/>
      <c r="F227" s="427"/>
    </row>
    <row r="228" spans="4:6" ht="15.75" customHeight="1" x14ac:dyDescent="0.3">
      <c r="D228" s="427"/>
      <c r="F228" s="427"/>
    </row>
    <row r="229" spans="4:6" ht="15.75" customHeight="1" x14ac:dyDescent="0.3">
      <c r="D229" s="427"/>
      <c r="F229" s="427"/>
    </row>
    <row r="230" spans="4:6" ht="15.75" customHeight="1" x14ac:dyDescent="0.3">
      <c r="D230" s="427"/>
      <c r="F230" s="427"/>
    </row>
    <row r="231" spans="4:6" ht="15.75" customHeight="1" x14ac:dyDescent="0.3">
      <c r="D231" s="427"/>
      <c r="F231" s="427"/>
    </row>
    <row r="232" spans="4:6" ht="15.75" customHeight="1" x14ac:dyDescent="0.3">
      <c r="D232" s="427"/>
      <c r="F232" s="427"/>
    </row>
    <row r="233" spans="4:6" ht="15.75" customHeight="1" x14ac:dyDescent="0.3">
      <c r="D233" s="427"/>
      <c r="F233" s="427"/>
    </row>
    <row r="234" spans="4:6" ht="15.75" customHeight="1" x14ac:dyDescent="0.3">
      <c r="D234" s="427"/>
      <c r="F234" s="427"/>
    </row>
    <row r="235" spans="4:6" ht="15.75" customHeight="1" x14ac:dyDescent="0.3">
      <c r="D235" s="427"/>
      <c r="F235" s="427"/>
    </row>
    <row r="236" spans="4:6" ht="15.75" customHeight="1" x14ac:dyDescent="0.3">
      <c r="D236" s="427"/>
      <c r="F236" s="427"/>
    </row>
    <row r="237" spans="4:6" ht="15.75" customHeight="1" x14ac:dyDescent="0.3">
      <c r="D237" s="427"/>
      <c r="F237" s="427"/>
    </row>
    <row r="238" spans="4:6" ht="15.75" customHeight="1" x14ac:dyDescent="0.3">
      <c r="D238" s="427"/>
      <c r="F238" s="427"/>
    </row>
    <row r="239" spans="4:6" ht="15.75" customHeight="1" x14ac:dyDescent="0.3">
      <c r="D239" s="427"/>
      <c r="F239" s="427"/>
    </row>
    <row r="240" spans="4:6" ht="15.75" customHeight="1" x14ac:dyDescent="0.3">
      <c r="D240" s="427"/>
      <c r="F240" s="427"/>
    </row>
    <row r="241" spans="4:6" ht="15.75" customHeight="1" x14ac:dyDescent="0.3">
      <c r="D241" s="427"/>
      <c r="F241" s="427"/>
    </row>
    <row r="242" spans="4:6" ht="15.75" customHeight="1" x14ac:dyDescent="0.3">
      <c r="D242" s="427"/>
      <c r="F242" s="427"/>
    </row>
    <row r="243" spans="4:6" ht="15.75" customHeight="1" x14ac:dyDescent="0.3">
      <c r="D243" s="427"/>
      <c r="F243" s="427"/>
    </row>
    <row r="244" spans="4:6" ht="15.75" customHeight="1" x14ac:dyDescent="0.3">
      <c r="D244" s="427"/>
      <c r="F244" s="427"/>
    </row>
    <row r="245" spans="4:6" ht="15.75" customHeight="1" x14ac:dyDescent="0.3">
      <c r="D245" s="427"/>
      <c r="F245" s="427"/>
    </row>
    <row r="246" spans="4:6" ht="15.75" customHeight="1" x14ac:dyDescent="0.3"/>
    <row r="247" spans="4:6" ht="15.75" customHeight="1" x14ac:dyDescent="0.3"/>
    <row r="248" spans="4:6" ht="15.75" customHeight="1" x14ac:dyDescent="0.3"/>
    <row r="249" spans="4:6" ht="15.75" customHeight="1" x14ac:dyDescent="0.3"/>
    <row r="250" spans="4:6" ht="15.75" customHeight="1" x14ac:dyDescent="0.3"/>
    <row r="251" spans="4:6" ht="15.75" customHeight="1" x14ac:dyDescent="0.3"/>
    <row r="252" spans="4:6" ht="15.75" customHeight="1" x14ac:dyDescent="0.3"/>
    <row r="253" spans="4:6" ht="15.75" customHeight="1" x14ac:dyDescent="0.3"/>
    <row r="254" spans="4:6" ht="15.75" customHeight="1" x14ac:dyDescent="0.3"/>
    <row r="255" spans="4:6" ht="15.75" customHeight="1" x14ac:dyDescent="0.3"/>
    <row r="256" spans="4: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dataValidations count="1">
    <dataValidation type="list" allowBlank="1" showErrorMessage="1" sqref="B17 B27 B22" xr:uid="{2B61E24A-D401-4D57-8BB6-78EEB9B4B708}">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D558A-7330-404F-B92F-19BA642C0DE9}">
  <dimension ref="A1:AD888"/>
  <sheetViews>
    <sheetView zoomScale="81" workbookViewId="0">
      <selection activeCell="D23" sqref="D23"/>
    </sheetView>
  </sheetViews>
  <sheetFormatPr defaultColWidth="12.33203125" defaultRowHeight="15" customHeight="1" x14ac:dyDescent="0.3"/>
  <cols>
    <col min="1" max="1" width="2.6640625" style="1336" customWidth="1"/>
    <col min="2" max="2" width="5.109375" style="1336" customWidth="1"/>
    <col min="3" max="3" width="33.33203125" style="1336" customWidth="1"/>
    <col min="4" max="4" width="34.6640625" style="1336" customWidth="1"/>
    <col min="5" max="5" width="9.5546875" style="1336" customWidth="1"/>
    <col min="6" max="6" width="35.5546875" style="1336" customWidth="1"/>
    <col min="7" max="7" width="12.77734375" style="1336" customWidth="1"/>
    <col min="8" max="8" width="12.77734375" style="1336" hidden="1" customWidth="1"/>
    <col min="9" max="9" width="12.77734375" style="1336" customWidth="1"/>
    <col min="10" max="12" width="12.77734375" style="1336" hidden="1" customWidth="1"/>
    <col min="13" max="15" width="11.5546875" style="1336" hidden="1" customWidth="1"/>
    <col min="16" max="16" width="11.5546875" style="1336" customWidth="1"/>
    <col min="17" max="25" width="11.5546875" style="1336" hidden="1" customWidth="1"/>
    <col min="26" max="26" width="11.5546875" style="1336" customWidth="1"/>
    <col min="27" max="30" width="11.6640625" style="1336" customWidth="1"/>
    <col min="31" max="16384" width="12.33203125" style="1336"/>
  </cols>
  <sheetData>
    <row r="1" spans="1:30" ht="23.25" customHeight="1" x14ac:dyDescent="0.35">
      <c r="A1" s="1334"/>
      <c r="B1" s="1335" t="s">
        <v>2380</v>
      </c>
    </row>
    <row r="2" spans="1:30" ht="13.5" customHeight="1" x14ac:dyDescent="0.3">
      <c r="A2" s="1334"/>
      <c r="B2" s="1337" t="s">
        <v>340</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row>
    <row r="3" spans="1:30" ht="15.75" customHeight="1" x14ac:dyDescent="0.3">
      <c r="B3" s="1339"/>
    </row>
    <row r="4" spans="1:30" ht="19.350000000000001" customHeight="1" x14ac:dyDescent="0.3">
      <c r="B4" s="1340" t="s">
        <v>899</v>
      </c>
      <c r="C4" s="1341"/>
      <c r="D4" s="1341"/>
    </row>
    <row r="5" spans="1:30" ht="19.350000000000001" customHeight="1" x14ac:dyDescent="0.3">
      <c r="B5" s="1340" t="s">
        <v>341</v>
      </c>
      <c r="C5" s="1341"/>
      <c r="D5" s="1341"/>
    </row>
    <row r="6" spans="1:30" ht="15.75" customHeight="1" x14ac:dyDescent="0.3">
      <c r="B6" s="1339"/>
    </row>
    <row r="7" spans="1:30" ht="15.75" customHeight="1" x14ac:dyDescent="0.3">
      <c r="B7" s="1342" t="s">
        <v>342</v>
      </c>
    </row>
    <row r="8" spans="1:30" ht="9" customHeight="1" x14ac:dyDescent="0.3">
      <c r="B8" s="1343"/>
      <c r="G8" s="1344"/>
      <c r="H8" s="1344"/>
      <c r="I8" s="1344"/>
      <c r="J8" s="1344"/>
      <c r="K8" s="1344"/>
      <c r="L8" s="1344"/>
      <c r="Z8" s="1344"/>
    </row>
    <row r="9" spans="1:30" ht="15.75" customHeight="1" x14ac:dyDescent="0.3">
      <c r="B9" s="1345" t="s">
        <v>301</v>
      </c>
      <c r="C9" s="1346" t="s">
        <v>343</v>
      </c>
      <c r="D9" s="1347" t="s">
        <v>344</v>
      </c>
      <c r="E9" s="1347" t="s">
        <v>345</v>
      </c>
      <c r="F9" s="1347" t="s">
        <v>346</v>
      </c>
      <c r="G9" s="1348" t="s">
        <v>347</v>
      </c>
      <c r="H9" s="1349">
        <v>2025</v>
      </c>
      <c r="I9" s="1349">
        <v>2024</v>
      </c>
      <c r="J9" s="1349">
        <v>2023</v>
      </c>
      <c r="K9" s="1349">
        <v>2022</v>
      </c>
      <c r="L9" s="1349">
        <v>2021</v>
      </c>
      <c r="M9" s="1349">
        <v>2020</v>
      </c>
      <c r="N9" s="1349">
        <v>2019</v>
      </c>
      <c r="O9" s="1350">
        <v>2018</v>
      </c>
      <c r="P9" s="1350">
        <v>2017</v>
      </c>
      <c r="Q9" s="1350">
        <v>2016</v>
      </c>
      <c r="R9" s="1350">
        <v>2015</v>
      </c>
      <c r="S9" s="1350">
        <v>2014</v>
      </c>
      <c r="T9" s="1350">
        <v>2013</v>
      </c>
      <c r="U9" s="1350">
        <v>2012</v>
      </c>
      <c r="V9" s="1350">
        <v>2011</v>
      </c>
      <c r="W9" s="1350">
        <v>2010</v>
      </c>
      <c r="X9" s="1350">
        <v>2009</v>
      </c>
      <c r="Y9" s="1350">
        <v>2008</v>
      </c>
      <c r="Z9" s="1351" t="s">
        <v>332</v>
      </c>
    </row>
    <row r="10" spans="1:30" ht="24" customHeight="1" x14ac:dyDescent="0.3">
      <c r="A10" s="1352"/>
      <c r="B10" s="1366">
        <v>1</v>
      </c>
      <c r="C10" s="1354" t="s">
        <v>474</v>
      </c>
      <c r="D10" s="1409" t="s">
        <v>352</v>
      </c>
      <c r="E10" s="1590" t="s">
        <v>904</v>
      </c>
      <c r="F10" s="1409"/>
      <c r="G10" s="1358">
        <v>2017</v>
      </c>
      <c r="H10" s="1359"/>
      <c r="I10" s="1359">
        <v>166268.53192890057</v>
      </c>
      <c r="J10" s="1362">
        <v>169000</v>
      </c>
      <c r="K10" s="1362">
        <v>166272</v>
      </c>
      <c r="L10" s="1362">
        <v>189720</v>
      </c>
      <c r="M10" s="1361">
        <v>171720</v>
      </c>
      <c r="N10" s="1362">
        <v>158040</v>
      </c>
      <c r="O10" s="1362">
        <v>147654</v>
      </c>
      <c r="P10" s="1362">
        <v>128386</v>
      </c>
      <c r="Q10" s="1359"/>
      <c r="R10" s="1359"/>
      <c r="S10" s="1359"/>
      <c r="T10" s="1359"/>
      <c r="U10" s="1410"/>
      <c r="V10" s="1359"/>
      <c r="W10" s="1410"/>
      <c r="X10" s="1359"/>
      <c r="Y10" s="1410"/>
      <c r="Z10" s="1359"/>
      <c r="AA10" s="1352"/>
      <c r="AB10" s="1352"/>
      <c r="AC10" s="1352"/>
      <c r="AD10" s="1352"/>
    </row>
    <row r="11" spans="1:30" ht="30" customHeight="1" x14ac:dyDescent="0.3">
      <c r="A11" s="1352"/>
      <c r="B11" s="1366"/>
      <c r="C11" s="1367" t="s">
        <v>474</v>
      </c>
      <c r="D11" s="1437" t="s">
        <v>905</v>
      </c>
      <c r="E11" s="1592" t="s">
        <v>363</v>
      </c>
      <c r="F11" s="1437" t="s">
        <v>906</v>
      </c>
      <c r="G11" s="1369"/>
      <c r="H11" s="1370"/>
      <c r="I11" s="1375">
        <f>564.65*1000</f>
        <v>564650</v>
      </c>
      <c r="J11" s="1593">
        <f>749.53*1000</f>
        <v>749530</v>
      </c>
      <c r="K11" s="1372">
        <v>668.98</v>
      </c>
      <c r="L11" s="1372">
        <v>166.35</v>
      </c>
      <c r="M11" s="1372">
        <v>462.6</v>
      </c>
      <c r="N11" s="1372">
        <v>514.11</v>
      </c>
      <c r="O11" s="1372">
        <v>658.48</v>
      </c>
      <c r="P11" s="1372">
        <v>27.25</v>
      </c>
      <c r="Q11" s="1370"/>
      <c r="R11" s="1370"/>
      <c r="S11" s="1370"/>
      <c r="T11" s="1370"/>
      <c r="U11" s="1594"/>
      <c r="V11" s="1370"/>
      <c r="W11" s="1594"/>
      <c r="X11" s="1370"/>
      <c r="Y11" s="1594"/>
      <c r="Z11" s="1370"/>
      <c r="AA11" s="1352"/>
      <c r="AB11" s="1352"/>
      <c r="AC11" s="1352"/>
      <c r="AD11" s="1352"/>
    </row>
    <row r="12" spans="1:30" ht="24" customHeight="1" x14ac:dyDescent="0.3">
      <c r="A12" s="1352"/>
      <c r="B12" s="1366"/>
      <c r="C12" s="1355" t="s">
        <v>474</v>
      </c>
      <c r="D12" s="1409" t="s">
        <v>902</v>
      </c>
      <c r="E12" s="1590" t="s">
        <v>350</v>
      </c>
      <c r="F12" s="1409"/>
      <c r="G12" s="1377"/>
      <c r="H12" s="1378"/>
      <c r="I12" s="1379">
        <f>81800+8133+14000+5180-47000</f>
        <v>62113</v>
      </c>
      <c r="J12" s="1595">
        <v>20964</v>
      </c>
      <c r="K12" s="1381">
        <v>21308</v>
      </c>
      <c r="L12" s="1381">
        <v>156305</v>
      </c>
      <c r="M12" s="1381">
        <v>46800</v>
      </c>
      <c r="N12" s="1381">
        <v>29600</v>
      </c>
      <c r="O12" s="1381" t="s">
        <v>907</v>
      </c>
      <c r="P12" s="1596">
        <v>275711</v>
      </c>
      <c r="Q12" s="1381">
        <v>229154</v>
      </c>
      <c r="R12" s="1381">
        <v>165287</v>
      </c>
      <c r="S12" s="1378"/>
      <c r="T12" s="1378"/>
      <c r="U12" s="1410"/>
      <c r="V12" s="1378"/>
      <c r="W12" s="1410"/>
      <c r="X12" s="1378"/>
      <c r="Y12" s="1410"/>
      <c r="Z12" s="1378"/>
      <c r="AA12" s="1352"/>
      <c r="AB12" s="1352"/>
      <c r="AC12" s="1352"/>
      <c r="AD12" s="1352"/>
    </row>
    <row r="13" spans="1:30" ht="48" customHeight="1" x14ac:dyDescent="0.3">
      <c r="A13" s="1352"/>
      <c r="B13" s="1366"/>
      <c r="C13" s="1367" t="s">
        <v>478</v>
      </c>
      <c r="D13" s="1437" t="s">
        <v>908</v>
      </c>
      <c r="E13" s="1592" t="s">
        <v>350</v>
      </c>
      <c r="F13" s="1437" t="s">
        <v>909</v>
      </c>
      <c r="G13" s="1369"/>
      <c r="H13" s="1370"/>
      <c r="I13" s="1597">
        <f>(P12*I15)+P12</f>
        <v>390590.58333333337</v>
      </c>
      <c r="J13" s="1593">
        <f>(P12*J15)+P12</f>
        <v>367614.66666666663</v>
      </c>
      <c r="K13" s="1372">
        <v>367614.67</v>
      </c>
      <c r="L13" s="1372">
        <v>367614.67</v>
      </c>
      <c r="M13" s="1372">
        <v>344638.75</v>
      </c>
      <c r="N13" s="1372"/>
      <c r="O13" s="1372"/>
      <c r="P13" s="1370"/>
      <c r="Q13" s="1370"/>
      <c r="R13" s="1370"/>
      <c r="S13" s="1370"/>
      <c r="T13" s="1370"/>
      <c r="U13" s="1594"/>
      <c r="V13" s="1370"/>
      <c r="W13" s="1594"/>
      <c r="X13" s="1370"/>
      <c r="Y13" s="1594"/>
      <c r="Z13" s="1370"/>
      <c r="AA13" s="1352"/>
      <c r="AB13" s="1352"/>
      <c r="AC13" s="1352"/>
      <c r="AD13" s="1352"/>
    </row>
    <row r="14" spans="1:30" ht="24" customHeight="1" x14ac:dyDescent="0.3">
      <c r="A14" s="1352"/>
      <c r="B14" s="1366"/>
      <c r="C14" s="1355" t="s">
        <v>474</v>
      </c>
      <c r="D14" s="1409" t="s">
        <v>910</v>
      </c>
      <c r="E14" s="1590" t="s">
        <v>911</v>
      </c>
      <c r="F14" s="1409" t="s">
        <v>2416</v>
      </c>
      <c r="G14" s="1377"/>
      <c r="H14" s="1378"/>
      <c r="I14" s="1378">
        <v>85000</v>
      </c>
      <c r="J14" s="1381">
        <v>80000</v>
      </c>
      <c r="K14" s="1381">
        <v>80000</v>
      </c>
      <c r="L14" s="1381">
        <v>80000</v>
      </c>
      <c r="M14" s="1381">
        <v>75000</v>
      </c>
      <c r="N14" s="1381">
        <v>75000</v>
      </c>
      <c r="O14" s="1381">
        <v>75000</v>
      </c>
      <c r="P14" s="1381">
        <v>60000</v>
      </c>
      <c r="Q14" s="1378"/>
      <c r="R14" s="1378"/>
      <c r="S14" s="1378"/>
      <c r="T14" s="1378"/>
      <c r="U14" s="1410"/>
      <c r="V14" s="1378"/>
      <c r="W14" s="1410"/>
      <c r="X14" s="1378"/>
      <c r="Y14" s="1410"/>
      <c r="Z14" s="1378"/>
      <c r="AA14" s="1352"/>
      <c r="AB14" s="1352"/>
      <c r="AC14" s="1352"/>
      <c r="AD14" s="1352"/>
    </row>
    <row r="15" spans="1:30" ht="28.8" customHeight="1" x14ac:dyDescent="0.3">
      <c r="A15" s="1352"/>
      <c r="B15" s="1366"/>
      <c r="C15" s="1367"/>
      <c r="D15" s="1437" t="s">
        <v>912</v>
      </c>
      <c r="E15" s="1592" t="s">
        <v>453</v>
      </c>
      <c r="F15" s="1437"/>
      <c r="G15" s="1369"/>
      <c r="H15" s="1370"/>
      <c r="I15" s="1241">
        <f>(I14-P14)/P14</f>
        <v>0.41666666666666669</v>
      </c>
      <c r="J15" s="1050">
        <f>(J14-P14)/P14</f>
        <v>0.33333333333333331</v>
      </c>
      <c r="K15" s="1050">
        <v>0.33</v>
      </c>
      <c r="L15" s="1050">
        <v>0.33</v>
      </c>
      <c r="M15" s="1050">
        <v>0.25</v>
      </c>
      <c r="N15" s="1050">
        <v>0.25</v>
      </c>
      <c r="O15" s="1050">
        <v>0.25</v>
      </c>
      <c r="P15" s="1050">
        <v>0</v>
      </c>
      <c r="Q15" s="1370"/>
      <c r="R15" s="1370"/>
      <c r="S15" s="1370"/>
      <c r="T15" s="1370"/>
      <c r="U15" s="1594"/>
      <c r="V15" s="1370"/>
      <c r="W15" s="1594"/>
      <c r="X15" s="1370"/>
      <c r="Y15" s="1594"/>
      <c r="Z15" s="1370"/>
      <c r="AA15" s="1352"/>
      <c r="AB15" s="1352"/>
      <c r="AC15" s="1352"/>
      <c r="AD15" s="1352"/>
    </row>
    <row r="16" spans="1:30" ht="24" customHeight="1" x14ac:dyDescent="0.3">
      <c r="A16" s="1352"/>
      <c r="B16" s="1366"/>
      <c r="C16" s="1355"/>
      <c r="D16" s="1355"/>
      <c r="E16" s="1376"/>
      <c r="F16" s="1409"/>
      <c r="G16" s="1393"/>
      <c r="H16" s="1378"/>
      <c r="I16" s="1378"/>
      <c r="J16" s="1378"/>
      <c r="K16" s="1378"/>
      <c r="L16" s="1378"/>
      <c r="M16" s="1378"/>
      <c r="N16" s="1378"/>
      <c r="O16" s="1378"/>
      <c r="P16" s="1378"/>
      <c r="Q16" s="1378"/>
      <c r="R16" s="1378"/>
      <c r="S16" s="1378"/>
      <c r="T16" s="1378"/>
      <c r="U16" s="1410"/>
      <c r="V16" s="1378"/>
      <c r="W16" s="1410"/>
      <c r="X16" s="1378"/>
      <c r="Y16" s="1410"/>
      <c r="Z16" s="1378"/>
      <c r="AA16" s="1352"/>
      <c r="AB16" s="1352"/>
      <c r="AC16" s="1352"/>
      <c r="AD16" s="1352"/>
    </row>
    <row r="17" spans="1:30" ht="24" customHeight="1" x14ac:dyDescent="0.3">
      <c r="A17" s="1352"/>
      <c r="B17" s="1411"/>
      <c r="C17" s="1412"/>
      <c r="D17" s="1412"/>
      <c r="E17" s="1413"/>
      <c r="F17" s="1414"/>
      <c r="G17" s="1415"/>
      <c r="H17" s="1416"/>
      <c r="I17" s="1416"/>
      <c r="J17" s="1416"/>
      <c r="K17" s="1416"/>
      <c r="L17" s="1416"/>
      <c r="M17" s="1416"/>
      <c r="N17" s="1416"/>
      <c r="O17" s="1416"/>
      <c r="P17" s="1416"/>
      <c r="Q17" s="1416"/>
      <c r="R17" s="1416"/>
      <c r="S17" s="1416"/>
      <c r="T17" s="1416"/>
      <c r="U17" s="1417"/>
      <c r="V17" s="1416"/>
      <c r="W17" s="1417"/>
      <c r="X17" s="1416"/>
      <c r="Y17" s="1417"/>
      <c r="Z17" s="1416"/>
      <c r="AA17" s="1352"/>
      <c r="AB17" s="1352"/>
      <c r="AC17" s="1352"/>
      <c r="AD17" s="1352"/>
    </row>
    <row r="18" spans="1:30" ht="15.75" customHeight="1" x14ac:dyDescent="0.3">
      <c r="A18" s="1352"/>
      <c r="B18" s="1418"/>
      <c r="C18" s="1352"/>
      <c r="D18" s="1352"/>
      <c r="E18" s="1352"/>
      <c r="F18" s="1352"/>
      <c r="G18" s="1419"/>
      <c r="H18" s="1419"/>
      <c r="I18" s="1419"/>
      <c r="J18" s="1419"/>
      <c r="K18" s="1419"/>
      <c r="L18" s="1419"/>
      <c r="M18" s="1420"/>
      <c r="N18" s="1420"/>
      <c r="O18" s="1420"/>
      <c r="P18" s="1420"/>
      <c r="Q18" s="1420"/>
      <c r="R18" s="1420"/>
      <c r="S18" s="1420"/>
      <c r="T18" s="1420"/>
      <c r="U18" s="1420"/>
      <c r="V18" s="1420"/>
      <c r="W18" s="1420"/>
      <c r="X18" s="1420"/>
      <c r="Y18" s="1420"/>
      <c r="Z18" s="1420"/>
      <c r="AA18" s="1352"/>
      <c r="AB18" s="1352"/>
      <c r="AC18" s="1352"/>
      <c r="AD18" s="1352"/>
    </row>
    <row r="19" spans="1:30" ht="15.75" customHeight="1" x14ac:dyDescent="0.3">
      <c r="A19" s="1352"/>
      <c r="B19" s="1421" t="s">
        <v>355</v>
      </c>
      <c r="C19" s="1422" t="s">
        <v>356</v>
      </c>
      <c r="D19" s="1352"/>
      <c r="E19" s="1352"/>
      <c r="F19" s="1352"/>
      <c r="G19" s="1419"/>
      <c r="H19" s="1419"/>
      <c r="I19" s="1419"/>
      <c r="J19" s="1419"/>
      <c r="K19" s="1419"/>
      <c r="L19" s="1419"/>
      <c r="M19" s="1420"/>
      <c r="N19" s="1420"/>
      <c r="O19" s="1420"/>
      <c r="P19" s="1420"/>
      <c r="Q19" s="1420"/>
      <c r="R19" s="1420"/>
      <c r="S19" s="1420"/>
      <c r="T19" s="1420"/>
      <c r="U19" s="1420"/>
      <c r="V19" s="1420"/>
      <c r="W19" s="1420"/>
      <c r="X19" s="1420"/>
      <c r="Y19" s="1420"/>
      <c r="Z19" s="1420"/>
      <c r="AA19" s="1352"/>
      <c r="AB19" s="1352"/>
      <c r="AC19" s="1352"/>
      <c r="AD19" s="1352"/>
    </row>
    <row r="20" spans="1:30" ht="15.75" customHeight="1" x14ac:dyDescent="0.3">
      <c r="A20" s="1352"/>
      <c r="B20" s="1418"/>
      <c r="C20" s="1352"/>
      <c r="D20" s="1352"/>
      <c r="E20" s="1352"/>
      <c r="F20" s="1352"/>
      <c r="G20" s="1419"/>
      <c r="H20" s="1419"/>
      <c r="I20" s="1419"/>
      <c r="J20" s="1419"/>
      <c r="K20" s="1419"/>
      <c r="L20" s="1419"/>
      <c r="M20" s="1420"/>
      <c r="N20" s="1420"/>
      <c r="O20" s="1420"/>
      <c r="P20" s="1420"/>
      <c r="Q20" s="1420"/>
      <c r="R20" s="1420"/>
      <c r="S20" s="1420"/>
      <c r="T20" s="1420"/>
      <c r="U20" s="1420"/>
      <c r="V20" s="1420"/>
      <c r="W20" s="1420"/>
      <c r="X20" s="1420"/>
      <c r="Y20" s="1420"/>
      <c r="Z20" s="1420"/>
      <c r="AA20" s="1352"/>
      <c r="AB20" s="1352"/>
      <c r="AC20" s="1352"/>
      <c r="AD20" s="1352"/>
    </row>
    <row r="21" spans="1:30" ht="15.75" customHeight="1" x14ac:dyDescent="0.3">
      <c r="A21" s="1352"/>
      <c r="B21" s="4402" t="s">
        <v>357</v>
      </c>
      <c r="C21" s="4403"/>
      <c r="D21" s="1352"/>
      <c r="E21" s="1352"/>
      <c r="F21" s="1352"/>
      <c r="G21" s="1419"/>
      <c r="H21" s="1419"/>
      <c r="I21" s="1419"/>
      <c r="J21" s="1419"/>
      <c r="K21" s="1419"/>
      <c r="L21" s="1419"/>
      <c r="M21" s="1420"/>
      <c r="N21" s="1420"/>
      <c r="O21" s="1420"/>
      <c r="P21" s="1420"/>
      <c r="Q21" s="1420"/>
      <c r="R21" s="1420"/>
      <c r="S21" s="1420"/>
      <c r="T21" s="1420"/>
      <c r="U21" s="1420"/>
      <c r="V21" s="1420"/>
      <c r="W21" s="1420"/>
      <c r="X21" s="1420"/>
      <c r="Y21" s="1420"/>
      <c r="Z21" s="1420"/>
      <c r="AA21" s="1352"/>
      <c r="AB21" s="1352"/>
      <c r="AC21" s="1352"/>
      <c r="AD21" s="1352"/>
    </row>
    <row r="22" spans="1:30" ht="15.75" customHeight="1" x14ac:dyDescent="0.3">
      <c r="A22" s="1352"/>
      <c r="B22" s="1425" t="s">
        <v>365</v>
      </c>
      <c r="C22" s="1352"/>
      <c r="D22" s="1352"/>
      <c r="E22" s="1352"/>
      <c r="F22" s="1352"/>
      <c r="G22" s="1419"/>
      <c r="H22" s="1419"/>
      <c r="I22" s="1419"/>
      <c r="J22" s="1419"/>
      <c r="K22" s="1419"/>
      <c r="L22" s="1419"/>
      <c r="M22" s="1420"/>
      <c r="N22" s="1420"/>
      <c r="O22" s="1420"/>
      <c r="P22" s="1420"/>
      <c r="Q22" s="1420"/>
      <c r="R22" s="1420"/>
      <c r="S22" s="1420"/>
      <c r="T22" s="1420"/>
      <c r="U22" s="1420"/>
      <c r="V22" s="1420"/>
      <c r="W22" s="1420"/>
      <c r="X22" s="1420"/>
      <c r="Y22" s="1420"/>
      <c r="Z22" s="1420"/>
      <c r="AA22" s="1352"/>
      <c r="AB22" s="1352"/>
      <c r="AC22" s="1352"/>
      <c r="AD22" s="1352"/>
    </row>
    <row r="23" spans="1:30" ht="15.75" customHeight="1" x14ac:dyDescent="0.3">
      <c r="A23" s="1352"/>
      <c r="B23" s="1425"/>
      <c r="C23" s="1352"/>
      <c r="D23" s="1352"/>
      <c r="E23" s="1352"/>
      <c r="F23" s="1352"/>
      <c r="G23" s="1419"/>
      <c r="H23" s="1419"/>
      <c r="I23" s="1419"/>
      <c r="J23" s="1419"/>
      <c r="K23" s="1419"/>
      <c r="L23" s="1419"/>
      <c r="M23" s="1420"/>
      <c r="N23" s="1420"/>
      <c r="O23" s="1420"/>
      <c r="P23" s="1420"/>
      <c r="Q23" s="1420"/>
      <c r="R23" s="1420"/>
      <c r="S23" s="1420"/>
      <c r="T23" s="1420"/>
      <c r="U23" s="1420"/>
      <c r="V23" s="1420"/>
      <c r="W23" s="1420"/>
      <c r="X23" s="1420"/>
      <c r="Y23" s="1420"/>
      <c r="Z23" s="1420"/>
      <c r="AA23" s="1352"/>
      <c r="AB23" s="1352"/>
      <c r="AC23" s="1352"/>
      <c r="AD23" s="1352"/>
    </row>
    <row r="24" spans="1:30" ht="15.75" customHeight="1" x14ac:dyDescent="0.3"/>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5A6D8-CD43-49DB-B6B3-29B1492D5D3C}">
  <dimension ref="A1:O996"/>
  <sheetViews>
    <sheetView topLeftCell="B31" workbookViewId="0">
      <selection activeCell="C44" sqref="C44"/>
    </sheetView>
  </sheetViews>
  <sheetFormatPr defaultColWidth="12.44140625" defaultRowHeight="15" customHeight="1" x14ac:dyDescent="0.3"/>
  <cols>
    <col min="1" max="1" width="2.6640625" style="428" customWidth="1"/>
    <col min="2" max="2" width="35.109375" style="428" customWidth="1"/>
    <col min="3" max="6" width="19.5546875" style="428" customWidth="1"/>
    <col min="7" max="7" width="1.5546875" style="428" customWidth="1"/>
    <col min="8" max="8" width="14.6640625" style="428" customWidth="1"/>
    <col min="9" max="9" width="7.33203125" style="428" customWidth="1"/>
    <col min="10" max="10" width="34" style="428" customWidth="1"/>
    <col min="11" max="11" width="22.6640625" style="428" customWidth="1"/>
    <col min="12" max="12" width="21.33203125" style="428" customWidth="1"/>
    <col min="13" max="13" width="1.5546875" style="428" customWidth="1"/>
    <col min="14" max="14" width="15.21875" style="428" customWidth="1"/>
    <col min="15" max="15" width="11.6640625" style="428" customWidth="1"/>
    <col min="16" max="16384" width="12.44140625" style="428"/>
  </cols>
  <sheetData>
    <row r="1" spans="1:15" ht="21.75" customHeight="1" x14ac:dyDescent="0.35">
      <c r="A1" s="424"/>
      <c r="B1" s="425" t="s">
        <v>549</v>
      </c>
      <c r="C1" s="426"/>
      <c r="G1" s="427"/>
      <c r="I1" s="427"/>
      <c r="M1" s="427"/>
    </row>
    <row r="2" spans="1:15" ht="15.75" customHeight="1" x14ac:dyDescent="0.3">
      <c r="A2" s="424"/>
      <c r="B2" s="429" t="s">
        <v>299</v>
      </c>
      <c r="C2" s="430"/>
      <c r="D2" s="430"/>
      <c r="E2" s="430"/>
      <c r="F2" s="430"/>
      <c r="G2" s="430"/>
      <c r="H2" s="430"/>
      <c r="I2" s="430"/>
      <c r="J2" s="430"/>
      <c r="K2" s="430"/>
      <c r="L2" s="430"/>
      <c r="M2" s="430"/>
      <c r="N2" s="430"/>
    </row>
    <row r="3" spans="1:15" ht="9.75" customHeight="1" x14ac:dyDescent="0.3">
      <c r="A3" s="427"/>
      <c r="B3" s="431"/>
      <c r="G3" s="427"/>
      <c r="I3" s="427"/>
      <c r="M3" s="427"/>
    </row>
    <row r="4" spans="1:15" ht="6" customHeight="1" x14ac:dyDescent="0.3">
      <c r="B4" s="427"/>
      <c r="G4" s="427"/>
      <c r="I4" s="427"/>
      <c r="M4" s="427"/>
    </row>
    <row r="5" spans="1:15" ht="6" customHeight="1" x14ac:dyDescent="0.3">
      <c r="A5" s="431"/>
      <c r="G5" s="427"/>
      <c r="I5" s="427"/>
      <c r="M5" s="427"/>
    </row>
    <row r="6" spans="1:15" ht="15.75" customHeight="1" x14ac:dyDescent="0.3">
      <c r="C6" s="428">
        <v>1000000</v>
      </c>
      <c r="G6" s="427"/>
      <c r="H6" s="427"/>
      <c r="I6" s="427"/>
      <c r="M6" s="427"/>
    </row>
    <row r="7" spans="1:15" ht="37.200000000000003" customHeight="1" x14ac:dyDescent="0.3">
      <c r="A7" s="432"/>
      <c r="B7" s="433">
        <v>2024</v>
      </c>
      <c r="C7" s="4385" t="s">
        <v>22</v>
      </c>
      <c r="D7" s="4386"/>
      <c r="E7" s="4386"/>
      <c r="F7" s="4387"/>
      <c r="G7" s="432"/>
      <c r="H7" s="435" t="s">
        <v>300</v>
      </c>
      <c r="I7" s="432"/>
      <c r="J7" s="433">
        <v>2024</v>
      </c>
      <c r="K7" s="4385" t="s">
        <v>23</v>
      </c>
      <c r="L7" s="4386"/>
      <c r="M7" s="609"/>
      <c r="N7" s="435" t="s">
        <v>300</v>
      </c>
      <c r="O7" s="432"/>
    </row>
    <row r="8" spans="1:15" ht="18" customHeight="1" x14ac:dyDescent="0.35">
      <c r="B8" s="436" t="s">
        <v>301</v>
      </c>
      <c r="C8" s="648">
        <v>1</v>
      </c>
      <c r="D8" s="572">
        <v>2</v>
      </c>
      <c r="E8" s="649">
        <v>3</v>
      </c>
      <c r="F8" s="572">
        <v>4</v>
      </c>
      <c r="G8" s="427"/>
      <c r="H8" s="438"/>
      <c r="I8" s="427"/>
      <c r="J8" s="436" t="s">
        <v>301</v>
      </c>
      <c r="K8" s="648">
        <v>1</v>
      </c>
      <c r="L8" s="572">
        <v>2</v>
      </c>
      <c r="M8" s="610"/>
      <c r="N8" s="438"/>
    </row>
    <row r="9" spans="1:15" ht="46.5" customHeight="1" x14ac:dyDescent="0.3">
      <c r="B9" s="439" t="s">
        <v>302</v>
      </c>
      <c r="C9" s="573" t="s">
        <v>827</v>
      </c>
      <c r="D9" s="573" t="s">
        <v>828</v>
      </c>
      <c r="E9" s="573" t="s">
        <v>829</v>
      </c>
      <c r="F9" s="573" t="s">
        <v>830</v>
      </c>
      <c r="G9" s="574"/>
      <c r="H9" s="442"/>
      <c r="I9" s="443"/>
      <c r="J9" s="439" t="s">
        <v>302</v>
      </c>
      <c r="K9" s="573" t="s">
        <v>831</v>
      </c>
      <c r="L9" s="573" t="s">
        <v>832</v>
      </c>
      <c r="M9" s="611"/>
      <c r="N9" s="442"/>
    </row>
    <row r="10" spans="1:15" ht="46.5" customHeight="1" x14ac:dyDescent="0.3">
      <c r="B10" s="444" t="s">
        <v>304</v>
      </c>
      <c r="C10" s="445" t="s">
        <v>833</v>
      </c>
      <c r="D10" s="445" t="s">
        <v>834</v>
      </c>
      <c r="E10" s="445" t="s">
        <v>835</v>
      </c>
      <c r="F10" s="445" t="s">
        <v>836</v>
      </c>
      <c r="G10" s="574"/>
      <c r="H10" s="446"/>
      <c r="I10" s="443"/>
      <c r="J10" s="444" t="s">
        <v>304</v>
      </c>
      <c r="K10" s="445" t="s">
        <v>837</v>
      </c>
      <c r="L10" s="445" t="s">
        <v>838</v>
      </c>
      <c r="M10" s="612"/>
      <c r="N10" s="446"/>
    </row>
    <row r="11" spans="1:15" ht="18.75" customHeight="1" x14ac:dyDescent="0.3">
      <c r="A11" s="447"/>
      <c r="B11" s="448" t="s">
        <v>306</v>
      </c>
      <c r="C11" s="575">
        <f>(C17*C18)+(C22*C23)</f>
        <v>2126.5250451923416</v>
      </c>
      <c r="D11" s="575">
        <f>(D17*D18)+(D22*D23)</f>
        <v>2126.5250451923416</v>
      </c>
      <c r="E11" s="575">
        <f>(E17*E18)+(E22*E23)</f>
        <v>2126.5250451923416</v>
      </c>
      <c r="F11" s="575">
        <f>(F17*F18)+(F22*F23)</f>
        <v>0</v>
      </c>
      <c r="G11" s="576"/>
      <c r="H11" s="451">
        <f t="shared" ref="H11" si="0">SUM(C11:F11)</f>
        <v>6379.5751355770244</v>
      </c>
      <c r="I11" s="452"/>
      <c r="J11" s="448" t="s">
        <v>306</v>
      </c>
      <c r="K11" s="1089">
        <f>(K17*K18)</f>
        <v>6313.0728836331664</v>
      </c>
      <c r="L11" s="651">
        <f>(L17*L18)</f>
        <v>26852.195982066864</v>
      </c>
      <c r="M11" s="614"/>
      <c r="N11" s="451">
        <f>SUM(K11:L11)</f>
        <v>33165.268865700033</v>
      </c>
      <c r="O11" s="447"/>
    </row>
    <row r="12" spans="1:15" ht="18.75" customHeight="1" x14ac:dyDescent="0.3">
      <c r="A12" s="447"/>
      <c r="B12" s="453" t="s">
        <v>307</v>
      </c>
      <c r="C12" s="577">
        <f>(C27*C28)+(C32*C33)+(C37*C38)</f>
        <v>470.58990729599998</v>
      </c>
      <c r="D12" s="577">
        <f t="shared" ref="D12:F12" si="1">(D27*D28)+(D32*D33)+(D37*D38)</f>
        <v>470.58990729599998</v>
      </c>
      <c r="E12" s="577">
        <f t="shared" si="1"/>
        <v>470.58990729599998</v>
      </c>
      <c r="F12" s="577">
        <f t="shared" si="1"/>
        <v>0</v>
      </c>
      <c r="G12" s="455"/>
      <c r="H12" s="456">
        <f>SUM(C12:F12)</f>
        <v>1411.7697218879998</v>
      </c>
      <c r="I12" s="457"/>
      <c r="J12" s="453" t="s">
        <v>307</v>
      </c>
      <c r="K12" s="577">
        <f>(K22*K23)</f>
        <v>0</v>
      </c>
      <c r="L12" s="577">
        <f>(L22*L23)</f>
        <v>0</v>
      </c>
      <c r="M12" s="614"/>
      <c r="N12" s="456">
        <f>SUM(K12:L12)</f>
        <v>0</v>
      </c>
      <c r="O12" s="447"/>
    </row>
    <row r="13" spans="1:15" ht="18.75" customHeight="1" x14ac:dyDescent="0.3">
      <c r="A13" s="447"/>
      <c r="B13" s="448" t="s">
        <v>308</v>
      </c>
      <c r="C13" s="654" t="s">
        <v>8</v>
      </c>
      <c r="D13" s="578" t="s">
        <v>8</v>
      </c>
      <c r="E13" s="654" t="s">
        <v>8</v>
      </c>
      <c r="F13" s="578" t="s">
        <v>8</v>
      </c>
      <c r="G13" s="459"/>
      <c r="H13" s="460"/>
      <c r="I13" s="461"/>
      <c r="J13" s="448" t="s">
        <v>308</v>
      </c>
      <c r="K13" s="654" t="s">
        <v>8</v>
      </c>
      <c r="L13" s="578" t="s">
        <v>8</v>
      </c>
      <c r="M13" s="615"/>
      <c r="N13" s="460"/>
      <c r="O13" s="447"/>
    </row>
    <row r="14" spans="1:15" ht="18.75" customHeight="1" x14ac:dyDescent="0.3">
      <c r="A14" s="447"/>
      <c r="B14" s="462" t="s">
        <v>309</v>
      </c>
      <c r="C14" s="655">
        <f t="shared" ref="C14:F14" si="2">C11-C12</f>
        <v>1655.9351378963415</v>
      </c>
      <c r="D14" s="579">
        <f t="shared" si="2"/>
        <v>1655.9351378963415</v>
      </c>
      <c r="E14" s="655">
        <f t="shared" si="2"/>
        <v>1655.9351378963415</v>
      </c>
      <c r="F14" s="579">
        <f t="shared" si="2"/>
        <v>0</v>
      </c>
      <c r="G14" s="455"/>
      <c r="H14" s="464">
        <f>SUM(C14:F14)</f>
        <v>4967.8054136890241</v>
      </c>
      <c r="I14" s="457"/>
      <c r="J14" s="462" t="s">
        <v>309</v>
      </c>
      <c r="K14" s="655">
        <f t="shared" ref="K14:L14" si="3">K11-K12</f>
        <v>6313.0728836331664</v>
      </c>
      <c r="L14" s="579">
        <f t="shared" si="3"/>
        <v>26852.195982066864</v>
      </c>
      <c r="M14" s="614"/>
      <c r="N14" s="464">
        <f>SUM(K14:L14)</f>
        <v>33165.268865700033</v>
      </c>
      <c r="O14" s="447"/>
    </row>
    <row r="15" spans="1:15" ht="19.5" customHeight="1" x14ac:dyDescent="0.4">
      <c r="B15" s="465" t="s">
        <v>310</v>
      </c>
      <c r="C15" s="656"/>
      <c r="D15" s="657"/>
      <c r="E15" s="658"/>
      <c r="F15" s="580"/>
      <c r="G15" s="467"/>
      <c r="H15" s="468"/>
      <c r="I15" s="467"/>
      <c r="J15" s="616" t="s">
        <v>395</v>
      </c>
      <c r="K15" s="659"/>
      <c r="L15" s="617"/>
      <c r="M15" s="618"/>
      <c r="N15" s="468"/>
      <c r="O15" s="427"/>
    </row>
    <row r="16" spans="1:15" ht="35.4" customHeight="1" x14ac:dyDescent="0.3">
      <c r="A16" s="447"/>
      <c r="B16" s="469" t="s">
        <v>311</v>
      </c>
      <c r="C16" s="601" t="s">
        <v>839</v>
      </c>
      <c r="D16" s="601" t="s">
        <v>839</v>
      </c>
      <c r="E16" s="601" t="s">
        <v>839</v>
      </c>
      <c r="F16" s="601" t="s">
        <v>839</v>
      </c>
      <c r="G16" s="581"/>
      <c r="H16" s="471"/>
      <c r="I16" s="457"/>
      <c r="J16" s="469" t="s">
        <v>311</v>
      </c>
      <c r="K16" s="601" t="s">
        <v>496</v>
      </c>
      <c r="L16" s="601" t="s">
        <v>496</v>
      </c>
      <c r="M16" s="619"/>
      <c r="N16" s="620"/>
      <c r="O16" s="447"/>
    </row>
    <row r="17" spans="1:15" ht="21" customHeight="1" x14ac:dyDescent="0.3">
      <c r="A17" s="447"/>
      <c r="B17" s="472" t="s">
        <v>313</v>
      </c>
      <c r="C17" s="582">
        <f>'CF-0901|GDS '!Y13*'CF-0901|GDS '!I16/3</f>
        <v>1182157.4349107237</v>
      </c>
      <c r="D17" s="660">
        <f>'CF-0901|GDS '!Y13*'CF-0901|GDS '!I16/3</f>
        <v>1182157.4349107237</v>
      </c>
      <c r="E17" s="661">
        <f>'CF-0901|GDS '!Y13*'CF-0901|GDS '!I16/3</f>
        <v>1182157.4349107237</v>
      </c>
      <c r="F17" s="582">
        <v>0</v>
      </c>
      <c r="G17" s="583"/>
      <c r="I17" s="475"/>
      <c r="J17" s="472" t="s">
        <v>398</v>
      </c>
      <c r="K17" s="662">
        <f>'CF-0901|GDS '!I40</f>
        <v>7781.84</v>
      </c>
      <c r="L17" s="662">
        <f>'CF-0901|GDS '!I41</f>
        <v>33099.49</v>
      </c>
      <c r="M17" s="622"/>
      <c r="N17" s="623"/>
      <c r="O17" s="447"/>
    </row>
    <row r="18" spans="1:15" ht="18.75" customHeight="1" x14ac:dyDescent="0.3">
      <c r="A18" s="447"/>
      <c r="B18" s="476" t="s">
        <v>314</v>
      </c>
      <c r="C18" s="584">
        <v>1.759292E-3</v>
      </c>
      <c r="D18" s="584">
        <v>1.759292E-3</v>
      </c>
      <c r="E18" s="584">
        <v>1.759292E-3</v>
      </c>
      <c r="F18" s="584">
        <f>E18</f>
        <v>1.759292E-3</v>
      </c>
      <c r="G18" s="478"/>
      <c r="I18" s="479"/>
      <c r="J18" s="476" t="s">
        <v>314</v>
      </c>
      <c r="K18" s="584">
        <v>0.81125709133484702</v>
      </c>
      <c r="L18" s="584">
        <v>0.81125709133484736</v>
      </c>
      <c r="M18" s="614"/>
      <c r="N18" s="491"/>
      <c r="O18" s="447"/>
    </row>
    <row r="19" spans="1:15" ht="19.5" customHeight="1" x14ac:dyDescent="0.3">
      <c r="A19" s="447"/>
      <c r="B19" s="480" t="s">
        <v>315</v>
      </c>
      <c r="C19" s="663">
        <f>C17*C18</f>
        <v>2079.7601179789567</v>
      </c>
      <c r="D19" s="664">
        <f>D17*D18</f>
        <v>2079.7601179789567</v>
      </c>
      <c r="E19" s="585">
        <f>E17*E18</f>
        <v>2079.7601179789567</v>
      </c>
      <c r="F19" s="585">
        <f>F17*F18</f>
        <v>0</v>
      </c>
      <c r="G19" s="586"/>
      <c r="I19" s="479"/>
      <c r="J19" s="480" t="s">
        <v>315</v>
      </c>
      <c r="K19" s="664">
        <f>K17*K18</f>
        <v>6313.0728836331664</v>
      </c>
      <c r="L19" s="663">
        <f>L17*L18</f>
        <v>26852.195982066864</v>
      </c>
      <c r="M19" s="614"/>
      <c r="N19" s="494"/>
      <c r="O19" s="647"/>
    </row>
    <row r="20" spans="1:15" ht="19.5" customHeight="1" x14ac:dyDescent="0.4">
      <c r="B20" s="465" t="s">
        <v>310</v>
      </c>
      <c r="C20" s="656"/>
      <c r="D20" s="657"/>
      <c r="E20" s="658"/>
      <c r="F20" s="580"/>
      <c r="G20" s="467"/>
      <c r="I20" s="467"/>
      <c r="J20" s="465" t="s">
        <v>316</v>
      </c>
      <c r="K20" s="665"/>
      <c r="L20" s="587"/>
      <c r="M20" s="618"/>
      <c r="N20" s="467"/>
    </row>
    <row r="21" spans="1:15" ht="37.950000000000003" customHeight="1" x14ac:dyDescent="0.3">
      <c r="A21" s="447"/>
      <c r="B21" s="469" t="s">
        <v>311</v>
      </c>
      <c r="C21" s="601" t="s">
        <v>430</v>
      </c>
      <c r="D21" s="601" t="s">
        <v>430</v>
      </c>
      <c r="E21" s="601" t="s">
        <v>430</v>
      </c>
      <c r="F21" s="601" t="s">
        <v>430</v>
      </c>
      <c r="G21" s="1094"/>
      <c r="I21" s="457"/>
      <c r="J21" s="469" t="s">
        <v>183</v>
      </c>
      <c r="K21" s="601" t="s">
        <v>888</v>
      </c>
      <c r="L21" s="601" t="s">
        <v>888</v>
      </c>
      <c r="M21" s="619"/>
      <c r="N21" s="620"/>
      <c r="O21" s="447"/>
    </row>
    <row r="22" spans="1:15" ht="21" customHeight="1" x14ac:dyDescent="0.3">
      <c r="A22" s="447"/>
      <c r="B22" s="472" t="s">
        <v>313</v>
      </c>
      <c r="C22" s="661">
        <f>'CF-0901|GDS '!Y14*'CF-0901|GDS '!I16/3</f>
        <v>30380.803131170036</v>
      </c>
      <c r="D22" s="661">
        <f>'CF-0901|GDS '!Y14*'CF-0901|GDS '!I16/3</f>
        <v>30380.803131170036</v>
      </c>
      <c r="E22" s="661">
        <f>'CF-0901|GDS '!Y14*'CF-0901|GDS '!I16/3</f>
        <v>30380.803131170036</v>
      </c>
      <c r="F22" s="661">
        <v>0</v>
      </c>
      <c r="G22" s="583"/>
      <c r="I22" s="475"/>
      <c r="J22" s="486" t="s">
        <v>398</v>
      </c>
      <c r="K22" s="666">
        <f>K17</f>
        <v>7781.84</v>
      </c>
      <c r="L22" s="589">
        <f>L17</f>
        <v>33099.49</v>
      </c>
      <c r="M22" s="622"/>
      <c r="N22" s="623"/>
      <c r="O22" s="447"/>
    </row>
    <row r="23" spans="1:15" ht="18.75" customHeight="1" x14ac:dyDescent="0.3">
      <c r="A23" s="447"/>
      <c r="B23" s="476" t="s">
        <v>314</v>
      </c>
      <c r="C23" s="584">
        <v>1.5392919999999998E-3</v>
      </c>
      <c r="D23" s="584">
        <v>1.5392919999999998E-3</v>
      </c>
      <c r="E23" s="584">
        <v>1.5392919999999998E-3</v>
      </c>
      <c r="F23" s="584">
        <f>E23</f>
        <v>1.5392919999999998E-3</v>
      </c>
      <c r="G23" s="586"/>
      <c r="H23" s="1095"/>
      <c r="I23" s="479"/>
      <c r="J23" s="489" t="s">
        <v>314</v>
      </c>
      <c r="K23" s="590">
        <v>0</v>
      </c>
      <c r="L23" s="590">
        <v>0</v>
      </c>
      <c r="M23" s="614"/>
      <c r="N23" s="491"/>
      <c r="O23" s="447"/>
    </row>
    <row r="24" spans="1:15" ht="19.5" customHeight="1" x14ac:dyDescent="0.3">
      <c r="A24" s="447"/>
      <c r="B24" s="480" t="s">
        <v>315</v>
      </c>
      <c r="C24" s="663">
        <f>C22*C23</f>
        <v>46.764927213384979</v>
      </c>
      <c r="D24" s="664">
        <f>D22*D23</f>
        <v>46.764927213384979</v>
      </c>
      <c r="E24" s="585">
        <f>E22*E23</f>
        <v>46.764927213384979</v>
      </c>
      <c r="F24" s="585">
        <f>F22*F23</f>
        <v>0</v>
      </c>
      <c r="G24" s="586"/>
      <c r="H24" s="1096"/>
      <c r="I24" s="479"/>
      <c r="J24" s="492" t="s">
        <v>315</v>
      </c>
      <c r="K24" s="668">
        <f t="shared" ref="K24:L24" si="4">K22*K23</f>
        <v>0</v>
      </c>
      <c r="L24" s="591">
        <f t="shared" si="4"/>
        <v>0</v>
      </c>
      <c r="M24" s="614"/>
      <c r="N24" s="494"/>
      <c r="O24" s="447"/>
    </row>
    <row r="25" spans="1:15" ht="21" customHeight="1" x14ac:dyDescent="0.4">
      <c r="B25" s="465" t="s">
        <v>316</v>
      </c>
      <c r="C25" s="665"/>
      <c r="D25" s="587"/>
      <c r="E25" s="665"/>
      <c r="F25" s="587"/>
      <c r="G25" s="483"/>
      <c r="H25" s="484"/>
      <c r="I25" s="483"/>
      <c r="J25" s="498" t="s">
        <v>320</v>
      </c>
      <c r="K25" s="626" t="s">
        <v>401</v>
      </c>
      <c r="L25" s="626" t="s">
        <v>401</v>
      </c>
      <c r="M25" s="618"/>
      <c r="N25" s="495"/>
    </row>
    <row r="26" spans="1:15" ht="32.4" customHeight="1" x14ac:dyDescent="0.3">
      <c r="A26" s="447"/>
      <c r="B26" s="469" t="s">
        <v>183</v>
      </c>
      <c r="C26" s="601" t="s">
        <v>839</v>
      </c>
      <c r="D26" s="601" t="s">
        <v>839</v>
      </c>
      <c r="E26" s="601" t="s">
        <v>839</v>
      </c>
      <c r="F26" s="601" t="s">
        <v>88</v>
      </c>
      <c r="G26" s="588"/>
      <c r="H26" s="485"/>
      <c r="I26" s="479"/>
      <c r="J26" s="502" t="s">
        <v>322</v>
      </c>
      <c r="K26" s="674">
        <v>13</v>
      </c>
      <c r="L26" s="596">
        <v>13</v>
      </c>
      <c r="M26" s="614"/>
      <c r="N26" s="496"/>
      <c r="O26" s="447"/>
    </row>
    <row r="27" spans="1:15" ht="21" customHeight="1" x14ac:dyDescent="0.3">
      <c r="A27" s="447"/>
      <c r="B27" s="486" t="s">
        <v>313</v>
      </c>
      <c r="C27" s="666">
        <f>'CF-0901|GDS '!I13/3</f>
        <v>199314.66666666666</v>
      </c>
      <c r="D27" s="589">
        <f>'CF-0901|GDS '!I13/3</f>
        <v>199314.66666666666</v>
      </c>
      <c r="E27" s="666">
        <f>'CF-0901|GDS '!I13/3</f>
        <v>199314.66666666666</v>
      </c>
      <c r="F27" s="589">
        <v>0</v>
      </c>
      <c r="G27" s="479"/>
      <c r="H27" s="488"/>
      <c r="I27" s="479"/>
      <c r="J27" s="506" t="s">
        <v>323</v>
      </c>
      <c r="K27" s="496" t="s">
        <v>324</v>
      </c>
      <c r="L27" s="595" t="s">
        <v>324</v>
      </c>
      <c r="M27" s="622"/>
      <c r="N27" s="623"/>
      <c r="O27" s="447"/>
    </row>
    <row r="28" spans="1:15" ht="21" customHeight="1" x14ac:dyDescent="0.3">
      <c r="A28" s="447"/>
      <c r="B28" s="489" t="s">
        <v>314</v>
      </c>
      <c r="C28" s="590">
        <v>1.759292E-3</v>
      </c>
      <c r="D28" s="590">
        <v>1.759292E-3</v>
      </c>
      <c r="E28" s="590">
        <v>1.759292E-3</v>
      </c>
      <c r="F28" s="590">
        <v>0</v>
      </c>
      <c r="G28" s="588"/>
      <c r="H28" s="491"/>
      <c r="I28" s="479"/>
      <c r="J28" s="508" t="s">
        <v>325</v>
      </c>
      <c r="K28" s="674" t="s">
        <v>326</v>
      </c>
      <c r="L28" s="596" t="s">
        <v>326</v>
      </c>
      <c r="M28" s="614"/>
      <c r="N28" s="491"/>
      <c r="O28" s="447"/>
    </row>
    <row r="29" spans="1:15" ht="21" customHeight="1" x14ac:dyDescent="0.3">
      <c r="A29" s="447"/>
      <c r="B29" s="492" t="s">
        <v>315</v>
      </c>
      <c r="C29" s="668">
        <f t="shared" ref="C29:F29" si="5">C27*C28</f>
        <v>350.65269854933331</v>
      </c>
      <c r="D29" s="668">
        <f t="shared" si="5"/>
        <v>350.65269854933331</v>
      </c>
      <c r="E29" s="668">
        <f t="shared" si="5"/>
        <v>350.65269854933331</v>
      </c>
      <c r="F29" s="591">
        <f t="shared" si="5"/>
        <v>0</v>
      </c>
      <c r="G29" s="588"/>
      <c r="H29" s="494"/>
      <c r="I29" s="479"/>
      <c r="J29" s="506" t="s">
        <v>327</v>
      </c>
      <c r="K29" s="595" t="s">
        <v>402</v>
      </c>
      <c r="L29" s="595" t="s">
        <v>402</v>
      </c>
      <c r="M29" s="614"/>
      <c r="N29" s="494"/>
      <c r="O29" s="447"/>
    </row>
    <row r="30" spans="1:15" ht="21" customHeight="1" x14ac:dyDescent="0.4">
      <c r="B30" s="465" t="s">
        <v>316</v>
      </c>
      <c r="C30" s="665"/>
      <c r="D30" s="587"/>
      <c r="E30" s="665"/>
      <c r="F30" s="587"/>
      <c r="G30" s="483"/>
      <c r="H30" s="495"/>
      <c r="I30" s="483"/>
      <c r="J30" s="510" t="s">
        <v>329</v>
      </c>
      <c r="K30" s="596">
        <v>3</v>
      </c>
      <c r="L30" s="596">
        <v>47</v>
      </c>
      <c r="M30" s="618"/>
      <c r="N30" s="495"/>
    </row>
    <row r="31" spans="1:15" ht="30.6" customHeight="1" x14ac:dyDescent="0.3">
      <c r="A31" s="447"/>
      <c r="B31" s="469" t="s">
        <v>183</v>
      </c>
      <c r="C31" s="601" t="s">
        <v>430</v>
      </c>
      <c r="D31" s="601" t="s">
        <v>430</v>
      </c>
      <c r="E31" s="601" t="s">
        <v>430</v>
      </c>
      <c r="F31" s="601" t="s">
        <v>88</v>
      </c>
      <c r="G31" s="588"/>
      <c r="H31" s="496"/>
      <c r="I31" s="479"/>
      <c r="J31" s="453" t="s">
        <v>330</v>
      </c>
      <c r="K31" s="496" t="s">
        <v>324</v>
      </c>
      <c r="L31" s="595" t="s">
        <v>324</v>
      </c>
      <c r="M31" s="614"/>
      <c r="N31" s="496"/>
      <c r="O31" s="447"/>
    </row>
    <row r="32" spans="1:15" ht="21" customHeight="1" x14ac:dyDescent="0.3">
      <c r="A32" s="447"/>
      <c r="B32" s="486" t="s">
        <v>313</v>
      </c>
      <c r="C32" s="666">
        <f>'CF-0901|GDS '!I14/3</f>
        <v>16353.333333333334</v>
      </c>
      <c r="D32" s="589">
        <f>'CF-0901|GDS '!I14/3</f>
        <v>16353.333333333334</v>
      </c>
      <c r="E32" s="666">
        <f>'CF-0901|GDS '!I14/3</f>
        <v>16353.333333333334</v>
      </c>
      <c r="F32" s="589">
        <v>0</v>
      </c>
      <c r="G32" s="479"/>
      <c r="H32" s="488"/>
      <c r="I32" s="479"/>
      <c r="J32" s="510" t="s">
        <v>331</v>
      </c>
      <c r="K32" s="674" t="s">
        <v>324</v>
      </c>
      <c r="L32" s="596" t="s">
        <v>324</v>
      </c>
      <c r="M32" s="622"/>
      <c r="N32" s="623"/>
      <c r="O32" s="447"/>
    </row>
    <row r="33" spans="1:15" ht="21" customHeight="1" x14ac:dyDescent="0.3">
      <c r="A33" s="447"/>
      <c r="B33" s="489" t="s">
        <v>314</v>
      </c>
      <c r="C33" s="590">
        <v>1.5392919999999998E-3</v>
      </c>
      <c r="D33" s="590">
        <v>1.5392919999999998E-3</v>
      </c>
      <c r="E33" s="590">
        <v>1.5392919999999998E-3</v>
      </c>
      <c r="F33" s="590">
        <v>0</v>
      </c>
      <c r="G33" s="588"/>
      <c r="H33" s="491"/>
      <c r="I33" s="479"/>
      <c r="J33" s="462" t="s">
        <v>332</v>
      </c>
      <c r="K33" s="675" t="s">
        <v>333</v>
      </c>
      <c r="L33" s="555" t="s">
        <v>333</v>
      </c>
      <c r="M33" s="614"/>
      <c r="N33" s="491"/>
      <c r="O33" s="447"/>
    </row>
    <row r="34" spans="1:15" ht="21" customHeight="1" x14ac:dyDescent="0.3">
      <c r="A34" s="447"/>
      <c r="B34" s="492" t="s">
        <v>315</v>
      </c>
      <c r="C34" s="668">
        <f t="shared" ref="C34:F34" si="6">C32*C33</f>
        <v>25.172555173333333</v>
      </c>
      <c r="D34" s="668">
        <f t="shared" si="6"/>
        <v>25.172555173333333</v>
      </c>
      <c r="E34" s="668">
        <f t="shared" si="6"/>
        <v>25.172555173333333</v>
      </c>
      <c r="F34" s="591">
        <f t="shared" si="6"/>
        <v>0</v>
      </c>
      <c r="G34" s="588"/>
      <c r="H34" s="494"/>
      <c r="I34" s="479"/>
      <c r="J34" s="1330" t="s">
        <v>840</v>
      </c>
      <c r="K34" s="1331">
        <f>K14/K30</f>
        <v>2104.3576278777223</v>
      </c>
      <c r="L34" s="1332">
        <f>L14/L30</f>
        <v>571.3233187673801</v>
      </c>
      <c r="M34" s="614"/>
      <c r="N34" s="494"/>
      <c r="O34" s="447"/>
    </row>
    <row r="35" spans="1:15" ht="28.5" customHeight="1" x14ac:dyDescent="0.4">
      <c r="A35" s="447"/>
      <c r="B35" s="465" t="s">
        <v>316</v>
      </c>
      <c r="C35" s="665"/>
      <c r="D35" s="587"/>
      <c r="E35" s="665"/>
      <c r="F35" s="587"/>
      <c r="G35" s="593"/>
      <c r="H35" s="501"/>
      <c r="I35" s="500"/>
      <c r="M35" s="1333"/>
      <c r="N35" s="496"/>
      <c r="O35" s="447"/>
    </row>
    <row r="36" spans="1:15" ht="24" customHeight="1" x14ac:dyDescent="0.3">
      <c r="B36" s="469" t="s">
        <v>183</v>
      </c>
      <c r="C36" s="601" t="s">
        <v>841</v>
      </c>
      <c r="D36" s="601" t="s">
        <v>841</v>
      </c>
      <c r="E36" s="601" t="s">
        <v>841</v>
      </c>
      <c r="F36" s="601" t="s">
        <v>841</v>
      </c>
      <c r="G36" s="504"/>
      <c r="H36" s="505"/>
      <c r="I36" s="504"/>
      <c r="M36" s="659"/>
      <c r="N36" s="495"/>
    </row>
    <row r="37" spans="1:15" ht="21" customHeight="1" x14ac:dyDescent="0.3">
      <c r="A37" s="447"/>
      <c r="B37" s="486" t="s">
        <v>369</v>
      </c>
      <c r="C37" s="666">
        <f>'CF-0901|GDS '!I12/3</f>
        <v>2593946.6666666665</v>
      </c>
      <c r="D37" s="589">
        <f>'CF-0901|GDS '!I12/3</f>
        <v>2593946.6666666665</v>
      </c>
      <c r="E37" s="666">
        <f>'CF-0901|GDS '!I12/3</f>
        <v>2593946.6666666665</v>
      </c>
      <c r="F37" s="589">
        <v>0</v>
      </c>
      <c r="G37" s="479"/>
      <c r="H37" s="496"/>
      <c r="I37" s="479"/>
      <c r="M37" s="1333"/>
      <c r="N37" s="496"/>
      <c r="O37" s="447"/>
    </row>
    <row r="38" spans="1:15" ht="21" customHeight="1" x14ac:dyDescent="0.3">
      <c r="A38" s="447"/>
      <c r="B38" s="489" t="s">
        <v>314</v>
      </c>
      <c r="C38" s="590">
        <v>3.6533000000000004E-5</v>
      </c>
      <c r="D38" s="590">
        <v>3.6533000000000004E-5</v>
      </c>
      <c r="E38" s="590">
        <v>3.6533000000000004E-5</v>
      </c>
      <c r="F38" s="590"/>
      <c r="G38" s="479"/>
      <c r="H38" s="496"/>
      <c r="I38" s="479"/>
      <c r="M38" s="1333"/>
      <c r="N38" s="496"/>
      <c r="O38" s="447"/>
    </row>
    <row r="39" spans="1:15" ht="21" customHeight="1" x14ac:dyDescent="0.3">
      <c r="A39" s="447"/>
      <c r="B39" s="492" t="s">
        <v>315</v>
      </c>
      <c r="C39" s="668">
        <f t="shared" ref="C39:F39" si="7">C37*C38</f>
        <v>94.764653573333334</v>
      </c>
      <c r="D39" s="668">
        <f t="shared" si="7"/>
        <v>94.764653573333334</v>
      </c>
      <c r="E39" s="668">
        <f t="shared" si="7"/>
        <v>94.764653573333334</v>
      </c>
      <c r="F39" s="591">
        <f t="shared" si="7"/>
        <v>0</v>
      </c>
      <c r="G39" s="2951"/>
      <c r="H39" s="496"/>
      <c r="I39" s="479"/>
      <c r="M39" s="1333"/>
      <c r="N39" s="496"/>
      <c r="O39" s="447"/>
    </row>
    <row r="40" spans="1:15" ht="30" customHeight="1" x14ac:dyDescent="0.3">
      <c r="B40" s="498" t="s">
        <v>320</v>
      </c>
      <c r="C40" s="592" t="s">
        <v>321</v>
      </c>
      <c r="D40" s="592" t="s">
        <v>321</v>
      </c>
      <c r="E40" s="592" t="s">
        <v>321</v>
      </c>
      <c r="F40" s="592" t="s">
        <v>321</v>
      </c>
      <c r="G40" s="467"/>
      <c r="H40" s="467"/>
      <c r="I40" s="467"/>
      <c r="M40" s="659"/>
      <c r="N40" s="467"/>
    </row>
    <row r="41" spans="1:15" ht="30" customHeight="1" x14ac:dyDescent="0.3">
      <c r="B41" s="502" t="s">
        <v>322</v>
      </c>
      <c r="C41" s="673">
        <v>3</v>
      </c>
      <c r="D41" s="594">
        <v>3</v>
      </c>
      <c r="E41" s="673">
        <v>3</v>
      </c>
      <c r="F41" s="594">
        <v>3</v>
      </c>
      <c r="G41" s="483"/>
      <c r="H41" s="495"/>
      <c r="I41" s="483"/>
      <c r="M41" s="659"/>
      <c r="N41" s="495"/>
    </row>
    <row r="42" spans="1:15" ht="30" customHeight="1" x14ac:dyDescent="0.3">
      <c r="B42" s="506" t="s">
        <v>323</v>
      </c>
      <c r="C42" s="496" t="s">
        <v>324</v>
      </c>
      <c r="D42" s="595" t="s">
        <v>324</v>
      </c>
      <c r="E42" s="496" t="s">
        <v>324</v>
      </c>
      <c r="F42" s="595" t="s">
        <v>324</v>
      </c>
      <c r="G42" s="483"/>
      <c r="H42" s="495"/>
      <c r="I42" s="483"/>
      <c r="M42" s="659"/>
      <c r="N42" s="495"/>
    </row>
    <row r="43" spans="1:15" ht="30" customHeight="1" x14ac:dyDescent="0.3">
      <c r="B43" s="508" t="s">
        <v>325</v>
      </c>
      <c r="C43" s="674" t="s">
        <v>326</v>
      </c>
      <c r="D43" s="596" t="s">
        <v>326</v>
      </c>
      <c r="E43" s="674" t="s">
        <v>326</v>
      </c>
      <c r="F43" s="596" t="s">
        <v>326</v>
      </c>
      <c r="G43" s="483"/>
      <c r="H43" s="495"/>
      <c r="I43" s="483"/>
      <c r="M43" s="659"/>
      <c r="N43" s="495"/>
    </row>
    <row r="44" spans="1:15" ht="30" customHeight="1" x14ac:dyDescent="0.3">
      <c r="B44" s="506" t="s">
        <v>327</v>
      </c>
      <c r="C44" s="595" t="s">
        <v>729</v>
      </c>
      <c r="D44" s="595" t="s">
        <v>729</v>
      </c>
      <c r="E44" s="595" t="s">
        <v>729</v>
      </c>
      <c r="F44" s="595" t="s">
        <v>729</v>
      </c>
      <c r="G44" s="483"/>
      <c r="H44" s="483"/>
      <c r="I44" s="483"/>
      <c r="M44" s="427"/>
      <c r="N44" s="427"/>
    </row>
    <row r="45" spans="1:15" ht="30" customHeight="1" x14ac:dyDescent="0.3">
      <c r="B45" s="510" t="s">
        <v>329</v>
      </c>
      <c r="C45" s="596">
        <v>1</v>
      </c>
      <c r="D45" s="596">
        <v>1</v>
      </c>
      <c r="E45" s="596">
        <v>1</v>
      </c>
      <c r="F45" s="596">
        <v>0</v>
      </c>
      <c r="G45" s="483"/>
      <c r="H45" s="483"/>
      <c r="I45" s="483"/>
      <c r="M45" s="427"/>
      <c r="N45" s="427"/>
    </row>
    <row r="46" spans="1:15" ht="30" customHeight="1" x14ac:dyDescent="0.3">
      <c r="B46" s="453" t="s">
        <v>330</v>
      </c>
      <c r="C46" s="496" t="s">
        <v>324</v>
      </c>
      <c r="D46" s="595" t="s">
        <v>324</v>
      </c>
      <c r="E46" s="496" t="s">
        <v>324</v>
      </c>
      <c r="F46" s="595" t="s">
        <v>324</v>
      </c>
      <c r="G46" s="483"/>
      <c r="H46" s="483"/>
      <c r="I46" s="483"/>
      <c r="M46" s="427"/>
      <c r="N46" s="427"/>
    </row>
    <row r="47" spans="1:15" ht="30" customHeight="1" x14ac:dyDescent="0.3">
      <c r="B47" s="510" t="s">
        <v>331</v>
      </c>
      <c r="C47" s="674" t="s">
        <v>324</v>
      </c>
      <c r="D47" s="596" t="s">
        <v>324</v>
      </c>
      <c r="E47" s="674" t="s">
        <v>324</v>
      </c>
      <c r="F47" s="596" t="s">
        <v>324</v>
      </c>
      <c r="G47" s="483"/>
      <c r="H47" s="483"/>
      <c r="I47" s="483"/>
      <c r="M47" s="427"/>
      <c r="N47" s="427"/>
    </row>
    <row r="48" spans="1:15" ht="30" customHeight="1" x14ac:dyDescent="0.3">
      <c r="B48" s="462" t="s">
        <v>332</v>
      </c>
      <c r="C48" s="675" t="s">
        <v>333</v>
      </c>
      <c r="D48" s="555" t="s">
        <v>333</v>
      </c>
      <c r="E48" s="676" t="s">
        <v>333</v>
      </c>
      <c r="F48" s="555" t="s">
        <v>333</v>
      </c>
      <c r="G48" s="483"/>
      <c r="H48" s="483"/>
      <c r="I48" s="483"/>
      <c r="M48" s="427"/>
      <c r="N48" s="427"/>
    </row>
    <row r="49" spans="2:14" ht="15.75" customHeight="1" x14ac:dyDescent="0.3">
      <c r="B49" s="427"/>
      <c r="C49" s="427"/>
      <c r="D49" s="427"/>
      <c r="E49" s="427"/>
      <c r="F49" s="427"/>
      <c r="G49" s="427"/>
      <c r="I49" s="427"/>
      <c r="M49" s="427"/>
      <c r="N49" s="427"/>
    </row>
    <row r="50" spans="2:14" ht="15.75" customHeight="1" x14ac:dyDescent="0.3">
      <c r="B50" s="512" t="s">
        <v>334</v>
      </c>
      <c r="C50" s="427"/>
      <c r="D50" s="427"/>
      <c r="E50" s="427"/>
      <c r="F50" s="427"/>
      <c r="G50" s="427"/>
      <c r="I50" s="427"/>
      <c r="M50" s="427"/>
      <c r="N50" s="427"/>
    </row>
    <row r="51" spans="2:14" ht="15.75" customHeight="1" x14ac:dyDescent="0.3">
      <c r="B51" s="512" t="s">
        <v>335</v>
      </c>
      <c r="C51" s="427"/>
      <c r="D51" s="427"/>
      <c r="E51" s="427"/>
      <c r="F51" s="427"/>
      <c r="G51" s="427"/>
      <c r="I51" s="427"/>
      <c r="M51" s="427"/>
      <c r="N51" s="427"/>
    </row>
    <row r="52" spans="2:14" ht="15.75" customHeight="1" x14ac:dyDescent="0.3">
      <c r="B52" s="512" t="s">
        <v>336</v>
      </c>
      <c r="C52" s="427"/>
      <c r="D52" s="427"/>
      <c r="E52" s="427"/>
      <c r="F52" s="427"/>
      <c r="G52" s="427"/>
      <c r="I52" s="427"/>
      <c r="M52" s="427"/>
      <c r="N52" s="427"/>
    </row>
    <row r="53" spans="2:14" ht="15.75" customHeight="1" x14ac:dyDescent="0.3">
      <c r="B53" s="512" t="s">
        <v>337</v>
      </c>
      <c r="C53" s="427"/>
      <c r="D53" s="427"/>
      <c r="E53" s="427"/>
      <c r="F53" s="427"/>
      <c r="G53" s="427"/>
      <c r="I53" s="427"/>
      <c r="M53" s="427"/>
      <c r="N53" s="427"/>
    </row>
    <row r="54" spans="2:14" ht="15.75" customHeight="1" x14ac:dyDescent="0.3">
      <c r="B54" s="512" t="s">
        <v>338</v>
      </c>
      <c r="G54" s="427"/>
      <c r="I54" s="427"/>
      <c r="M54" s="427"/>
    </row>
    <row r="55" spans="2:14" ht="15.75" customHeight="1" x14ac:dyDescent="0.3">
      <c r="B55" s="512" t="s">
        <v>339</v>
      </c>
      <c r="G55" s="427"/>
      <c r="I55" s="427"/>
      <c r="M55" s="427"/>
    </row>
    <row r="56" spans="2:14" ht="15.75" customHeight="1" x14ac:dyDescent="0.3">
      <c r="G56" s="427"/>
      <c r="I56" s="427"/>
      <c r="M56" s="427"/>
    </row>
    <row r="57" spans="2:14" ht="15.75" customHeight="1" x14ac:dyDescent="0.3">
      <c r="G57" s="427"/>
      <c r="I57" s="427"/>
      <c r="M57" s="427"/>
    </row>
    <row r="58" spans="2:14" ht="15.75" customHeight="1" x14ac:dyDescent="0.3">
      <c r="G58" s="427"/>
      <c r="I58" s="427"/>
      <c r="M58" s="427"/>
    </row>
    <row r="59" spans="2:14" ht="15.75" customHeight="1" x14ac:dyDescent="0.3">
      <c r="G59" s="427"/>
      <c r="I59" s="427"/>
      <c r="M59" s="427"/>
    </row>
    <row r="60" spans="2:14" ht="15.75" customHeight="1" x14ac:dyDescent="0.3">
      <c r="G60" s="427"/>
      <c r="I60" s="427"/>
      <c r="M60" s="427"/>
    </row>
    <row r="61" spans="2:14" ht="15.75" customHeight="1" x14ac:dyDescent="0.3">
      <c r="G61" s="427"/>
      <c r="I61" s="427"/>
      <c r="M61" s="427"/>
    </row>
    <row r="62" spans="2:14" ht="15.75" customHeight="1" x14ac:dyDescent="0.3">
      <c r="G62" s="427"/>
      <c r="I62" s="427"/>
      <c r="M62" s="427"/>
    </row>
    <row r="63" spans="2:14" ht="15.75" customHeight="1" x14ac:dyDescent="0.3">
      <c r="G63" s="427"/>
      <c r="I63" s="427"/>
      <c r="M63" s="427"/>
    </row>
    <row r="64" spans="2:14" ht="15.75" customHeight="1" x14ac:dyDescent="0.3">
      <c r="G64" s="427"/>
      <c r="I64" s="427"/>
      <c r="M64" s="427"/>
    </row>
    <row r="65" spans="7:13" ht="15.75" customHeight="1" x14ac:dyDescent="0.3">
      <c r="G65" s="427"/>
      <c r="I65" s="427"/>
      <c r="M65" s="427"/>
    </row>
    <row r="66" spans="7:13" ht="15.75" customHeight="1" x14ac:dyDescent="0.3">
      <c r="G66" s="427"/>
      <c r="I66" s="427"/>
      <c r="M66" s="427"/>
    </row>
    <row r="67" spans="7:13" ht="15.75" customHeight="1" x14ac:dyDescent="0.3">
      <c r="G67" s="427"/>
      <c r="I67" s="427"/>
      <c r="M67" s="427"/>
    </row>
    <row r="68" spans="7:13" ht="15.75" customHeight="1" x14ac:dyDescent="0.3">
      <c r="G68" s="427"/>
      <c r="I68" s="427"/>
      <c r="M68" s="427"/>
    </row>
    <row r="69" spans="7:13" ht="15.75" customHeight="1" x14ac:dyDescent="0.3">
      <c r="G69" s="427"/>
      <c r="I69" s="427"/>
      <c r="M69" s="427"/>
    </row>
    <row r="70" spans="7:13" ht="15.75" customHeight="1" x14ac:dyDescent="0.3">
      <c r="G70" s="427"/>
      <c r="I70" s="427"/>
      <c r="M70" s="427"/>
    </row>
    <row r="71" spans="7:13" ht="15.75" customHeight="1" x14ac:dyDescent="0.3">
      <c r="G71" s="427"/>
      <c r="I71" s="427"/>
      <c r="M71" s="427"/>
    </row>
    <row r="72" spans="7:13" ht="15.75" customHeight="1" x14ac:dyDescent="0.3">
      <c r="G72" s="427"/>
      <c r="I72" s="427"/>
      <c r="M72" s="427"/>
    </row>
    <row r="73" spans="7:13" ht="15.75" customHeight="1" x14ac:dyDescent="0.3">
      <c r="G73" s="427"/>
      <c r="I73" s="427"/>
      <c r="M73" s="427"/>
    </row>
    <row r="74" spans="7:13" ht="15.75" customHeight="1" x14ac:dyDescent="0.3">
      <c r="G74" s="427"/>
      <c r="I74" s="427"/>
      <c r="M74" s="427"/>
    </row>
    <row r="75" spans="7:13" ht="15.75" customHeight="1" x14ac:dyDescent="0.3">
      <c r="G75" s="427"/>
      <c r="I75" s="427"/>
      <c r="M75" s="427"/>
    </row>
    <row r="76" spans="7:13" ht="15.75" customHeight="1" x14ac:dyDescent="0.3">
      <c r="G76" s="427"/>
      <c r="I76" s="427"/>
      <c r="M76" s="427"/>
    </row>
    <row r="77" spans="7:13" ht="15.75" customHeight="1" x14ac:dyDescent="0.3">
      <c r="G77" s="427"/>
      <c r="I77" s="427"/>
      <c r="M77" s="427"/>
    </row>
    <row r="78" spans="7:13" ht="15.75" customHeight="1" x14ac:dyDescent="0.3">
      <c r="G78" s="427"/>
      <c r="I78" s="427"/>
      <c r="M78" s="427"/>
    </row>
    <row r="79" spans="7:13" ht="15.75" customHeight="1" x14ac:dyDescent="0.3">
      <c r="G79" s="427"/>
      <c r="I79" s="427"/>
      <c r="M79" s="427"/>
    </row>
    <row r="80" spans="7:13" ht="15.75" customHeight="1" x14ac:dyDescent="0.3">
      <c r="G80" s="427"/>
      <c r="I80" s="427"/>
      <c r="M80" s="427"/>
    </row>
    <row r="81" spans="7:13" ht="15.75" customHeight="1" x14ac:dyDescent="0.3">
      <c r="G81" s="427"/>
      <c r="I81" s="427"/>
      <c r="M81" s="427"/>
    </row>
    <row r="82" spans="7:13" ht="15.75" customHeight="1" x14ac:dyDescent="0.3">
      <c r="G82" s="427"/>
      <c r="I82" s="427"/>
      <c r="M82" s="427"/>
    </row>
    <row r="83" spans="7:13" ht="15.75" customHeight="1" x14ac:dyDescent="0.3">
      <c r="G83" s="427"/>
      <c r="I83" s="427"/>
      <c r="M83" s="427"/>
    </row>
    <row r="84" spans="7:13" ht="15.75" customHeight="1" x14ac:dyDescent="0.3">
      <c r="G84" s="427"/>
      <c r="I84" s="427"/>
      <c r="M84" s="427"/>
    </row>
    <row r="85" spans="7:13" ht="15.75" customHeight="1" x14ac:dyDescent="0.3">
      <c r="G85" s="427"/>
      <c r="I85" s="427"/>
      <c r="M85" s="427"/>
    </row>
    <row r="86" spans="7:13" ht="15.75" customHeight="1" x14ac:dyDescent="0.3">
      <c r="G86" s="427"/>
      <c r="I86" s="427"/>
      <c r="M86" s="427"/>
    </row>
    <row r="87" spans="7:13" ht="15.75" customHeight="1" x14ac:dyDescent="0.3">
      <c r="G87" s="427"/>
      <c r="I87" s="427"/>
      <c r="M87" s="427"/>
    </row>
    <row r="88" spans="7:13" ht="15.75" customHeight="1" x14ac:dyDescent="0.3">
      <c r="G88" s="427"/>
      <c r="I88" s="427"/>
      <c r="M88" s="427"/>
    </row>
    <row r="89" spans="7:13" ht="15.75" customHeight="1" x14ac:dyDescent="0.3">
      <c r="G89" s="427"/>
      <c r="I89" s="427"/>
      <c r="M89" s="427"/>
    </row>
    <row r="90" spans="7:13" ht="15.75" customHeight="1" x14ac:dyDescent="0.3">
      <c r="G90" s="427"/>
      <c r="I90" s="427"/>
      <c r="M90" s="427"/>
    </row>
    <row r="91" spans="7:13" ht="15.75" customHeight="1" x14ac:dyDescent="0.3">
      <c r="G91" s="427"/>
      <c r="I91" s="427"/>
      <c r="M91" s="427"/>
    </row>
    <row r="92" spans="7:13" ht="15.75" customHeight="1" x14ac:dyDescent="0.3">
      <c r="G92" s="427"/>
      <c r="I92" s="427"/>
      <c r="M92" s="427"/>
    </row>
    <row r="93" spans="7:13" ht="15.75" customHeight="1" x14ac:dyDescent="0.3">
      <c r="G93" s="427"/>
      <c r="I93" s="427"/>
      <c r="M93" s="427"/>
    </row>
    <row r="94" spans="7:13" ht="15.75" customHeight="1" x14ac:dyDescent="0.3">
      <c r="G94" s="427"/>
      <c r="I94" s="427"/>
      <c r="M94" s="427"/>
    </row>
    <row r="95" spans="7:13" ht="15.75" customHeight="1" x14ac:dyDescent="0.3">
      <c r="G95" s="427"/>
      <c r="I95" s="427"/>
      <c r="M95" s="427"/>
    </row>
    <row r="96" spans="7:13" ht="15.75" customHeight="1" x14ac:dyDescent="0.3">
      <c r="G96" s="427"/>
      <c r="I96" s="427"/>
      <c r="M96" s="427"/>
    </row>
    <row r="97" spans="7:13" ht="15.75" customHeight="1" x14ac:dyDescent="0.3">
      <c r="G97" s="427"/>
      <c r="I97" s="427"/>
      <c r="M97" s="427"/>
    </row>
    <row r="98" spans="7:13" ht="15.75" customHeight="1" x14ac:dyDescent="0.3">
      <c r="G98" s="427"/>
      <c r="I98" s="427"/>
      <c r="M98" s="427"/>
    </row>
    <row r="99" spans="7:13" ht="15.75" customHeight="1" x14ac:dyDescent="0.3">
      <c r="G99" s="427"/>
      <c r="I99" s="427"/>
      <c r="M99" s="427"/>
    </row>
    <row r="100" spans="7:13" ht="15.75" customHeight="1" x14ac:dyDescent="0.3">
      <c r="G100" s="427"/>
      <c r="I100" s="427"/>
      <c r="M100" s="427"/>
    </row>
    <row r="101" spans="7:13" ht="15.75" customHeight="1" x14ac:dyDescent="0.3">
      <c r="G101" s="427"/>
      <c r="I101" s="427"/>
      <c r="M101" s="427"/>
    </row>
    <row r="102" spans="7:13" ht="15.75" customHeight="1" x14ac:dyDescent="0.3">
      <c r="G102" s="427"/>
      <c r="I102" s="427"/>
      <c r="M102" s="427"/>
    </row>
    <row r="103" spans="7:13" ht="15.75" customHeight="1" x14ac:dyDescent="0.3">
      <c r="G103" s="427"/>
      <c r="I103" s="427"/>
      <c r="M103" s="427"/>
    </row>
    <row r="104" spans="7:13" ht="15.75" customHeight="1" x14ac:dyDescent="0.3">
      <c r="G104" s="427"/>
      <c r="I104" s="427"/>
      <c r="M104" s="427"/>
    </row>
    <row r="105" spans="7:13" ht="15.75" customHeight="1" x14ac:dyDescent="0.3">
      <c r="G105" s="427"/>
      <c r="I105" s="427"/>
      <c r="M105" s="427"/>
    </row>
    <row r="106" spans="7:13" ht="15.75" customHeight="1" x14ac:dyDescent="0.3">
      <c r="G106" s="427"/>
      <c r="I106" s="427"/>
      <c r="M106" s="427"/>
    </row>
    <row r="107" spans="7:13" ht="15.75" customHeight="1" x14ac:dyDescent="0.3">
      <c r="G107" s="427"/>
      <c r="I107" s="427"/>
      <c r="M107" s="427"/>
    </row>
    <row r="108" spans="7:13" ht="15.75" customHeight="1" x14ac:dyDescent="0.3">
      <c r="G108" s="427"/>
      <c r="I108" s="427"/>
      <c r="M108" s="427"/>
    </row>
    <row r="109" spans="7:13" ht="15.75" customHeight="1" x14ac:dyDescent="0.3">
      <c r="G109" s="427"/>
      <c r="I109" s="427"/>
      <c r="M109" s="427"/>
    </row>
    <row r="110" spans="7:13" ht="15.75" customHeight="1" x14ac:dyDescent="0.3">
      <c r="G110" s="427"/>
      <c r="I110" s="427"/>
      <c r="M110" s="427"/>
    </row>
    <row r="111" spans="7:13" ht="15.75" customHeight="1" x14ac:dyDescent="0.3">
      <c r="G111" s="427"/>
      <c r="I111" s="427"/>
      <c r="M111" s="427"/>
    </row>
    <row r="112" spans="7:13" ht="15.75" customHeight="1" x14ac:dyDescent="0.3">
      <c r="G112" s="427"/>
      <c r="I112" s="427"/>
      <c r="M112" s="427"/>
    </row>
    <row r="113" spans="7:13" ht="15.75" customHeight="1" x14ac:dyDescent="0.3">
      <c r="G113" s="427"/>
      <c r="I113" s="427"/>
      <c r="M113" s="427"/>
    </row>
    <row r="114" spans="7:13" ht="15.75" customHeight="1" x14ac:dyDescent="0.3">
      <c r="G114" s="427"/>
      <c r="I114" s="427"/>
      <c r="M114" s="427"/>
    </row>
    <row r="115" spans="7:13" ht="15.75" customHeight="1" x14ac:dyDescent="0.3">
      <c r="G115" s="427"/>
      <c r="I115" s="427"/>
      <c r="M115" s="427"/>
    </row>
    <row r="116" spans="7:13" ht="15.75" customHeight="1" x14ac:dyDescent="0.3">
      <c r="G116" s="427"/>
      <c r="I116" s="427"/>
      <c r="M116" s="427"/>
    </row>
    <row r="117" spans="7:13" ht="15.75" customHeight="1" x14ac:dyDescent="0.3">
      <c r="G117" s="427"/>
      <c r="I117" s="427"/>
      <c r="M117" s="427"/>
    </row>
    <row r="118" spans="7:13" ht="15.75" customHeight="1" x14ac:dyDescent="0.3">
      <c r="G118" s="427"/>
      <c r="I118" s="427"/>
      <c r="M118" s="427"/>
    </row>
    <row r="119" spans="7:13" ht="15.75" customHeight="1" x14ac:dyDescent="0.3">
      <c r="G119" s="427"/>
      <c r="I119" s="427"/>
      <c r="M119" s="427"/>
    </row>
    <row r="120" spans="7:13" ht="15.75" customHeight="1" x14ac:dyDescent="0.3">
      <c r="G120" s="427"/>
      <c r="I120" s="427"/>
      <c r="M120" s="427"/>
    </row>
    <row r="121" spans="7:13" ht="15.75" customHeight="1" x14ac:dyDescent="0.3">
      <c r="G121" s="427"/>
      <c r="I121" s="427"/>
      <c r="M121" s="427"/>
    </row>
    <row r="122" spans="7:13" ht="15.75" customHeight="1" x14ac:dyDescent="0.3">
      <c r="G122" s="427"/>
      <c r="I122" s="427"/>
      <c r="M122" s="427"/>
    </row>
    <row r="123" spans="7:13" ht="15.75" customHeight="1" x14ac:dyDescent="0.3">
      <c r="G123" s="427"/>
      <c r="I123" s="427"/>
      <c r="M123" s="427"/>
    </row>
    <row r="124" spans="7:13" ht="15.75" customHeight="1" x14ac:dyDescent="0.3">
      <c r="G124" s="427"/>
      <c r="I124" s="427"/>
      <c r="M124" s="427"/>
    </row>
    <row r="125" spans="7:13" ht="15.75" customHeight="1" x14ac:dyDescent="0.3">
      <c r="G125" s="427"/>
      <c r="I125" s="427"/>
      <c r="M125" s="427"/>
    </row>
    <row r="126" spans="7:13" ht="15.75" customHeight="1" x14ac:dyDescent="0.3">
      <c r="G126" s="427"/>
      <c r="I126" s="427"/>
      <c r="M126" s="427"/>
    </row>
    <row r="127" spans="7:13" ht="15.75" customHeight="1" x14ac:dyDescent="0.3">
      <c r="G127" s="427"/>
      <c r="I127" s="427"/>
      <c r="M127" s="427"/>
    </row>
    <row r="128" spans="7:13" ht="15.75" customHeight="1" x14ac:dyDescent="0.3">
      <c r="G128" s="427"/>
      <c r="I128" s="427"/>
      <c r="M128" s="427"/>
    </row>
    <row r="129" spans="7:13" ht="15.75" customHeight="1" x14ac:dyDescent="0.3">
      <c r="G129" s="427"/>
      <c r="I129" s="427"/>
      <c r="M129" s="427"/>
    </row>
    <row r="130" spans="7:13" ht="15.75" customHeight="1" x14ac:dyDescent="0.3">
      <c r="G130" s="427"/>
      <c r="I130" s="427"/>
      <c r="M130" s="427"/>
    </row>
    <row r="131" spans="7:13" ht="15.75" customHeight="1" x14ac:dyDescent="0.3">
      <c r="G131" s="427"/>
      <c r="I131" s="427"/>
      <c r="M131" s="427"/>
    </row>
    <row r="132" spans="7:13" ht="15.75" customHeight="1" x14ac:dyDescent="0.3">
      <c r="G132" s="427"/>
      <c r="I132" s="427"/>
      <c r="M132" s="427"/>
    </row>
    <row r="133" spans="7:13" ht="15.75" customHeight="1" x14ac:dyDescent="0.3">
      <c r="G133" s="427"/>
      <c r="I133" s="427"/>
      <c r="M133" s="427"/>
    </row>
    <row r="134" spans="7:13" ht="15.75" customHeight="1" x14ac:dyDescent="0.3">
      <c r="G134" s="427"/>
      <c r="I134" s="427"/>
      <c r="M134" s="427"/>
    </row>
    <row r="135" spans="7:13" ht="15.75" customHeight="1" x14ac:dyDescent="0.3">
      <c r="G135" s="427"/>
      <c r="I135" s="427"/>
      <c r="M135" s="427"/>
    </row>
    <row r="136" spans="7:13" ht="15.75" customHeight="1" x14ac:dyDescent="0.3">
      <c r="G136" s="427"/>
      <c r="I136" s="427"/>
      <c r="M136" s="427"/>
    </row>
    <row r="137" spans="7:13" ht="15.75" customHeight="1" x14ac:dyDescent="0.3">
      <c r="G137" s="427"/>
      <c r="I137" s="427"/>
      <c r="M137" s="427"/>
    </row>
    <row r="138" spans="7:13" ht="15.75" customHeight="1" x14ac:dyDescent="0.3">
      <c r="G138" s="427"/>
      <c r="I138" s="427"/>
      <c r="M138" s="427"/>
    </row>
    <row r="139" spans="7:13" ht="15.75" customHeight="1" x14ac:dyDescent="0.3">
      <c r="G139" s="427"/>
      <c r="I139" s="427"/>
      <c r="M139" s="427"/>
    </row>
    <row r="140" spans="7:13" ht="15.75" customHeight="1" x14ac:dyDescent="0.3">
      <c r="G140" s="427"/>
      <c r="I140" s="427"/>
      <c r="M140" s="427"/>
    </row>
    <row r="141" spans="7:13" ht="15.75" customHeight="1" x14ac:dyDescent="0.3">
      <c r="G141" s="427"/>
      <c r="I141" s="427"/>
      <c r="M141" s="427"/>
    </row>
    <row r="142" spans="7:13" ht="15.75" customHeight="1" x14ac:dyDescent="0.3">
      <c r="G142" s="427"/>
      <c r="I142" s="427"/>
      <c r="M142" s="427"/>
    </row>
    <row r="143" spans="7:13" ht="15.75" customHeight="1" x14ac:dyDescent="0.3">
      <c r="G143" s="427"/>
      <c r="I143" s="427"/>
      <c r="M143" s="427"/>
    </row>
    <row r="144" spans="7:13" ht="15.75" customHeight="1" x14ac:dyDescent="0.3">
      <c r="G144" s="427"/>
      <c r="I144" s="427"/>
      <c r="M144" s="427"/>
    </row>
    <row r="145" spans="7:13" ht="15.75" customHeight="1" x14ac:dyDescent="0.3">
      <c r="G145" s="427"/>
      <c r="I145" s="427"/>
      <c r="M145" s="427"/>
    </row>
    <row r="146" spans="7:13" ht="15.75" customHeight="1" x14ac:dyDescent="0.3">
      <c r="G146" s="427"/>
      <c r="I146" s="427"/>
      <c r="M146" s="427"/>
    </row>
    <row r="147" spans="7:13" ht="15.75" customHeight="1" x14ac:dyDescent="0.3">
      <c r="G147" s="427"/>
      <c r="I147" s="427"/>
      <c r="M147" s="427"/>
    </row>
    <row r="148" spans="7:13" ht="15.75" customHeight="1" x14ac:dyDescent="0.3">
      <c r="G148" s="427"/>
      <c r="I148" s="427"/>
      <c r="M148" s="427"/>
    </row>
    <row r="149" spans="7:13" ht="15.75" customHeight="1" x14ac:dyDescent="0.3">
      <c r="G149" s="427"/>
      <c r="I149" s="427"/>
      <c r="M149" s="427"/>
    </row>
    <row r="150" spans="7:13" ht="15.75" customHeight="1" x14ac:dyDescent="0.3">
      <c r="G150" s="427"/>
      <c r="I150" s="427"/>
      <c r="M150" s="427"/>
    </row>
    <row r="151" spans="7:13" ht="15.75" customHeight="1" x14ac:dyDescent="0.3">
      <c r="G151" s="427"/>
      <c r="I151" s="427"/>
      <c r="M151" s="427"/>
    </row>
    <row r="152" spans="7:13" ht="15.75" customHeight="1" x14ac:dyDescent="0.3">
      <c r="G152" s="427"/>
      <c r="I152" s="427"/>
      <c r="M152" s="427"/>
    </row>
    <row r="153" spans="7:13" ht="15.75" customHeight="1" x14ac:dyDescent="0.3">
      <c r="G153" s="427"/>
      <c r="I153" s="427"/>
      <c r="M153" s="427"/>
    </row>
    <row r="154" spans="7:13" ht="15.75" customHeight="1" x14ac:dyDescent="0.3">
      <c r="G154" s="427"/>
      <c r="I154" s="427"/>
      <c r="M154" s="427"/>
    </row>
    <row r="155" spans="7:13" ht="15.75" customHeight="1" x14ac:dyDescent="0.3">
      <c r="G155" s="427"/>
      <c r="I155" s="427"/>
      <c r="M155" s="427"/>
    </row>
    <row r="156" spans="7:13" ht="15.75" customHeight="1" x14ac:dyDescent="0.3">
      <c r="G156" s="427"/>
      <c r="I156" s="427"/>
      <c r="M156" s="427"/>
    </row>
    <row r="157" spans="7:13" ht="15.75" customHeight="1" x14ac:dyDescent="0.3">
      <c r="G157" s="427"/>
      <c r="I157" s="427"/>
      <c r="M157" s="427"/>
    </row>
    <row r="158" spans="7:13" ht="15.75" customHeight="1" x14ac:dyDescent="0.3">
      <c r="G158" s="427"/>
      <c r="I158" s="427"/>
      <c r="M158" s="427"/>
    </row>
    <row r="159" spans="7:13" ht="15.75" customHeight="1" x14ac:dyDescent="0.3">
      <c r="G159" s="427"/>
      <c r="I159" s="427"/>
      <c r="M159" s="427"/>
    </row>
    <row r="160" spans="7:13" ht="15.75" customHeight="1" x14ac:dyDescent="0.3">
      <c r="G160" s="427"/>
      <c r="I160" s="427"/>
      <c r="M160" s="427"/>
    </row>
    <row r="161" spans="7:13" ht="15.75" customHeight="1" x14ac:dyDescent="0.3">
      <c r="G161" s="427"/>
      <c r="I161" s="427"/>
      <c r="M161" s="427"/>
    </row>
    <row r="162" spans="7:13" ht="15.75" customHeight="1" x14ac:dyDescent="0.3">
      <c r="G162" s="427"/>
      <c r="I162" s="427"/>
      <c r="M162" s="427"/>
    </row>
    <row r="163" spans="7:13" ht="15.75" customHeight="1" x14ac:dyDescent="0.3">
      <c r="G163" s="427"/>
      <c r="I163" s="427"/>
      <c r="M163" s="427"/>
    </row>
    <row r="164" spans="7:13" ht="15.75" customHeight="1" x14ac:dyDescent="0.3">
      <c r="G164" s="427"/>
      <c r="I164" s="427"/>
      <c r="M164" s="427"/>
    </row>
    <row r="165" spans="7:13" ht="15.75" customHeight="1" x14ac:dyDescent="0.3">
      <c r="G165" s="427"/>
      <c r="I165" s="427"/>
      <c r="M165" s="427"/>
    </row>
    <row r="166" spans="7:13" ht="15.75" customHeight="1" x14ac:dyDescent="0.3">
      <c r="G166" s="427"/>
      <c r="I166" s="427"/>
      <c r="M166" s="427"/>
    </row>
    <row r="167" spans="7:13" ht="15.75" customHeight="1" x14ac:dyDescent="0.3">
      <c r="G167" s="427"/>
      <c r="I167" s="427"/>
      <c r="M167" s="427"/>
    </row>
    <row r="168" spans="7:13" ht="15.75" customHeight="1" x14ac:dyDescent="0.3">
      <c r="G168" s="427"/>
      <c r="I168" s="427"/>
      <c r="M168" s="427"/>
    </row>
    <row r="169" spans="7:13" ht="15.75" customHeight="1" x14ac:dyDescent="0.3">
      <c r="G169" s="427"/>
      <c r="I169" s="427"/>
      <c r="M169" s="427"/>
    </row>
    <row r="170" spans="7:13" ht="15.75" customHeight="1" x14ac:dyDescent="0.3">
      <c r="G170" s="427"/>
      <c r="I170" s="427"/>
      <c r="M170" s="427"/>
    </row>
    <row r="171" spans="7:13" ht="15.75" customHeight="1" x14ac:dyDescent="0.3">
      <c r="G171" s="427"/>
      <c r="I171" s="427"/>
      <c r="M171" s="427"/>
    </row>
    <row r="172" spans="7:13" ht="15.75" customHeight="1" x14ac:dyDescent="0.3">
      <c r="G172" s="427"/>
      <c r="I172" s="427"/>
      <c r="M172" s="427"/>
    </row>
    <row r="173" spans="7:13" ht="15.75" customHeight="1" x14ac:dyDescent="0.3">
      <c r="G173" s="427"/>
      <c r="I173" s="427"/>
      <c r="M173" s="427"/>
    </row>
    <row r="174" spans="7:13" ht="15.75" customHeight="1" x14ac:dyDescent="0.3">
      <c r="G174" s="427"/>
      <c r="I174" s="427"/>
      <c r="M174" s="427"/>
    </row>
    <row r="175" spans="7:13" ht="15.75" customHeight="1" x14ac:dyDescent="0.3">
      <c r="G175" s="427"/>
      <c r="I175" s="427"/>
      <c r="M175" s="427"/>
    </row>
    <row r="176" spans="7:13" ht="15.75" customHeight="1" x14ac:dyDescent="0.3">
      <c r="G176" s="427"/>
      <c r="I176" s="427"/>
      <c r="M176" s="427"/>
    </row>
    <row r="177" spans="7:13" ht="15.75" customHeight="1" x14ac:dyDescent="0.3">
      <c r="G177" s="427"/>
      <c r="I177" s="427"/>
      <c r="M177" s="427"/>
    </row>
    <row r="178" spans="7:13" ht="15.75" customHeight="1" x14ac:dyDescent="0.3">
      <c r="G178" s="427"/>
      <c r="I178" s="427"/>
      <c r="M178" s="427"/>
    </row>
    <row r="179" spans="7:13" ht="15.75" customHeight="1" x14ac:dyDescent="0.3">
      <c r="G179" s="427"/>
      <c r="I179" s="427"/>
      <c r="M179" s="427"/>
    </row>
    <row r="180" spans="7:13" ht="15.75" customHeight="1" x14ac:dyDescent="0.3">
      <c r="G180" s="427"/>
      <c r="I180" s="427"/>
      <c r="M180" s="427"/>
    </row>
    <row r="181" spans="7:13" ht="15.75" customHeight="1" x14ac:dyDescent="0.3">
      <c r="G181" s="427"/>
      <c r="I181" s="427"/>
      <c r="M181" s="427"/>
    </row>
    <row r="182" spans="7:13" ht="15.75" customHeight="1" x14ac:dyDescent="0.3">
      <c r="G182" s="427"/>
      <c r="I182" s="427"/>
      <c r="M182" s="427"/>
    </row>
    <row r="183" spans="7:13" ht="15.75" customHeight="1" x14ac:dyDescent="0.3">
      <c r="G183" s="427"/>
      <c r="I183" s="427"/>
      <c r="M183" s="427"/>
    </row>
    <row r="184" spans="7:13" ht="15.75" customHeight="1" x14ac:dyDescent="0.3">
      <c r="G184" s="427"/>
      <c r="I184" s="427"/>
      <c r="M184" s="427"/>
    </row>
    <row r="185" spans="7:13" ht="15.75" customHeight="1" x14ac:dyDescent="0.3">
      <c r="G185" s="427"/>
      <c r="I185" s="427"/>
      <c r="M185" s="427"/>
    </row>
    <row r="186" spans="7:13" ht="15.75" customHeight="1" x14ac:dyDescent="0.3">
      <c r="G186" s="427"/>
      <c r="I186" s="427"/>
      <c r="M186" s="427"/>
    </row>
    <row r="187" spans="7:13" ht="15.75" customHeight="1" x14ac:dyDescent="0.3">
      <c r="G187" s="427"/>
      <c r="I187" s="427"/>
      <c r="M187" s="427"/>
    </row>
    <row r="188" spans="7:13" ht="15.75" customHeight="1" x14ac:dyDescent="0.3">
      <c r="G188" s="427"/>
      <c r="I188" s="427"/>
      <c r="M188" s="427"/>
    </row>
    <row r="189" spans="7:13" ht="15.75" customHeight="1" x14ac:dyDescent="0.3">
      <c r="G189" s="427"/>
      <c r="I189" s="427"/>
      <c r="M189" s="427"/>
    </row>
    <row r="190" spans="7:13" ht="15.75" customHeight="1" x14ac:dyDescent="0.3">
      <c r="G190" s="427"/>
      <c r="I190" s="427"/>
      <c r="M190" s="427"/>
    </row>
    <row r="191" spans="7:13" ht="15.75" customHeight="1" x14ac:dyDescent="0.3">
      <c r="G191" s="427"/>
      <c r="I191" s="427"/>
      <c r="M191" s="427"/>
    </row>
    <row r="192" spans="7:13" ht="15.75" customHeight="1" x14ac:dyDescent="0.3">
      <c r="G192" s="427"/>
      <c r="I192" s="427"/>
      <c r="M192" s="427"/>
    </row>
    <row r="193" spans="7:13" ht="15.75" customHeight="1" x14ac:dyDescent="0.3">
      <c r="G193" s="427"/>
      <c r="I193" s="427"/>
      <c r="M193" s="427"/>
    </row>
    <row r="194" spans="7:13" ht="15.75" customHeight="1" x14ac:dyDescent="0.3">
      <c r="G194" s="427"/>
      <c r="I194" s="427"/>
      <c r="M194" s="427"/>
    </row>
    <row r="195" spans="7:13" ht="15.75" customHeight="1" x14ac:dyDescent="0.3">
      <c r="G195" s="427"/>
      <c r="I195" s="427"/>
      <c r="M195" s="427"/>
    </row>
    <row r="196" spans="7:13" ht="15.75" customHeight="1" x14ac:dyDescent="0.3">
      <c r="G196" s="427"/>
      <c r="I196" s="427"/>
      <c r="M196" s="427"/>
    </row>
    <row r="197" spans="7:13" ht="15.75" customHeight="1" x14ac:dyDescent="0.3">
      <c r="G197" s="427"/>
      <c r="I197" s="427"/>
      <c r="M197" s="427"/>
    </row>
    <row r="198" spans="7:13" ht="15.75" customHeight="1" x14ac:dyDescent="0.3">
      <c r="G198" s="427"/>
      <c r="I198" s="427"/>
      <c r="M198" s="427"/>
    </row>
    <row r="199" spans="7:13" ht="15.75" customHeight="1" x14ac:dyDescent="0.3">
      <c r="G199" s="427"/>
      <c r="I199" s="427"/>
      <c r="M199" s="427"/>
    </row>
    <row r="200" spans="7:13" ht="15.75" customHeight="1" x14ac:dyDescent="0.3">
      <c r="G200" s="427"/>
      <c r="I200" s="427"/>
      <c r="M200" s="427"/>
    </row>
    <row r="201" spans="7:13" ht="15.75" customHeight="1" x14ac:dyDescent="0.3">
      <c r="G201" s="427"/>
      <c r="I201" s="427"/>
      <c r="M201" s="427"/>
    </row>
    <row r="202" spans="7:13" ht="15.75" customHeight="1" x14ac:dyDescent="0.3">
      <c r="G202" s="427"/>
      <c r="I202" s="427"/>
      <c r="M202" s="427"/>
    </row>
    <row r="203" spans="7:13" ht="15.75" customHeight="1" x14ac:dyDescent="0.3">
      <c r="G203" s="427"/>
      <c r="I203" s="427"/>
      <c r="M203" s="427"/>
    </row>
    <row r="204" spans="7:13" ht="15.75" customHeight="1" x14ac:dyDescent="0.3">
      <c r="G204" s="427"/>
      <c r="I204" s="427"/>
      <c r="M204" s="427"/>
    </row>
    <row r="205" spans="7:13" ht="15.75" customHeight="1" x14ac:dyDescent="0.3">
      <c r="G205" s="427"/>
      <c r="I205" s="427"/>
      <c r="M205" s="427"/>
    </row>
    <row r="206" spans="7:13" ht="15.75" customHeight="1" x14ac:dyDescent="0.3">
      <c r="G206" s="427"/>
      <c r="I206" s="427"/>
      <c r="M206" s="427"/>
    </row>
    <row r="207" spans="7:13" ht="15.75" customHeight="1" x14ac:dyDescent="0.3">
      <c r="G207" s="427"/>
      <c r="I207" s="427"/>
      <c r="M207" s="427"/>
    </row>
    <row r="208" spans="7:13" ht="15.75" customHeight="1" x14ac:dyDescent="0.3">
      <c r="G208" s="427"/>
      <c r="I208" s="427"/>
      <c r="M208" s="427"/>
    </row>
    <row r="209" spans="7:13" ht="15.75" customHeight="1" x14ac:dyDescent="0.3">
      <c r="G209" s="427"/>
      <c r="I209" s="427"/>
      <c r="M209" s="427"/>
    </row>
    <row r="210" spans="7:13" ht="15.75" customHeight="1" x14ac:dyDescent="0.3">
      <c r="G210" s="427"/>
      <c r="I210" s="427"/>
      <c r="M210" s="427"/>
    </row>
    <row r="211" spans="7:13" ht="15.75" customHeight="1" x14ac:dyDescent="0.3">
      <c r="G211" s="427"/>
      <c r="I211" s="427"/>
      <c r="M211" s="427"/>
    </row>
    <row r="212" spans="7:13" ht="15.75" customHeight="1" x14ac:dyDescent="0.3">
      <c r="G212" s="427"/>
      <c r="I212" s="427"/>
      <c r="M212" s="427"/>
    </row>
    <row r="213" spans="7:13" ht="15.75" customHeight="1" x14ac:dyDescent="0.3">
      <c r="G213" s="427"/>
      <c r="I213" s="427"/>
      <c r="M213" s="427"/>
    </row>
    <row r="214" spans="7:13" ht="15.75" customHeight="1" x14ac:dyDescent="0.3">
      <c r="G214" s="427"/>
      <c r="I214" s="427"/>
      <c r="M214" s="427"/>
    </row>
    <row r="215" spans="7:13" ht="15.75" customHeight="1" x14ac:dyDescent="0.3">
      <c r="G215" s="427"/>
      <c r="I215" s="427"/>
      <c r="M215" s="427"/>
    </row>
    <row r="216" spans="7:13" ht="15.75" customHeight="1" x14ac:dyDescent="0.3">
      <c r="G216" s="427"/>
      <c r="I216" s="427"/>
      <c r="M216" s="427"/>
    </row>
    <row r="217" spans="7:13" ht="15.75" customHeight="1" x14ac:dyDescent="0.3">
      <c r="G217" s="427"/>
      <c r="I217" s="427"/>
      <c r="M217" s="427"/>
    </row>
    <row r="218" spans="7:13" ht="15.75" customHeight="1" x14ac:dyDescent="0.3">
      <c r="G218" s="427"/>
      <c r="I218" s="427"/>
      <c r="M218" s="427"/>
    </row>
    <row r="219" spans="7:13" ht="15.75" customHeight="1" x14ac:dyDescent="0.3">
      <c r="G219" s="427"/>
      <c r="I219" s="427"/>
      <c r="M219" s="427"/>
    </row>
    <row r="220" spans="7:13" ht="15.75" customHeight="1" x14ac:dyDescent="0.3">
      <c r="G220" s="427"/>
      <c r="I220" s="427"/>
      <c r="M220" s="427"/>
    </row>
    <row r="221" spans="7:13" ht="15.75" customHeight="1" x14ac:dyDescent="0.3">
      <c r="G221" s="427"/>
      <c r="I221" s="427"/>
      <c r="M221" s="427"/>
    </row>
    <row r="222" spans="7:13" ht="15.75" customHeight="1" x14ac:dyDescent="0.3">
      <c r="G222" s="427"/>
      <c r="I222" s="427"/>
      <c r="M222" s="427"/>
    </row>
    <row r="223" spans="7:13" ht="15.75" customHeight="1" x14ac:dyDescent="0.3">
      <c r="G223" s="427"/>
      <c r="I223" s="427"/>
      <c r="M223" s="427"/>
    </row>
    <row r="224" spans="7:13" ht="15.75" customHeight="1" x14ac:dyDescent="0.3">
      <c r="G224" s="427"/>
      <c r="I224" s="427"/>
      <c r="M224" s="427"/>
    </row>
    <row r="225" spans="7:13" ht="15.75" customHeight="1" x14ac:dyDescent="0.3">
      <c r="G225" s="427"/>
      <c r="I225" s="427"/>
      <c r="M225" s="427"/>
    </row>
    <row r="226" spans="7:13" ht="15.75" customHeight="1" x14ac:dyDescent="0.3">
      <c r="G226" s="427"/>
      <c r="I226" s="427"/>
      <c r="M226" s="427"/>
    </row>
    <row r="227" spans="7:13" ht="15.75" customHeight="1" x14ac:dyDescent="0.3">
      <c r="G227" s="427"/>
      <c r="I227" s="427"/>
      <c r="M227" s="427"/>
    </row>
    <row r="228" spans="7:13" ht="15.75" customHeight="1" x14ac:dyDescent="0.3">
      <c r="G228" s="427"/>
      <c r="I228" s="427"/>
      <c r="M228" s="427"/>
    </row>
    <row r="229" spans="7:13" ht="15.75" customHeight="1" x14ac:dyDescent="0.3">
      <c r="G229" s="427"/>
      <c r="I229" s="427"/>
      <c r="M229" s="427"/>
    </row>
    <row r="230" spans="7:13" ht="15.75" customHeight="1" x14ac:dyDescent="0.3">
      <c r="G230" s="427"/>
      <c r="I230" s="427"/>
      <c r="M230" s="427"/>
    </row>
    <row r="231" spans="7:13" ht="15.75" customHeight="1" x14ac:dyDescent="0.3">
      <c r="G231" s="427"/>
      <c r="I231" s="427"/>
      <c r="M231" s="427"/>
    </row>
    <row r="232" spans="7:13" ht="15.75" customHeight="1" x14ac:dyDescent="0.3">
      <c r="G232" s="427"/>
      <c r="I232" s="427"/>
      <c r="M232" s="427"/>
    </row>
    <row r="233" spans="7:13" ht="15.75" customHeight="1" x14ac:dyDescent="0.3">
      <c r="G233" s="427"/>
      <c r="I233" s="427"/>
      <c r="M233" s="427"/>
    </row>
    <row r="234" spans="7:13" ht="15.75" customHeight="1" x14ac:dyDescent="0.3">
      <c r="G234" s="427"/>
      <c r="I234" s="427"/>
      <c r="M234" s="427"/>
    </row>
    <row r="235" spans="7:13" ht="15.75" customHeight="1" x14ac:dyDescent="0.3">
      <c r="G235" s="427"/>
      <c r="I235" s="427"/>
      <c r="M235" s="427"/>
    </row>
    <row r="236" spans="7:13" ht="15.75" customHeight="1" x14ac:dyDescent="0.3">
      <c r="G236" s="427"/>
      <c r="I236" s="427"/>
      <c r="M236" s="427"/>
    </row>
    <row r="237" spans="7:13" ht="15.75" customHeight="1" x14ac:dyDescent="0.3">
      <c r="G237" s="427"/>
      <c r="I237" s="427"/>
      <c r="M237" s="427"/>
    </row>
    <row r="238" spans="7:13" ht="15.75" customHeight="1" x14ac:dyDescent="0.3">
      <c r="G238" s="427"/>
      <c r="I238" s="427"/>
      <c r="M238" s="427"/>
    </row>
    <row r="239" spans="7:13" ht="15.75" customHeight="1" x14ac:dyDescent="0.3">
      <c r="G239" s="427"/>
      <c r="I239" s="427"/>
      <c r="M239" s="427"/>
    </row>
    <row r="240" spans="7:13" ht="15.75" customHeight="1" x14ac:dyDescent="0.3">
      <c r="G240" s="427"/>
      <c r="I240" s="427"/>
      <c r="M240" s="427"/>
    </row>
    <row r="241" spans="7:13" ht="15.75" customHeight="1" x14ac:dyDescent="0.3">
      <c r="G241" s="427"/>
      <c r="I241" s="427"/>
      <c r="M241" s="427"/>
    </row>
    <row r="242" spans="7:13" ht="15.75" customHeight="1" x14ac:dyDescent="0.3">
      <c r="G242" s="427"/>
      <c r="I242" s="427"/>
      <c r="M242" s="427"/>
    </row>
    <row r="243" spans="7:13" ht="15.75" customHeight="1" x14ac:dyDescent="0.3">
      <c r="G243" s="427"/>
      <c r="I243" s="427"/>
      <c r="M243" s="427"/>
    </row>
    <row r="244" spans="7:13" ht="15.75" customHeight="1" x14ac:dyDescent="0.3">
      <c r="G244" s="427"/>
      <c r="I244" s="427"/>
      <c r="M244" s="427"/>
    </row>
    <row r="245" spans="7:13" ht="15.75" customHeight="1" x14ac:dyDescent="0.3">
      <c r="G245" s="427"/>
      <c r="I245" s="427"/>
      <c r="M245" s="427"/>
    </row>
    <row r="246" spans="7:13" ht="15.75" customHeight="1" x14ac:dyDescent="0.3">
      <c r="G246" s="427"/>
      <c r="I246" s="427"/>
      <c r="M246" s="427"/>
    </row>
    <row r="247" spans="7:13" ht="15.75" customHeight="1" x14ac:dyDescent="0.3">
      <c r="G247" s="427"/>
      <c r="I247" s="427"/>
      <c r="M247" s="427"/>
    </row>
    <row r="248" spans="7:13" ht="15.75" customHeight="1" x14ac:dyDescent="0.3">
      <c r="G248" s="427"/>
      <c r="I248" s="427"/>
      <c r="M248" s="427"/>
    </row>
    <row r="249" spans="7:13" ht="15.75" customHeight="1" x14ac:dyDescent="0.3">
      <c r="G249" s="427"/>
      <c r="I249" s="427"/>
      <c r="M249" s="427"/>
    </row>
    <row r="250" spans="7:13" ht="15.75" customHeight="1" x14ac:dyDescent="0.3">
      <c r="G250" s="427"/>
      <c r="I250" s="427"/>
      <c r="M250" s="427"/>
    </row>
    <row r="251" spans="7:13" ht="15.75" customHeight="1" x14ac:dyDescent="0.3"/>
    <row r="252" spans="7:13" ht="15.75" customHeight="1" x14ac:dyDescent="0.3"/>
    <row r="253" spans="7:13" ht="15.75" customHeight="1" x14ac:dyDescent="0.3"/>
    <row r="254" spans="7:13" ht="15.75" customHeight="1" x14ac:dyDescent="0.3"/>
    <row r="255" spans="7:13" ht="15.75" customHeight="1" x14ac:dyDescent="0.3"/>
    <row r="256" spans="7:13"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2">
    <mergeCell ref="C7:F7"/>
    <mergeCell ref="K7:L7"/>
  </mergeCells>
  <dataValidations count="1">
    <dataValidation type="list" allowBlank="1" showErrorMessage="1" sqref="B17 B32 B27 B22 B37" xr:uid="{51351344-4237-46E5-BA6A-58336744B352}">
      <formula1>$B$50:$B$55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AD79-4A9A-4A80-A1A2-4B25DF666DCF}">
  <dimension ref="A1:G991"/>
  <sheetViews>
    <sheetView topLeftCell="A24" workbookViewId="0">
      <selection activeCell="C34" sqref="C34"/>
    </sheetView>
  </sheetViews>
  <sheetFormatPr defaultColWidth="12.44140625" defaultRowHeight="15" customHeight="1" x14ac:dyDescent="0.3"/>
  <cols>
    <col min="1" max="1" width="2.6640625" style="428" customWidth="1"/>
    <col min="2" max="2" width="35.109375" style="428" customWidth="1"/>
    <col min="3" max="3" width="24.77734375" style="428" customWidth="1"/>
    <col min="4" max="4" width="1.5546875" style="428" customWidth="1"/>
    <col min="5" max="5" width="14.6640625" style="428" customWidth="1"/>
    <col min="6" max="6" width="7.33203125" style="428" customWidth="1"/>
    <col min="7" max="7" width="11.6640625" style="428" customWidth="1"/>
    <col min="8" max="16384" width="12.44140625" style="428"/>
  </cols>
  <sheetData>
    <row r="1" spans="1:7" ht="21.75" customHeight="1" x14ac:dyDescent="0.35">
      <c r="A1" s="424"/>
      <c r="B1" s="425" t="s">
        <v>549</v>
      </c>
      <c r="C1" s="426"/>
      <c r="D1" s="427"/>
      <c r="F1" s="427"/>
    </row>
    <row r="2" spans="1:7" ht="15.75" customHeight="1" x14ac:dyDescent="0.3">
      <c r="A2" s="424"/>
      <c r="B2" s="429" t="s">
        <v>299</v>
      </c>
      <c r="C2" s="430"/>
      <c r="D2" s="430"/>
      <c r="E2" s="430"/>
      <c r="F2" s="430"/>
    </row>
    <row r="3" spans="1:7" ht="9.75" customHeight="1" x14ac:dyDescent="0.3">
      <c r="A3" s="427"/>
      <c r="B3" s="431"/>
      <c r="D3" s="427"/>
      <c r="F3" s="427"/>
    </row>
    <row r="4" spans="1:7" ht="6" customHeight="1" x14ac:dyDescent="0.3">
      <c r="B4" s="427"/>
      <c r="D4" s="427"/>
      <c r="F4" s="427"/>
    </row>
    <row r="5" spans="1:7" ht="6" customHeight="1" x14ac:dyDescent="0.3">
      <c r="A5" s="431"/>
      <c r="D5" s="427"/>
      <c r="F5" s="427"/>
    </row>
    <row r="6" spans="1:7" ht="15.75" customHeight="1" x14ac:dyDescent="0.3">
      <c r="C6" s="428">
        <v>1000000</v>
      </c>
      <c r="D6" s="427"/>
      <c r="E6" s="427"/>
      <c r="F6" s="427"/>
    </row>
    <row r="7" spans="1:7" ht="37.200000000000003" customHeight="1" x14ac:dyDescent="0.3">
      <c r="A7" s="432"/>
      <c r="B7" s="433">
        <v>2024</v>
      </c>
      <c r="C7" s="434" t="s">
        <v>22</v>
      </c>
      <c r="D7" s="432"/>
      <c r="E7" s="435" t="s">
        <v>300</v>
      </c>
      <c r="F7" s="432"/>
      <c r="G7" s="432"/>
    </row>
    <row r="8" spans="1:7" ht="18" customHeight="1" x14ac:dyDescent="0.35">
      <c r="B8" s="436" t="s">
        <v>301</v>
      </c>
      <c r="C8" s="437">
        <v>1</v>
      </c>
      <c r="D8" s="427"/>
      <c r="E8" s="438"/>
      <c r="F8" s="427"/>
    </row>
    <row r="9" spans="1:7" ht="56.4" customHeight="1" x14ac:dyDescent="0.3">
      <c r="B9" s="439" t="s">
        <v>302</v>
      </c>
      <c r="C9" s="440" t="s">
        <v>303</v>
      </c>
      <c r="D9" s="441"/>
      <c r="E9" s="442"/>
      <c r="F9" s="443"/>
    </row>
    <row r="10" spans="1:7" ht="63.6" customHeight="1" x14ac:dyDescent="0.3">
      <c r="B10" s="444" t="s">
        <v>304</v>
      </c>
      <c r="C10" s="445" t="s">
        <v>305</v>
      </c>
      <c r="D10" s="441"/>
      <c r="E10" s="446"/>
      <c r="F10" s="443"/>
    </row>
    <row r="11" spans="1:7" ht="18.75" customHeight="1" x14ac:dyDescent="0.3">
      <c r="A11" s="447"/>
      <c r="B11" s="448" t="s">
        <v>306</v>
      </c>
      <c r="C11" s="449">
        <f>C17*C18</f>
        <v>332.32826888520003</v>
      </c>
      <c r="D11" s="450"/>
      <c r="E11" s="451">
        <f>SUM(C11:C11)</f>
        <v>332.32826888520003</v>
      </c>
      <c r="F11" s="452"/>
      <c r="G11" s="447"/>
    </row>
    <row r="12" spans="1:7" ht="18.75" customHeight="1" x14ac:dyDescent="0.3">
      <c r="A12" s="447"/>
      <c r="B12" s="453" t="s">
        <v>307</v>
      </c>
      <c r="C12" s="454">
        <f>(C22*C23)+(C27*C28)</f>
        <v>58.566105641100009</v>
      </c>
      <c r="D12" s="455"/>
      <c r="E12" s="456">
        <f>SUM(C12:C12)</f>
        <v>58.566105641100009</v>
      </c>
      <c r="F12" s="457"/>
      <c r="G12" s="447"/>
    </row>
    <row r="13" spans="1:7" ht="18.75" customHeight="1" x14ac:dyDescent="0.3">
      <c r="A13" s="447"/>
      <c r="B13" s="448" t="s">
        <v>308</v>
      </c>
      <c r="C13" s="458" t="s">
        <v>8</v>
      </c>
      <c r="D13" s="459"/>
      <c r="E13" s="460"/>
      <c r="F13" s="461"/>
      <c r="G13" s="447"/>
    </row>
    <row r="14" spans="1:7" ht="18.75" customHeight="1" x14ac:dyDescent="0.3">
      <c r="A14" s="447"/>
      <c r="B14" s="462" t="s">
        <v>309</v>
      </c>
      <c r="C14" s="463">
        <f t="shared" ref="C14" si="0">C11-C12</f>
        <v>273.76216324410001</v>
      </c>
      <c r="D14" s="455"/>
      <c r="E14" s="464">
        <f>SUM(C14:C14)</f>
        <v>273.76216324410001</v>
      </c>
      <c r="F14" s="457"/>
      <c r="G14" s="447"/>
    </row>
    <row r="15" spans="1:7" ht="19.5" customHeight="1" x14ac:dyDescent="0.4">
      <c r="B15" s="465" t="s">
        <v>310</v>
      </c>
      <c r="C15" s="466"/>
      <c r="D15" s="467"/>
      <c r="E15" s="468"/>
      <c r="F15" s="467"/>
      <c r="G15" s="427"/>
    </row>
    <row r="16" spans="1:7" ht="35.4" customHeight="1" x14ac:dyDescent="0.3">
      <c r="A16" s="447"/>
      <c r="B16" s="469" t="s">
        <v>311</v>
      </c>
      <c r="C16" s="470" t="s">
        <v>312</v>
      </c>
      <c r="D16" s="457"/>
      <c r="E16" s="471"/>
      <c r="F16" s="457"/>
      <c r="G16" s="447"/>
    </row>
    <row r="17" spans="1:7" ht="21" customHeight="1" x14ac:dyDescent="0.3">
      <c r="A17" s="447"/>
      <c r="B17" s="472" t="s">
        <v>313</v>
      </c>
      <c r="C17" s="473">
        <f>'CF-0101|GDS'!M10</f>
        <v>121556.4</v>
      </c>
      <c r="D17" s="474"/>
      <c r="F17" s="475"/>
      <c r="G17" s="447"/>
    </row>
    <row r="18" spans="1:7" ht="18.75" customHeight="1" x14ac:dyDescent="0.3">
      <c r="A18" s="447"/>
      <c r="B18" s="476" t="s">
        <v>314</v>
      </c>
      <c r="C18" s="477">
        <v>2.7339430000000004E-3</v>
      </c>
      <c r="D18" s="478"/>
      <c r="F18" s="479"/>
      <c r="G18" s="447"/>
    </row>
    <row r="19" spans="1:7" ht="19.5" customHeight="1" x14ac:dyDescent="0.3">
      <c r="A19" s="447"/>
      <c r="B19" s="480" t="s">
        <v>315</v>
      </c>
      <c r="C19" s="481">
        <f>C17*C18</f>
        <v>332.32826888520003</v>
      </c>
      <c r="D19" s="478"/>
      <c r="F19" s="479"/>
      <c r="G19" s="447"/>
    </row>
    <row r="20" spans="1:7" ht="21" customHeight="1" x14ac:dyDescent="0.4">
      <c r="B20" s="465" t="s">
        <v>316</v>
      </c>
      <c r="C20" s="482"/>
      <c r="D20" s="483"/>
      <c r="E20" s="484"/>
      <c r="F20" s="483"/>
    </row>
    <row r="21" spans="1:7" ht="32.4" customHeight="1" x14ac:dyDescent="0.3">
      <c r="A21" s="447"/>
      <c r="B21" s="469" t="s">
        <v>183</v>
      </c>
      <c r="C21" s="470" t="s">
        <v>317</v>
      </c>
      <c r="D21" s="479"/>
      <c r="E21" s="485"/>
      <c r="F21" s="479"/>
      <c r="G21" s="447"/>
    </row>
    <row r="22" spans="1:7" ht="21" customHeight="1" x14ac:dyDescent="0.3">
      <c r="A22" s="447"/>
      <c r="B22" s="486" t="s">
        <v>313</v>
      </c>
      <c r="C22" s="487">
        <f>'CF-0101|GDS'!I10</f>
        <v>19967.7</v>
      </c>
      <c r="D22" s="479"/>
      <c r="E22" s="488"/>
      <c r="F22" s="479"/>
      <c r="G22" s="447"/>
    </row>
    <row r="23" spans="1:7" ht="21" customHeight="1" x14ac:dyDescent="0.3">
      <c r="A23" s="447"/>
      <c r="B23" s="489" t="s">
        <v>314</v>
      </c>
      <c r="C23" s="490">
        <v>2.7339430000000004E-3</v>
      </c>
      <c r="D23" s="479"/>
      <c r="E23" s="491"/>
      <c r="F23" s="479"/>
      <c r="G23" s="447"/>
    </row>
    <row r="24" spans="1:7" ht="21" customHeight="1" x14ac:dyDescent="0.3">
      <c r="A24" s="447"/>
      <c r="B24" s="492" t="s">
        <v>315</v>
      </c>
      <c r="C24" s="493">
        <f t="shared" ref="C24" si="1">C22*C23</f>
        <v>54.590553641100009</v>
      </c>
      <c r="D24" s="479"/>
      <c r="E24" s="494"/>
      <c r="F24" s="479"/>
      <c r="G24" s="447"/>
    </row>
    <row r="25" spans="1:7" ht="21" customHeight="1" x14ac:dyDescent="0.4">
      <c r="B25" s="465" t="s">
        <v>316</v>
      </c>
      <c r="C25" s="482"/>
      <c r="D25" s="483"/>
      <c r="E25" s="495"/>
      <c r="F25" s="483"/>
    </row>
    <row r="26" spans="1:7" ht="30.6" customHeight="1" x14ac:dyDescent="0.3">
      <c r="A26" s="447"/>
      <c r="B26" s="469" t="s">
        <v>183</v>
      </c>
      <c r="C26" s="470" t="s">
        <v>318</v>
      </c>
      <c r="D26" s="479"/>
      <c r="E26" s="496"/>
      <c r="F26" s="479"/>
      <c r="G26" s="447"/>
    </row>
    <row r="27" spans="1:7" ht="21" customHeight="1" x14ac:dyDescent="0.3">
      <c r="A27" s="447"/>
      <c r="B27" s="486" t="s">
        <v>319</v>
      </c>
      <c r="C27" s="487">
        <f>'CF-0101|GDS'!I11</f>
        <v>2338560</v>
      </c>
      <c r="D27" s="479"/>
      <c r="E27" s="488"/>
      <c r="F27" s="479"/>
      <c r="G27" s="447"/>
    </row>
    <row r="28" spans="1:7" ht="21" customHeight="1" x14ac:dyDescent="0.3">
      <c r="A28" s="447"/>
      <c r="B28" s="489" t="s">
        <v>314</v>
      </c>
      <c r="C28" s="497">
        <v>1.7E-6</v>
      </c>
      <c r="D28" s="479"/>
      <c r="E28" s="491"/>
      <c r="F28" s="479"/>
      <c r="G28" s="447"/>
    </row>
    <row r="29" spans="1:7" ht="21" customHeight="1" x14ac:dyDescent="0.3">
      <c r="A29" s="447"/>
      <c r="B29" s="492" t="s">
        <v>315</v>
      </c>
      <c r="C29" s="493">
        <f t="shared" ref="C29" si="2">C27*C28</f>
        <v>3.975552</v>
      </c>
      <c r="D29" s="479"/>
      <c r="E29" s="494"/>
      <c r="F29" s="479"/>
      <c r="G29" s="447"/>
    </row>
    <row r="30" spans="1:7" ht="28.5" customHeight="1" x14ac:dyDescent="0.3">
      <c r="A30" s="447"/>
      <c r="B30" s="498" t="s">
        <v>320</v>
      </c>
      <c r="C30" s="499" t="s">
        <v>321</v>
      </c>
      <c r="D30" s="500"/>
      <c r="E30" s="501"/>
      <c r="F30" s="500"/>
      <c r="G30" s="447"/>
    </row>
    <row r="31" spans="1:7" ht="24" customHeight="1" x14ac:dyDescent="0.3">
      <c r="B31" s="502" t="s">
        <v>322</v>
      </c>
      <c r="C31" s="503">
        <v>3</v>
      </c>
      <c r="D31" s="504"/>
      <c r="E31" s="505"/>
      <c r="F31" s="504"/>
    </row>
    <row r="32" spans="1:7" ht="33" customHeight="1" x14ac:dyDescent="0.3">
      <c r="A32" s="447"/>
      <c r="B32" s="506" t="s">
        <v>323</v>
      </c>
      <c r="C32" s="507" t="s">
        <v>324</v>
      </c>
      <c r="D32" s="479"/>
      <c r="E32" s="496"/>
      <c r="F32" s="479"/>
      <c r="G32" s="447"/>
    </row>
    <row r="33" spans="1:7" ht="33" customHeight="1" x14ac:dyDescent="0.3">
      <c r="A33" s="447"/>
      <c r="B33" s="508" t="s">
        <v>325</v>
      </c>
      <c r="C33" s="509" t="s">
        <v>326</v>
      </c>
      <c r="D33" s="479"/>
      <c r="E33" s="496"/>
      <c r="F33" s="479"/>
      <c r="G33" s="447"/>
    </row>
    <row r="34" spans="1:7" ht="33" customHeight="1" x14ac:dyDescent="0.3">
      <c r="A34" s="447"/>
      <c r="B34" s="506" t="s">
        <v>327</v>
      </c>
      <c r="C34" s="507" t="s">
        <v>328</v>
      </c>
      <c r="D34" s="479"/>
      <c r="E34" s="496"/>
      <c r="F34" s="479"/>
      <c r="G34" s="447"/>
    </row>
    <row r="35" spans="1:7" ht="21" customHeight="1" x14ac:dyDescent="0.3">
      <c r="B35" s="510" t="s">
        <v>329</v>
      </c>
      <c r="C35" s="509">
        <v>1</v>
      </c>
      <c r="D35" s="467"/>
      <c r="E35" s="467"/>
      <c r="F35" s="467"/>
    </row>
    <row r="36" spans="1:7" ht="21" customHeight="1" x14ac:dyDescent="0.3">
      <c r="B36" s="453" t="s">
        <v>330</v>
      </c>
      <c r="C36" s="507" t="s">
        <v>324</v>
      </c>
      <c r="D36" s="483"/>
      <c r="E36" s="495"/>
      <c r="F36" s="483"/>
    </row>
    <row r="37" spans="1:7" ht="21" customHeight="1" x14ac:dyDescent="0.3">
      <c r="B37" s="510" t="s">
        <v>331</v>
      </c>
      <c r="C37" s="509" t="s">
        <v>324</v>
      </c>
      <c r="D37" s="483"/>
      <c r="E37" s="495"/>
      <c r="F37" s="483"/>
    </row>
    <row r="38" spans="1:7" ht="21" customHeight="1" x14ac:dyDescent="0.3">
      <c r="B38" s="462" t="s">
        <v>332</v>
      </c>
      <c r="C38" s="511" t="s">
        <v>333</v>
      </c>
      <c r="D38" s="483"/>
      <c r="E38" s="495"/>
      <c r="F38" s="483"/>
    </row>
    <row r="39" spans="1:7" ht="15.75" customHeight="1" x14ac:dyDescent="0.3">
      <c r="B39" s="427"/>
      <c r="C39" s="427"/>
      <c r="D39" s="483"/>
      <c r="E39" s="483"/>
      <c r="F39" s="483"/>
    </row>
    <row r="40" spans="1:7" ht="15.75" customHeight="1" x14ac:dyDescent="0.3">
      <c r="B40" s="512" t="s">
        <v>334</v>
      </c>
      <c r="C40" s="427"/>
      <c r="D40" s="483"/>
      <c r="E40" s="483"/>
      <c r="F40" s="483"/>
    </row>
    <row r="41" spans="1:7" ht="15.75" customHeight="1" x14ac:dyDescent="0.3">
      <c r="B41" s="512" t="s">
        <v>335</v>
      </c>
      <c r="C41" s="427"/>
      <c r="D41" s="483"/>
      <c r="E41" s="483"/>
      <c r="F41" s="483"/>
    </row>
    <row r="42" spans="1:7" ht="15.75" customHeight="1" x14ac:dyDescent="0.3">
      <c r="B42" s="512" t="s">
        <v>336</v>
      </c>
      <c r="C42" s="427"/>
      <c r="D42" s="483"/>
      <c r="E42" s="483"/>
      <c r="F42" s="483"/>
    </row>
    <row r="43" spans="1:7" ht="15.75" customHeight="1" x14ac:dyDescent="0.3">
      <c r="B43" s="512" t="s">
        <v>337</v>
      </c>
      <c r="C43" s="427"/>
      <c r="D43" s="483"/>
      <c r="E43" s="483"/>
      <c r="F43" s="483"/>
    </row>
    <row r="44" spans="1:7" ht="15.75" customHeight="1" x14ac:dyDescent="0.3">
      <c r="B44" s="512" t="s">
        <v>338</v>
      </c>
      <c r="D44" s="427"/>
      <c r="F44" s="427"/>
    </row>
    <row r="45" spans="1:7" ht="15.75" customHeight="1" x14ac:dyDescent="0.3">
      <c r="B45" s="512" t="s">
        <v>339</v>
      </c>
      <c r="D45" s="427"/>
      <c r="F45" s="427"/>
    </row>
    <row r="46" spans="1:7" ht="15.75" customHeight="1" x14ac:dyDescent="0.3">
      <c r="D46" s="427"/>
      <c r="F46" s="427"/>
    </row>
    <row r="47" spans="1:7" ht="15.75" customHeight="1" x14ac:dyDescent="0.3">
      <c r="D47" s="427"/>
      <c r="F47" s="427"/>
    </row>
    <row r="48" spans="1:7" ht="15.75" customHeight="1" x14ac:dyDescent="0.3">
      <c r="D48" s="427"/>
      <c r="F48" s="427"/>
    </row>
    <row r="49" spans="4:6" ht="15.75" customHeight="1" x14ac:dyDescent="0.3">
      <c r="D49" s="427"/>
      <c r="F49" s="427"/>
    </row>
    <row r="50" spans="4:6" ht="15.75" customHeight="1" x14ac:dyDescent="0.3">
      <c r="D50" s="427"/>
      <c r="F50" s="427"/>
    </row>
    <row r="51" spans="4:6" ht="15.75" customHeight="1" x14ac:dyDescent="0.3">
      <c r="D51" s="427"/>
      <c r="F51" s="427"/>
    </row>
    <row r="52" spans="4:6" ht="15.75" customHeight="1" x14ac:dyDescent="0.3">
      <c r="D52" s="427"/>
      <c r="F52" s="427"/>
    </row>
    <row r="53" spans="4:6" ht="15.75" customHeight="1" x14ac:dyDescent="0.3">
      <c r="D53" s="427"/>
      <c r="F53" s="427"/>
    </row>
    <row r="54" spans="4:6" ht="15.75" customHeight="1" x14ac:dyDescent="0.3">
      <c r="D54" s="427"/>
      <c r="F54" s="427"/>
    </row>
    <row r="55" spans="4:6" ht="15.75" customHeight="1" x14ac:dyDescent="0.3">
      <c r="D55" s="427"/>
      <c r="F55" s="427"/>
    </row>
    <row r="56" spans="4:6" ht="15.75" customHeight="1" x14ac:dyDescent="0.3">
      <c r="D56" s="427"/>
      <c r="F56" s="427"/>
    </row>
    <row r="57" spans="4:6" ht="15.75" customHeight="1" x14ac:dyDescent="0.3">
      <c r="D57" s="427"/>
      <c r="F57" s="427"/>
    </row>
    <row r="58" spans="4:6" ht="15.75" customHeight="1" x14ac:dyDescent="0.3">
      <c r="D58" s="427"/>
      <c r="F58" s="427"/>
    </row>
    <row r="59" spans="4:6" ht="15.75" customHeight="1" x14ac:dyDescent="0.3">
      <c r="D59" s="427"/>
      <c r="F59" s="427"/>
    </row>
    <row r="60" spans="4:6" ht="15.75" customHeight="1" x14ac:dyDescent="0.3">
      <c r="D60" s="427"/>
      <c r="F60" s="427"/>
    </row>
    <row r="61" spans="4:6" ht="15.75" customHeight="1" x14ac:dyDescent="0.3">
      <c r="D61" s="427"/>
      <c r="F61" s="427"/>
    </row>
    <row r="62" spans="4:6" ht="15.75" customHeight="1" x14ac:dyDescent="0.3">
      <c r="D62" s="427"/>
      <c r="F62" s="427"/>
    </row>
    <row r="63" spans="4:6" ht="15.75" customHeight="1" x14ac:dyDescent="0.3">
      <c r="D63" s="427"/>
      <c r="F63" s="427"/>
    </row>
    <row r="64" spans="4:6" ht="15.75" customHeight="1" x14ac:dyDescent="0.3">
      <c r="D64" s="427"/>
      <c r="F64" s="427"/>
    </row>
    <row r="65" spans="4:6" ht="15.75" customHeight="1" x14ac:dyDescent="0.3">
      <c r="D65" s="427"/>
      <c r="F65" s="427"/>
    </row>
    <row r="66" spans="4:6" ht="15.75" customHeight="1" x14ac:dyDescent="0.3">
      <c r="D66" s="427"/>
      <c r="F66" s="427"/>
    </row>
    <row r="67" spans="4:6" ht="15.75" customHeight="1" x14ac:dyDescent="0.3">
      <c r="D67" s="427"/>
      <c r="F67" s="427"/>
    </row>
    <row r="68" spans="4:6" ht="15.75" customHeight="1" x14ac:dyDescent="0.3">
      <c r="D68" s="427"/>
      <c r="F68" s="427"/>
    </row>
    <row r="69" spans="4:6" ht="15.75" customHeight="1" x14ac:dyDescent="0.3">
      <c r="D69" s="427"/>
      <c r="F69" s="427"/>
    </row>
    <row r="70" spans="4:6" ht="15.75" customHeight="1" x14ac:dyDescent="0.3">
      <c r="D70" s="427"/>
      <c r="F70" s="427"/>
    </row>
    <row r="71" spans="4:6" ht="15.75" customHeight="1" x14ac:dyDescent="0.3">
      <c r="D71" s="427"/>
      <c r="F71" s="427"/>
    </row>
    <row r="72" spans="4:6" ht="15.75" customHeight="1" x14ac:dyDescent="0.3">
      <c r="D72" s="427"/>
      <c r="F72" s="427"/>
    </row>
    <row r="73" spans="4:6" ht="15.75" customHeight="1" x14ac:dyDescent="0.3">
      <c r="D73" s="427"/>
      <c r="F73" s="427"/>
    </row>
    <row r="74" spans="4:6" ht="15.75" customHeight="1" x14ac:dyDescent="0.3">
      <c r="D74" s="427"/>
      <c r="F74" s="427"/>
    </row>
    <row r="75" spans="4:6" ht="15.75" customHeight="1" x14ac:dyDescent="0.3">
      <c r="D75" s="427"/>
      <c r="F75" s="427"/>
    </row>
    <row r="76" spans="4:6" ht="15.75" customHeight="1" x14ac:dyDescent="0.3">
      <c r="D76" s="427"/>
      <c r="F76" s="427"/>
    </row>
    <row r="77" spans="4:6" ht="15.75" customHeight="1" x14ac:dyDescent="0.3">
      <c r="D77" s="427"/>
      <c r="F77" s="427"/>
    </row>
    <row r="78" spans="4:6" ht="15.75" customHeight="1" x14ac:dyDescent="0.3">
      <c r="D78" s="427"/>
      <c r="F78" s="427"/>
    </row>
    <row r="79" spans="4:6" ht="15.75" customHeight="1" x14ac:dyDescent="0.3">
      <c r="D79" s="427"/>
      <c r="F79" s="427"/>
    </row>
    <row r="80" spans="4:6" ht="15.75" customHeight="1" x14ac:dyDescent="0.3">
      <c r="D80" s="427"/>
      <c r="F80" s="427"/>
    </row>
    <row r="81" spans="4:6" ht="15.75" customHeight="1" x14ac:dyDescent="0.3">
      <c r="D81" s="427"/>
      <c r="F81" s="427"/>
    </row>
    <row r="82" spans="4:6" ht="15.75" customHeight="1" x14ac:dyDescent="0.3">
      <c r="D82" s="427"/>
      <c r="F82" s="427"/>
    </row>
    <row r="83" spans="4:6" ht="15.75" customHeight="1" x14ac:dyDescent="0.3">
      <c r="D83" s="427"/>
      <c r="F83" s="427"/>
    </row>
    <row r="84" spans="4:6" ht="15.75" customHeight="1" x14ac:dyDescent="0.3">
      <c r="D84" s="427"/>
      <c r="F84" s="427"/>
    </row>
    <row r="85" spans="4:6" ht="15.75" customHeight="1" x14ac:dyDescent="0.3">
      <c r="D85" s="427"/>
      <c r="F85" s="427"/>
    </row>
    <row r="86" spans="4:6" ht="15.75" customHeight="1" x14ac:dyDescent="0.3">
      <c r="D86" s="427"/>
      <c r="F86" s="427"/>
    </row>
    <row r="87" spans="4:6" ht="15.75" customHeight="1" x14ac:dyDescent="0.3">
      <c r="D87" s="427"/>
      <c r="F87" s="427"/>
    </row>
    <row r="88" spans="4:6" ht="15.75" customHeight="1" x14ac:dyDescent="0.3">
      <c r="D88" s="427"/>
      <c r="F88" s="427"/>
    </row>
    <row r="89" spans="4:6" ht="15.75" customHeight="1" x14ac:dyDescent="0.3">
      <c r="D89" s="427"/>
      <c r="F89" s="427"/>
    </row>
    <row r="90" spans="4:6" ht="15.75" customHeight="1" x14ac:dyDescent="0.3">
      <c r="D90" s="427"/>
      <c r="F90" s="427"/>
    </row>
    <row r="91" spans="4:6" ht="15.75" customHeight="1" x14ac:dyDescent="0.3">
      <c r="D91" s="427"/>
      <c r="F91" s="427"/>
    </row>
    <row r="92" spans="4:6" ht="15.75" customHeight="1" x14ac:dyDescent="0.3">
      <c r="D92" s="427"/>
      <c r="F92" s="427"/>
    </row>
    <row r="93" spans="4:6" ht="15.75" customHeight="1" x14ac:dyDescent="0.3">
      <c r="D93" s="427"/>
      <c r="F93" s="427"/>
    </row>
    <row r="94" spans="4:6" ht="15.75" customHeight="1" x14ac:dyDescent="0.3">
      <c r="D94" s="427"/>
      <c r="F94" s="427"/>
    </row>
    <row r="95" spans="4:6" ht="15.75" customHeight="1" x14ac:dyDescent="0.3">
      <c r="D95" s="427"/>
      <c r="F95" s="427"/>
    </row>
    <row r="96" spans="4:6" ht="15.75" customHeight="1" x14ac:dyDescent="0.3">
      <c r="D96" s="427"/>
      <c r="F96" s="427"/>
    </row>
    <row r="97" spans="4:6" ht="15.75" customHeight="1" x14ac:dyDescent="0.3">
      <c r="D97" s="427"/>
      <c r="F97" s="427"/>
    </row>
    <row r="98" spans="4:6" ht="15.75" customHeight="1" x14ac:dyDescent="0.3">
      <c r="D98" s="427"/>
      <c r="F98" s="427"/>
    </row>
    <row r="99" spans="4:6" ht="15.75" customHeight="1" x14ac:dyDescent="0.3">
      <c r="D99" s="427"/>
      <c r="F99" s="427"/>
    </row>
    <row r="100" spans="4:6" ht="15.75" customHeight="1" x14ac:dyDescent="0.3">
      <c r="D100" s="427"/>
      <c r="F100" s="427"/>
    </row>
    <row r="101" spans="4:6" ht="15.75" customHeight="1" x14ac:dyDescent="0.3">
      <c r="D101" s="427"/>
      <c r="F101" s="427"/>
    </row>
    <row r="102" spans="4:6" ht="15.75" customHeight="1" x14ac:dyDescent="0.3">
      <c r="D102" s="427"/>
      <c r="F102" s="427"/>
    </row>
    <row r="103" spans="4:6" ht="15.75" customHeight="1" x14ac:dyDescent="0.3">
      <c r="D103" s="427"/>
      <c r="F103" s="427"/>
    </row>
    <row r="104" spans="4:6" ht="15.75" customHeight="1" x14ac:dyDescent="0.3">
      <c r="D104" s="427"/>
      <c r="F104" s="427"/>
    </row>
    <row r="105" spans="4:6" ht="15.75" customHeight="1" x14ac:dyDescent="0.3">
      <c r="D105" s="427"/>
      <c r="F105" s="427"/>
    </row>
    <row r="106" spans="4:6" ht="15.75" customHeight="1" x14ac:dyDescent="0.3">
      <c r="D106" s="427"/>
      <c r="F106" s="427"/>
    </row>
    <row r="107" spans="4:6" ht="15.75" customHeight="1" x14ac:dyDescent="0.3">
      <c r="D107" s="427"/>
      <c r="F107" s="427"/>
    </row>
    <row r="108" spans="4:6" ht="15.75" customHeight="1" x14ac:dyDescent="0.3">
      <c r="D108" s="427"/>
      <c r="F108" s="427"/>
    </row>
    <row r="109" spans="4:6" ht="15.75" customHeight="1" x14ac:dyDescent="0.3">
      <c r="D109" s="427"/>
      <c r="F109" s="427"/>
    </row>
    <row r="110" spans="4:6" ht="15.75" customHeight="1" x14ac:dyDescent="0.3">
      <c r="D110" s="427"/>
      <c r="F110" s="427"/>
    </row>
    <row r="111" spans="4:6" ht="15.75" customHeight="1" x14ac:dyDescent="0.3">
      <c r="D111" s="427"/>
      <c r="F111" s="427"/>
    </row>
    <row r="112" spans="4:6" ht="15.75" customHeight="1" x14ac:dyDescent="0.3">
      <c r="D112" s="427"/>
      <c r="F112" s="427"/>
    </row>
    <row r="113" spans="4:6" ht="15.75" customHeight="1" x14ac:dyDescent="0.3">
      <c r="D113" s="427"/>
      <c r="F113" s="427"/>
    </row>
    <row r="114" spans="4:6" ht="15.75" customHeight="1" x14ac:dyDescent="0.3">
      <c r="D114" s="427"/>
      <c r="F114" s="427"/>
    </row>
    <row r="115" spans="4:6" ht="15.75" customHeight="1" x14ac:dyDescent="0.3">
      <c r="D115" s="427"/>
      <c r="F115" s="427"/>
    </row>
    <row r="116" spans="4:6" ht="15.75" customHeight="1" x14ac:dyDescent="0.3">
      <c r="D116" s="427"/>
      <c r="F116" s="427"/>
    </row>
    <row r="117" spans="4:6" ht="15.75" customHeight="1" x14ac:dyDescent="0.3">
      <c r="D117" s="427"/>
      <c r="F117" s="427"/>
    </row>
    <row r="118" spans="4:6" ht="15.75" customHeight="1" x14ac:dyDescent="0.3">
      <c r="D118" s="427"/>
      <c r="F118" s="427"/>
    </row>
    <row r="119" spans="4:6" ht="15.75" customHeight="1" x14ac:dyDescent="0.3">
      <c r="D119" s="427"/>
      <c r="F119" s="427"/>
    </row>
    <row r="120" spans="4:6" ht="15.75" customHeight="1" x14ac:dyDescent="0.3">
      <c r="D120" s="427"/>
      <c r="F120" s="427"/>
    </row>
    <row r="121" spans="4:6" ht="15.75" customHeight="1" x14ac:dyDescent="0.3">
      <c r="D121" s="427"/>
      <c r="F121" s="427"/>
    </row>
    <row r="122" spans="4:6" ht="15.75" customHeight="1" x14ac:dyDescent="0.3">
      <c r="D122" s="427"/>
      <c r="F122" s="427"/>
    </row>
    <row r="123" spans="4:6" ht="15.75" customHeight="1" x14ac:dyDescent="0.3">
      <c r="D123" s="427"/>
      <c r="F123" s="427"/>
    </row>
    <row r="124" spans="4:6" ht="15.75" customHeight="1" x14ac:dyDescent="0.3">
      <c r="D124" s="427"/>
      <c r="F124" s="427"/>
    </row>
    <row r="125" spans="4:6" ht="15.75" customHeight="1" x14ac:dyDescent="0.3">
      <c r="D125" s="427"/>
      <c r="F125" s="427"/>
    </row>
    <row r="126" spans="4:6" ht="15.75" customHeight="1" x14ac:dyDescent="0.3">
      <c r="D126" s="427"/>
      <c r="F126" s="427"/>
    </row>
    <row r="127" spans="4:6" ht="15.75" customHeight="1" x14ac:dyDescent="0.3">
      <c r="D127" s="427"/>
      <c r="F127" s="427"/>
    </row>
    <row r="128" spans="4:6" ht="15.75" customHeight="1" x14ac:dyDescent="0.3">
      <c r="D128" s="427"/>
      <c r="F128" s="427"/>
    </row>
    <row r="129" spans="4:6" ht="15.75" customHeight="1" x14ac:dyDescent="0.3">
      <c r="D129" s="427"/>
      <c r="F129" s="427"/>
    </row>
    <row r="130" spans="4:6" ht="15.75" customHeight="1" x14ac:dyDescent="0.3">
      <c r="D130" s="427"/>
      <c r="F130" s="427"/>
    </row>
    <row r="131" spans="4:6" ht="15.75" customHeight="1" x14ac:dyDescent="0.3">
      <c r="D131" s="427"/>
      <c r="F131" s="427"/>
    </row>
    <row r="132" spans="4:6" ht="15.75" customHeight="1" x14ac:dyDescent="0.3">
      <c r="D132" s="427"/>
      <c r="F132" s="427"/>
    </row>
    <row r="133" spans="4:6" ht="15.75" customHeight="1" x14ac:dyDescent="0.3">
      <c r="D133" s="427"/>
      <c r="F133" s="427"/>
    </row>
    <row r="134" spans="4:6" ht="15.75" customHeight="1" x14ac:dyDescent="0.3">
      <c r="D134" s="427"/>
      <c r="F134" s="427"/>
    </row>
    <row r="135" spans="4:6" ht="15.75" customHeight="1" x14ac:dyDescent="0.3">
      <c r="D135" s="427"/>
      <c r="F135" s="427"/>
    </row>
    <row r="136" spans="4:6" ht="15.75" customHeight="1" x14ac:dyDescent="0.3">
      <c r="D136" s="427"/>
      <c r="F136" s="427"/>
    </row>
    <row r="137" spans="4:6" ht="15.75" customHeight="1" x14ac:dyDescent="0.3">
      <c r="D137" s="427"/>
      <c r="F137" s="427"/>
    </row>
    <row r="138" spans="4:6" ht="15.75" customHeight="1" x14ac:dyDescent="0.3">
      <c r="D138" s="427"/>
      <c r="F138" s="427"/>
    </row>
    <row r="139" spans="4:6" ht="15.75" customHeight="1" x14ac:dyDescent="0.3">
      <c r="D139" s="427"/>
      <c r="F139" s="427"/>
    </row>
    <row r="140" spans="4:6" ht="15.75" customHeight="1" x14ac:dyDescent="0.3">
      <c r="D140" s="427"/>
      <c r="F140" s="427"/>
    </row>
    <row r="141" spans="4:6" ht="15.75" customHeight="1" x14ac:dyDescent="0.3">
      <c r="D141" s="427"/>
      <c r="F141" s="427"/>
    </row>
    <row r="142" spans="4:6" ht="15.75" customHeight="1" x14ac:dyDescent="0.3">
      <c r="D142" s="427"/>
      <c r="F142" s="427"/>
    </row>
    <row r="143" spans="4:6" ht="15.75" customHeight="1" x14ac:dyDescent="0.3">
      <c r="D143" s="427"/>
      <c r="F143" s="427"/>
    </row>
    <row r="144" spans="4:6" ht="15.75" customHeight="1" x14ac:dyDescent="0.3">
      <c r="D144" s="427"/>
      <c r="F144" s="427"/>
    </row>
    <row r="145" spans="4:6" ht="15.75" customHeight="1" x14ac:dyDescent="0.3">
      <c r="D145" s="427"/>
      <c r="F145" s="427"/>
    </row>
    <row r="146" spans="4:6" ht="15.75" customHeight="1" x14ac:dyDescent="0.3">
      <c r="D146" s="427"/>
      <c r="F146" s="427"/>
    </row>
    <row r="147" spans="4:6" ht="15.75" customHeight="1" x14ac:dyDescent="0.3">
      <c r="D147" s="427"/>
      <c r="F147" s="427"/>
    </row>
    <row r="148" spans="4:6" ht="15.75" customHeight="1" x14ac:dyDescent="0.3">
      <c r="D148" s="427"/>
      <c r="F148" s="427"/>
    </row>
    <row r="149" spans="4:6" ht="15.75" customHeight="1" x14ac:dyDescent="0.3">
      <c r="D149" s="427"/>
      <c r="F149" s="427"/>
    </row>
    <row r="150" spans="4:6" ht="15.75" customHeight="1" x14ac:dyDescent="0.3">
      <c r="D150" s="427"/>
      <c r="F150" s="427"/>
    </row>
    <row r="151" spans="4:6" ht="15.75" customHeight="1" x14ac:dyDescent="0.3">
      <c r="D151" s="427"/>
      <c r="F151" s="427"/>
    </row>
    <row r="152" spans="4:6" ht="15.75" customHeight="1" x14ac:dyDescent="0.3">
      <c r="D152" s="427"/>
      <c r="F152" s="427"/>
    </row>
    <row r="153" spans="4:6" ht="15.75" customHeight="1" x14ac:dyDescent="0.3">
      <c r="D153" s="427"/>
      <c r="F153" s="427"/>
    </row>
    <row r="154" spans="4:6" ht="15.75" customHeight="1" x14ac:dyDescent="0.3">
      <c r="D154" s="427"/>
      <c r="F154" s="427"/>
    </row>
    <row r="155" spans="4:6" ht="15.75" customHeight="1" x14ac:dyDescent="0.3">
      <c r="D155" s="427"/>
      <c r="F155" s="427"/>
    </row>
    <row r="156" spans="4:6" ht="15.75" customHeight="1" x14ac:dyDescent="0.3">
      <c r="D156" s="427"/>
      <c r="F156" s="427"/>
    </row>
    <row r="157" spans="4:6" ht="15.75" customHeight="1" x14ac:dyDescent="0.3">
      <c r="D157" s="427"/>
      <c r="F157" s="427"/>
    </row>
    <row r="158" spans="4:6" ht="15.75" customHeight="1" x14ac:dyDescent="0.3">
      <c r="D158" s="427"/>
      <c r="F158" s="427"/>
    </row>
    <row r="159" spans="4:6" ht="15.75" customHeight="1" x14ac:dyDescent="0.3">
      <c r="D159" s="427"/>
      <c r="F159" s="427"/>
    </row>
    <row r="160" spans="4:6" ht="15.75" customHeight="1" x14ac:dyDescent="0.3">
      <c r="D160" s="427"/>
      <c r="F160" s="427"/>
    </row>
    <row r="161" spans="4:6" ht="15.75" customHeight="1" x14ac:dyDescent="0.3">
      <c r="D161" s="427"/>
      <c r="F161" s="427"/>
    </row>
    <row r="162" spans="4:6" ht="15.75" customHeight="1" x14ac:dyDescent="0.3">
      <c r="D162" s="427"/>
      <c r="F162" s="427"/>
    </row>
    <row r="163" spans="4:6" ht="15.75" customHeight="1" x14ac:dyDescent="0.3">
      <c r="D163" s="427"/>
      <c r="F163" s="427"/>
    </row>
    <row r="164" spans="4:6" ht="15.75" customHeight="1" x14ac:dyDescent="0.3">
      <c r="D164" s="427"/>
      <c r="F164" s="427"/>
    </row>
    <row r="165" spans="4:6" ht="15.75" customHeight="1" x14ac:dyDescent="0.3">
      <c r="D165" s="427"/>
      <c r="F165" s="427"/>
    </row>
    <row r="166" spans="4:6" ht="15.75" customHeight="1" x14ac:dyDescent="0.3">
      <c r="D166" s="427"/>
      <c r="F166" s="427"/>
    </row>
    <row r="167" spans="4:6" ht="15.75" customHeight="1" x14ac:dyDescent="0.3">
      <c r="D167" s="427"/>
      <c r="F167" s="427"/>
    </row>
    <row r="168" spans="4:6" ht="15.75" customHeight="1" x14ac:dyDescent="0.3">
      <c r="D168" s="427"/>
      <c r="F168" s="427"/>
    </row>
    <row r="169" spans="4:6" ht="15.75" customHeight="1" x14ac:dyDescent="0.3">
      <c r="D169" s="427"/>
      <c r="F169" s="427"/>
    </row>
    <row r="170" spans="4:6" ht="15.75" customHeight="1" x14ac:dyDescent="0.3">
      <c r="D170" s="427"/>
      <c r="F170" s="427"/>
    </row>
    <row r="171" spans="4:6" ht="15.75" customHeight="1" x14ac:dyDescent="0.3">
      <c r="D171" s="427"/>
      <c r="F171" s="427"/>
    </row>
    <row r="172" spans="4:6" ht="15.75" customHeight="1" x14ac:dyDescent="0.3">
      <c r="D172" s="427"/>
      <c r="F172" s="427"/>
    </row>
    <row r="173" spans="4:6" ht="15.75" customHeight="1" x14ac:dyDescent="0.3">
      <c r="D173" s="427"/>
      <c r="F173" s="427"/>
    </row>
    <row r="174" spans="4:6" ht="15.75" customHeight="1" x14ac:dyDescent="0.3">
      <c r="D174" s="427"/>
      <c r="F174" s="427"/>
    </row>
    <row r="175" spans="4:6" ht="15.75" customHeight="1" x14ac:dyDescent="0.3">
      <c r="D175" s="427"/>
      <c r="F175" s="427"/>
    </row>
    <row r="176" spans="4:6" ht="15.75" customHeight="1" x14ac:dyDescent="0.3">
      <c r="D176" s="427"/>
      <c r="F176" s="427"/>
    </row>
    <row r="177" spans="4:6" ht="15.75" customHeight="1" x14ac:dyDescent="0.3">
      <c r="D177" s="427"/>
      <c r="F177" s="427"/>
    </row>
    <row r="178" spans="4:6" ht="15.75" customHeight="1" x14ac:dyDescent="0.3">
      <c r="D178" s="427"/>
      <c r="F178" s="427"/>
    </row>
    <row r="179" spans="4:6" ht="15.75" customHeight="1" x14ac:dyDescent="0.3">
      <c r="D179" s="427"/>
      <c r="F179" s="427"/>
    </row>
    <row r="180" spans="4:6" ht="15.75" customHeight="1" x14ac:dyDescent="0.3">
      <c r="D180" s="427"/>
      <c r="F180" s="427"/>
    </row>
    <row r="181" spans="4:6" ht="15.75" customHeight="1" x14ac:dyDescent="0.3">
      <c r="D181" s="427"/>
      <c r="F181" s="427"/>
    </row>
    <row r="182" spans="4:6" ht="15.75" customHeight="1" x14ac:dyDescent="0.3">
      <c r="D182" s="427"/>
      <c r="F182" s="427"/>
    </row>
    <row r="183" spans="4:6" ht="15.75" customHeight="1" x14ac:dyDescent="0.3">
      <c r="D183" s="427"/>
      <c r="F183" s="427"/>
    </row>
    <row r="184" spans="4:6" ht="15.75" customHeight="1" x14ac:dyDescent="0.3">
      <c r="D184" s="427"/>
      <c r="F184" s="427"/>
    </row>
    <row r="185" spans="4:6" ht="15.75" customHeight="1" x14ac:dyDescent="0.3">
      <c r="D185" s="427"/>
      <c r="F185" s="427"/>
    </row>
    <row r="186" spans="4:6" ht="15.75" customHeight="1" x14ac:dyDescent="0.3">
      <c r="D186" s="427"/>
      <c r="F186" s="427"/>
    </row>
    <row r="187" spans="4:6" ht="15.75" customHeight="1" x14ac:dyDescent="0.3">
      <c r="D187" s="427"/>
      <c r="F187" s="427"/>
    </row>
    <row r="188" spans="4:6" ht="15.75" customHeight="1" x14ac:dyDescent="0.3">
      <c r="D188" s="427"/>
      <c r="F188" s="427"/>
    </row>
    <row r="189" spans="4:6" ht="15.75" customHeight="1" x14ac:dyDescent="0.3">
      <c r="D189" s="427"/>
      <c r="F189" s="427"/>
    </row>
    <row r="190" spans="4:6" ht="15.75" customHeight="1" x14ac:dyDescent="0.3">
      <c r="D190" s="427"/>
      <c r="F190" s="427"/>
    </row>
    <row r="191" spans="4:6" ht="15.75" customHeight="1" x14ac:dyDescent="0.3">
      <c r="D191" s="427"/>
      <c r="F191" s="427"/>
    </row>
    <row r="192" spans="4:6" ht="15.75" customHeight="1" x14ac:dyDescent="0.3">
      <c r="D192" s="427"/>
      <c r="F192" s="427"/>
    </row>
    <row r="193" spans="4:6" ht="15.75" customHeight="1" x14ac:dyDescent="0.3">
      <c r="D193" s="427"/>
      <c r="F193" s="427"/>
    </row>
    <row r="194" spans="4:6" ht="15.75" customHeight="1" x14ac:dyDescent="0.3">
      <c r="D194" s="427"/>
      <c r="F194" s="427"/>
    </row>
    <row r="195" spans="4:6" ht="15.75" customHeight="1" x14ac:dyDescent="0.3">
      <c r="D195" s="427"/>
      <c r="F195" s="427"/>
    </row>
    <row r="196" spans="4:6" ht="15.75" customHeight="1" x14ac:dyDescent="0.3">
      <c r="D196" s="427"/>
      <c r="F196" s="427"/>
    </row>
    <row r="197" spans="4:6" ht="15.75" customHeight="1" x14ac:dyDescent="0.3">
      <c r="D197" s="427"/>
      <c r="F197" s="427"/>
    </row>
    <row r="198" spans="4:6" ht="15.75" customHeight="1" x14ac:dyDescent="0.3">
      <c r="D198" s="427"/>
      <c r="F198" s="427"/>
    </row>
    <row r="199" spans="4:6" ht="15.75" customHeight="1" x14ac:dyDescent="0.3">
      <c r="D199" s="427"/>
      <c r="F199" s="427"/>
    </row>
    <row r="200" spans="4:6" ht="15.75" customHeight="1" x14ac:dyDescent="0.3">
      <c r="D200" s="427"/>
      <c r="F200" s="427"/>
    </row>
    <row r="201" spans="4:6" ht="15.75" customHeight="1" x14ac:dyDescent="0.3">
      <c r="D201" s="427"/>
      <c r="F201" s="427"/>
    </row>
    <row r="202" spans="4:6" ht="15.75" customHeight="1" x14ac:dyDescent="0.3">
      <c r="D202" s="427"/>
      <c r="F202" s="427"/>
    </row>
    <row r="203" spans="4:6" ht="15.75" customHeight="1" x14ac:dyDescent="0.3">
      <c r="D203" s="427"/>
      <c r="F203" s="427"/>
    </row>
    <row r="204" spans="4:6" ht="15.75" customHeight="1" x14ac:dyDescent="0.3">
      <c r="D204" s="427"/>
      <c r="F204" s="427"/>
    </row>
    <row r="205" spans="4:6" ht="15.75" customHeight="1" x14ac:dyDescent="0.3">
      <c r="D205" s="427"/>
      <c r="F205" s="427"/>
    </row>
    <row r="206" spans="4:6" ht="15.75" customHeight="1" x14ac:dyDescent="0.3">
      <c r="D206" s="427"/>
      <c r="F206" s="427"/>
    </row>
    <row r="207" spans="4:6" ht="15.75" customHeight="1" x14ac:dyDescent="0.3">
      <c r="D207" s="427"/>
      <c r="F207" s="427"/>
    </row>
    <row r="208" spans="4:6" ht="15.75" customHeight="1" x14ac:dyDescent="0.3">
      <c r="D208" s="427"/>
      <c r="F208" s="427"/>
    </row>
    <row r="209" spans="4:6" ht="15.75" customHeight="1" x14ac:dyDescent="0.3">
      <c r="D209" s="427"/>
      <c r="F209" s="427"/>
    </row>
    <row r="210" spans="4:6" ht="15.75" customHeight="1" x14ac:dyDescent="0.3">
      <c r="D210" s="427"/>
      <c r="F210" s="427"/>
    </row>
    <row r="211" spans="4:6" ht="15.75" customHeight="1" x14ac:dyDescent="0.3">
      <c r="D211" s="427"/>
      <c r="F211" s="427"/>
    </row>
    <row r="212" spans="4:6" ht="15.75" customHeight="1" x14ac:dyDescent="0.3">
      <c r="D212" s="427"/>
      <c r="F212" s="427"/>
    </row>
    <row r="213" spans="4:6" ht="15.75" customHeight="1" x14ac:dyDescent="0.3">
      <c r="D213" s="427"/>
      <c r="F213" s="427"/>
    </row>
    <row r="214" spans="4:6" ht="15.75" customHeight="1" x14ac:dyDescent="0.3">
      <c r="D214" s="427"/>
      <c r="F214" s="427"/>
    </row>
    <row r="215" spans="4:6" ht="15.75" customHeight="1" x14ac:dyDescent="0.3">
      <c r="D215" s="427"/>
      <c r="F215" s="427"/>
    </row>
    <row r="216" spans="4:6" ht="15.75" customHeight="1" x14ac:dyDescent="0.3">
      <c r="D216" s="427"/>
      <c r="F216" s="427"/>
    </row>
    <row r="217" spans="4:6" ht="15.75" customHeight="1" x14ac:dyDescent="0.3">
      <c r="D217" s="427"/>
      <c r="F217" s="427"/>
    </row>
    <row r="218" spans="4:6" ht="15.75" customHeight="1" x14ac:dyDescent="0.3">
      <c r="D218" s="427"/>
      <c r="F218" s="427"/>
    </row>
    <row r="219" spans="4:6" ht="15.75" customHeight="1" x14ac:dyDescent="0.3">
      <c r="D219" s="427"/>
      <c r="F219" s="427"/>
    </row>
    <row r="220" spans="4:6" ht="15.75" customHeight="1" x14ac:dyDescent="0.3">
      <c r="D220" s="427"/>
      <c r="F220" s="427"/>
    </row>
    <row r="221" spans="4:6" ht="15.75" customHeight="1" x14ac:dyDescent="0.3">
      <c r="D221" s="427"/>
      <c r="F221" s="427"/>
    </row>
    <row r="222" spans="4:6" ht="15.75" customHeight="1" x14ac:dyDescent="0.3">
      <c r="D222" s="427"/>
      <c r="F222" s="427"/>
    </row>
    <row r="223" spans="4:6" ht="15.75" customHeight="1" x14ac:dyDescent="0.3">
      <c r="D223" s="427"/>
      <c r="F223" s="427"/>
    </row>
    <row r="224" spans="4:6" ht="15.75" customHeight="1" x14ac:dyDescent="0.3">
      <c r="D224" s="427"/>
      <c r="F224" s="427"/>
    </row>
    <row r="225" spans="4:6" ht="15.75" customHeight="1" x14ac:dyDescent="0.3">
      <c r="D225" s="427"/>
      <c r="F225" s="427"/>
    </row>
    <row r="226" spans="4:6" ht="15.75" customHeight="1" x14ac:dyDescent="0.3">
      <c r="D226" s="427"/>
      <c r="F226" s="427"/>
    </row>
    <row r="227" spans="4:6" ht="15.75" customHeight="1" x14ac:dyDescent="0.3">
      <c r="D227" s="427"/>
      <c r="F227" s="427"/>
    </row>
    <row r="228" spans="4:6" ht="15.75" customHeight="1" x14ac:dyDescent="0.3">
      <c r="D228" s="427"/>
      <c r="F228" s="427"/>
    </row>
    <row r="229" spans="4:6" ht="15.75" customHeight="1" x14ac:dyDescent="0.3">
      <c r="D229" s="427"/>
      <c r="F229" s="427"/>
    </row>
    <row r="230" spans="4:6" ht="15.75" customHeight="1" x14ac:dyDescent="0.3">
      <c r="D230" s="427"/>
      <c r="F230" s="427"/>
    </row>
    <row r="231" spans="4:6" ht="15.75" customHeight="1" x14ac:dyDescent="0.3">
      <c r="D231" s="427"/>
      <c r="F231" s="427"/>
    </row>
    <row r="232" spans="4:6" ht="15.75" customHeight="1" x14ac:dyDescent="0.3">
      <c r="D232" s="427"/>
      <c r="F232" s="427"/>
    </row>
    <row r="233" spans="4:6" ht="15.75" customHeight="1" x14ac:dyDescent="0.3">
      <c r="D233" s="427"/>
      <c r="F233" s="427"/>
    </row>
    <row r="234" spans="4:6" ht="15.75" customHeight="1" x14ac:dyDescent="0.3">
      <c r="D234" s="427"/>
      <c r="F234" s="427"/>
    </row>
    <row r="235" spans="4:6" ht="15.75" customHeight="1" x14ac:dyDescent="0.3">
      <c r="D235" s="427"/>
      <c r="F235" s="427"/>
    </row>
    <row r="236" spans="4:6" ht="15.75" customHeight="1" x14ac:dyDescent="0.3">
      <c r="D236" s="427"/>
      <c r="F236" s="427"/>
    </row>
    <row r="237" spans="4:6" ht="15.75" customHeight="1" x14ac:dyDescent="0.3">
      <c r="D237" s="427"/>
      <c r="F237" s="427"/>
    </row>
    <row r="238" spans="4:6" ht="15.75" customHeight="1" x14ac:dyDescent="0.3">
      <c r="D238" s="427"/>
      <c r="F238" s="427"/>
    </row>
    <row r="239" spans="4:6" ht="15.75" customHeight="1" x14ac:dyDescent="0.3">
      <c r="D239" s="427"/>
      <c r="F239" s="427"/>
    </row>
    <row r="240" spans="4:6" ht="15.75" customHeight="1" x14ac:dyDescent="0.3">
      <c r="D240" s="427"/>
      <c r="F240" s="427"/>
    </row>
    <row r="241" spans="4:6" ht="15.75" customHeight="1" x14ac:dyDescent="0.3">
      <c r="D241" s="427"/>
      <c r="F241" s="427"/>
    </row>
    <row r="242" spans="4:6" ht="15.75" customHeight="1" x14ac:dyDescent="0.3">
      <c r="D242" s="427"/>
      <c r="F242" s="427"/>
    </row>
    <row r="243" spans="4:6" ht="15.75" customHeight="1" x14ac:dyDescent="0.3">
      <c r="D243" s="427"/>
      <c r="F243" s="427"/>
    </row>
    <row r="244" spans="4:6" ht="15.75" customHeight="1" x14ac:dyDescent="0.3">
      <c r="D244" s="427"/>
      <c r="F244" s="427"/>
    </row>
    <row r="245" spans="4:6" ht="15.75" customHeight="1" x14ac:dyDescent="0.3">
      <c r="D245" s="427"/>
      <c r="F245" s="427"/>
    </row>
    <row r="246" spans="4:6" ht="15.75" customHeight="1" x14ac:dyDescent="0.3"/>
    <row r="247" spans="4:6" ht="15.75" customHeight="1" x14ac:dyDescent="0.3"/>
    <row r="248" spans="4:6" ht="15.75" customHeight="1" x14ac:dyDescent="0.3"/>
    <row r="249" spans="4:6" ht="15.75" customHeight="1" x14ac:dyDescent="0.3"/>
    <row r="250" spans="4:6" ht="15.75" customHeight="1" x14ac:dyDescent="0.3"/>
    <row r="251" spans="4:6" ht="15.75" customHeight="1" x14ac:dyDescent="0.3"/>
    <row r="252" spans="4:6" ht="15.75" customHeight="1" x14ac:dyDescent="0.3"/>
    <row r="253" spans="4:6" ht="15.75" customHeight="1" x14ac:dyDescent="0.3"/>
    <row r="254" spans="4:6" ht="15.75" customHeight="1" x14ac:dyDescent="0.3"/>
    <row r="255" spans="4:6" ht="15.75" customHeight="1" x14ac:dyDescent="0.3"/>
    <row r="256" spans="4: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dataValidations count="1">
    <dataValidation type="list" allowBlank="1" showErrorMessage="1" sqref="B17 B27 B22" xr:uid="{80BF1C6D-1645-4616-8580-3F19824F1FB4}">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7B4DE-30D0-40C0-9691-A01D02749153}">
  <dimension ref="A1:AD913"/>
  <sheetViews>
    <sheetView zoomScale="90" zoomScaleNormal="90" workbookViewId="0">
      <selection activeCell="AB15" sqref="AB15"/>
    </sheetView>
  </sheetViews>
  <sheetFormatPr defaultColWidth="12.44140625" defaultRowHeight="15" customHeight="1" x14ac:dyDescent="0.3"/>
  <cols>
    <col min="1" max="1" width="2.6640625" style="1336" customWidth="1"/>
    <col min="2" max="2" width="7.44140625" style="1336" customWidth="1"/>
    <col min="3" max="3" width="30.44140625" style="1336" customWidth="1"/>
    <col min="4" max="4" width="48.88671875" style="1336" customWidth="1"/>
    <col min="5" max="5" width="9.5546875" style="1336" customWidth="1"/>
    <col min="6" max="6" width="32.88671875" style="1336" customWidth="1"/>
    <col min="7" max="7" width="12.77734375" style="1336" customWidth="1"/>
    <col min="8" max="8" width="12.77734375" style="1336" hidden="1" customWidth="1"/>
    <col min="9" max="9" width="14" style="1336" bestFit="1" customWidth="1"/>
    <col min="10" max="10" width="15.21875" style="1336" hidden="1" customWidth="1"/>
    <col min="11" max="12" width="12.77734375" style="1336" hidden="1" customWidth="1"/>
    <col min="13" max="14" width="11.5546875" style="1336" hidden="1" customWidth="1"/>
    <col min="15" max="15" width="17.109375" style="1336" hidden="1" customWidth="1"/>
    <col min="16" max="24" width="11.5546875" style="1336" hidden="1" customWidth="1"/>
    <col min="25" max="26" width="11.5546875" style="1336" customWidth="1"/>
    <col min="27" max="30" width="11.6640625" style="1336" customWidth="1"/>
    <col min="31" max="16384" width="12.44140625" style="1336"/>
  </cols>
  <sheetData>
    <row r="1" spans="1:30" ht="23.25" customHeight="1" x14ac:dyDescent="0.35">
      <c r="A1" s="1334"/>
      <c r="B1" s="1335" t="s">
        <v>2336</v>
      </c>
    </row>
    <row r="2" spans="1:30" ht="13.5" customHeight="1" x14ac:dyDescent="0.3">
      <c r="A2" s="1334"/>
      <c r="B2" s="1337" t="s">
        <v>340</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row>
    <row r="3" spans="1:30" ht="15.75" customHeight="1" x14ac:dyDescent="0.3">
      <c r="B3" s="1339"/>
    </row>
    <row r="4" spans="1:30" ht="19.2" customHeight="1" x14ac:dyDescent="0.3">
      <c r="B4" s="1340" t="s">
        <v>899</v>
      </c>
      <c r="C4" s="1341"/>
      <c r="D4" s="1341"/>
    </row>
    <row r="5" spans="1:30" ht="19.2" customHeight="1" x14ac:dyDescent="0.3">
      <c r="B5" s="1340" t="s">
        <v>341</v>
      </c>
      <c r="C5" s="1341"/>
      <c r="D5" s="1341"/>
    </row>
    <row r="6" spans="1:30" ht="15.75" customHeight="1" x14ac:dyDescent="0.3">
      <c r="B6" s="1339"/>
    </row>
    <row r="7" spans="1:30" ht="15.75" customHeight="1" x14ac:dyDescent="0.3">
      <c r="B7" s="1342" t="s">
        <v>342</v>
      </c>
    </row>
    <row r="8" spans="1:30" ht="9" customHeight="1" x14ac:dyDescent="0.3">
      <c r="B8" s="1343"/>
      <c r="G8" s="1344"/>
      <c r="H8" s="1344"/>
      <c r="I8" s="1344"/>
      <c r="J8" s="1344"/>
      <c r="K8" s="1344"/>
      <c r="L8" s="1344"/>
      <c r="Z8" s="1344"/>
    </row>
    <row r="9" spans="1:30" ht="15.75" customHeight="1" x14ac:dyDescent="0.3">
      <c r="B9" s="1345" t="s">
        <v>301</v>
      </c>
      <c r="C9" s="1346" t="s">
        <v>343</v>
      </c>
      <c r="D9" s="1347" t="s">
        <v>344</v>
      </c>
      <c r="E9" s="1347" t="s">
        <v>345</v>
      </c>
      <c r="F9" s="1347" t="s">
        <v>346</v>
      </c>
      <c r="G9" s="1348" t="s">
        <v>347</v>
      </c>
      <c r="H9" s="1349">
        <v>2025</v>
      </c>
      <c r="I9" s="1349">
        <v>2024</v>
      </c>
      <c r="J9" s="1349">
        <v>2023</v>
      </c>
      <c r="K9" s="1349">
        <v>2022</v>
      </c>
      <c r="L9" s="1349">
        <v>2021</v>
      </c>
      <c r="M9" s="1349">
        <v>2020</v>
      </c>
      <c r="N9" s="1349">
        <v>2019</v>
      </c>
      <c r="O9" s="1350">
        <v>2018</v>
      </c>
      <c r="P9" s="1350">
        <v>2017</v>
      </c>
      <c r="Q9" s="1350">
        <v>2016</v>
      </c>
      <c r="R9" s="1350">
        <v>2015</v>
      </c>
      <c r="S9" s="1350">
        <v>2014</v>
      </c>
      <c r="T9" s="1350">
        <v>2013</v>
      </c>
      <c r="U9" s="1350">
        <v>2012</v>
      </c>
      <c r="V9" s="1350">
        <v>2011</v>
      </c>
      <c r="W9" s="1350">
        <v>2010</v>
      </c>
      <c r="X9" s="1350">
        <v>2009</v>
      </c>
      <c r="Y9" s="1350">
        <v>2008</v>
      </c>
      <c r="Z9" s="1351" t="s">
        <v>332</v>
      </c>
    </row>
    <row r="10" spans="1:30" ht="24" customHeight="1" x14ac:dyDescent="0.3">
      <c r="A10" s="1352"/>
      <c r="B10" s="1353" t="s">
        <v>842</v>
      </c>
      <c r="C10" s="1354" t="s">
        <v>348</v>
      </c>
      <c r="D10" s="1355" t="s">
        <v>361</v>
      </c>
      <c r="E10" s="1356" t="s">
        <v>733</v>
      </c>
      <c r="F10" s="1357" t="s">
        <v>843</v>
      </c>
      <c r="G10" s="1358">
        <v>2008</v>
      </c>
      <c r="H10" s="1359"/>
      <c r="I10" s="1359">
        <v>17686</v>
      </c>
      <c r="J10" s="1360">
        <v>19296</v>
      </c>
      <c r="K10" s="1360">
        <v>19725</v>
      </c>
      <c r="L10" s="1361">
        <v>21777</v>
      </c>
      <c r="M10" s="1361">
        <v>21823</v>
      </c>
      <c r="N10" s="1362">
        <v>20159</v>
      </c>
      <c r="O10" s="1362">
        <v>10282</v>
      </c>
      <c r="P10" s="1362">
        <v>12070</v>
      </c>
      <c r="Q10" s="1362">
        <v>20978</v>
      </c>
      <c r="R10" s="1363"/>
      <c r="S10" s="1363"/>
      <c r="T10" s="1363"/>
      <c r="U10" s="1364"/>
      <c r="V10" s="1363"/>
      <c r="W10" s="1364"/>
      <c r="X10" s="1363"/>
      <c r="Y10" s="1365"/>
      <c r="Z10" s="1359"/>
      <c r="AA10" s="1352"/>
      <c r="AB10" s="1352"/>
      <c r="AC10" s="1352"/>
      <c r="AD10" s="1352"/>
    </row>
    <row r="11" spans="1:30" ht="24" customHeight="1" x14ac:dyDescent="0.3">
      <c r="A11" s="1352"/>
      <c r="B11" s="1366"/>
      <c r="C11" s="1367" t="s">
        <v>478</v>
      </c>
      <c r="D11" s="1367" t="s">
        <v>361</v>
      </c>
      <c r="E11" s="1368" t="s">
        <v>844</v>
      </c>
      <c r="F11" s="1367" t="s">
        <v>845</v>
      </c>
      <c r="G11" s="1369">
        <v>2008</v>
      </c>
      <c r="H11" s="1370"/>
      <c r="I11" s="1370">
        <f>I10*C31</f>
        <v>7781.84</v>
      </c>
      <c r="J11" s="1371">
        <f>J10*C31</f>
        <v>8490.24</v>
      </c>
      <c r="K11" s="1371">
        <f>K10*C31</f>
        <v>8679</v>
      </c>
      <c r="L11" s="1371">
        <f>L10*C31</f>
        <v>9581.8799999999992</v>
      </c>
      <c r="M11" s="1371">
        <f>M10*C31</f>
        <v>9602.1200000000008</v>
      </c>
      <c r="N11" s="1372">
        <v>8870</v>
      </c>
      <c r="O11" s="1372">
        <v>4515</v>
      </c>
      <c r="P11" s="1372">
        <v>5300</v>
      </c>
      <c r="Q11" s="1372">
        <v>9212</v>
      </c>
      <c r="R11" s="1372"/>
      <c r="S11" s="1372"/>
      <c r="T11" s="1372"/>
      <c r="U11" s="1373"/>
      <c r="V11" s="1372"/>
      <c r="W11" s="1373"/>
      <c r="X11" s="1372"/>
      <c r="Y11" s="1374"/>
      <c r="Z11" s="1370"/>
      <c r="AA11" s="1352"/>
      <c r="AB11" s="1352"/>
      <c r="AC11" s="1352"/>
      <c r="AD11" s="1352"/>
    </row>
    <row r="12" spans="1:30" ht="24" customHeight="1" x14ac:dyDescent="0.3">
      <c r="A12" s="1352"/>
      <c r="B12" s="1366"/>
      <c r="C12" s="1367" t="str">
        <f>C11</f>
        <v>Will's calculation</v>
      </c>
      <c r="D12" s="1367" t="str">
        <f>D11</f>
        <v>Biomass consumption</v>
      </c>
      <c r="E12" s="1368" t="s">
        <v>846</v>
      </c>
      <c r="F12" s="1367" t="s">
        <v>847</v>
      </c>
      <c r="G12" s="1369">
        <f>G11</f>
        <v>2008</v>
      </c>
      <c r="H12" s="1370"/>
      <c r="I12" s="1375">
        <f>I11*1000</f>
        <v>7781840</v>
      </c>
      <c r="J12" s="1977">
        <f>J10*1000</f>
        <v>19296000</v>
      </c>
      <c r="K12" s="1371"/>
      <c r="L12" s="1371"/>
      <c r="M12" s="1371"/>
      <c r="N12" s="1372"/>
      <c r="O12" s="1372"/>
      <c r="P12" s="1372"/>
      <c r="Q12" s="1372"/>
      <c r="R12" s="1372"/>
      <c r="S12" s="1372"/>
      <c r="T12" s="1372"/>
      <c r="U12" s="1373"/>
      <c r="V12" s="1372"/>
      <c r="W12" s="1373"/>
      <c r="X12" s="1372"/>
      <c r="Y12" s="1374"/>
      <c r="Z12" s="1370"/>
      <c r="AA12" s="1352"/>
      <c r="AB12" s="1352"/>
      <c r="AC12" s="1352"/>
      <c r="AD12" s="1352"/>
    </row>
    <row r="13" spans="1:30" ht="24" customHeight="1" x14ac:dyDescent="0.3">
      <c r="A13" s="1352"/>
      <c r="B13" s="1366"/>
      <c r="C13" s="1355" t="s">
        <v>348</v>
      </c>
      <c r="D13" s="1355" t="s">
        <v>562</v>
      </c>
      <c r="E13" s="1376" t="s">
        <v>350</v>
      </c>
      <c r="F13" s="1357" t="s">
        <v>843</v>
      </c>
      <c r="G13" s="1377">
        <v>2008</v>
      </c>
      <c r="H13" s="1378"/>
      <c r="I13" s="1379">
        <v>597944</v>
      </c>
      <c r="J13" s="1936">
        <v>594750.30000000005</v>
      </c>
      <c r="K13" s="1380">
        <v>1032939.1</v>
      </c>
      <c r="L13" s="1380">
        <v>976992</v>
      </c>
      <c r="M13" s="1380">
        <v>879572</v>
      </c>
      <c r="N13" s="1381">
        <v>716831</v>
      </c>
      <c r="O13" s="1381">
        <v>821820</v>
      </c>
      <c r="P13" s="1381">
        <v>823133</v>
      </c>
      <c r="Q13" s="1381">
        <v>1465205</v>
      </c>
      <c r="R13" s="1381"/>
      <c r="S13" s="1381"/>
      <c r="T13" s="1381"/>
      <c r="U13" s="1382"/>
      <c r="V13" s="1381"/>
      <c r="W13" s="1382"/>
      <c r="X13" s="1381"/>
      <c r="Y13" s="1383">
        <v>2544334</v>
      </c>
      <c r="Z13" s="1378"/>
      <c r="AA13" s="1352"/>
      <c r="AB13" s="1352"/>
      <c r="AC13" s="1352"/>
      <c r="AD13" s="1352"/>
    </row>
    <row r="14" spans="1:30" ht="24" customHeight="1" x14ac:dyDescent="0.3">
      <c r="A14" s="1352"/>
      <c r="B14" s="1366"/>
      <c r="C14" s="1367" t="s">
        <v>348</v>
      </c>
      <c r="D14" s="1367" t="s">
        <v>403</v>
      </c>
      <c r="E14" s="1368" t="s">
        <v>350</v>
      </c>
      <c r="F14" s="1367" t="s">
        <v>2335</v>
      </c>
      <c r="G14" s="1369">
        <v>2008</v>
      </c>
      <c r="H14" s="1370"/>
      <c r="I14" s="1597">
        <v>49060</v>
      </c>
      <c r="J14" s="1977">
        <v>58901.599999999999</v>
      </c>
      <c r="K14" s="1371">
        <v>82569.399999999994</v>
      </c>
      <c r="L14" s="1371">
        <v>78440.2</v>
      </c>
      <c r="M14" s="1371">
        <v>57702</v>
      </c>
      <c r="N14" s="1372">
        <v>48645</v>
      </c>
      <c r="O14" s="1372">
        <v>43086</v>
      </c>
      <c r="P14" s="1372">
        <v>35549</v>
      </c>
      <c r="Q14" s="1372">
        <v>0</v>
      </c>
      <c r="R14" s="1372"/>
      <c r="S14" s="1372"/>
      <c r="T14" s="1372"/>
      <c r="U14" s="1373"/>
      <c r="V14" s="1372"/>
      <c r="W14" s="1373"/>
      <c r="X14" s="1372"/>
      <c r="Y14" s="1384">
        <v>65388</v>
      </c>
      <c r="Z14" s="1370"/>
      <c r="AA14" s="1352"/>
      <c r="AB14" s="1352"/>
      <c r="AC14" s="1352"/>
      <c r="AD14" s="1352"/>
    </row>
    <row r="15" spans="1:30" ht="24" customHeight="1" x14ac:dyDescent="0.3">
      <c r="A15" s="1352"/>
      <c r="B15" s="1366"/>
      <c r="C15" s="1355" t="s">
        <v>348</v>
      </c>
      <c r="D15" s="1355" t="s">
        <v>848</v>
      </c>
      <c r="E15" s="1376" t="s">
        <v>849</v>
      </c>
      <c r="F15" s="1355" t="s">
        <v>850</v>
      </c>
      <c r="G15" s="1377">
        <v>2008</v>
      </c>
      <c r="H15" s="1370"/>
      <c r="I15" s="1385">
        <v>125944570</v>
      </c>
      <c r="J15" s="1380">
        <v>132405977</v>
      </c>
      <c r="K15" s="1380">
        <v>1032939.1</v>
      </c>
      <c r="L15" s="1386">
        <v>141875080</v>
      </c>
      <c r="M15" s="1386">
        <v>125142192</v>
      </c>
      <c r="N15" s="1387">
        <v>101988000</v>
      </c>
      <c r="O15" s="1387">
        <v>102105384</v>
      </c>
      <c r="P15" s="1387">
        <v>110502449</v>
      </c>
      <c r="Q15" s="1387">
        <v>126038880</v>
      </c>
      <c r="R15" s="1387">
        <v>124582293</v>
      </c>
      <c r="S15" s="1387">
        <v>102710523</v>
      </c>
      <c r="T15" s="1387">
        <v>99858021</v>
      </c>
      <c r="U15" s="1388">
        <v>100265000</v>
      </c>
      <c r="V15" s="1387">
        <v>82883142</v>
      </c>
      <c r="W15" s="1388">
        <v>90356000</v>
      </c>
      <c r="X15" s="1387">
        <v>94891000</v>
      </c>
      <c r="Y15" s="1388">
        <v>78034000</v>
      </c>
      <c r="Z15" s="1370"/>
      <c r="AA15" s="1352"/>
      <c r="AB15" s="1352"/>
      <c r="AC15" s="1352"/>
      <c r="AD15" s="1352"/>
    </row>
    <row r="16" spans="1:30" ht="24" customHeight="1" x14ac:dyDescent="0.3">
      <c r="A16" s="1352"/>
      <c r="B16" s="1366"/>
      <c r="C16" s="1367" t="s">
        <v>478</v>
      </c>
      <c r="D16" s="1367" t="s">
        <v>848</v>
      </c>
      <c r="E16" s="1368" t="s">
        <v>453</v>
      </c>
      <c r="F16" s="1367" t="s">
        <v>851</v>
      </c>
      <c r="G16" s="1369">
        <v>2008</v>
      </c>
      <c r="H16" s="1370"/>
      <c r="I16" s="4205">
        <f>I15/$W$15</f>
        <v>1.3938705786002037</v>
      </c>
      <c r="J16" s="4204">
        <f>J15/$W$15</f>
        <v>1.4653811257691798</v>
      </c>
      <c r="K16" s="1389">
        <f>K15/W15*100</f>
        <v>1.1431881668068529</v>
      </c>
      <c r="L16" s="1390">
        <f>L15/W15</f>
        <v>1.5701788481119128</v>
      </c>
      <c r="M16" s="1390">
        <f>M15/W15</f>
        <v>1.3849903935543848</v>
      </c>
      <c r="N16" s="1391">
        <f>N15/W15</f>
        <v>1.1287352251095666</v>
      </c>
      <c r="O16" s="1391">
        <f>O15/W15</f>
        <v>1.1300343530036743</v>
      </c>
      <c r="P16" s="1391">
        <f>P15/W15</f>
        <v>1.2229674731063793</v>
      </c>
      <c r="Q16" s="1391">
        <f>Q15/W15</f>
        <v>1.3949143388374872</v>
      </c>
      <c r="R16" s="1391">
        <f>R15/W15</f>
        <v>1.3787938045066184</v>
      </c>
      <c r="S16" s="1391">
        <f>S15/W15</f>
        <v>1.1367316282261277</v>
      </c>
      <c r="T16" s="1391">
        <f>T15/W15</f>
        <v>1.1051620368320865</v>
      </c>
      <c r="U16" s="1391">
        <f>U15/W15</f>
        <v>1.1096662092168754</v>
      </c>
      <c r="V16" s="1391">
        <v>0.92</v>
      </c>
      <c r="W16" s="1392">
        <v>1</v>
      </c>
      <c r="X16" s="1372"/>
      <c r="Y16" s="1374"/>
      <c r="Z16" s="1370"/>
      <c r="AA16" s="1352"/>
      <c r="AB16" s="1352"/>
      <c r="AC16" s="1352"/>
      <c r="AD16" s="1352"/>
    </row>
    <row r="17" spans="1:30" ht="24" hidden="1" customHeight="1" x14ac:dyDescent="0.3">
      <c r="A17" s="1352"/>
      <c r="B17" s="1366">
        <v>4</v>
      </c>
      <c r="C17" s="1355" t="s">
        <v>348</v>
      </c>
      <c r="D17" s="1355" t="s">
        <v>852</v>
      </c>
      <c r="E17" s="1376" t="s">
        <v>844</v>
      </c>
      <c r="F17" s="1355" t="s">
        <v>853</v>
      </c>
      <c r="G17" s="1393">
        <v>2012</v>
      </c>
      <c r="H17" s="1370"/>
      <c r="I17" s="1975">
        <v>45605.48</v>
      </c>
      <c r="J17" s="1976">
        <v>16233</v>
      </c>
      <c r="K17" s="1380">
        <v>20887</v>
      </c>
      <c r="L17" s="1380">
        <v>20745.830000000002</v>
      </c>
      <c r="M17" s="1394">
        <v>23340</v>
      </c>
      <c r="N17" s="1395">
        <v>23530</v>
      </c>
      <c r="O17" s="1395">
        <v>15797</v>
      </c>
      <c r="P17" s="1395">
        <v>11508</v>
      </c>
      <c r="Q17" s="1395">
        <v>23041</v>
      </c>
      <c r="R17" s="1381"/>
      <c r="S17" s="1381"/>
      <c r="T17" s="1381"/>
      <c r="U17" s="1382"/>
      <c r="V17" s="1381"/>
      <c r="W17" s="1382"/>
      <c r="X17" s="1381"/>
      <c r="Y17" s="1396"/>
      <c r="Z17" s="1370"/>
      <c r="AA17" s="1352"/>
      <c r="AB17" s="1352"/>
      <c r="AC17" s="1352"/>
      <c r="AD17" s="1352"/>
    </row>
    <row r="18" spans="1:30" ht="24" hidden="1" customHeight="1" x14ac:dyDescent="0.3">
      <c r="A18" s="1352"/>
      <c r="B18" s="1366"/>
      <c r="C18" s="1367" t="s">
        <v>348</v>
      </c>
      <c r="D18" s="1367" t="s">
        <v>854</v>
      </c>
      <c r="E18" s="1368" t="s">
        <v>844</v>
      </c>
      <c r="F18" s="1367" t="s">
        <v>855</v>
      </c>
      <c r="G18" s="1397">
        <v>2012</v>
      </c>
      <c r="H18" s="1370"/>
      <c r="I18" s="1371">
        <v>4833.16</v>
      </c>
      <c r="J18" s="1977">
        <v>4971</v>
      </c>
      <c r="K18" s="1371">
        <v>6396</v>
      </c>
      <c r="L18" s="1371">
        <v>6353.17</v>
      </c>
      <c r="M18" s="1398">
        <v>5492</v>
      </c>
      <c r="N18" s="1399">
        <v>5521</v>
      </c>
      <c r="O18" s="1399">
        <v>4739</v>
      </c>
      <c r="P18" s="1399">
        <v>3452</v>
      </c>
      <c r="Q18" s="1399">
        <v>2304.1</v>
      </c>
      <c r="R18" s="1372"/>
      <c r="S18" s="1372"/>
      <c r="T18" s="1372"/>
      <c r="U18" s="1373"/>
      <c r="V18" s="1372"/>
      <c r="W18" s="1373"/>
      <c r="X18" s="1372"/>
      <c r="Y18" s="1374"/>
      <c r="Z18" s="1370"/>
      <c r="AA18" s="1352"/>
      <c r="AB18" s="1352"/>
      <c r="AC18" s="1352"/>
      <c r="AD18" s="1352"/>
    </row>
    <row r="19" spans="1:30" ht="24" hidden="1" customHeight="1" x14ac:dyDescent="0.3">
      <c r="A19" s="1352"/>
      <c r="B19" s="1366"/>
      <c r="C19" s="1367" t="s">
        <v>478</v>
      </c>
      <c r="D19" s="1367" t="s">
        <v>856</v>
      </c>
      <c r="E19" s="1368" t="s">
        <v>385</v>
      </c>
      <c r="F19" s="1367"/>
      <c r="G19" s="1397"/>
      <c r="H19" s="1370"/>
      <c r="I19" s="1977">
        <f>I24*28.44/19200*1000</f>
        <v>4341978.4265153175</v>
      </c>
      <c r="J19" s="1977">
        <f>J24*28.44/19200*1000</f>
        <v>4201453.3935335986</v>
      </c>
      <c r="K19" s="1371">
        <f>K24*28.44/19200*1000</f>
        <v>4198591.5418992648</v>
      </c>
      <c r="L19" s="1371"/>
      <c r="M19" s="1398"/>
      <c r="N19" s="1399"/>
      <c r="O19" s="1399"/>
      <c r="P19" s="1399"/>
      <c r="Q19" s="1399"/>
      <c r="R19" s="1372"/>
      <c r="S19" s="1372"/>
      <c r="T19" s="1372"/>
      <c r="U19" s="1373"/>
      <c r="V19" s="1372"/>
      <c r="W19" s="1373"/>
      <c r="X19" s="1372"/>
      <c r="Y19" s="1374"/>
      <c r="Z19" s="1370"/>
      <c r="AA19" s="1352"/>
      <c r="AB19" s="1352"/>
      <c r="AC19" s="1352"/>
      <c r="AD19" s="1352"/>
    </row>
    <row r="20" spans="1:30" ht="24" hidden="1" customHeight="1" x14ac:dyDescent="0.3">
      <c r="A20" s="1352"/>
      <c r="B20" s="1366"/>
      <c r="C20" s="1355" t="s">
        <v>478</v>
      </c>
      <c r="D20" s="1355" t="s">
        <v>857</v>
      </c>
      <c r="E20" s="1376" t="s">
        <v>844</v>
      </c>
      <c r="F20" s="1355" t="s">
        <v>858</v>
      </c>
      <c r="G20" s="1393">
        <v>2012</v>
      </c>
      <c r="H20" s="1370"/>
      <c r="I20" s="1936">
        <f>SUM(I17:I18)*110%</f>
        <v>55482.504000000001</v>
      </c>
      <c r="J20" s="1936">
        <f>SUM(J17:J18)*110%</f>
        <v>23324.400000000001</v>
      </c>
      <c r="K20" s="1380">
        <f>SUM(K17,K18)*110%</f>
        <v>30011.300000000003</v>
      </c>
      <c r="L20" s="1380">
        <f>(L17+L18)*110%</f>
        <v>29808.9</v>
      </c>
      <c r="M20" s="1380">
        <f>(M17+M18)*110%</f>
        <v>31715.200000000004</v>
      </c>
      <c r="N20" s="1381">
        <v>31956.1</v>
      </c>
      <c r="O20" s="1381">
        <v>20536</v>
      </c>
      <c r="P20" s="1381">
        <v>14960</v>
      </c>
      <c r="Q20" s="1381">
        <v>25345.1</v>
      </c>
      <c r="R20" s="1381"/>
      <c r="S20" s="1381"/>
      <c r="T20" s="1381"/>
      <c r="U20" s="1382"/>
      <c r="V20" s="1381"/>
      <c r="W20" s="1382"/>
      <c r="X20" s="1381"/>
      <c r="Y20" s="1396"/>
      <c r="Z20" s="1370"/>
      <c r="AA20" s="1352"/>
      <c r="AB20" s="1352"/>
      <c r="AC20" s="1352"/>
      <c r="AD20" s="1352"/>
    </row>
    <row r="21" spans="1:30" ht="24" hidden="1" customHeight="1" x14ac:dyDescent="0.3">
      <c r="A21" s="1352"/>
      <c r="B21" s="1366"/>
      <c r="C21" s="1367" t="s">
        <v>348</v>
      </c>
      <c r="D21" s="1367" t="s">
        <v>859</v>
      </c>
      <c r="E21" s="1368" t="s">
        <v>844</v>
      </c>
      <c r="F21" s="1367" t="s">
        <v>860</v>
      </c>
      <c r="G21" s="1397">
        <v>2012</v>
      </c>
      <c r="H21" s="1370"/>
      <c r="I21" s="1371"/>
      <c r="J21" s="1977"/>
      <c r="K21" s="1371"/>
      <c r="L21" s="1371"/>
      <c r="M21" s="1371"/>
      <c r="N21" s="1372"/>
      <c r="O21" s="1372"/>
      <c r="P21" s="1372"/>
      <c r="Q21" s="1372"/>
      <c r="R21" s="1372">
        <v>24849</v>
      </c>
      <c r="S21" s="1372">
        <v>263140</v>
      </c>
      <c r="T21" s="1372">
        <v>15049</v>
      </c>
      <c r="U21" s="1373"/>
      <c r="V21" s="1372"/>
      <c r="W21" s="1373"/>
      <c r="X21" s="1372"/>
      <c r="Y21" s="1374"/>
      <c r="Z21" s="1370"/>
      <c r="AA21" s="1352"/>
      <c r="AB21" s="1352"/>
      <c r="AC21" s="1352"/>
      <c r="AD21" s="1352"/>
    </row>
    <row r="22" spans="1:30" ht="24" hidden="1" customHeight="1" x14ac:dyDescent="0.3">
      <c r="A22" s="1352"/>
      <c r="B22" s="1366"/>
      <c r="C22" s="1355" t="s">
        <v>478</v>
      </c>
      <c r="D22" s="1355" t="s">
        <v>861</v>
      </c>
      <c r="E22" s="1376" t="s">
        <v>378</v>
      </c>
      <c r="F22" s="1355" t="s">
        <v>862</v>
      </c>
      <c r="G22" s="1393"/>
      <c r="H22" s="1370"/>
      <c r="I22" s="1380">
        <v>92796672</v>
      </c>
      <c r="J22" s="1380">
        <f>J18*19200</f>
        <v>95443200</v>
      </c>
      <c r="K22" s="1380">
        <f>K18*19200</f>
        <v>122803200</v>
      </c>
      <c r="L22" s="1394">
        <f>L18*19200</f>
        <v>121980864</v>
      </c>
      <c r="M22" s="1394">
        <f>M18*19200</f>
        <v>105446400</v>
      </c>
      <c r="N22" s="1395">
        <v>106003200</v>
      </c>
      <c r="O22" s="1395">
        <v>90988800</v>
      </c>
      <c r="P22" s="1395">
        <v>66278400</v>
      </c>
      <c r="Q22" s="1395">
        <v>44238636</v>
      </c>
      <c r="R22" s="1381"/>
      <c r="S22" s="1381"/>
      <c r="T22" s="1381"/>
      <c r="U22" s="1382"/>
      <c r="V22" s="1381"/>
      <c r="W22" s="1382"/>
      <c r="X22" s="1381"/>
      <c r="Y22" s="1396"/>
      <c r="Z22" s="1370"/>
      <c r="AA22" s="1352"/>
      <c r="AB22" s="1352"/>
      <c r="AC22" s="1352"/>
      <c r="AD22" s="1352"/>
    </row>
    <row r="23" spans="1:30" ht="24" hidden="1" customHeight="1" x14ac:dyDescent="0.3">
      <c r="A23" s="1352"/>
      <c r="B23" s="1366"/>
      <c r="C23" s="1367" t="s">
        <v>478</v>
      </c>
      <c r="D23" s="1367" t="s">
        <v>863</v>
      </c>
      <c r="E23" s="1368" t="s">
        <v>350</v>
      </c>
      <c r="F23" s="1400" t="s">
        <v>864</v>
      </c>
      <c r="G23" s="1397"/>
      <c r="H23" s="1378"/>
      <c r="I23" s="1978">
        <v>3262892.8270042194</v>
      </c>
      <c r="J23" s="1371">
        <f>J22/28.44</f>
        <v>3355949.3670886075</v>
      </c>
      <c r="K23" s="1371">
        <f>K22/28.44</f>
        <v>4317974.6835443033</v>
      </c>
      <c r="L23" s="1371">
        <f>L22/28.44</f>
        <v>4289059.9156118138</v>
      </c>
      <c r="M23" s="1371">
        <f>M22/28.44</f>
        <v>3707679.3248945144</v>
      </c>
      <c r="N23" s="1372">
        <v>3727257.4</v>
      </c>
      <c r="O23" s="1372" t="s">
        <v>865</v>
      </c>
      <c r="P23" s="1372" t="s">
        <v>866</v>
      </c>
      <c r="Q23" s="1372" t="s">
        <v>867</v>
      </c>
      <c r="R23" s="1372"/>
      <c r="S23" s="1372"/>
      <c r="T23" s="1372"/>
      <c r="U23" s="1372"/>
      <c r="V23" s="1372"/>
      <c r="W23" s="1372"/>
      <c r="X23" s="1372"/>
      <c r="Y23" s="1401"/>
      <c r="Z23" s="1378"/>
      <c r="AA23" s="1352"/>
      <c r="AB23" s="1352"/>
      <c r="AC23" s="1352"/>
      <c r="AD23" s="1352"/>
    </row>
    <row r="24" spans="1:30" ht="24" hidden="1" customHeight="1" x14ac:dyDescent="0.3">
      <c r="A24" s="1352"/>
      <c r="B24" s="1366"/>
      <c r="C24" s="1402" t="s">
        <v>478</v>
      </c>
      <c r="D24" s="1402" t="s">
        <v>863</v>
      </c>
      <c r="E24" s="1403" t="s">
        <v>350</v>
      </c>
      <c r="F24" s="1402" t="s">
        <v>868</v>
      </c>
      <c r="G24" s="1404"/>
      <c r="H24" s="1370"/>
      <c r="I24" s="1979">
        <f>I23*5157/5740.38</f>
        <v>2931293.4524997924</v>
      </c>
      <c r="J24" s="1979">
        <f>J23*5000/5915.81</f>
        <v>2836424.2319214167</v>
      </c>
      <c r="K24" s="1405">
        <f>K23*5000/7616.84</f>
        <v>2834492.1801851573</v>
      </c>
      <c r="L24" s="1405"/>
      <c r="M24" s="1405"/>
      <c r="N24" s="1406"/>
      <c r="O24" s="1406"/>
      <c r="P24" s="1406"/>
      <c r="Q24" s="1406"/>
      <c r="R24" s="1406"/>
      <c r="S24" s="1406"/>
      <c r="T24" s="1406"/>
      <c r="U24" s="1407"/>
      <c r="V24" s="1406"/>
      <c r="W24" s="1406"/>
      <c r="X24" s="1406"/>
      <c r="Y24" s="1408"/>
      <c r="Z24" s="1370"/>
      <c r="AA24" s="1352"/>
      <c r="AB24" s="1352"/>
      <c r="AC24" s="1352"/>
      <c r="AD24" s="1352"/>
    </row>
    <row r="25" spans="1:30" ht="24" customHeight="1" x14ac:dyDescent="0.3">
      <c r="A25" s="1352"/>
      <c r="B25" s="1366"/>
      <c r="C25" s="1355"/>
      <c r="D25" s="1355"/>
      <c r="E25" s="1376"/>
      <c r="F25" s="1409"/>
      <c r="G25" s="1393"/>
      <c r="H25" s="1378"/>
      <c r="I25" s="1378"/>
      <c r="J25" s="1378"/>
      <c r="K25" s="1378"/>
      <c r="L25" s="1378"/>
      <c r="M25" s="1378"/>
      <c r="N25" s="1378"/>
      <c r="O25" s="1378"/>
      <c r="P25" s="1378"/>
      <c r="Q25" s="1378"/>
      <c r="R25" s="1378"/>
      <c r="S25" s="1378"/>
      <c r="T25" s="1378"/>
      <c r="U25" s="1410"/>
      <c r="V25" s="1378"/>
      <c r="W25" s="1410"/>
      <c r="X25" s="1378"/>
      <c r="Y25" s="1410"/>
      <c r="Z25" s="1378"/>
      <c r="AA25" s="1352"/>
      <c r="AB25" s="1352"/>
      <c r="AC25" s="1352"/>
      <c r="AD25" s="1352"/>
    </row>
    <row r="26" spans="1:30" ht="24" customHeight="1" x14ac:dyDescent="0.3">
      <c r="A26" s="1352"/>
      <c r="B26" s="1411"/>
      <c r="C26" s="1412"/>
      <c r="D26" s="1412"/>
      <c r="E26" s="1413"/>
      <c r="F26" s="1414"/>
      <c r="G26" s="1415"/>
      <c r="H26" s="1416"/>
      <c r="I26" s="1416"/>
      <c r="J26" s="1416"/>
      <c r="K26" s="1416"/>
      <c r="L26" s="1416"/>
      <c r="M26" s="1416"/>
      <c r="N26" s="1416"/>
      <c r="O26" s="1416"/>
      <c r="P26" s="1416"/>
      <c r="Q26" s="1416"/>
      <c r="R26" s="1416"/>
      <c r="S26" s="1416"/>
      <c r="T26" s="1416"/>
      <c r="U26" s="1417"/>
      <c r="V26" s="1416"/>
      <c r="W26" s="1417"/>
      <c r="X26" s="1416"/>
      <c r="Y26" s="1417"/>
      <c r="Z26" s="1416"/>
      <c r="AA26" s="1352"/>
      <c r="AB26" s="1352"/>
      <c r="AC26" s="1352"/>
      <c r="AD26" s="1352"/>
    </row>
    <row r="27" spans="1:30" ht="15.75" customHeight="1" x14ac:dyDescent="0.3">
      <c r="A27" s="1352"/>
      <c r="B27" s="1418"/>
      <c r="C27" s="1352"/>
      <c r="D27" s="1352"/>
      <c r="E27" s="1352"/>
      <c r="F27" s="1352"/>
      <c r="G27" s="1419"/>
      <c r="H27" s="1419"/>
      <c r="I27" s="1419"/>
      <c r="J27" s="1419"/>
      <c r="K27" s="1419"/>
      <c r="L27" s="1419"/>
      <c r="M27" s="1420"/>
      <c r="N27" s="1420"/>
      <c r="O27" s="1420"/>
      <c r="P27" s="1420"/>
      <c r="Q27" s="1420"/>
      <c r="R27" s="1420"/>
      <c r="S27" s="1420"/>
      <c r="T27" s="1420"/>
      <c r="U27" s="1420"/>
      <c r="V27" s="1420"/>
      <c r="W27" s="1420"/>
      <c r="X27" s="1420"/>
      <c r="Y27" s="1420"/>
      <c r="Z27" s="1420"/>
      <c r="AA27" s="1352"/>
      <c r="AB27" s="1352"/>
      <c r="AC27" s="1352"/>
      <c r="AD27" s="1352"/>
    </row>
    <row r="28" spans="1:30" ht="15.75" customHeight="1" x14ac:dyDescent="0.3">
      <c r="A28" s="1352"/>
      <c r="B28" s="1421" t="s">
        <v>355</v>
      </c>
      <c r="C28" s="1422" t="s">
        <v>356</v>
      </c>
      <c r="D28" s="1352"/>
      <c r="E28" s="1352"/>
      <c r="F28" s="1352"/>
      <c r="G28" s="1419"/>
      <c r="H28" s="1419"/>
      <c r="I28" s="1423"/>
      <c r="J28" s="1419"/>
      <c r="K28" s="1419"/>
      <c r="L28" s="1419"/>
      <c r="M28" s="1420"/>
      <c r="N28" s="1420"/>
      <c r="O28" s="1420"/>
      <c r="P28" s="1420"/>
      <c r="Q28" s="1420"/>
      <c r="R28" s="1420"/>
      <c r="S28" s="1420"/>
      <c r="T28" s="1420"/>
      <c r="U28" s="1420"/>
      <c r="V28" s="1420"/>
      <c r="W28" s="1420"/>
      <c r="X28" s="1420"/>
      <c r="Y28" s="1420"/>
      <c r="Z28" s="1420"/>
      <c r="AA28" s="1352"/>
      <c r="AB28" s="1352"/>
      <c r="AC28" s="1352"/>
      <c r="AD28" s="1352"/>
    </row>
    <row r="29" spans="1:30" ht="15.75" customHeight="1" x14ac:dyDescent="0.3">
      <c r="A29" s="1352"/>
      <c r="B29" s="1418"/>
      <c r="C29" s="1352"/>
      <c r="D29" s="1352"/>
      <c r="E29" s="1352"/>
      <c r="F29" s="1352"/>
      <c r="G29" s="1419"/>
      <c r="H29" s="1419"/>
      <c r="I29" s="1419"/>
      <c r="J29" s="1423"/>
      <c r="K29" s="1419"/>
      <c r="L29" s="1419"/>
      <c r="M29" s="1420"/>
      <c r="N29" s="1420"/>
      <c r="O29" s="1420"/>
      <c r="P29" s="1420"/>
      <c r="Q29" s="1420"/>
      <c r="R29" s="1420"/>
      <c r="S29" s="1420"/>
      <c r="T29" s="1420"/>
      <c r="U29" s="1420"/>
      <c r="V29" s="1420"/>
      <c r="W29" s="1420"/>
      <c r="X29" s="1420"/>
      <c r="Y29" s="1420"/>
      <c r="Z29" s="1420"/>
      <c r="AA29" s="1352"/>
      <c r="AB29" s="1352"/>
      <c r="AC29" s="1352"/>
      <c r="AD29" s="1352"/>
    </row>
    <row r="30" spans="1:30" ht="15.75" customHeight="1" x14ac:dyDescent="0.3">
      <c r="A30" s="1352"/>
      <c r="B30" s="4402" t="s">
        <v>357</v>
      </c>
      <c r="C30" s="4403"/>
      <c r="D30" s="1352"/>
      <c r="E30" s="1352"/>
      <c r="F30" s="1352"/>
      <c r="G30" s="1419"/>
      <c r="H30" s="1419"/>
      <c r="I30" s="1419"/>
      <c r="J30" s="1419"/>
      <c r="K30" s="1419"/>
      <c r="L30" s="1419"/>
      <c r="M30" s="1420"/>
      <c r="N30" s="1420"/>
      <c r="O30" s="1420"/>
      <c r="P30" s="1424"/>
      <c r="Q30" s="1420"/>
      <c r="R30" s="1420"/>
      <c r="S30" s="1420"/>
      <c r="T30" s="1420"/>
      <c r="U30" s="1420"/>
      <c r="V30" s="1420"/>
      <c r="W30" s="1420"/>
      <c r="X30" s="1420"/>
      <c r="Y30" s="1420"/>
      <c r="Z30" s="1420"/>
      <c r="AA30" s="1352"/>
      <c r="AB30" s="1352"/>
      <c r="AC30" s="1352"/>
      <c r="AD30" s="1352"/>
    </row>
    <row r="31" spans="1:30" ht="15.75" customHeight="1" x14ac:dyDescent="0.3">
      <c r="A31" s="1352"/>
      <c r="B31" s="1425" t="s">
        <v>869</v>
      </c>
      <c r="C31" s="1426">
        <v>0.44</v>
      </c>
      <c r="D31" s="1352" t="s">
        <v>870</v>
      </c>
      <c r="E31" s="1352"/>
      <c r="F31" s="1427">
        <v>5563</v>
      </c>
      <c r="G31" s="1428" t="s">
        <v>871</v>
      </c>
      <c r="H31" s="1419"/>
      <c r="I31" s="1419"/>
      <c r="J31" s="1419"/>
      <c r="K31" s="1419"/>
      <c r="L31" s="1419"/>
      <c r="M31" s="1420"/>
      <c r="N31" s="1420"/>
      <c r="O31" s="1420"/>
      <c r="P31" s="1420"/>
      <c r="Q31" s="1420"/>
      <c r="R31" s="1420"/>
      <c r="S31" s="1420"/>
      <c r="T31" s="1420"/>
      <c r="U31" s="1420"/>
      <c r="V31" s="1420"/>
      <c r="W31" s="1420"/>
      <c r="X31" s="1420"/>
      <c r="Y31" s="1420"/>
      <c r="Z31" s="1420"/>
      <c r="AA31" s="1352"/>
      <c r="AB31" s="1352"/>
      <c r="AC31" s="1352"/>
      <c r="AD31" s="1352"/>
    </row>
    <row r="32" spans="1:30" ht="15.75" customHeight="1" thickBot="1" x14ac:dyDescent="0.35">
      <c r="A32" s="1352"/>
      <c r="B32" s="1425" t="s">
        <v>872</v>
      </c>
      <c r="C32" s="1429">
        <v>0.1</v>
      </c>
      <c r="D32" s="1352" t="s">
        <v>873</v>
      </c>
      <c r="E32" s="1352"/>
      <c r="F32" s="1427">
        <f>ROUNDDOWN(F31-'CF-0901|2024'!F14,0)</f>
        <v>5563</v>
      </c>
      <c r="G32" s="1428" t="s">
        <v>874</v>
      </c>
      <c r="H32" s="1419"/>
      <c r="I32" s="1419"/>
      <c r="J32" s="1419"/>
      <c r="K32" s="1419"/>
      <c r="L32" s="1419"/>
      <c r="M32" s="1420"/>
      <c r="N32" s="1420"/>
      <c r="O32" s="1420"/>
      <c r="P32" s="1424"/>
      <c r="Q32" s="1420"/>
      <c r="R32" s="1420"/>
      <c r="S32" s="1420"/>
      <c r="T32" s="1420"/>
      <c r="U32" s="1420"/>
      <c r="V32" s="1420"/>
      <c r="W32" s="1420"/>
      <c r="X32" s="1420"/>
      <c r="Y32" s="1420"/>
      <c r="Z32" s="1420"/>
      <c r="AA32" s="1352"/>
      <c r="AB32" s="1352"/>
      <c r="AC32" s="1352"/>
      <c r="AD32" s="1352"/>
    </row>
    <row r="33" spans="2:26" ht="15.75" customHeight="1" thickTop="1" x14ac:dyDescent="0.3"/>
    <row r="34" spans="2:26" ht="15.75" customHeight="1" x14ac:dyDescent="0.3"/>
    <row r="35" spans="2:26" ht="21" customHeight="1" x14ac:dyDescent="0.3">
      <c r="B35" s="1342" t="s">
        <v>409</v>
      </c>
    </row>
    <row r="36" spans="2:26" ht="9" customHeight="1" x14ac:dyDescent="0.3">
      <c r="B36" s="1342"/>
    </row>
    <row r="37" spans="2:26" ht="21" customHeight="1" x14ac:dyDescent="0.3">
      <c r="B37" s="1340" t="s">
        <v>410</v>
      </c>
      <c r="C37" s="1341"/>
      <c r="D37" s="1341"/>
    </row>
    <row r="38" spans="2:26" ht="12" customHeight="1" x14ac:dyDescent="0.3">
      <c r="G38" s="1430"/>
    </row>
    <row r="39" spans="2:26" ht="15.75" customHeight="1" x14ac:dyDescent="0.3">
      <c r="B39" s="1345" t="s">
        <v>301</v>
      </c>
      <c r="C39" s="1346" t="s">
        <v>343</v>
      </c>
      <c r="D39" s="1347" t="s">
        <v>344</v>
      </c>
      <c r="E39" s="1347" t="s">
        <v>345</v>
      </c>
      <c r="F39" s="1347" t="s">
        <v>346</v>
      </c>
      <c r="G39" s="1348" t="s">
        <v>347</v>
      </c>
      <c r="H39" s="1349">
        <v>2025</v>
      </c>
      <c r="I39" s="1349">
        <v>2024</v>
      </c>
      <c r="J39" s="1349">
        <v>2023</v>
      </c>
      <c r="K39" s="1349">
        <v>2022</v>
      </c>
      <c r="L39" s="1349">
        <v>2021</v>
      </c>
      <c r="M39" s="1349">
        <v>2020</v>
      </c>
      <c r="N39" s="1349">
        <v>2019</v>
      </c>
      <c r="O39" s="1350">
        <v>2018</v>
      </c>
      <c r="P39" s="1350">
        <v>2017</v>
      </c>
      <c r="Q39" s="1350">
        <v>2016</v>
      </c>
      <c r="R39" s="1350">
        <v>2015</v>
      </c>
      <c r="S39" s="1350">
        <v>2014</v>
      </c>
      <c r="T39" s="1350">
        <v>2013</v>
      </c>
      <c r="U39" s="1350">
        <v>2012</v>
      </c>
      <c r="V39" s="1350">
        <v>2011</v>
      </c>
      <c r="W39" s="1350">
        <v>2010</v>
      </c>
      <c r="X39" s="1350">
        <v>2009</v>
      </c>
      <c r="Y39" s="1350">
        <v>2008</v>
      </c>
      <c r="Z39" s="1351" t="s">
        <v>332</v>
      </c>
    </row>
    <row r="40" spans="2:26" ht="24" customHeight="1" x14ac:dyDescent="0.3">
      <c r="B40" s="1366">
        <v>1</v>
      </c>
      <c r="C40" s="1354" t="s">
        <v>348</v>
      </c>
      <c r="D40" s="1355" t="s">
        <v>875</v>
      </c>
      <c r="E40" s="1376" t="s">
        <v>733</v>
      </c>
      <c r="F40" s="1357"/>
      <c r="G40" s="1358"/>
      <c r="H40" s="1431"/>
      <c r="I40" s="1432">
        <f>I11</f>
        <v>7781.84</v>
      </c>
      <c r="J40" s="1433">
        <f>J10</f>
        <v>19296</v>
      </c>
      <c r="K40" s="1434">
        <v>19725</v>
      </c>
      <c r="L40" s="1434">
        <v>21777</v>
      </c>
      <c r="M40" s="1434">
        <v>21823</v>
      </c>
      <c r="N40" s="1435" t="s">
        <v>876</v>
      </c>
      <c r="O40" s="1435" t="s">
        <v>877</v>
      </c>
      <c r="P40" s="1435" t="s">
        <v>878</v>
      </c>
      <c r="Q40" s="1435" t="s">
        <v>879</v>
      </c>
      <c r="R40" s="1436"/>
      <c r="S40" s="1436"/>
      <c r="T40" s="1436"/>
      <c r="U40" s="1410"/>
      <c r="V40" s="1359"/>
      <c r="W40" s="1410"/>
      <c r="X40" s="1359"/>
      <c r="Y40" s="1410"/>
      <c r="Z40" s="1359"/>
    </row>
    <row r="41" spans="2:26" ht="33.6" customHeight="1" x14ac:dyDescent="0.3">
      <c r="B41" s="1366">
        <v>2</v>
      </c>
      <c r="C41" s="1367" t="s">
        <v>374</v>
      </c>
      <c r="D41" s="1367" t="s">
        <v>880</v>
      </c>
      <c r="E41" s="1368" t="s">
        <v>844</v>
      </c>
      <c r="F41" s="1437" t="s">
        <v>881</v>
      </c>
      <c r="G41" s="1419"/>
      <c r="H41" s="1438"/>
      <c r="I41" s="1439">
        <f>27485.53+5613.96</f>
        <v>33099.49</v>
      </c>
      <c r="J41" s="1440">
        <f>J20/C48</f>
        <v>53010</v>
      </c>
      <c r="K41" s="1441">
        <v>68207.5</v>
      </c>
      <c r="L41" s="1441">
        <v>67747.5</v>
      </c>
      <c r="M41" s="1441">
        <v>72080</v>
      </c>
      <c r="N41" s="1442" t="s">
        <v>882</v>
      </c>
      <c r="O41" s="1442" t="s">
        <v>883</v>
      </c>
      <c r="P41" s="1442" t="s">
        <v>884</v>
      </c>
      <c r="Q41" s="1442" t="s">
        <v>885</v>
      </c>
      <c r="R41" s="1442"/>
      <c r="S41" s="1442"/>
      <c r="T41" s="1442"/>
      <c r="U41" s="1420"/>
      <c r="V41" s="1438"/>
      <c r="W41" s="1420"/>
      <c r="X41" s="1438"/>
      <c r="Y41" s="1420"/>
      <c r="Z41" s="1438"/>
    </row>
    <row r="42" spans="2:26" ht="24" customHeight="1" x14ac:dyDescent="0.3">
      <c r="B42" s="1366"/>
      <c r="C42" s="1355"/>
      <c r="D42" s="1355"/>
      <c r="E42" s="1376"/>
      <c r="F42" s="1355"/>
      <c r="G42" s="1443"/>
      <c r="H42" s="1444"/>
      <c r="I42" s="1444"/>
      <c r="J42" s="1445"/>
      <c r="K42" s="1445"/>
      <c r="L42" s="1445"/>
      <c r="M42" s="1445"/>
      <c r="N42" s="1445"/>
      <c r="O42" s="1445"/>
      <c r="P42" s="1445"/>
      <c r="Q42" s="1445"/>
      <c r="R42" s="1445"/>
      <c r="S42" s="1446"/>
      <c r="T42" s="1446"/>
      <c r="U42" s="1447"/>
      <c r="V42" s="1446"/>
      <c r="W42" s="1447"/>
      <c r="X42" s="1446"/>
      <c r="Y42" s="1447"/>
      <c r="Z42" s="1444"/>
    </row>
    <row r="43" spans="2:26" ht="24" customHeight="1" x14ac:dyDescent="0.3">
      <c r="B43" s="1411"/>
      <c r="C43" s="1412"/>
      <c r="D43" s="1412"/>
      <c r="E43" s="1413"/>
      <c r="F43" s="1412"/>
      <c r="G43" s="1448"/>
      <c r="H43" s="1449"/>
      <c r="I43" s="1449"/>
      <c r="J43" s="1450"/>
      <c r="K43" s="1450"/>
      <c r="L43" s="1450"/>
      <c r="M43" s="1450"/>
      <c r="N43" s="1450"/>
      <c r="O43" s="1450"/>
      <c r="P43" s="1449"/>
      <c r="Q43" s="1449"/>
      <c r="R43" s="1449"/>
      <c r="S43" s="1449"/>
      <c r="T43" s="1449"/>
      <c r="U43" s="1451"/>
      <c r="V43" s="1449"/>
      <c r="W43" s="1451"/>
      <c r="X43" s="1449"/>
      <c r="Y43" s="1451"/>
      <c r="Z43" s="1449"/>
    </row>
    <row r="44" spans="2:26" ht="15.75" customHeight="1" x14ac:dyDescent="0.3"/>
    <row r="45" spans="2:26" ht="15.75" customHeight="1" x14ac:dyDescent="0.3">
      <c r="B45" s="1421" t="s">
        <v>355</v>
      </c>
      <c r="C45" s="1422" t="s">
        <v>356</v>
      </c>
    </row>
    <row r="46" spans="2:26" ht="15.75" customHeight="1" x14ac:dyDescent="0.3"/>
    <row r="47" spans="2:26" ht="15.75" customHeight="1" x14ac:dyDescent="0.3">
      <c r="B47" s="4402" t="s">
        <v>357</v>
      </c>
      <c r="C47" s="4403"/>
    </row>
    <row r="48" spans="2:26" ht="15.75" customHeight="1" x14ac:dyDescent="0.3">
      <c r="B48" s="1425" t="s">
        <v>886</v>
      </c>
      <c r="C48" s="1452">
        <v>0.44</v>
      </c>
      <c r="D48" s="1336" t="s">
        <v>870</v>
      </c>
      <c r="G48" s="1453" t="s">
        <v>887</v>
      </c>
    </row>
    <row r="49" spans="2:4" ht="15.75" customHeight="1" x14ac:dyDescent="0.3">
      <c r="B49" s="1425" t="s">
        <v>872</v>
      </c>
      <c r="C49" s="1452">
        <v>0.1</v>
      </c>
      <c r="D49" s="1336" t="s">
        <v>873</v>
      </c>
    </row>
    <row r="50" spans="2:4" ht="15.75" customHeight="1" x14ac:dyDescent="0.3"/>
    <row r="51" spans="2:4" ht="15.75" customHeight="1" x14ac:dyDescent="0.3"/>
    <row r="52" spans="2:4" ht="15.75" customHeight="1" x14ac:dyDescent="0.3"/>
    <row r="53" spans="2:4" ht="15.75" customHeight="1" x14ac:dyDescent="0.3"/>
    <row r="54" spans="2:4" ht="15.75" customHeight="1" x14ac:dyDescent="0.3"/>
    <row r="55" spans="2:4" ht="15.75" customHeight="1" x14ac:dyDescent="0.3"/>
    <row r="56" spans="2:4" ht="15.75" customHeight="1" x14ac:dyDescent="0.3"/>
    <row r="57" spans="2:4" ht="15.75" customHeight="1" x14ac:dyDescent="0.3"/>
    <row r="58" spans="2:4" ht="15.75" customHeight="1" x14ac:dyDescent="0.3"/>
    <row r="59" spans="2:4" ht="15.75" customHeight="1" x14ac:dyDescent="0.3"/>
    <row r="60" spans="2:4" ht="15.75" customHeight="1" x14ac:dyDescent="0.3"/>
    <row r="61" spans="2:4" ht="15.75" customHeight="1" x14ac:dyDescent="0.3"/>
    <row r="62" spans="2:4" ht="15.75" customHeight="1" x14ac:dyDescent="0.3"/>
    <row r="63" spans="2:4" ht="15.75" customHeight="1" x14ac:dyDescent="0.3"/>
    <row r="64" spans="2: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sheetData>
  <mergeCells count="2">
    <mergeCell ref="B30:C30"/>
    <mergeCell ref="B47:C47"/>
  </mergeCells>
  <hyperlinks>
    <hyperlink ref="G48" r:id="rId1" xr:uid="{99764EC0-490F-4A03-B5FA-04ECCDC187C1}"/>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CFDDB-292D-488C-A76E-8E000D0E82AE}">
  <dimension ref="A1:M986"/>
  <sheetViews>
    <sheetView topLeftCell="A10" workbookViewId="0">
      <selection activeCell="H18" sqref="H18"/>
    </sheetView>
  </sheetViews>
  <sheetFormatPr defaultColWidth="12.44140625" defaultRowHeight="15" customHeight="1" x14ac:dyDescent="0.3"/>
  <cols>
    <col min="1" max="1" width="2.6640625" style="428" customWidth="1"/>
    <col min="2" max="2" width="35.109375" style="428" customWidth="1"/>
    <col min="3" max="3" width="22.33203125" style="428" customWidth="1"/>
    <col min="4" max="4" width="1.5546875" style="428" customWidth="1"/>
    <col min="5" max="5" width="14.6640625" style="428" customWidth="1"/>
    <col min="6" max="6" width="7.33203125" style="428" customWidth="1"/>
    <col min="7" max="7" width="34" style="428" customWidth="1"/>
    <col min="8" max="9" width="24" style="428" bestFit="1" customWidth="1"/>
    <col min="10" max="10" width="24.109375" style="428" bestFit="1" customWidth="1"/>
    <col min="11" max="11" width="1.5546875" style="428" customWidth="1"/>
    <col min="12" max="12" width="15.21875" style="428" customWidth="1"/>
    <col min="13" max="13" width="11.6640625" style="428" customWidth="1"/>
    <col min="14" max="16384" width="12.44140625" style="428"/>
  </cols>
  <sheetData>
    <row r="1" spans="1:13" ht="21.75" customHeight="1" x14ac:dyDescent="0.35">
      <c r="A1" s="424"/>
      <c r="B1" s="425" t="s">
        <v>549</v>
      </c>
      <c r="D1" s="427"/>
      <c r="F1" s="427"/>
      <c r="K1" s="427"/>
    </row>
    <row r="2" spans="1:13" ht="15.75" customHeight="1" x14ac:dyDescent="0.3">
      <c r="A2" s="424"/>
      <c r="B2" s="429" t="s">
        <v>299</v>
      </c>
      <c r="C2" s="430"/>
      <c r="D2" s="430"/>
      <c r="E2" s="430"/>
      <c r="F2" s="430"/>
      <c r="G2" s="430"/>
      <c r="H2" s="430"/>
      <c r="I2" s="430"/>
      <c r="J2" s="430"/>
      <c r="K2" s="430"/>
      <c r="L2" s="430"/>
    </row>
    <row r="3" spans="1:13" ht="9.75" customHeight="1" x14ac:dyDescent="0.3">
      <c r="A3" s="427"/>
      <c r="B3" s="431"/>
      <c r="D3" s="427"/>
      <c r="F3" s="427"/>
      <c r="K3" s="427"/>
    </row>
    <row r="4" spans="1:13" ht="6" customHeight="1" x14ac:dyDescent="0.3">
      <c r="B4" s="427"/>
      <c r="D4" s="427"/>
      <c r="F4" s="427"/>
      <c r="K4" s="427"/>
    </row>
    <row r="5" spans="1:13" ht="6" customHeight="1" x14ac:dyDescent="0.3">
      <c r="A5" s="431"/>
      <c r="D5" s="427"/>
      <c r="F5" s="427"/>
      <c r="K5" s="427"/>
    </row>
    <row r="6" spans="1:13" ht="15.75" customHeight="1" x14ac:dyDescent="0.3">
      <c r="D6" s="427"/>
      <c r="E6" s="427"/>
      <c r="F6" s="427"/>
      <c r="K6" s="427"/>
    </row>
    <row r="7" spans="1:13" ht="37.200000000000003" customHeight="1" x14ac:dyDescent="0.3">
      <c r="A7" s="432"/>
      <c r="B7" s="433">
        <v>2024</v>
      </c>
      <c r="C7" s="1090" t="s">
        <v>22</v>
      </c>
      <c r="D7" s="1980"/>
      <c r="E7" s="435" t="s">
        <v>300</v>
      </c>
      <c r="F7" s="432"/>
      <c r="G7" s="1256">
        <v>2024</v>
      </c>
      <c r="H7" s="4412" t="s">
        <v>23</v>
      </c>
      <c r="I7" s="4413"/>
      <c r="J7" s="4414"/>
      <c r="K7" s="1981"/>
      <c r="L7" s="435" t="s">
        <v>300</v>
      </c>
      <c r="M7" s="432"/>
    </row>
    <row r="8" spans="1:13" ht="18" customHeight="1" x14ac:dyDescent="0.35">
      <c r="B8" s="436" t="s">
        <v>301</v>
      </c>
      <c r="C8" s="572">
        <v>1</v>
      </c>
      <c r="D8" s="427"/>
      <c r="E8" s="438"/>
      <c r="F8" s="427"/>
      <c r="G8" s="436" t="s">
        <v>301</v>
      </c>
      <c r="H8" s="1257">
        <v>1</v>
      </c>
      <c r="I8" s="1982">
        <v>2</v>
      </c>
      <c r="J8" s="1983">
        <v>3</v>
      </c>
      <c r="K8" s="610"/>
      <c r="L8" s="438"/>
    </row>
    <row r="9" spans="1:13" ht="46.5" customHeight="1" x14ac:dyDescent="0.3">
      <c r="B9" s="439" t="s">
        <v>302</v>
      </c>
      <c r="C9" s="573" t="s">
        <v>1188</v>
      </c>
      <c r="D9" s="574"/>
      <c r="E9" s="442"/>
      <c r="F9" s="443"/>
      <c r="G9" s="439" t="s">
        <v>302</v>
      </c>
      <c r="H9" s="1645" t="s">
        <v>1189</v>
      </c>
      <c r="I9" s="1984" t="s">
        <v>1190</v>
      </c>
      <c r="J9" s="1122" t="s">
        <v>1191</v>
      </c>
      <c r="K9" s="611"/>
      <c r="L9" s="442"/>
    </row>
    <row r="10" spans="1:13" ht="55.2" customHeight="1" x14ac:dyDescent="0.3">
      <c r="B10" s="444" t="s">
        <v>304</v>
      </c>
      <c r="C10" s="445" t="s">
        <v>1192</v>
      </c>
      <c r="D10" s="574"/>
      <c r="E10" s="446"/>
      <c r="F10" s="443"/>
      <c r="G10" s="444" t="s">
        <v>304</v>
      </c>
      <c r="H10" s="1647" t="s">
        <v>1193</v>
      </c>
      <c r="I10" s="1985" t="s">
        <v>1194</v>
      </c>
      <c r="J10" s="1125" t="s">
        <v>1195</v>
      </c>
      <c r="K10" s="612"/>
      <c r="L10" s="446"/>
    </row>
    <row r="11" spans="1:13" ht="18.75" customHeight="1" x14ac:dyDescent="0.3">
      <c r="A11" s="447"/>
      <c r="B11" s="448" t="s">
        <v>306</v>
      </c>
      <c r="C11" s="575">
        <f t="shared" ref="C11" si="0">(C17*C18)</f>
        <v>97.337976558189382</v>
      </c>
      <c r="D11" s="576"/>
      <c r="E11" s="451">
        <f>SUM(C11:C11)</f>
        <v>97.337976558189382</v>
      </c>
      <c r="F11" s="452"/>
      <c r="G11" s="448" t="s">
        <v>306</v>
      </c>
      <c r="H11" s="1089">
        <f>(H17*H18)</f>
        <v>3250.6341518405129</v>
      </c>
      <c r="I11" s="1986">
        <f t="shared" ref="I11:J11" si="1">(I17*I18)</f>
        <v>29419.708403280034</v>
      </c>
      <c r="J11" s="1089">
        <f t="shared" si="1"/>
        <v>921.01540369191491</v>
      </c>
      <c r="K11" s="614"/>
      <c r="L11" s="451">
        <f>SUM(H11:J11)</f>
        <v>33591.357958812463</v>
      </c>
      <c r="M11" s="447"/>
    </row>
    <row r="12" spans="1:13" ht="18.75" customHeight="1" x14ac:dyDescent="0.3">
      <c r="A12" s="447"/>
      <c r="B12" s="453" t="s">
        <v>307</v>
      </c>
      <c r="C12" s="577">
        <f t="shared" ref="C12" si="2">(C22*C23)</f>
        <v>0</v>
      </c>
      <c r="D12" s="455"/>
      <c r="E12" s="456">
        <f>SUM(C12:C12)</f>
        <v>0</v>
      </c>
      <c r="F12" s="457"/>
      <c r="G12" s="453" t="s">
        <v>307</v>
      </c>
      <c r="H12" s="653">
        <f>(H22*H23)</f>
        <v>0</v>
      </c>
      <c r="I12" s="1987">
        <f t="shared" ref="I12:J12" si="3">(I22*I23)</f>
        <v>0</v>
      </c>
      <c r="J12" s="652">
        <f t="shared" si="3"/>
        <v>0</v>
      </c>
      <c r="K12" s="614"/>
      <c r="L12" s="1988">
        <f>SUM(H12:J12)</f>
        <v>0</v>
      </c>
      <c r="M12" s="447"/>
    </row>
    <row r="13" spans="1:13" ht="18.75" customHeight="1" x14ac:dyDescent="0.3">
      <c r="A13" s="447"/>
      <c r="B13" s="448" t="s">
        <v>308</v>
      </c>
      <c r="C13" s="578" t="s">
        <v>8</v>
      </c>
      <c r="D13" s="459"/>
      <c r="E13" s="460"/>
      <c r="F13" s="461"/>
      <c r="G13" s="448" t="s">
        <v>308</v>
      </c>
      <c r="H13" s="654" t="s">
        <v>8</v>
      </c>
      <c r="I13" s="1989" t="s">
        <v>8</v>
      </c>
      <c r="J13" s="654" t="s">
        <v>8</v>
      </c>
      <c r="K13" s="615"/>
      <c r="L13" s="460"/>
      <c r="M13" s="447"/>
    </row>
    <row r="14" spans="1:13" ht="18.75" customHeight="1" x14ac:dyDescent="0.3">
      <c r="A14" s="447"/>
      <c r="B14" s="462" t="s">
        <v>309</v>
      </c>
      <c r="C14" s="579">
        <f t="shared" ref="C14" si="4">C11-C12</f>
        <v>97.337976558189382</v>
      </c>
      <c r="D14" s="455"/>
      <c r="E14" s="464">
        <f>SUM(C14:C14)</f>
        <v>97.337976558189382</v>
      </c>
      <c r="F14" s="457"/>
      <c r="G14" s="462" t="s">
        <v>309</v>
      </c>
      <c r="H14" s="655">
        <f t="shared" ref="H14:J14" si="5">H11-H12</f>
        <v>3250.6341518405129</v>
      </c>
      <c r="I14" s="1990">
        <f t="shared" si="5"/>
        <v>29419.708403280034</v>
      </c>
      <c r="J14" s="655">
        <f t="shared" si="5"/>
        <v>921.01540369191491</v>
      </c>
      <c r="K14" s="614"/>
      <c r="L14" s="464">
        <f>SUM(H14:J14)</f>
        <v>33591.357958812463</v>
      </c>
      <c r="M14" s="447"/>
    </row>
    <row r="15" spans="1:13" ht="19.5" customHeight="1" x14ac:dyDescent="0.4">
      <c r="B15" s="465" t="s">
        <v>310</v>
      </c>
      <c r="C15" s="657"/>
      <c r="D15" s="467"/>
      <c r="E15" s="468"/>
      <c r="F15" s="467"/>
      <c r="G15" s="616" t="s">
        <v>395</v>
      </c>
      <c r="H15" s="659"/>
      <c r="I15" s="1991"/>
      <c r="J15" s="659"/>
      <c r="K15" s="618"/>
      <c r="L15" s="468"/>
      <c r="M15" s="427"/>
    </row>
    <row r="16" spans="1:13" ht="35.4" customHeight="1" x14ac:dyDescent="0.3">
      <c r="A16" s="447"/>
      <c r="B16" s="469" t="s">
        <v>311</v>
      </c>
      <c r="C16" s="601" t="s">
        <v>1108</v>
      </c>
      <c r="D16" s="581"/>
      <c r="E16" s="471"/>
      <c r="F16" s="457"/>
      <c r="G16" s="469" t="s">
        <v>311</v>
      </c>
      <c r="H16" s="1094" t="s">
        <v>397</v>
      </c>
      <c r="I16" s="1094" t="s">
        <v>397</v>
      </c>
      <c r="J16" s="1094" t="s">
        <v>397</v>
      </c>
      <c r="K16" s="619"/>
      <c r="L16" s="620"/>
      <c r="M16" s="447"/>
    </row>
    <row r="17" spans="1:13" ht="21" customHeight="1" x14ac:dyDescent="0.3">
      <c r="A17" s="447"/>
      <c r="B17" s="472" t="s">
        <v>313</v>
      </c>
      <c r="C17" s="660">
        <f>'CF-0902|GDS'!I12</f>
        <v>35105.541178346408</v>
      </c>
      <c r="D17" s="583"/>
      <c r="F17" s="475"/>
      <c r="G17" s="472" t="s">
        <v>398</v>
      </c>
      <c r="H17" s="1992">
        <f>'CF-0902|GDS'!I32</f>
        <v>4006.91</v>
      </c>
      <c r="I17" s="1993">
        <f>'CF-0902|GDS'!I33</f>
        <v>36264.346675691508</v>
      </c>
      <c r="J17" s="1994">
        <f>'CF-0902|GDS'!I34</f>
        <v>1135.2941176470588</v>
      </c>
      <c r="K17" s="622"/>
      <c r="L17" s="623"/>
      <c r="M17" s="447"/>
    </row>
    <row r="18" spans="1:13" ht="18.75" customHeight="1" x14ac:dyDescent="0.3">
      <c r="A18" s="447"/>
      <c r="B18" s="476" t="s">
        <v>314</v>
      </c>
      <c r="C18" s="584">
        <v>2.7727240000000003E-3</v>
      </c>
      <c r="D18" s="478"/>
      <c r="F18" s="479"/>
      <c r="G18" s="476" t="s">
        <v>314</v>
      </c>
      <c r="H18" s="1995">
        <v>0.81125709133484736</v>
      </c>
      <c r="I18" s="1995">
        <v>0.81125709133484736</v>
      </c>
      <c r="J18" s="1995">
        <v>0.81125709133484736</v>
      </c>
      <c r="K18" s="614"/>
      <c r="L18" s="491"/>
      <c r="M18" s="447"/>
    </row>
    <row r="19" spans="1:13" ht="19.5" customHeight="1" x14ac:dyDescent="0.3">
      <c r="A19" s="447"/>
      <c r="B19" s="480" t="s">
        <v>315</v>
      </c>
      <c r="C19" s="664">
        <f>C17*C18</f>
        <v>97.337976558189382</v>
      </c>
      <c r="D19" s="586"/>
      <c r="F19" s="479"/>
      <c r="G19" s="480" t="s">
        <v>315</v>
      </c>
      <c r="H19" s="664">
        <f>H17*H18</f>
        <v>3250.6341518405129</v>
      </c>
      <c r="I19" s="1092">
        <f t="shared" ref="I19:J19" si="6">I17*I18</f>
        <v>29419.708403280034</v>
      </c>
      <c r="J19" s="664">
        <f t="shared" si="6"/>
        <v>921.01540369191491</v>
      </c>
      <c r="K19" s="614"/>
      <c r="L19" s="494"/>
      <c r="M19" s="647"/>
    </row>
    <row r="20" spans="1:13" ht="21" customHeight="1" x14ac:dyDescent="0.4">
      <c r="B20" s="465" t="s">
        <v>316</v>
      </c>
      <c r="C20" s="587"/>
      <c r="D20" s="483"/>
      <c r="E20" s="484"/>
      <c r="F20" s="483"/>
      <c r="G20" s="465" t="s">
        <v>316</v>
      </c>
      <c r="H20" s="665"/>
      <c r="I20" s="1996"/>
      <c r="J20" s="665"/>
      <c r="K20" s="618"/>
      <c r="L20" s="495"/>
    </row>
    <row r="21" spans="1:13" ht="32.4" customHeight="1" x14ac:dyDescent="0.3">
      <c r="A21" s="447"/>
      <c r="B21" s="469" t="s">
        <v>183</v>
      </c>
      <c r="C21" s="601" t="s">
        <v>1108</v>
      </c>
      <c r="D21" s="588"/>
      <c r="E21" s="485"/>
      <c r="F21" s="479"/>
      <c r="G21" s="469" t="s">
        <v>183</v>
      </c>
      <c r="H21" s="1094" t="s">
        <v>1196</v>
      </c>
      <c r="I21" s="1094" t="s">
        <v>1196</v>
      </c>
      <c r="J21" s="1094" t="s">
        <v>1196</v>
      </c>
      <c r="K21" s="614"/>
      <c r="L21" s="496"/>
      <c r="M21" s="447"/>
    </row>
    <row r="22" spans="1:13" ht="21" customHeight="1" x14ac:dyDescent="0.3">
      <c r="A22" s="447"/>
      <c r="B22" s="486" t="s">
        <v>369</v>
      </c>
      <c r="C22" s="589">
        <v>0</v>
      </c>
      <c r="D22" s="479"/>
      <c r="E22" s="488"/>
      <c r="F22" s="479"/>
      <c r="G22" s="486" t="s">
        <v>398</v>
      </c>
      <c r="H22" s="666">
        <f>H17</f>
        <v>4006.91</v>
      </c>
      <c r="I22" s="1997">
        <f t="shared" ref="I22:J22" si="7">I17</f>
        <v>36264.346675691508</v>
      </c>
      <c r="J22" s="666">
        <f t="shared" si="7"/>
        <v>1135.2941176470588</v>
      </c>
      <c r="K22" s="622"/>
      <c r="L22" s="623"/>
      <c r="M22" s="447"/>
    </row>
    <row r="23" spans="1:13" ht="21" customHeight="1" x14ac:dyDescent="0.3">
      <c r="A23" s="447"/>
      <c r="B23" s="489" t="s">
        <v>314</v>
      </c>
      <c r="C23" s="590">
        <f>C18</f>
        <v>2.7727240000000003E-3</v>
      </c>
      <c r="D23" s="588"/>
      <c r="E23" s="491"/>
      <c r="F23" s="479"/>
      <c r="G23" s="489" t="s">
        <v>314</v>
      </c>
      <c r="H23" s="669">
        <v>0</v>
      </c>
      <c r="I23" s="1998">
        <v>0</v>
      </c>
      <c r="J23" s="1148">
        <v>0</v>
      </c>
      <c r="K23" s="614"/>
      <c r="L23" s="491"/>
      <c r="M23" s="447"/>
    </row>
    <row r="24" spans="1:13" ht="21" customHeight="1" x14ac:dyDescent="0.3">
      <c r="A24" s="447"/>
      <c r="B24" s="492" t="s">
        <v>315</v>
      </c>
      <c r="C24" s="668">
        <f t="shared" ref="C24" si="8">C22*C23</f>
        <v>0</v>
      </c>
      <c r="D24" s="588"/>
      <c r="E24" s="494"/>
      <c r="F24" s="479"/>
      <c r="G24" s="492" t="s">
        <v>315</v>
      </c>
      <c r="H24" s="1698">
        <f t="shared" ref="H24:J24" si="9">H22*H23</f>
        <v>0</v>
      </c>
      <c r="I24" s="1999">
        <f t="shared" si="9"/>
        <v>0</v>
      </c>
      <c r="J24" s="2000">
        <f t="shared" si="9"/>
        <v>0</v>
      </c>
      <c r="K24" s="614"/>
      <c r="L24" s="494"/>
      <c r="M24" s="447"/>
    </row>
    <row r="25" spans="1:13" ht="28.5" customHeight="1" x14ac:dyDescent="0.3">
      <c r="A25" s="447"/>
      <c r="B25" s="498" t="s">
        <v>320</v>
      </c>
      <c r="C25" s="592" t="s">
        <v>321</v>
      </c>
      <c r="D25" s="593"/>
      <c r="E25" s="501"/>
      <c r="F25" s="500"/>
      <c r="G25" s="2001" t="s">
        <v>320</v>
      </c>
      <c r="H25" s="2002" t="s">
        <v>401</v>
      </c>
      <c r="I25" s="2002" t="s">
        <v>401</v>
      </c>
      <c r="J25" s="1152" t="s">
        <v>401</v>
      </c>
      <c r="K25" s="614"/>
      <c r="L25" s="496"/>
      <c r="M25" s="447"/>
    </row>
    <row r="26" spans="1:13" ht="24" customHeight="1" x14ac:dyDescent="0.3">
      <c r="B26" s="502" t="s">
        <v>322</v>
      </c>
      <c r="C26" s="594">
        <v>3</v>
      </c>
      <c r="D26" s="504"/>
      <c r="E26" s="505"/>
      <c r="F26" s="504"/>
      <c r="G26" s="2003" t="s">
        <v>322</v>
      </c>
      <c r="H26" s="2004">
        <v>13</v>
      </c>
      <c r="I26" s="2004">
        <v>13</v>
      </c>
      <c r="J26" s="674">
        <v>13</v>
      </c>
      <c r="K26" s="618"/>
      <c r="L26" s="495"/>
    </row>
    <row r="27" spans="1:13" ht="33" customHeight="1" x14ac:dyDescent="0.3">
      <c r="A27" s="447"/>
      <c r="B27" s="506" t="s">
        <v>323</v>
      </c>
      <c r="C27" s="595" t="s">
        <v>324</v>
      </c>
      <c r="D27" s="479"/>
      <c r="E27" s="496"/>
      <c r="F27" s="479"/>
      <c r="G27" s="2005" t="s">
        <v>323</v>
      </c>
      <c r="H27" s="2006" t="s">
        <v>324</v>
      </c>
      <c r="I27" s="2006" t="s">
        <v>324</v>
      </c>
      <c r="J27" s="496" t="s">
        <v>324</v>
      </c>
      <c r="K27" s="614"/>
      <c r="L27" s="496"/>
      <c r="M27" s="447"/>
    </row>
    <row r="28" spans="1:13" ht="33" customHeight="1" x14ac:dyDescent="0.3">
      <c r="A28" s="447"/>
      <c r="B28" s="508" t="s">
        <v>325</v>
      </c>
      <c r="C28" s="596" t="s">
        <v>326</v>
      </c>
      <c r="D28" s="479"/>
      <c r="E28" s="496"/>
      <c r="F28" s="479"/>
      <c r="G28" s="2007" t="s">
        <v>325</v>
      </c>
      <c r="H28" s="2004" t="s">
        <v>326</v>
      </c>
      <c r="I28" s="2004" t="s">
        <v>326</v>
      </c>
      <c r="J28" s="674" t="s">
        <v>326</v>
      </c>
      <c r="K28" s="614"/>
      <c r="L28" s="496"/>
      <c r="M28" s="447"/>
    </row>
    <row r="29" spans="1:13" ht="33" customHeight="1" x14ac:dyDescent="0.3">
      <c r="A29" s="447"/>
      <c r="B29" s="506" t="s">
        <v>327</v>
      </c>
      <c r="C29" s="595" t="s">
        <v>328</v>
      </c>
      <c r="D29" s="479"/>
      <c r="E29" s="496"/>
      <c r="F29" s="479"/>
      <c r="G29" s="2005" t="s">
        <v>327</v>
      </c>
      <c r="H29" s="2006" t="s">
        <v>402</v>
      </c>
      <c r="I29" s="2006" t="s">
        <v>1215</v>
      </c>
      <c r="J29" s="1156" t="s">
        <v>1215</v>
      </c>
      <c r="K29" s="614"/>
      <c r="L29" s="496"/>
      <c r="M29" s="447"/>
    </row>
    <row r="30" spans="1:13" ht="21" customHeight="1" x14ac:dyDescent="0.3">
      <c r="B30" s="510" t="s">
        <v>329</v>
      </c>
      <c r="C30" s="596">
        <v>1</v>
      </c>
      <c r="D30" s="467"/>
      <c r="E30" s="467"/>
      <c r="F30" s="467"/>
      <c r="G30" s="2008" t="s">
        <v>329</v>
      </c>
      <c r="H30" s="2004">
        <v>1</v>
      </c>
      <c r="I30" s="2004">
        <v>7</v>
      </c>
      <c r="J30" s="1154">
        <v>2</v>
      </c>
      <c r="K30" s="618"/>
      <c r="L30" s="467"/>
    </row>
    <row r="31" spans="1:13" ht="21" customHeight="1" x14ac:dyDescent="0.3">
      <c r="B31" s="453" t="s">
        <v>330</v>
      </c>
      <c r="C31" s="595" t="s">
        <v>324</v>
      </c>
      <c r="D31" s="483"/>
      <c r="E31" s="495"/>
      <c r="F31" s="483"/>
      <c r="G31" s="2009" t="s">
        <v>330</v>
      </c>
      <c r="H31" s="2006" t="s">
        <v>324</v>
      </c>
      <c r="I31" s="2006" t="s">
        <v>324</v>
      </c>
      <c r="J31" s="496" t="s">
        <v>324</v>
      </c>
      <c r="K31" s="618"/>
      <c r="L31" s="495"/>
    </row>
    <row r="32" spans="1:13" ht="21" customHeight="1" x14ac:dyDescent="0.3">
      <c r="B32" s="510" t="s">
        <v>331</v>
      </c>
      <c r="C32" s="596" t="s">
        <v>324</v>
      </c>
      <c r="D32" s="483"/>
      <c r="E32" s="495"/>
      <c r="F32" s="483"/>
      <c r="G32" s="2008" t="s">
        <v>331</v>
      </c>
      <c r="H32" s="2004" t="s">
        <v>324</v>
      </c>
      <c r="I32" s="2004" t="s">
        <v>324</v>
      </c>
      <c r="J32" s="674" t="s">
        <v>324</v>
      </c>
      <c r="K32" s="618"/>
      <c r="L32" s="495"/>
    </row>
    <row r="33" spans="2:12" ht="21" customHeight="1" x14ac:dyDescent="0.3">
      <c r="B33" s="462" t="s">
        <v>332</v>
      </c>
      <c r="C33" s="555" t="s">
        <v>333</v>
      </c>
      <c r="D33" s="483"/>
      <c r="E33" s="495"/>
      <c r="F33" s="483"/>
      <c r="G33" s="2009" t="s">
        <v>332</v>
      </c>
      <c r="H33" s="2006" t="s">
        <v>333</v>
      </c>
      <c r="I33" s="2006" t="s">
        <v>333</v>
      </c>
      <c r="J33" s="496" t="s">
        <v>333</v>
      </c>
      <c r="K33" s="618"/>
      <c r="L33" s="495"/>
    </row>
    <row r="34" spans="2:12" ht="15.75" customHeight="1" x14ac:dyDescent="0.3">
      <c r="B34" s="427"/>
      <c r="C34" s="427"/>
      <c r="D34" s="483"/>
      <c r="E34" s="483"/>
      <c r="F34" s="483"/>
      <c r="G34" s="2010" t="s">
        <v>840</v>
      </c>
      <c r="H34" s="2022">
        <f>H14/H30</f>
        <v>3250.6341518405129</v>
      </c>
      <c r="I34" s="2022">
        <f>I14/I30</f>
        <v>4202.8154861828616</v>
      </c>
      <c r="J34" s="2023">
        <f>J14/J30</f>
        <v>460.50770184595746</v>
      </c>
      <c r="K34" s="427"/>
      <c r="L34" s="427"/>
    </row>
    <row r="35" spans="2:12" ht="15.75" customHeight="1" x14ac:dyDescent="0.3">
      <c r="B35" s="512" t="s">
        <v>334</v>
      </c>
      <c r="C35" s="427"/>
      <c r="D35" s="483"/>
      <c r="E35" s="483"/>
      <c r="F35" s="483"/>
      <c r="K35" s="427"/>
      <c r="L35" s="427"/>
    </row>
    <row r="36" spans="2:12" ht="15.75" customHeight="1" x14ac:dyDescent="0.3">
      <c r="B36" s="512" t="s">
        <v>335</v>
      </c>
      <c r="C36" s="427"/>
      <c r="D36" s="483"/>
      <c r="E36" s="483"/>
      <c r="F36" s="483"/>
      <c r="K36" s="427"/>
      <c r="L36" s="427"/>
    </row>
    <row r="37" spans="2:12" ht="15.75" customHeight="1" x14ac:dyDescent="0.3">
      <c r="B37" s="512" t="s">
        <v>336</v>
      </c>
      <c r="C37" s="427"/>
      <c r="D37" s="483"/>
      <c r="E37" s="483"/>
      <c r="F37" s="483"/>
      <c r="K37" s="427"/>
      <c r="L37" s="427"/>
    </row>
    <row r="38" spans="2:12" ht="15.75" customHeight="1" x14ac:dyDescent="0.3">
      <c r="B38" s="512" t="s">
        <v>337</v>
      </c>
      <c r="C38" s="427"/>
      <c r="D38" s="483"/>
      <c r="E38" s="483"/>
      <c r="F38" s="483"/>
      <c r="K38" s="427"/>
      <c r="L38" s="427"/>
    </row>
    <row r="39" spans="2:12" ht="15.75" customHeight="1" x14ac:dyDescent="0.3">
      <c r="B39" s="512" t="s">
        <v>338</v>
      </c>
      <c r="D39" s="427"/>
      <c r="F39" s="427"/>
      <c r="K39" s="427"/>
      <c r="L39" s="427"/>
    </row>
    <row r="40" spans="2:12" ht="15.75" customHeight="1" x14ac:dyDescent="0.3">
      <c r="B40" s="512" t="s">
        <v>339</v>
      </c>
      <c r="D40" s="427"/>
      <c r="F40" s="427"/>
      <c r="K40" s="427"/>
      <c r="L40" s="427"/>
    </row>
    <row r="41" spans="2:12" ht="15.75" customHeight="1" x14ac:dyDescent="0.3">
      <c r="D41" s="427"/>
      <c r="F41" s="427"/>
      <c r="K41" s="427"/>
      <c r="L41" s="427"/>
    </row>
    <row r="42" spans="2:12" ht="15.75" customHeight="1" x14ac:dyDescent="0.3">
      <c r="D42" s="427"/>
      <c r="F42" s="427"/>
      <c r="K42" s="427"/>
      <c r="L42" s="427"/>
    </row>
    <row r="43" spans="2:12" ht="15.75" customHeight="1" x14ac:dyDescent="0.3">
      <c r="D43" s="427"/>
      <c r="F43" s="427"/>
      <c r="K43" s="427"/>
      <c r="L43" s="427"/>
    </row>
    <row r="44" spans="2:12" ht="15.75" customHeight="1" x14ac:dyDescent="0.3">
      <c r="D44" s="427"/>
      <c r="F44" s="427"/>
      <c r="K44" s="427"/>
    </row>
    <row r="45" spans="2:12" ht="15.75" customHeight="1" x14ac:dyDescent="0.3">
      <c r="D45" s="427"/>
      <c r="F45" s="427"/>
      <c r="K45" s="427"/>
    </row>
    <row r="46" spans="2:12" ht="15.75" customHeight="1" x14ac:dyDescent="0.3">
      <c r="D46" s="427"/>
      <c r="F46" s="427"/>
      <c r="K46" s="427"/>
    </row>
    <row r="47" spans="2:12" ht="15.75" customHeight="1" x14ac:dyDescent="0.3">
      <c r="D47" s="427"/>
      <c r="F47" s="427"/>
      <c r="K47" s="427"/>
    </row>
    <row r="48" spans="2:12" ht="15.75" customHeight="1" x14ac:dyDescent="0.3">
      <c r="D48" s="427"/>
      <c r="F48" s="427"/>
      <c r="K48" s="427"/>
    </row>
    <row r="49" spans="4:11" ht="15.75" customHeight="1" x14ac:dyDescent="0.3">
      <c r="D49" s="427"/>
      <c r="F49" s="427"/>
      <c r="K49" s="427"/>
    </row>
    <row r="50" spans="4:11" ht="15.75" customHeight="1" x14ac:dyDescent="0.3">
      <c r="D50" s="427"/>
      <c r="F50" s="427"/>
      <c r="K50" s="427"/>
    </row>
    <row r="51" spans="4:11" ht="15.75" customHeight="1" x14ac:dyDescent="0.3">
      <c r="D51" s="427"/>
      <c r="F51" s="427"/>
      <c r="K51" s="427"/>
    </row>
    <row r="52" spans="4:11" ht="15.75" customHeight="1" x14ac:dyDescent="0.3">
      <c r="D52" s="427"/>
      <c r="F52" s="427"/>
      <c r="K52" s="427"/>
    </row>
    <row r="53" spans="4:11" ht="15.75" customHeight="1" x14ac:dyDescent="0.3">
      <c r="D53" s="427"/>
      <c r="F53" s="427"/>
      <c r="K53" s="427"/>
    </row>
    <row r="54" spans="4:11" ht="15.75" customHeight="1" x14ac:dyDescent="0.3">
      <c r="D54" s="427"/>
      <c r="F54" s="427"/>
      <c r="K54" s="427"/>
    </row>
    <row r="55" spans="4:11" ht="15.75" customHeight="1" x14ac:dyDescent="0.3">
      <c r="D55" s="427"/>
      <c r="F55" s="427"/>
      <c r="K55" s="427"/>
    </row>
    <row r="56" spans="4:11" ht="15.75" customHeight="1" x14ac:dyDescent="0.3">
      <c r="D56" s="427"/>
      <c r="F56" s="427"/>
      <c r="K56" s="427"/>
    </row>
    <row r="57" spans="4:11" ht="15.75" customHeight="1" x14ac:dyDescent="0.3">
      <c r="D57" s="427"/>
      <c r="F57" s="427"/>
      <c r="K57" s="427"/>
    </row>
    <row r="58" spans="4:11" ht="15.75" customHeight="1" x14ac:dyDescent="0.3">
      <c r="D58" s="427"/>
      <c r="F58" s="427"/>
      <c r="K58" s="427"/>
    </row>
    <row r="59" spans="4:11" ht="15.75" customHeight="1" x14ac:dyDescent="0.3">
      <c r="D59" s="427"/>
      <c r="F59" s="427"/>
      <c r="K59" s="427"/>
    </row>
    <row r="60" spans="4:11" ht="15.75" customHeight="1" x14ac:dyDescent="0.3">
      <c r="D60" s="427"/>
      <c r="F60" s="427"/>
      <c r="K60" s="427"/>
    </row>
    <row r="61" spans="4:11" ht="15.75" customHeight="1" x14ac:dyDescent="0.3">
      <c r="D61" s="427"/>
      <c r="F61" s="427"/>
      <c r="K61" s="427"/>
    </row>
    <row r="62" spans="4:11" ht="15.75" customHeight="1" x14ac:dyDescent="0.3">
      <c r="D62" s="427"/>
      <c r="F62" s="427"/>
      <c r="K62" s="427"/>
    </row>
    <row r="63" spans="4:11" ht="15.75" customHeight="1" x14ac:dyDescent="0.3">
      <c r="D63" s="427"/>
      <c r="F63" s="427"/>
      <c r="K63" s="427"/>
    </row>
    <row r="64" spans="4:11" ht="15.75" customHeight="1" x14ac:dyDescent="0.3">
      <c r="D64" s="427"/>
      <c r="F64" s="427"/>
      <c r="K64" s="427"/>
    </row>
    <row r="65" spans="4:11" ht="15.75" customHeight="1" x14ac:dyDescent="0.3">
      <c r="D65" s="427"/>
      <c r="F65" s="427"/>
      <c r="K65" s="427"/>
    </row>
    <row r="66" spans="4:11" ht="15.75" customHeight="1" x14ac:dyDescent="0.3">
      <c r="D66" s="427"/>
      <c r="F66" s="427"/>
      <c r="K66" s="427"/>
    </row>
    <row r="67" spans="4:11" ht="15.75" customHeight="1" x14ac:dyDescent="0.3">
      <c r="D67" s="427"/>
      <c r="F67" s="427"/>
      <c r="K67" s="427"/>
    </row>
    <row r="68" spans="4:11" ht="15.75" customHeight="1" x14ac:dyDescent="0.3">
      <c r="D68" s="427"/>
      <c r="F68" s="427"/>
      <c r="K68" s="427"/>
    </row>
    <row r="69" spans="4:11" ht="15.75" customHeight="1" x14ac:dyDescent="0.3">
      <c r="D69" s="427"/>
      <c r="F69" s="427"/>
      <c r="K69" s="427"/>
    </row>
    <row r="70" spans="4:11" ht="15.75" customHeight="1" x14ac:dyDescent="0.3">
      <c r="D70" s="427"/>
      <c r="F70" s="427"/>
      <c r="K70" s="427"/>
    </row>
    <row r="71" spans="4:11" ht="15.75" customHeight="1" x14ac:dyDescent="0.3">
      <c r="D71" s="427"/>
      <c r="F71" s="427"/>
      <c r="K71" s="427"/>
    </row>
    <row r="72" spans="4:11" ht="15.75" customHeight="1" x14ac:dyDescent="0.3">
      <c r="D72" s="427"/>
      <c r="F72" s="427"/>
      <c r="K72" s="427"/>
    </row>
    <row r="73" spans="4:11" ht="15.75" customHeight="1" x14ac:dyDescent="0.3">
      <c r="D73" s="427"/>
      <c r="F73" s="427"/>
      <c r="K73" s="427"/>
    </row>
    <row r="74" spans="4:11" ht="15.75" customHeight="1" x14ac:dyDescent="0.3">
      <c r="D74" s="427"/>
      <c r="F74" s="427"/>
      <c r="K74" s="427"/>
    </row>
    <row r="75" spans="4:11" ht="15.75" customHeight="1" x14ac:dyDescent="0.3">
      <c r="D75" s="427"/>
      <c r="F75" s="427"/>
      <c r="K75" s="427"/>
    </row>
    <row r="76" spans="4:11" ht="15.75" customHeight="1" x14ac:dyDescent="0.3">
      <c r="D76" s="427"/>
      <c r="F76" s="427"/>
      <c r="K76" s="427"/>
    </row>
    <row r="77" spans="4:11" ht="15.75" customHeight="1" x14ac:dyDescent="0.3">
      <c r="D77" s="427"/>
      <c r="F77" s="427"/>
      <c r="K77" s="427"/>
    </row>
    <row r="78" spans="4:11" ht="15.75" customHeight="1" x14ac:dyDescent="0.3">
      <c r="D78" s="427"/>
      <c r="F78" s="427"/>
      <c r="K78" s="427"/>
    </row>
    <row r="79" spans="4:11" ht="15.75" customHeight="1" x14ac:dyDescent="0.3">
      <c r="D79" s="427"/>
      <c r="F79" s="427"/>
      <c r="K79" s="427"/>
    </row>
    <row r="80" spans="4:11" ht="15.75" customHeight="1" x14ac:dyDescent="0.3">
      <c r="D80" s="427"/>
      <c r="F80" s="427"/>
      <c r="K80" s="427"/>
    </row>
    <row r="81" spans="4:11" ht="15.75" customHeight="1" x14ac:dyDescent="0.3">
      <c r="D81" s="427"/>
      <c r="F81" s="427"/>
      <c r="K81" s="427"/>
    </row>
    <row r="82" spans="4:11" ht="15.75" customHeight="1" x14ac:dyDescent="0.3">
      <c r="D82" s="427"/>
      <c r="F82" s="427"/>
      <c r="K82" s="427"/>
    </row>
    <row r="83" spans="4:11" ht="15.75" customHeight="1" x14ac:dyDescent="0.3">
      <c r="D83" s="427"/>
      <c r="F83" s="427"/>
      <c r="K83" s="427"/>
    </row>
    <row r="84" spans="4:11" ht="15.75" customHeight="1" x14ac:dyDescent="0.3">
      <c r="D84" s="427"/>
      <c r="F84" s="427"/>
      <c r="K84" s="427"/>
    </row>
    <row r="85" spans="4:11" ht="15.75" customHeight="1" x14ac:dyDescent="0.3">
      <c r="D85" s="427"/>
      <c r="F85" s="427"/>
      <c r="K85" s="427"/>
    </row>
    <row r="86" spans="4:11" ht="15.75" customHeight="1" x14ac:dyDescent="0.3">
      <c r="D86" s="427"/>
      <c r="F86" s="427"/>
      <c r="K86" s="427"/>
    </row>
    <row r="87" spans="4:11" ht="15.75" customHeight="1" x14ac:dyDescent="0.3">
      <c r="D87" s="427"/>
      <c r="F87" s="427"/>
      <c r="K87" s="427"/>
    </row>
    <row r="88" spans="4:11" ht="15.75" customHeight="1" x14ac:dyDescent="0.3">
      <c r="D88" s="427"/>
      <c r="F88" s="427"/>
      <c r="K88" s="427"/>
    </row>
    <row r="89" spans="4:11" ht="15.75" customHeight="1" x14ac:dyDescent="0.3">
      <c r="D89" s="427"/>
      <c r="F89" s="427"/>
      <c r="K89" s="427"/>
    </row>
    <row r="90" spans="4:11" ht="15.75" customHeight="1" x14ac:dyDescent="0.3">
      <c r="D90" s="427"/>
      <c r="F90" s="427"/>
      <c r="K90" s="427"/>
    </row>
    <row r="91" spans="4:11" ht="15.75" customHeight="1" x14ac:dyDescent="0.3">
      <c r="D91" s="427"/>
      <c r="F91" s="427"/>
      <c r="K91" s="427"/>
    </row>
    <row r="92" spans="4:11" ht="15.75" customHeight="1" x14ac:dyDescent="0.3">
      <c r="D92" s="427"/>
      <c r="F92" s="427"/>
      <c r="K92" s="427"/>
    </row>
    <row r="93" spans="4:11" ht="15.75" customHeight="1" x14ac:dyDescent="0.3">
      <c r="D93" s="427"/>
      <c r="F93" s="427"/>
      <c r="K93" s="427"/>
    </row>
    <row r="94" spans="4:11" ht="15.75" customHeight="1" x14ac:dyDescent="0.3">
      <c r="D94" s="427"/>
      <c r="F94" s="427"/>
      <c r="K94" s="427"/>
    </row>
    <row r="95" spans="4:11" ht="15.75" customHeight="1" x14ac:dyDescent="0.3">
      <c r="D95" s="427"/>
      <c r="F95" s="427"/>
      <c r="K95" s="427"/>
    </row>
    <row r="96" spans="4:11" ht="15.75" customHeight="1" x14ac:dyDescent="0.3">
      <c r="D96" s="427"/>
      <c r="F96" s="427"/>
      <c r="K96" s="427"/>
    </row>
    <row r="97" spans="4:11" ht="15.75" customHeight="1" x14ac:dyDescent="0.3">
      <c r="D97" s="427"/>
      <c r="F97" s="427"/>
      <c r="K97" s="427"/>
    </row>
    <row r="98" spans="4:11" ht="15.75" customHeight="1" x14ac:dyDescent="0.3">
      <c r="D98" s="427"/>
      <c r="F98" s="427"/>
      <c r="K98" s="427"/>
    </row>
    <row r="99" spans="4:11" ht="15.75" customHeight="1" x14ac:dyDescent="0.3">
      <c r="D99" s="427"/>
      <c r="F99" s="427"/>
      <c r="K99" s="427"/>
    </row>
    <row r="100" spans="4:11" ht="15.75" customHeight="1" x14ac:dyDescent="0.3">
      <c r="D100" s="427"/>
      <c r="F100" s="427"/>
      <c r="K100" s="427"/>
    </row>
    <row r="101" spans="4:11" ht="15.75" customHeight="1" x14ac:dyDescent="0.3">
      <c r="D101" s="427"/>
      <c r="F101" s="427"/>
      <c r="K101" s="427"/>
    </row>
    <row r="102" spans="4:11" ht="15.75" customHeight="1" x14ac:dyDescent="0.3">
      <c r="D102" s="427"/>
      <c r="F102" s="427"/>
      <c r="K102" s="427"/>
    </row>
    <row r="103" spans="4:11" ht="15.75" customHeight="1" x14ac:dyDescent="0.3">
      <c r="D103" s="427"/>
      <c r="F103" s="427"/>
      <c r="K103" s="427"/>
    </row>
    <row r="104" spans="4:11" ht="15.75" customHeight="1" x14ac:dyDescent="0.3">
      <c r="D104" s="427"/>
      <c r="F104" s="427"/>
      <c r="K104" s="427"/>
    </row>
    <row r="105" spans="4:11" ht="15.75" customHeight="1" x14ac:dyDescent="0.3">
      <c r="D105" s="427"/>
      <c r="F105" s="427"/>
      <c r="K105" s="427"/>
    </row>
    <row r="106" spans="4:11" ht="15.75" customHeight="1" x14ac:dyDescent="0.3">
      <c r="D106" s="427"/>
      <c r="F106" s="427"/>
      <c r="K106" s="427"/>
    </row>
    <row r="107" spans="4:11" ht="15.75" customHeight="1" x14ac:dyDescent="0.3">
      <c r="D107" s="427"/>
      <c r="F107" s="427"/>
      <c r="K107" s="427"/>
    </row>
    <row r="108" spans="4:11" ht="15.75" customHeight="1" x14ac:dyDescent="0.3">
      <c r="D108" s="427"/>
      <c r="F108" s="427"/>
      <c r="K108" s="427"/>
    </row>
    <row r="109" spans="4:11" ht="15.75" customHeight="1" x14ac:dyDescent="0.3">
      <c r="D109" s="427"/>
      <c r="F109" s="427"/>
      <c r="K109" s="427"/>
    </row>
    <row r="110" spans="4:11" ht="15.75" customHeight="1" x14ac:dyDescent="0.3">
      <c r="D110" s="427"/>
      <c r="F110" s="427"/>
      <c r="K110" s="427"/>
    </row>
    <row r="111" spans="4:11" ht="15.75" customHeight="1" x14ac:dyDescent="0.3">
      <c r="D111" s="427"/>
      <c r="F111" s="427"/>
      <c r="K111" s="427"/>
    </row>
    <row r="112" spans="4:11" ht="15.75" customHeight="1" x14ac:dyDescent="0.3">
      <c r="D112" s="427"/>
      <c r="F112" s="427"/>
      <c r="K112" s="427"/>
    </row>
    <row r="113" spans="4:11" ht="15.75" customHeight="1" x14ac:dyDescent="0.3">
      <c r="D113" s="427"/>
      <c r="F113" s="427"/>
      <c r="K113" s="427"/>
    </row>
    <row r="114" spans="4:11" ht="15.75" customHeight="1" x14ac:dyDescent="0.3">
      <c r="D114" s="427"/>
      <c r="F114" s="427"/>
      <c r="K114" s="427"/>
    </row>
    <row r="115" spans="4:11" ht="15.75" customHeight="1" x14ac:dyDescent="0.3">
      <c r="D115" s="427"/>
      <c r="F115" s="427"/>
      <c r="K115" s="427"/>
    </row>
    <row r="116" spans="4:11" ht="15.75" customHeight="1" x14ac:dyDescent="0.3">
      <c r="D116" s="427"/>
      <c r="F116" s="427"/>
      <c r="K116" s="427"/>
    </row>
    <row r="117" spans="4:11" ht="15.75" customHeight="1" x14ac:dyDescent="0.3">
      <c r="D117" s="427"/>
      <c r="F117" s="427"/>
      <c r="K117" s="427"/>
    </row>
    <row r="118" spans="4:11" ht="15.75" customHeight="1" x14ac:dyDescent="0.3">
      <c r="D118" s="427"/>
      <c r="F118" s="427"/>
      <c r="K118" s="427"/>
    </row>
    <row r="119" spans="4:11" ht="15.75" customHeight="1" x14ac:dyDescent="0.3">
      <c r="D119" s="427"/>
      <c r="F119" s="427"/>
      <c r="K119" s="427"/>
    </row>
    <row r="120" spans="4:11" ht="15.75" customHeight="1" x14ac:dyDescent="0.3">
      <c r="D120" s="427"/>
      <c r="F120" s="427"/>
      <c r="K120" s="427"/>
    </row>
    <row r="121" spans="4:11" ht="15.75" customHeight="1" x14ac:dyDescent="0.3">
      <c r="D121" s="427"/>
      <c r="F121" s="427"/>
      <c r="K121" s="427"/>
    </row>
    <row r="122" spans="4:11" ht="15.75" customHeight="1" x14ac:dyDescent="0.3">
      <c r="D122" s="427"/>
      <c r="F122" s="427"/>
      <c r="K122" s="427"/>
    </row>
    <row r="123" spans="4:11" ht="15.75" customHeight="1" x14ac:dyDescent="0.3">
      <c r="D123" s="427"/>
      <c r="F123" s="427"/>
      <c r="K123" s="427"/>
    </row>
    <row r="124" spans="4:11" ht="15.75" customHeight="1" x14ac:dyDescent="0.3">
      <c r="D124" s="427"/>
      <c r="F124" s="427"/>
      <c r="K124" s="427"/>
    </row>
    <row r="125" spans="4:11" ht="15.75" customHeight="1" x14ac:dyDescent="0.3">
      <c r="D125" s="427"/>
      <c r="F125" s="427"/>
      <c r="K125" s="427"/>
    </row>
    <row r="126" spans="4:11" ht="15.75" customHeight="1" x14ac:dyDescent="0.3">
      <c r="D126" s="427"/>
      <c r="F126" s="427"/>
      <c r="K126" s="427"/>
    </row>
    <row r="127" spans="4:11" ht="15.75" customHeight="1" x14ac:dyDescent="0.3">
      <c r="D127" s="427"/>
      <c r="F127" s="427"/>
      <c r="K127" s="427"/>
    </row>
    <row r="128" spans="4:11" ht="15.75" customHeight="1" x14ac:dyDescent="0.3">
      <c r="D128" s="427"/>
      <c r="F128" s="427"/>
      <c r="K128" s="427"/>
    </row>
    <row r="129" spans="4:11" ht="15.75" customHeight="1" x14ac:dyDescent="0.3">
      <c r="D129" s="427"/>
      <c r="F129" s="427"/>
      <c r="K129" s="427"/>
    </row>
    <row r="130" spans="4:11" ht="15.75" customHeight="1" x14ac:dyDescent="0.3">
      <c r="D130" s="427"/>
      <c r="F130" s="427"/>
      <c r="K130" s="427"/>
    </row>
    <row r="131" spans="4:11" ht="15.75" customHeight="1" x14ac:dyDescent="0.3">
      <c r="D131" s="427"/>
      <c r="F131" s="427"/>
      <c r="K131" s="427"/>
    </row>
    <row r="132" spans="4:11" ht="15.75" customHeight="1" x14ac:dyDescent="0.3">
      <c r="D132" s="427"/>
      <c r="F132" s="427"/>
      <c r="K132" s="427"/>
    </row>
    <row r="133" spans="4:11" ht="15.75" customHeight="1" x14ac:dyDescent="0.3">
      <c r="D133" s="427"/>
      <c r="F133" s="427"/>
      <c r="K133" s="427"/>
    </row>
    <row r="134" spans="4:11" ht="15.75" customHeight="1" x14ac:dyDescent="0.3">
      <c r="D134" s="427"/>
      <c r="F134" s="427"/>
      <c r="K134" s="427"/>
    </row>
    <row r="135" spans="4:11" ht="15.75" customHeight="1" x14ac:dyDescent="0.3">
      <c r="D135" s="427"/>
      <c r="F135" s="427"/>
      <c r="K135" s="427"/>
    </row>
    <row r="136" spans="4:11" ht="15.75" customHeight="1" x14ac:dyDescent="0.3">
      <c r="D136" s="427"/>
      <c r="F136" s="427"/>
      <c r="K136" s="427"/>
    </row>
    <row r="137" spans="4:11" ht="15.75" customHeight="1" x14ac:dyDescent="0.3">
      <c r="D137" s="427"/>
      <c r="F137" s="427"/>
      <c r="K137" s="427"/>
    </row>
    <row r="138" spans="4:11" ht="15.75" customHeight="1" x14ac:dyDescent="0.3">
      <c r="D138" s="427"/>
      <c r="F138" s="427"/>
      <c r="K138" s="427"/>
    </row>
    <row r="139" spans="4:11" ht="15.75" customHeight="1" x14ac:dyDescent="0.3">
      <c r="D139" s="427"/>
      <c r="F139" s="427"/>
      <c r="K139" s="427"/>
    </row>
    <row r="140" spans="4:11" ht="15.75" customHeight="1" x14ac:dyDescent="0.3">
      <c r="D140" s="427"/>
      <c r="F140" s="427"/>
      <c r="K140" s="427"/>
    </row>
    <row r="141" spans="4:11" ht="15.75" customHeight="1" x14ac:dyDescent="0.3">
      <c r="D141" s="427"/>
      <c r="F141" s="427"/>
      <c r="K141" s="427"/>
    </row>
    <row r="142" spans="4:11" ht="15.75" customHeight="1" x14ac:dyDescent="0.3">
      <c r="D142" s="427"/>
      <c r="F142" s="427"/>
      <c r="K142" s="427"/>
    </row>
    <row r="143" spans="4:11" ht="15.75" customHeight="1" x14ac:dyDescent="0.3">
      <c r="D143" s="427"/>
      <c r="F143" s="427"/>
      <c r="K143" s="427"/>
    </row>
    <row r="144" spans="4:11" ht="15.75" customHeight="1" x14ac:dyDescent="0.3">
      <c r="D144" s="427"/>
      <c r="F144" s="427"/>
      <c r="K144" s="427"/>
    </row>
    <row r="145" spans="4:11" ht="15.75" customHeight="1" x14ac:dyDescent="0.3">
      <c r="D145" s="427"/>
      <c r="F145" s="427"/>
      <c r="K145" s="427"/>
    </row>
    <row r="146" spans="4:11" ht="15.75" customHeight="1" x14ac:dyDescent="0.3">
      <c r="D146" s="427"/>
      <c r="F146" s="427"/>
      <c r="K146" s="427"/>
    </row>
    <row r="147" spans="4:11" ht="15.75" customHeight="1" x14ac:dyDescent="0.3">
      <c r="D147" s="427"/>
      <c r="F147" s="427"/>
      <c r="K147" s="427"/>
    </row>
    <row r="148" spans="4:11" ht="15.75" customHeight="1" x14ac:dyDescent="0.3">
      <c r="D148" s="427"/>
      <c r="F148" s="427"/>
      <c r="K148" s="427"/>
    </row>
    <row r="149" spans="4:11" ht="15.75" customHeight="1" x14ac:dyDescent="0.3">
      <c r="D149" s="427"/>
      <c r="F149" s="427"/>
      <c r="K149" s="427"/>
    </row>
    <row r="150" spans="4:11" ht="15.75" customHeight="1" x14ac:dyDescent="0.3">
      <c r="D150" s="427"/>
      <c r="F150" s="427"/>
      <c r="K150" s="427"/>
    </row>
    <row r="151" spans="4:11" ht="15.75" customHeight="1" x14ac:dyDescent="0.3">
      <c r="D151" s="427"/>
      <c r="F151" s="427"/>
      <c r="K151" s="427"/>
    </row>
    <row r="152" spans="4:11" ht="15.75" customHeight="1" x14ac:dyDescent="0.3">
      <c r="D152" s="427"/>
      <c r="F152" s="427"/>
      <c r="K152" s="427"/>
    </row>
    <row r="153" spans="4:11" ht="15.75" customHeight="1" x14ac:dyDescent="0.3">
      <c r="D153" s="427"/>
      <c r="F153" s="427"/>
      <c r="K153" s="427"/>
    </row>
    <row r="154" spans="4:11" ht="15.75" customHeight="1" x14ac:dyDescent="0.3">
      <c r="D154" s="427"/>
      <c r="F154" s="427"/>
      <c r="K154" s="427"/>
    </row>
    <row r="155" spans="4:11" ht="15.75" customHeight="1" x14ac:dyDescent="0.3">
      <c r="D155" s="427"/>
      <c r="F155" s="427"/>
      <c r="K155" s="427"/>
    </row>
    <row r="156" spans="4:11" ht="15.75" customHeight="1" x14ac:dyDescent="0.3">
      <c r="D156" s="427"/>
      <c r="F156" s="427"/>
      <c r="K156" s="427"/>
    </row>
    <row r="157" spans="4:11" ht="15.75" customHeight="1" x14ac:dyDescent="0.3">
      <c r="D157" s="427"/>
      <c r="F157" s="427"/>
      <c r="K157" s="427"/>
    </row>
    <row r="158" spans="4:11" ht="15.75" customHeight="1" x14ac:dyDescent="0.3">
      <c r="D158" s="427"/>
      <c r="F158" s="427"/>
      <c r="K158" s="427"/>
    </row>
    <row r="159" spans="4:11" ht="15.75" customHeight="1" x14ac:dyDescent="0.3">
      <c r="D159" s="427"/>
      <c r="F159" s="427"/>
      <c r="K159" s="427"/>
    </row>
    <row r="160" spans="4:11" ht="15.75" customHeight="1" x14ac:dyDescent="0.3">
      <c r="D160" s="427"/>
      <c r="F160" s="427"/>
      <c r="K160" s="427"/>
    </row>
    <row r="161" spans="4:11" ht="15.75" customHeight="1" x14ac:dyDescent="0.3">
      <c r="D161" s="427"/>
      <c r="F161" s="427"/>
      <c r="K161" s="427"/>
    </row>
    <row r="162" spans="4:11" ht="15.75" customHeight="1" x14ac:dyDescent="0.3">
      <c r="D162" s="427"/>
      <c r="F162" s="427"/>
      <c r="K162" s="427"/>
    </row>
    <row r="163" spans="4:11" ht="15.75" customHeight="1" x14ac:dyDescent="0.3">
      <c r="D163" s="427"/>
      <c r="F163" s="427"/>
      <c r="K163" s="427"/>
    </row>
    <row r="164" spans="4:11" ht="15.75" customHeight="1" x14ac:dyDescent="0.3">
      <c r="D164" s="427"/>
      <c r="F164" s="427"/>
      <c r="K164" s="427"/>
    </row>
    <row r="165" spans="4:11" ht="15.75" customHeight="1" x14ac:dyDescent="0.3">
      <c r="D165" s="427"/>
      <c r="F165" s="427"/>
      <c r="K165" s="427"/>
    </row>
    <row r="166" spans="4:11" ht="15.75" customHeight="1" x14ac:dyDescent="0.3">
      <c r="D166" s="427"/>
      <c r="F166" s="427"/>
      <c r="K166" s="427"/>
    </row>
    <row r="167" spans="4:11" ht="15.75" customHeight="1" x14ac:dyDescent="0.3">
      <c r="D167" s="427"/>
      <c r="F167" s="427"/>
      <c r="K167" s="427"/>
    </row>
    <row r="168" spans="4:11" ht="15.75" customHeight="1" x14ac:dyDescent="0.3">
      <c r="D168" s="427"/>
      <c r="F168" s="427"/>
      <c r="K168" s="427"/>
    </row>
    <row r="169" spans="4:11" ht="15.75" customHeight="1" x14ac:dyDescent="0.3">
      <c r="D169" s="427"/>
      <c r="F169" s="427"/>
      <c r="K169" s="427"/>
    </row>
    <row r="170" spans="4:11" ht="15.75" customHeight="1" x14ac:dyDescent="0.3">
      <c r="D170" s="427"/>
      <c r="F170" s="427"/>
      <c r="K170" s="427"/>
    </row>
    <row r="171" spans="4:11" ht="15.75" customHeight="1" x14ac:dyDescent="0.3">
      <c r="D171" s="427"/>
      <c r="F171" s="427"/>
      <c r="K171" s="427"/>
    </row>
    <row r="172" spans="4:11" ht="15.75" customHeight="1" x14ac:dyDescent="0.3">
      <c r="D172" s="427"/>
      <c r="F172" s="427"/>
      <c r="K172" s="427"/>
    </row>
    <row r="173" spans="4:11" ht="15.75" customHeight="1" x14ac:dyDescent="0.3">
      <c r="D173" s="427"/>
      <c r="F173" s="427"/>
      <c r="K173" s="427"/>
    </row>
    <row r="174" spans="4:11" ht="15.75" customHeight="1" x14ac:dyDescent="0.3">
      <c r="D174" s="427"/>
      <c r="F174" s="427"/>
      <c r="K174" s="427"/>
    </row>
    <row r="175" spans="4:11" ht="15.75" customHeight="1" x14ac:dyDescent="0.3">
      <c r="D175" s="427"/>
      <c r="F175" s="427"/>
      <c r="K175" s="427"/>
    </row>
    <row r="176" spans="4:11" ht="15.75" customHeight="1" x14ac:dyDescent="0.3">
      <c r="D176" s="427"/>
      <c r="F176" s="427"/>
      <c r="K176" s="427"/>
    </row>
    <row r="177" spans="4:11" ht="15.75" customHeight="1" x14ac:dyDescent="0.3">
      <c r="D177" s="427"/>
      <c r="F177" s="427"/>
      <c r="K177" s="427"/>
    </row>
    <row r="178" spans="4:11" ht="15.75" customHeight="1" x14ac:dyDescent="0.3">
      <c r="D178" s="427"/>
      <c r="F178" s="427"/>
      <c r="K178" s="427"/>
    </row>
    <row r="179" spans="4:11" ht="15.75" customHeight="1" x14ac:dyDescent="0.3">
      <c r="D179" s="427"/>
      <c r="F179" s="427"/>
      <c r="K179" s="427"/>
    </row>
    <row r="180" spans="4:11" ht="15.75" customHeight="1" x14ac:dyDescent="0.3">
      <c r="D180" s="427"/>
      <c r="F180" s="427"/>
      <c r="K180" s="427"/>
    </row>
    <row r="181" spans="4:11" ht="15.75" customHeight="1" x14ac:dyDescent="0.3">
      <c r="D181" s="427"/>
      <c r="F181" s="427"/>
      <c r="K181" s="427"/>
    </row>
    <row r="182" spans="4:11" ht="15.75" customHeight="1" x14ac:dyDescent="0.3">
      <c r="D182" s="427"/>
      <c r="F182" s="427"/>
      <c r="K182" s="427"/>
    </row>
    <row r="183" spans="4:11" ht="15.75" customHeight="1" x14ac:dyDescent="0.3">
      <c r="D183" s="427"/>
      <c r="F183" s="427"/>
      <c r="K183" s="427"/>
    </row>
    <row r="184" spans="4:11" ht="15.75" customHeight="1" x14ac:dyDescent="0.3">
      <c r="D184" s="427"/>
      <c r="F184" s="427"/>
      <c r="K184" s="427"/>
    </row>
    <row r="185" spans="4:11" ht="15.75" customHeight="1" x14ac:dyDescent="0.3">
      <c r="D185" s="427"/>
      <c r="F185" s="427"/>
      <c r="K185" s="427"/>
    </row>
    <row r="186" spans="4:11" ht="15.75" customHeight="1" x14ac:dyDescent="0.3">
      <c r="D186" s="427"/>
      <c r="F186" s="427"/>
      <c r="K186" s="427"/>
    </row>
    <row r="187" spans="4:11" ht="15.75" customHeight="1" x14ac:dyDescent="0.3">
      <c r="D187" s="427"/>
      <c r="F187" s="427"/>
      <c r="K187" s="427"/>
    </row>
    <row r="188" spans="4:11" ht="15.75" customHeight="1" x14ac:dyDescent="0.3">
      <c r="D188" s="427"/>
      <c r="F188" s="427"/>
      <c r="K188" s="427"/>
    </row>
    <row r="189" spans="4:11" ht="15.75" customHeight="1" x14ac:dyDescent="0.3">
      <c r="D189" s="427"/>
      <c r="F189" s="427"/>
      <c r="K189" s="427"/>
    </row>
    <row r="190" spans="4:11" ht="15.75" customHeight="1" x14ac:dyDescent="0.3">
      <c r="D190" s="427"/>
      <c r="F190" s="427"/>
      <c r="K190" s="427"/>
    </row>
    <row r="191" spans="4:11" ht="15.75" customHeight="1" x14ac:dyDescent="0.3">
      <c r="D191" s="427"/>
      <c r="F191" s="427"/>
      <c r="K191" s="427"/>
    </row>
    <row r="192" spans="4:11" ht="15.75" customHeight="1" x14ac:dyDescent="0.3">
      <c r="D192" s="427"/>
      <c r="F192" s="427"/>
      <c r="K192" s="427"/>
    </row>
    <row r="193" spans="4:11" ht="15.75" customHeight="1" x14ac:dyDescent="0.3">
      <c r="D193" s="427"/>
      <c r="F193" s="427"/>
      <c r="K193" s="427"/>
    </row>
    <row r="194" spans="4:11" ht="15.75" customHeight="1" x14ac:dyDescent="0.3">
      <c r="D194" s="427"/>
      <c r="F194" s="427"/>
      <c r="K194" s="427"/>
    </row>
    <row r="195" spans="4:11" ht="15.75" customHeight="1" x14ac:dyDescent="0.3">
      <c r="D195" s="427"/>
      <c r="F195" s="427"/>
      <c r="K195" s="427"/>
    </row>
    <row r="196" spans="4:11" ht="15.75" customHeight="1" x14ac:dyDescent="0.3">
      <c r="D196" s="427"/>
      <c r="F196" s="427"/>
      <c r="K196" s="427"/>
    </row>
    <row r="197" spans="4:11" ht="15.75" customHeight="1" x14ac:dyDescent="0.3">
      <c r="D197" s="427"/>
      <c r="F197" s="427"/>
      <c r="K197" s="427"/>
    </row>
    <row r="198" spans="4:11" ht="15.75" customHeight="1" x14ac:dyDescent="0.3">
      <c r="D198" s="427"/>
      <c r="F198" s="427"/>
      <c r="K198" s="427"/>
    </row>
    <row r="199" spans="4:11" ht="15.75" customHeight="1" x14ac:dyDescent="0.3">
      <c r="D199" s="427"/>
      <c r="F199" s="427"/>
      <c r="K199" s="427"/>
    </row>
    <row r="200" spans="4:11" ht="15.75" customHeight="1" x14ac:dyDescent="0.3">
      <c r="D200" s="427"/>
      <c r="F200" s="427"/>
      <c r="K200" s="427"/>
    </row>
    <row r="201" spans="4:11" ht="15.75" customHeight="1" x14ac:dyDescent="0.3">
      <c r="D201" s="427"/>
      <c r="F201" s="427"/>
      <c r="K201" s="427"/>
    </row>
    <row r="202" spans="4:11" ht="15.75" customHeight="1" x14ac:dyDescent="0.3">
      <c r="D202" s="427"/>
      <c r="F202" s="427"/>
      <c r="K202" s="427"/>
    </row>
    <row r="203" spans="4:11" ht="15.75" customHeight="1" x14ac:dyDescent="0.3">
      <c r="D203" s="427"/>
      <c r="F203" s="427"/>
      <c r="K203" s="427"/>
    </row>
    <row r="204" spans="4:11" ht="15.75" customHeight="1" x14ac:dyDescent="0.3">
      <c r="D204" s="427"/>
      <c r="F204" s="427"/>
      <c r="K204" s="427"/>
    </row>
    <row r="205" spans="4:11" ht="15.75" customHeight="1" x14ac:dyDescent="0.3">
      <c r="D205" s="427"/>
      <c r="F205" s="427"/>
      <c r="K205" s="427"/>
    </row>
    <row r="206" spans="4:11" ht="15.75" customHeight="1" x14ac:dyDescent="0.3">
      <c r="D206" s="427"/>
      <c r="F206" s="427"/>
      <c r="K206" s="427"/>
    </row>
    <row r="207" spans="4:11" ht="15.75" customHeight="1" x14ac:dyDescent="0.3">
      <c r="D207" s="427"/>
      <c r="F207" s="427"/>
      <c r="K207" s="427"/>
    </row>
    <row r="208" spans="4:11" ht="15.75" customHeight="1" x14ac:dyDescent="0.3">
      <c r="D208" s="427"/>
      <c r="F208" s="427"/>
      <c r="K208" s="427"/>
    </row>
    <row r="209" spans="4:11" ht="15.75" customHeight="1" x14ac:dyDescent="0.3">
      <c r="D209" s="427"/>
      <c r="F209" s="427"/>
      <c r="K209" s="427"/>
    </row>
    <row r="210" spans="4:11" ht="15.75" customHeight="1" x14ac:dyDescent="0.3">
      <c r="D210" s="427"/>
      <c r="F210" s="427"/>
      <c r="K210" s="427"/>
    </row>
    <row r="211" spans="4:11" ht="15.75" customHeight="1" x14ac:dyDescent="0.3">
      <c r="D211" s="427"/>
      <c r="F211" s="427"/>
      <c r="K211" s="427"/>
    </row>
    <row r="212" spans="4:11" ht="15.75" customHeight="1" x14ac:dyDescent="0.3">
      <c r="D212" s="427"/>
      <c r="F212" s="427"/>
      <c r="K212" s="427"/>
    </row>
    <row r="213" spans="4:11" ht="15.75" customHeight="1" x14ac:dyDescent="0.3">
      <c r="D213" s="427"/>
      <c r="F213" s="427"/>
      <c r="K213" s="427"/>
    </row>
    <row r="214" spans="4:11" ht="15.75" customHeight="1" x14ac:dyDescent="0.3">
      <c r="D214" s="427"/>
      <c r="F214" s="427"/>
      <c r="K214" s="427"/>
    </row>
    <row r="215" spans="4:11" ht="15.75" customHeight="1" x14ac:dyDescent="0.3">
      <c r="D215" s="427"/>
      <c r="F215" s="427"/>
      <c r="K215" s="427"/>
    </row>
    <row r="216" spans="4:11" ht="15.75" customHeight="1" x14ac:dyDescent="0.3">
      <c r="D216" s="427"/>
      <c r="F216" s="427"/>
      <c r="K216" s="427"/>
    </row>
    <row r="217" spans="4:11" ht="15.75" customHeight="1" x14ac:dyDescent="0.3">
      <c r="D217" s="427"/>
      <c r="F217" s="427"/>
      <c r="K217" s="427"/>
    </row>
    <row r="218" spans="4:11" ht="15.75" customHeight="1" x14ac:dyDescent="0.3">
      <c r="D218" s="427"/>
      <c r="F218" s="427"/>
      <c r="K218" s="427"/>
    </row>
    <row r="219" spans="4:11" ht="15.75" customHeight="1" x14ac:dyDescent="0.3">
      <c r="D219" s="427"/>
      <c r="F219" s="427"/>
      <c r="K219" s="427"/>
    </row>
    <row r="220" spans="4:11" ht="15.75" customHeight="1" x14ac:dyDescent="0.3">
      <c r="D220" s="427"/>
      <c r="F220" s="427"/>
      <c r="K220" s="427"/>
    </row>
    <row r="221" spans="4:11" ht="15.75" customHeight="1" x14ac:dyDescent="0.3">
      <c r="D221" s="427"/>
      <c r="F221" s="427"/>
      <c r="K221" s="427"/>
    </row>
    <row r="222" spans="4:11" ht="15.75" customHeight="1" x14ac:dyDescent="0.3">
      <c r="D222" s="427"/>
      <c r="F222" s="427"/>
      <c r="K222" s="427"/>
    </row>
    <row r="223" spans="4:11" ht="15.75" customHeight="1" x14ac:dyDescent="0.3">
      <c r="D223" s="427"/>
      <c r="F223" s="427"/>
      <c r="K223" s="427"/>
    </row>
    <row r="224" spans="4:11" ht="15.75" customHeight="1" x14ac:dyDescent="0.3">
      <c r="D224" s="427"/>
      <c r="F224" s="427"/>
      <c r="K224" s="427"/>
    </row>
    <row r="225" spans="4:11" ht="15.75" customHeight="1" x14ac:dyDescent="0.3">
      <c r="D225" s="427"/>
      <c r="F225" s="427"/>
      <c r="K225" s="427"/>
    </row>
    <row r="226" spans="4:11" ht="15.75" customHeight="1" x14ac:dyDescent="0.3">
      <c r="D226" s="427"/>
      <c r="F226" s="427"/>
      <c r="K226" s="427"/>
    </row>
    <row r="227" spans="4:11" ht="15.75" customHeight="1" x14ac:dyDescent="0.3">
      <c r="D227" s="427"/>
      <c r="F227" s="427"/>
      <c r="K227" s="427"/>
    </row>
    <row r="228" spans="4:11" ht="15.75" customHeight="1" x14ac:dyDescent="0.3">
      <c r="D228" s="427"/>
      <c r="F228" s="427"/>
      <c r="K228" s="427"/>
    </row>
    <row r="229" spans="4:11" ht="15.75" customHeight="1" x14ac:dyDescent="0.3">
      <c r="D229" s="427"/>
      <c r="F229" s="427"/>
      <c r="K229" s="427"/>
    </row>
    <row r="230" spans="4:11" ht="15.75" customHeight="1" x14ac:dyDescent="0.3">
      <c r="D230" s="427"/>
      <c r="F230" s="427"/>
      <c r="K230" s="427"/>
    </row>
    <row r="231" spans="4:11" ht="15.75" customHeight="1" x14ac:dyDescent="0.3">
      <c r="D231" s="427"/>
      <c r="F231" s="427"/>
      <c r="K231" s="427"/>
    </row>
    <row r="232" spans="4:11" ht="15.75" customHeight="1" x14ac:dyDescent="0.3">
      <c r="D232" s="427"/>
      <c r="F232" s="427"/>
      <c r="K232" s="427"/>
    </row>
    <row r="233" spans="4:11" ht="15.75" customHeight="1" x14ac:dyDescent="0.3">
      <c r="D233" s="427"/>
      <c r="F233" s="427"/>
      <c r="K233" s="427"/>
    </row>
    <row r="234" spans="4:11" ht="15.75" customHeight="1" x14ac:dyDescent="0.3">
      <c r="D234" s="427"/>
      <c r="F234" s="427"/>
      <c r="K234" s="427"/>
    </row>
    <row r="235" spans="4:11" ht="15.75" customHeight="1" x14ac:dyDescent="0.3">
      <c r="D235" s="427"/>
      <c r="F235" s="427"/>
      <c r="K235" s="427"/>
    </row>
    <row r="236" spans="4:11" ht="15.75" customHeight="1" x14ac:dyDescent="0.3">
      <c r="D236" s="427"/>
      <c r="F236" s="427"/>
      <c r="K236" s="427"/>
    </row>
    <row r="237" spans="4:11" ht="15.75" customHeight="1" x14ac:dyDescent="0.3">
      <c r="D237" s="427"/>
      <c r="F237" s="427"/>
      <c r="K237" s="427"/>
    </row>
    <row r="238" spans="4:11" ht="15.75" customHeight="1" x14ac:dyDescent="0.3">
      <c r="D238" s="427"/>
      <c r="F238" s="427"/>
      <c r="K238" s="427"/>
    </row>
    <row r="239" spans="4:11" ht="15.75" customHeight="1" x14ac:dyDescent="0.3">
      <c r="D239" s="427"/>
      <c r="F239" s="427"/>
      <c r="K239" s="427"/>
    </row>
    <row r="240" spans="4:11" ht="15.75" customHeight="1" x14ac:dyDescent="0.3">
      <c r="D240" s="427"/>
      <c r="F240" s="427"/>
      <c r="K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H7:J7"/>
  </mergeCells>
  <dataValidations count="1">
    <dataValidation type="list" allowBlank="1" showErrorMessage="1" sqref="B17 B22" xr:uid="{97002EFC-D96E-4D6C-93F6-FE4EF69F7320}">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5609-E303-48BC-B57D-947A4F72873A}">
  <dimension ref="A1:AD907"/>
  <sheetViews>
    <sheetView topLeftCell="A15" zoomScale="70" zoomScaleNormal="70" workbookViewId="0">
      <selection activeCell="AB26" sqref="AB26"/>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6.44140625" style="428" customWidth="1"/>
    <col min="5" max="5" width="8.88671875" style="428" customWidth="1"/>
    <col min="6" max="6" width="41.5546875" style="428" customWidth="1"/>
    <col min="7" max="7" width="12.77734375" style="428" customWidth="1"/>
    <col min="8" max="8" width="12.77734375" style="428" hidden="1" customWidth="1"/>
    <col min="9" max="9" width="15.1093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2381</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1" t="s">
        <v>348</v>
      </c>
      <c r="D10" s="531" t="s">
        <v>1198</v>
      </c>
      <c r="E10" s="532" t="s">
        <v>350</v>
      </c>
      <c r="F10" s="533" t="s">
        <v>1199</v>
      </c>
      <c r="G10" s="549" t="s">
        <v>1914</v>
      </c>
      <c r="H10" s="550"/>
      <c r="I10" s="550">
        <v>54915.285714285725</v>
      </c>
      <c r="J10" s="550">
        <v>27750.114285714284</v>
      </c>
      <c r="K10" s="550">
        <v>33612.12857142857</v>
      </c>
      <c r="L10" s="550"/>
      <c r="M10" s="550"/>
      <c r="N10" s="550"/>
      <c r="O10" s="550"/>
      <c r="P10" s="550"/>
      <c r="Q10" s="550"/>
      <c r="R10" s="550"/>
      <c r="S10" s="550"/>
      <c r="T10" s="550"/>
      <c r="U10" s="542"/>
      <c r="V10" s="550"/>
      <c r="W10" s="542"/>
      <c r="X10" s="550"/>
      <c r="Y10" s="542"/>
      <c r="Z10" s="550"/>
      <c r="AA10" s="528"/>
      <c r="AB10" s="528"/>
      <c r="AC10" s="528"/>
      <c r="AD10" s="528"/>
    </row>
    <row r="11" spans="1:30" ht="24" customHeight="1" x14ac:dyDescent="0.3">
      <c r="A11" s="528"/>
      <c r="B11" s="529"/>
      <c r="C11" s="453"/>
      <c r="D11" s="453" t="s">
        <v>1198</v>
      </c>
      <c r="E11" s="543" t="s">
        <v>350</v>
      </c>
      <c r="F11" s="506" t="s">
        <v>1201</v>
      </c>
      <c r="G11" s="496"/>
      <c r="H11" s="544"/>
      <c r="I11" s="544">
        <v>51937.385714285709</v>
      </c>
      <c r="J11" s="544"/>
      <c r="K11" s="544"/>
      <c r="L11" s="544"/>
      <c r="M11" s="544"/>
      <c r="N11" s="544"/>
      <c r="O11" s="544"/>
      <c r="P11" s="544"/>
      <c r="Q11" s="544"/>
      <c r="R11" s="544"/>
      <c r="S11" s="544"/>
      <c r="T11" s="544"/>
      <c r="U11" s="548"/>
      <c r="V11" s="544"/>
      <c r="W11" s="548"/>
      <c r="X11" s="544"/>
      <c r="Y11" s="548"/>
      <c r="Z11" s="544"/>
      <c r="AA11" s="528"/>
      <c r="AB11" s="528"/>
      <c r="AC11" s="528"/>
      <c r="AD11" s="528"/>
    </row>
    <row r="12" spans="1:30" ht="24" customHeight="1" x14ac:dyDescent="0.3">
      <c r="A12" s="528"/>
      <c r="B12" s="529"/>
      <c r="C12" s="2011"/>
      <c r="D12" s="2011" t="s">
        <v>1198</v>
      </c>
      <c r="E12" s="2012" t="s">
        <v>350</v>
      </c>
      <c r="F12" s="2013" t="s">
        <v>1202</v>
      </c>
      <c r="G12" s="2014"/>
      <c r="H12" s="2015"/>
      <c r="I12" s="2016">
        <f>I11*I16</f>
        <v>35105.541178346408</v>
      </c>
      <c r="J12" s="2015"/>
      <c r="K12" s="2015"/>
      <c r="L12" s="2015"/>
      <c r="M12" s="2015"/>
      <c r="N12" s="2015"/>
      <c r="O12" s="2015"/>
      <c r="P12" s="2015"/>
      <c r="Q12" s="2015"/>
      <c r="R12" s="2015"/>
      <c r="S12" s="2015"/>
      <c r="T12" s="2015"/>
      <c r="U12" s="2017"/>
      <c r="V12" s="2015"/>
      <c r="W12" s="2017"/>
      <c r="X12" s="2015"/>
      <c r="Y12" s="2017"/>
      <c r="Z12" s="2015"/>
      <c r="AA12" s="528"/>
      <c r="AB12" s="528"/>
      <c r="AC12" s="528"/>
      <c r="AD12" s="528"/>
    </row>
    <row r="13" spans="1:30" ht="24" customHeight="1" x14ac:dyDescent="0.3">
      <c r="A13" s="528"/>
      <c r="B13" s="529"/>
      <c r="C13" s="531"/>
      <c r="D13" s="531" t="s">
        <v>1203</v>
      </c>
      <c r="E13" s="532" t="s">
        <v>844</v>
      </c>
      <c r="F13" s="533"/>
      <c r="G13" s="551"/>
      <c r="H13" s="550"/>
      <c r="I13" s="2018">
        <f>I14+I15</f>
        <v>38632.563943499998</v>
      </c>
      <c r="J13" s="550"/>
      <c r="K13" s="550"/>
      <c r="L13" s="550"/>
      <c r="M13" s="550"/>
      <c r="N13" s="550"/>
      <c r="O13" s="550"/>
      <c r="P13" s="550"/>
      <c r="Q13" s="550"/>
      <c r="R13" s="550"/>
      <c r="S13" s="550"/>
      <c r="T13" s="550"/>
      <c r="U13" s="542"/>
      <c r="V13" s="550"/>
      <c r="W13" s="542"/>
      <c r="X13" s="550"/>
      <c r="Y13" s="542"/>
      <c r="Z13" s="550"/>
      <c r="AA13" s="528"/>
      <c r="AB13" s="528"/>
      <c r="AC13" s="528"/>
      <c r="AD13" s="528"/>
    </row>
    <row r="14" spans="1:30" ht="24" customHeight="1" x14ac:dyDescent="0.3">
      <c r="A14" s="528"/>
      <c r="B14" s="529"/>
      <c r="C14" s="453"/>
      <c r="D14" s="453" t="s">
        <v>1204</v>
      </c>
      <c r="E14" s="543" t="s">
        <v>844</v>
      </c>
      <c r="F14" s="506" t="s">
        <v>1205</v>
      </c>
      <c r="G14" s="595"/>
      <c r="H14" s="544"/>
      <c r="I14" s="2019">
        <f>690048*18.1437/1000</f>
        <v>12520.023897599998</v>
      </c>
      <c r="J14" s="544"/>
      <c r="K14" s="544"/>
      <c r="L14" s="544"/>
      <c r="M14" s="544"/>
      <c r="N14" s="544"/>
      <c r="O14" s="544"/>
      <c r="P14" s="544"/>
      <c r="Q14" s="544"/>
      <c r="R14" s="544"/>
      <c r="S14" s="544"/>
      <c r="T14" s="544"/>
      <c r="U14" s="548"/>
      <c r="V14" s="544"/>
      <c r="W14" s="548"/>
      <c r="X14" s="544"/>
      <c r="Y14" s="548"/>
      <c r="Z14" s="544"/>
      <c r="AA14" s="528"/>
      <c r="AB14" s="528"/>
      <c r="AC14" s="528"/>
      <c r="AD14" s="528"/>
    </row>
    <row r="15" spans="1:30" ht="24" customHeight="1" x14ac:dyDescent="0.3">
      <c r="A15" s="528"/>
      <c r="B15" s="529"/>
      <c r="C15" s="531"/>
      <c r="D15" s="531" t="s">
        <v>1206</v>
      </c>
      <c r="E15" s="532" t="s">
        <v>844</v>
      </c>
      <c r="F15" s="533" t="s">
        <v>1205</v>
      </c>
      <c r="G15" s="551"/>
      <c r="H15" s="550"/>
      <c r="I15" s="2018">
        <f>1439207*18.1437/1000</f>
        <v>26112.540045899997</v>
      </c>
      <c r="J15" s="550"/>
      <c r="K15" s="550"/>
      <c r="L15" s="550"/>
      <c r="M15" s="550"/>
      <c r="N15" s="550"/>
      <c r="O15" s="550"/>
      <c r="P15" s="550"/>
      <c r="Q15" s="550"/>
      <c r="R15" s="550"/>
      <c r="S15" s="550"/>
      <c r="T15" s="550"/>
      <c r="U15" s="542"/>
      <c r="V15" s="550"/>
      <c r="W15" s="542"/>
      <c r="X15" s="550"/>
      <c r="Y15" s="542"/>
      <c r="Z15" s="550"/>
      <c r="AA15" s="528"/>
      <c r="AB15" s="528"/>
      <c r="AC15" s="528"/>
      <c r="AD15" s="528"/>
    </row>
    <row r="16" spans="1:30" ht="24" customHeight="1" x14ac:dyDescent="0.3">
      <c r="A16" s="528"/>
      <c r="B16" s="529"/>
      <c r="C16" s="453"/>
      <c r="D16" s="453" t="s">
        <v>1207</v>
      </c>
      <c r="E16" s="543" t="s">
        <v>453</v>
      </c>
      <c r="F16" s="506"/>
      <c r="G16" s="595"/>
      <c r="H16" s="544"/>
      <c r="I16" s="2020">
        <f>I15/I13</f>
        <v>0.67592045104978027</v>
      </c>
      <c r="J16" s="544"/>
      <c r="K16" s="544"/>
      <c r="L16" s="544"/>
      <c r="M16" s="544"/>
      <c r="N16" s="544"/>
      <c r="O16" s="544"/>
      <c r="P16" s="544"/>
      <c r="Q16" s="544"/>
      <c r="R16" s="544"/>
      <c r="S16" s="544"/>
      <c r="T16" s="544"/>
      <c r="U16" s="548"/>
      <c r="V16" s="544"/>
      <c r="W16" s="548"/>
      <c r="X16" s="544"/>
      <c r="Y16" s="548"/>
      <c r="Z16" s="544"/>
      <c r="AA16" s="528"/>
      <c r="AB16" s="528"/>
      <c r="AC16" s="528"/>
      <c r="AD16" s="528"/>
    </row>
    <row r="17" spans="1:30" ht="24" customHeight="1" x14ac:dyDescent="0.3">
      <c r="A17" s="528"/>
      <c r="B17" s="529"/>
      <c r="C17" s="531"/>
      <c r="D17" s="531"/>
      <c r="E17" s="532"/>
      <c r="F17" s="533"/>
      <c r="G17" s="551"/>
      <c r="H17" s="550"/>
      <c r="I17" s="550"/>
      <c r="J17" s="550"/>
      <c r="K17" s="550"/>
      <c r="L17" s="550"/>
      <c r="M17" s="550"/>
      <c r="N17" s="550"/>
      <c r="O17" s="550"/>
      <c r="P17" s="550"/>
      <c r="Q17" s="550"/>
      <c r="R17" s="550"/>
      <c r="S17" s="550"/>
      <c r="T17" s="550"/>
      <c r="U17" s="542"/>
      <c r="V17" s="550"/>
      <c r="W17" s="542"/>
      <c r="X17" s="550"/>
      <c r="Y17" s="542"/>
      <c r="Z17" s="550"/>
      <c r="AA17" s="528"/>
      <c r="AB17" s="528"/>
      <c r="AC17" s="528"/>
      <c r="AD17" s="528"/>
    </row>
    <row r="18" spans="1:30" ht="24" customHeight="1" x14ac:dyDescent="0.3">
      <c r="A18" s="528"/>
      <c r="B18" s="552"/>
      <c r="C18" s="462"/>
      <c r="D18" s="462"/>
      <c r="E18" s="553"/>
      <c r="F18" s="554"/>
      <c r="G18" s="555"/>
      <c r="H18" s="556"/>
      <c r="I18" s="556"/>
      <c r="J18" s="556"/>
      <c r="K18" s="556"/>
      <c r="L18" s="556"/>
      <c r="M18" s="556"/>
      <c r="N18" s="556"/>
      <c r="O18" s="556"/>
      <c r="P18" s="556"/>
      <c r="Q18" s="556"/>
      <c r="R18" s="556"/>
      <c r="S18" s="556"/>
      <c r="T18" s="556"/>
      <c r="U18" s="557"/>
      <c r="V18" s="556"/>
      <c r="W18" s="557"/>
      <c r="X18" s="556"/>
      <c r="Y18" s="557"/>
      <c r="Z18" s="556"/>
      <c r="AA18" s="528"/>
      <c r="AB18" s="528"/>
      <c r="AC18" s="528"/>
      <c r="AD18" s="528"/>
    </row>
    <row r="19" spans="1:30" ht="15.75" customHeight="1" x14ac:dyDescent="0.3">
      <c r="A19" s="528"/>
      <c r="B19" s="558"/>
      <c r="C19" s="528"/>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60" t="s">
        <v>355</v>
      </c>
      <c r="C20" s="561" t="s">
        <v>356</v>
      </c>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558"/>
      <c r="C21" s="528"/>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4383" t="s">
        <v>357</v>
      </c>
      <c r="C22" s="4384"/>
      <c r="D22" s="528"/>
      <c r="E22" s="528"/>
      <c r="F22" s="528"/>
      <c r="G22" s="479"/>
      <c r="H22" s="479"/>
      <c r="I22" s="479"/>
      <c r="J22" s="479"/>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562" t="s">
        <v>546</v>
      </c>
      <c r="C23" s="4415" t="s">
        <v>1208</v>
      </c>
      <c r="D23" s="4415"/>
      <c r="E23" s="4415"/>
      <c r="F23" s="4415"/>
      <c r="G23" s="4415"/>
      <c r="H23" s="4415"/>
      <c r="I23" s="4415"/>
      <c r="J23" s="4415"/>
      <c r="K23" s="4415"/>
      <c r="L23" s="4415"/>
      <c r="M23" s="4415"/>
      <c r="N23" s="4415"/>
      <c r="O23" s="4415"/>
      <c r="P23" s="4415"/>
      <c r="Q23" s="4415"/>
      <c r="R23" s="4415"/>
      <c r="S23" s="4415"/>
      <c r="T23" s="4415"/>
      <c r="U23" s="4415"/>
      <c r="V23" s="4415"/>
      <c r="W23" s="4415"/>
      <c r="X23" s="4415"/>
      <c r="Y23" s="4415"/>
      <c r="Z23" s="4415"/>
      <c r="AA23" s="528"/>
      <c r="AB23" s="528"/>
      <c r="AC23" s="528"/>
      <c r="AD23" s="528"/>
    </row>
    <row r="24" spans="1:30" ht="15.75" customHeight="1" x14ac:dyDescent="0.3">
      <c r="A24" s="528"/>
      <c r="B24" s="562" t="s">
        <v>301</v>
      </c>
      <c r="C24" s="4415"/>
      <c r="D24" s="4415"/>
      <c r="E24" s="4415"/>
      <c r="F24" s="4415"/>
      <c r="G24" s="4415"/>
      <c r="H24" s="4415"/>
      <c r="I24" s="4415"/>
      <c r="J24" s="4415"/>
      <c r="K24" s="4415"/>
      <c r="L24" s="4415"/>
      <c r="M24" s="4415"/>
      <c r="N24" s="4415"/>
      <c r="O24" s="4415"/>
      <c r="P24" s="4415"/>
      <c r="Q24" s="4415"/>
      <c r="R24" s="4415"/>
      <c r="S24" s="4415"/>
      <c r="T24" s="4415"/>
      <c r="U24" s="4415"/>
      <c r="V24" s="4415"/>
      <c r="W24" s="4415"/>
      <c r="X24" s="4415"/>
      <c r="Y24" s="4415"/>
      <c r="Z24" s="4415"/>
      <c r="AA24" s="528"/>
      <c r="AB24" s="528"/>
      <c r="AC24" s="528"/>
      <c r="AD24" s="528"/>
    </row>
    <row r="25" spans="1:30" ht="15.75" customHeight="1" x14ac:dyDescent="0.3">
      <c r="C25" s="4415"/>
      <c r="D25" s="4415"/>
      <c r="E25" s="4415"/>
      <c r="F25" s="4415"/>
      <c r="G25" s="4415"/>
      <c r="H25" s="4415"/>
      <c r="I25" s="4415"/>
      <c r="J25" s="4415"/>
      <c r="K25" s="4415"/>
      <c r="L25" s="4415"/>
      <c r="M25" s="4415"/>
      <c r="N25" s="4415"/>
      <c r="O25" s="4415"/>
      <c r="P25" s="4415"/>
      <c r="Q25" s="4415"/>
      <c r="R25" s="4415"/>
      <c r="S25" s="4415"/>
      <c r="T25" s="4415"/>
      <c r="U25" s="4415"/>
      <c r="V25" s="4415"/>
      <c r="W25" s="4415"/>
      <c r="X25" s="4415"/>
      <c r="Y25" s="4415"/>
      <c r="Z25" s="4415"/>
    </row>
    <row r="26" spans="1:30" ht="15.75" customHeight="1" x14ac:dyDescent="0.3"/>
    <row r="27" spans="1:30" ht="21" customHeight="1" x14ac:dyDescent="0.3">
      <c r="B27" s="519" t="s">
        <v>409</v>
      </c>
    </row>
    <row r="28" spans="1:30" ht="9" customHeight="1" x14ac:dyDescent="0.3">
      <c r="B28" s="519"/>
    </row>
    <row r="29" spans="1:30" ht="21" customHeight="1" x14ac:dyDescent="0.3">
      <c r="B29" s="517" t="s">
        <v>410</v>
      </c>
      <c r="C29" s="518"/>
      <c r="D29" s="518"/>
    </row>
    <row r="30" spans="1:30" ht="12" customHeight="1" x14ac:dyDescent="0.3"/>
    <row r="31" spans="1:30" ht="15.75" customHeight="1" x14ac:dyDescent="0.3">
      <c r="B31" s="521" t="s">
        <v>301</v>
      </c>
      <c r="C31" s="522" t="s">
        <v>343</v>
      </c>
      <c r="D31" s="523" t="s">
        <v>344</v>
      </c>
      <c r="E31" s="523" t="s">
        <v>345</v>
      </c>
      <c r="F31" s="523" t="s">
        <v>346</v>
      </c>
      <c r="G31" s="524" t="s">
        <v>347</v>
      </c>
      <c r="H31" s="525">
        <v>2025</v>
      </c>
      <c r="I31" s="525">
        <v>2024</v>
      </c>
      <c r="J31" s="525">
        <v>2023</v>
      </c>
      <c r="K31" s="525">
        <v>2022</v>
      </c>
      <c r="L31" s="525">
        <v>2021</v>
      </c>
      <c r="M31" s="525">
        <v>2020</v>
      </c>
      <c r="N31" s="525">
        <v>2019</v>
      </c>
      <c r="O31" s="526">
        <v>2018</v>
      </c>
      <c r="P31" s="526">
        <v>2017</v>
      </c>
      <c r="Q31" s="526">
        <v>2016</v>
      </c>
      <c r="R31" s="526">
        <v>2015</v>
      </c>
      <c r="S31" s="526">
        <v>2014</v>
      </c>
      <c r="T31" s="526">
        <v>2013</v>
      </c>
      <c r="U31" s="526">
        <v>2012</v>
      </c>
      <c r="V31" s="526">
        <v>2011</v>
      </c>
      <c r="W31" s="526">
        <v>2010</v>
      </c>
      <c r="X31" s="526">
        <v>2009</v>
      </c>
      <c r="Y31" s="526">
        <v>2008</v>
      </c>
      <c r="Z31" s="527" t="s">
        <v>332</v>
      </c>
    </row>
    <row r="32" spans="1:30" ht="24" customHeight="1" x14ac:dyDescent="0.3">
      <c r="B32" s="529">
        <v>1</v>
      </c>
      <c r="C32" s="530" t="s">
        <v>348</v>
      </c>
      <c r="D32" s="531" t="s">
        <v>1209</v>
      </c>
      <c r="E32" s="532" t="s">
        <v>363</v>
      </c>
      <c r="F32" s="531" t="s">
        <v>1210</v>
      </c>
      <c r="G32" s="534" t="s">
        <v>1197</v>
      </c>
      <c r="H32" s="635"/>
      <c r="I32" s="1284">
        <v>4006.91</v>
      </c>
      <c r="J32" s="536"/>
      <c r="K32" s="535"/>
      <c r="L32" s="535"/>
      <c r="M32" s="535"/>
      <c r="N32" s="535"/>
      <c r="O32" s="535"/>
      <c r="P32" s="535"/>
      <c r="Q32" s="535"/>
      <c r="R32" s="535"/>
      <c r="S32" s="535"/>
      <c r="T32" s="535"/>
      <c r="U32" s="542"/>
      <c r="V32" s="535"/>
      <c r="W32" s="542"/>
      <c r="X32" s="535"/>
      <c r="Y32" s="542"/>
      <c r="Z32" s="535"/>
    </row>
    <row r="33" spans="2:26" ht="24" customHeight="1" x14ac:dyDescent="0.3">
      <c r="B33" s="529">
        <v>2</v>
      </c>
      <c r="C33" s="453" t="s">
        <v>348</v>
      </c>
      <c r="D33" s="453" t="s">
        <v>1211</v>
      </c>
      <c r="E33" s="543" t="s">
        <v>844</v>
      </c>
      <c r="F33" s="453" t="s">
        <v>1212</v>
      </c>
      <c r="G33" s="479"/>
      <c r="H33" s="638"/>
      <c r="I33" s="1285">
        <v>36264.346675691508</v>
      </c>
      <c r="J33" s="545"/>
      <c r="K33" s="544"/>
      <c r="L33" s="544"/>
      <c r="M33" s="544"/>
      <c r="N33" s="544"/>
      <c r="O33" s="544"/>
      <c r="P33" s="544"/>
      <c r="Q33" s="544"/>
      <c r="R33" s="544"/>
      <c r="S33" s="544"/>
      <c r="T33" s="544"/>
      <c r="U33" s="548"/>
      <c r="V33" s="544"/>
      <c r="W33" s="548"/>
      <c r="X33" s="544"/>
      <c r="Y33" s="548"/>
      <c r="Z33" s="544"/>
    </row>
    <row r="34" spans="2:26" ht="24" customHeight="1" x14ac:dyDescent="0.3">
      <c r="B34" s="529">
        <v>3</v>
      </c>
      <c r="C34" s="531" t="s">
        <v>348</v>
      </c>
      <c r="D34" s="531" t="s">
        <v>1213</v>
      </c>
      <c r="E34" s="532" t="s">
        <v>844</v>
      </c>
      <c r="F34" s="531" t="s">
        <v>1214</v>
      </c>
      <c r="G34" s="639"/>
      <c r="H34" s="640"/>
      <c r="I34" s="2021">
        <v>1135.2941176470588</v>
      </c>
      <c r="J34" s="550"/>
      <c r="K34" s="550"/>
      <c r="L34" s="550"/>
      <c r="M34" s="550"/>
      <c r="N34" s="550"/>
      <c r="O34" s="550"/>
      <c r="P34" s="550"/>
      <c r="Q34" s="550"/>
      <c r="R34" s="550"/>
      <c r="S34" s="550"/>
      <c r="T34" s="550"/>
      <c r="U34" s="542"/>
      <c r="V34" s="550"/>
      <c r="W34" s="542"/>
      <c r="X34" s="550"/>
      <c r="Y34" s="542"/>
      <c r="Z34" s="550"/>
    </row>
    <row r="35" spans="2:26" ht="24" customHeight="1" x14ac:dyDescent="0.3">
      <c r="B35" s="529"/>
      <c r="C35" s="453"/>
      <c r="D35" s="453"/>
      <c r="E35" s="543"/>
      <c r="F35" s="453"/>
      <c r="G35" s="479"/>
      <c r="H35" s="638"/>
      <c r="I35" s="638"/>
      <c r="J35" s="544"/>
      <c r="K35" s="544"/>
      <c r="L35" s="544"/>
      <c r="M35" s="544"/>
      <c r="N35" s="544"/>
      <c r="O35" s="544"/>
      <c r="P35" s="544"/>
      <c r="Q35" s="544"/>
      <c r="R35" s="544"/>
      <c r="S35" s="544"/>
      <c r="T35" s="544"/>
      <c r="U35" s="548"/>
      <c r="V35" s="544"/>
      <c r="W35" s="548"/>
      <c r="X35" s="544"/>
      <c r="Y35" s="548"/>
      <c r="Z35" s="544"/>
    </row>
    <row r="36" spans="2:26" ht="24" customHeight="1" x14ac:dyDescent="0.3">
      <c r="B36" s="529"/>
      <c r="C36" s="531"/>
      <c r="D36" s="531"/>
      <c r="E36" s="532"/>
      <c r="F36" s="531"/>
      <c r="G36" s="639"/>
      <c r="H36" s="640"/>
      <c r="I36" s="640"/>
      <c r="J36" s="550"/>
      <c r="K36" s="550"/>
      <c r="L36" s="550"/>
      <c r="M36" s="550"/>
      <c r="N36" s="550"/>
      <c r="O36" s="550"/>
      <c r="P36" s="550"/>
      <c r="Q36" s="550"/>
      <c r="R36" s="550"/>
      <c r="S36" s="550"/>
      <c r="T36" s="550"/>
      <c r="U36" s="542"/>
      <c r="V36" s="550"/>
      <c r="W36" s="542"/>
      <c r="X36" s="550"/>
      <c r="Y36" s="542"/>
      <c r="Z36" s="550"/>
    </row>
    <row r="37" spans="2:26" ht="24" customHeight="1" x14ac:dyDescent="0.3">
      <c r="B37" s="552"/>
      <c r="C37" s="462"/>
      <c r="D37" s="462"/>
      <c r="E37" s="553"/>
      <c r="F37" s="462"/>
      <c r="G37" s="645"/>
      <c r="H37" s="646"/>
      <c r="I37" s="646"/>
      <c r="J37" s="556"/>
      <c r="K37" s="556"/>
      <c r="L37" s="556"/>
      <c r="M37" s="556"/>
      <c r="N37" s="556"/>
      <c r="O37" s="556"/>
      <c r="P37" s="556"/>
      <c r="Q37" s="556"/>
      <c r="R37" s="556"/>
      <c r="S37" s="556"/>
      <c r="T37" s="556"/>
      <c r="U37" s="557"/>
      <c r="V37" s="556"/>
      <c r="W37" s="557"/>
      <c r="X37" s="556"/>
      <c r="Y37" s="557"/>
      <c r="Z37" s="556"/>
    </row>
    <row r="38" spans="2:26" ht="15.75" customHeight="1" x14ac:dyDescent="0.3"/>
    <row r="39" spans="2:26" ht="15.75" customHeight="1" x14ac:dyDescent="0.3">
      <c r="B39" s="560" t="s">
        <v>355</v>
      </c>
      <c r="C39" s="561" t="s">
        <v>356</v>
      </c>
    </row>
    <row r="40" spans="2:26" ht="15.75" customHeight="1" x14ac:dyDescent="0.3"/>
    <row r="41" spans="2:26" ht="15.75" customHeight="1" x14ac:dyDescent="0.3">
      <c r="B41" s="4383" t="s">
        <v>357</v>
      </c>
      <c r="C41" s="4384"/>
    </row>
    <row r="42" spans="2:26" ht="15.75" customHeight="1" x14ac:dyDescent="0.3">
      <c r="B42" s="562" t="s">
        <v>301</v>
      </c>
    </row>
    <row r="43" spans="2:26" ht="15.75" customHeight="1" x14ac:dyDescent="0.3">
      <c r="B43" s="562" t="s">
        <v>301</v>
      </c>
    </row>
    <row r="44" spans="2:26" ht="15.75" customHeight="1" x14ac:dyDescent="0.3"/>
    <row r="45" spans="2:26" ht="15.75" customHeight="1" x14ac:dyDescent="0.3"/>
    <row r="46" spans="2:26" ht="15.75" customHeight="1" x14ac:dyDescent="0.3"/>
    <row r="47" spans="2:26" ht="15.75" customHeight="1" x14ac:dyDescent="0.3"/>
    <row r="48" spans="2:2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sheetData>
  <mergeCells count="3">
    <mergeCell ref="B22:C22"/>
    <mergeCell ref="B41:C41"/>
    <mergeCell ref="C23:Z25"/>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0C12-D88A-4599-9968-0CD0F52D8808}">
  <dimension ref="A1:AH998"/>
  <sheetViews>
    <sheetView topLeftCell="A24" zoomScale="90" zoomScaleNormal="90" workbookViewId="0">
      <selection activeCell="C35" sqref="C35"/>
    </sheetView>
  </sheetViews>
  <sheetFormatPr defaultColWidth="12.44140625" defaultRowHeight="15" customHeight="1" x14ac:dyDescent="0.3"/>
  <cols>
    <col min="1" max="1" width="2.77734375" style="1336" customWidth="1"/>
    <col min="2" max="2" width="34.77734375" style="1336" customWidth="1"/>
    <col min="3" max="3" width="22.88671875" style="1336" customWidth="1"/>
    <col min="4" max="4" width="2.77734375" style="1336" customWidth="1"/>
    <col min="5" max="5" width="15.33203125" style="1336" customWidth="1"/>
    <col min="6" max="6" width="12.44140625" style="1336" customWidth="1"/>
    <col min="7" max="7" width="35.109375" style="1336" customWidth="1"/>
    <col min="8" max="21" width="19" style="1336" customWidth="1"/>
    <col min="22" max="23" width="19.109375" style="1336" customWidth="1"/>
    <col min="24" max="25" width="19" style="1336" customWidth="1"/>
    <col min="26" max="28" width="18.88671875" style="1336" customWidth="1"/>
    <col min="29" max="32" width="19" style="1336" customWidth="1"/>
    <col min="33" max="33" width="6.88671875" style="1336" customWidth="1"/>
    <col min="34" max="34" width="18" style="1336" customWidth="1"/>
    <col min="35" max="16384" width="12.44140625" style="1336"/>
  </cols>
  <sheetData>
    <row r="1" spans="1:34" ht="21.75" customHeight="1" x14ac:dyDescent="0.35">
      <c r="A1" s="424"/>
      <c r="B1" s="425" t="s">
        <v>549</v>
      </c>
      <c r="C1" s="426"/>
      <c r="D1" s="427"/>
      <c r="E1" s="428"/>
      <c r="H1" s="3290"/>
      <c r="K1" s="1344"/>
      <c r="M1" s="1344"/>
      <c r="S1" s="1344"/>
    </row>
    <row r="2" spans="1:34" ht="15.75" customHeight="1" x14ac:dyDescent="0.3">
      <c r="A2" s="424"/>
      <c r="B2" s="429" t="s">
        <v>299</v>
      </c>
      <c r="C2" s="430"/>
      <c r="D2" s="430"/>
      <c r="E2" s="430"/>
      <c r="H2" s="1344"/>
      <c r="I2" s="1344"/>
      <c r="J2" s="1344"/>
      <c r="K2" s="1344"/>
      <c r="L2" s="1344"/>
      <c r="M2" s="1344"/>
      <c r="N2" s="1344"/>
      <c r="O2" s="1344"/>
      <c r="P2" s="1344"/>
      <c r="Q2" s="1344"/>
      <c r="R2" s="1344"/>
      <c r="S2" s="1344"/>
      <c r="T2" s="1344"/>
    </row>
    <row r="3" spans="1:34" ht="9.75" customHeight="1" x14ac:dyDescent="0.3">
      <c r="A3" s="427"/>
      <c r="B3" s="431"/>
      <c r="C3" s="428"/>
      <c r="D3" s="427"/>
      <c r="E3" s="428"/>
      <c r="G3" s="1759"/>
      <c r="K3" s="1344"/>
      <c r="M3" s="1344"/>
    </row>
    <row r="4" spans="1:34" ht="6" customHeight="1" x14ac:dyDescent="0.3">
      <c r="A4" s="428"/>
      <c r="B4" s="427"/>
      <c r="C4" s="428"/>
      <c r="D4" s="427"/>
      <c r="E4" s="428"/>
      <c r="G4" s="1344"/>
      <c r="K4" s="1344"/>
      <c r="M4" s="1344"/>
    </row>
    <row r="5" spans="1:34" ht="6" customHeight="1" x14ac:dyDescent="0.3">
      <c r="A5" s="431"/>
      <c r="B5" s="428"/>
      <c r="C5" s="428"/>
      <c r="D5" s="427"/>
      <c r="E5" s="428"/>
      <c r="G5" s="1344"/>
    </row>
    <row r="6" spans="1:34" ht="15.75" customHeight="1" x14ac:dyDescent="0.3">
      <c r="A6" s="428"/>
      <c r="B6" s="428"/>
      <c r="C6" s="428">
        <v>1000000</v>
      </c>
      <c r="D6" s="427"/>
      <c r="E6" s="427"/>
      <c r="G6" s="1344"/>
    </row>
    <row r="7" spans="1:34" ht="40.5" customHeight="1" x14ac:dyDescent="0.3">
      <c r="A7" s="432"/>
      <c r="B7" s="433">
        <v>2024</v>
      </c>
      <c r="C7" s="434" t="s">
        <v>22</v>
      </c>
      <c r="D7" s="432"/>
      <c r="E7" s="435" t="s">
        <v>300</v>
      </c>
      <c r="G7" s="3291">
        <v>2024</v>
      </c>
      <c r="H7" s="4416" t="s">
        <v>1616</v>
      </c>
      <c r="I7" s="4417"/>
      <c r="J7" s="4417"/>
      <c r="K7" s="4417"/>
      <c r="L7" s="4417"/>
      <c r="M7" s="4417"/>
      <c r="N7" s="4417"/>
      <c r="O7" s="4417"/>
      <c r="P7" s="4417"/>
      <c r="Q7" s="4417"/>
      <c r="R7" s="4417"/>
      <c r="S7" s="4417"/>
      <c r="T7" s="4417"/>
      <c r="U7" s="4417"/>
      <c r="V7" s="4417"/>
      <c r="W7" s="4417"/>
      <c r="X7" s="4417"/>
      <c r="Y7" s="4417"/>
      <c r="Z7" s="4417"/>
      <c r="AA7" s="4417"/>
      <c r="AB7" s="4417"/>
      <c r="AC7" s="4417"/>
      <c r="AD7" s="4417"/>
      <c r="AE7" s="4417"/>
      <c r="AF7" s="4418"/>
      <c r="AG7" s="3292"/>
      <c r="AH7" s="1763" t="s">
        <v>300</v>
      </c>
    </row>
    <row r="8" spans="1:34" ht="18" customHeight="1" x14ac:dyDescent="0.35">
      <c r="A8" s="428"/>
      <c r="B8" s="436" t="s">
        <v>301</v>
      </c>
      <c r="C8" s="437">
        <v>1</v>
      </c>
      <c r="D8" s="427"/>
      <c r="E8" s="438"/>
      <c r="G8" s="1764" t="s">
        <v>301</v>
      </c>
      <c r="H8" s="3293">
        <v>1</v>
      </c>
      <c r="I8" s="3293">
        <v>2</v>
      </c>
      <c r="J8" s="3294">
        <v>3</v>
      </c>
      <c r="K8" s="3295">
        <v>4</v>
      </c>
      <c r="L8" s="3293">
        <v>5</v>
      </c>
      <c r="M8" s="3294">
        <v>6</v>
      </c>
      <c r="N8" s="3293">
        <v>7</v>
      </c>
      <c r="O8" s="3295">
        <v>8</v>
      </c>
      <c r="P8" s="3293">
        <v>9</v>
      </c>
      <c r="Q8" s="3294">
        <v>10</v>
      </c>
      <c r="R8" s="3293">
        <v>11</v>
      </c>
      <c r="S8" s="3295">
        <v>12</v>
      </c>
      <c r="T8" s="3293">
        <v>13</v>
      </c>
      <c r="U8" s="3294">
        <v>14</v>
      </c>
      <c r="V8" s="3293">
        <v>15</v>
      </c>
      <c r="W8" s="3295">
        <v>16</v>
      </c>
      <c r="X8" s="3293">
        <v>17</v>
      </c>
      <c r="Y8" s="3294">
        <v>18</v>
      </c>
      <c r="Z8" s="3293">
        <v>19</v>
      </c>
      <c r="AA8" s="3295">
        <v>20</v>
      </c>
      <c r="AB8" s="3293">
        <v>21</v>
      </c>
      <c r="AC8" s="3294">
        <v>22</v>
      </c>
      <c r="AD8" s="3295">
        <v>23</v>
      </c>
      <c r="AE8" s="3295">
        <v>24</v>
      </c>
      <c r="AF8" s="1766">
        <v>25</v>
      </c>
      <c r="AH8" s="1770"/>
    </row>
    <row r="9" spans="1:34" ht="74.400000000000006" customHeight="1" x14ac:dyDescent="0.3">
      <c r="A9" s="428"/>
      <c r="B9" s="439" t="s">
        <v>302</v>
      </c>
      <c r="C9" s="440" t="s">
        <v>1617</v>
      </c>
      <c r="D9" s="441"/>
      <c r="E9" s="442"/>
      <c r="G9" s="1771" t="s">
        <v>302</v>
      </c>
      <c r="H9" s="1599" t="s">
        <v>2024</v>
      </c>
      <c r="I9" s="1599" t="s">
        <v>2066</v>
      </c>
      <c r="J9" s="1599" t="s">
        <v>2039</v>
      </c>
      <c r="K9" s="1599" t="s">
        <v>2040</v>
      </c>
      <c r="L9" s="1599" t="s">
        <v>2041</v>
      </c>
      <c r="M9" s="1599" t="s">
        <v>2042</v>
      </c>
      <c r="N9" s="1599" t="s">
        <v>2043</v>
      </c>
      <c r="O9" s="1599" t="s">
        <v>2044</v>
      </c>
      <c r="P9" s="1599" t="s">
        <v>2045</v>
      </c>
      <c r="Q9" s="1599" t="s">
        <v>2046</v>
      </c>
      <c r="R9" s="1599" t="s">
        <v>2047</v>
      </c>
      <c r="S9" s="1599" t="s">
        <v>2048</v>
      </c>
      <c r="T9" s="1599" t="s">
        <v>2049</v>
      </c>
      <c r="U9" s="1599" t="s">
        <v>2050</v>
      </c>
      <c r="V9" s="1599" t="s">
        <v>2051</v>
      </c>
      <c r="W9" s="1599" t="s">
        <v>2052</v>
      </c>
      <c r="X9" s="1599" t="s">
        <v>2053</v>
      </c>
      <c r="Y9" s="1599" t="s">
        <v>2054</v>
      </c>
      <c r="Z9" s="1599" t="s">
        <v>2055</v>
      </c>
      <c r="AA9" s="1599" t="s">
        <v>2056</v>
      </c>
      <c r="AB9" s="1599" t="s">
        <v>2057</v>
      </c>
      <c r="AC9" s="1599" t="s">
        <v>2058</v>
      </c>
      <c r="AD9" s="3296" t="s">
        <v>2059</v>
      </c>
      <c r="AE9" s="1774" t="s">
        <v>2060</v>
      </c>
      <c r="AF9" s="1773" t="s">
        <v>1618</v>
      </c>
      <c r="AG9" s="3297"/>
      <c r="AH9" s="1777"/>
    </row>
    <row r="10" spans="1:34" ht="86.4" customHeight="1" x14ac:dyDescent="0.3">
      <c r="A10" s="428"/>
      <c r="B10" s="444" t="s">
        <v>304</v>
      </c>
      <c r="C10" s="1123" t="s">
        <v>1619</v>
      </c>
      <c r="D10" s="441"/>
      <c r="E10" s="446"/>
      <c r="G10" s="1778" t="s">
        <v>304</v>
      </c>
      <c r="H10" s="1600" t="s">
        <v>2164</v>
      </c>
      <c r="I10" s="1600" t="s">
        <v>2165</v>
      </c>
      <c r="J10" s="1600" t="s">
        <v>2166</v>
      </c>
      <c r="K10" s="1600" t="s">
        <v>2167</v>
      </c>
      <c r="L10" s="1600" t="s">
        <v>2168</v>
      </c>
      <c r="M10" s="1600" t="s">
        <v>2169</v>
      </c>
      <c r="N10" s="1600" t="s">
        <v>2170</v>
      </c>
      <c r="O10" s="1600" t="s">
        <v>2172</v>
      </c>
      <c r="P10" s="1600" t="s">
        <v>2173</v>
      </c>
      <c r="Q10" s="1600" t="s">
        <v>2174</v>
      </c>
      <c r="R10" s="1600" t="s">
        <v>2171</v>
      </c>
      <c r="S10" s="1600" t="s">
        <v>2175</v>
      </c>
      <c r="T10" s="1600" t="s">
        <v>2176</v>
      </c>
      <c r="U10" s="1600" t="s">
        <v>2177</v>
      </c>
      <c r="V10" s="1600" t="s">
        <v>2178</v>
      </c>
      <c r="W10" s="1600" t="s">
        <v>2179</v>
      </c>
      <c r="X10" s="1600" t="s">
        <v>2180</v>
      </c>
      <c r="Y10" s="1600" t="s">
        <v>2181</v>
      </c>
      <c r="Z10" s="1600" t="s">
        <v>2182</v>
      </c>
      <c r="AA10" s="1600" t="s">
        <v>2183</v>
      </c>
      <c r="AB10" s="1600" t="s">
        <v>2184</v>
      </c>
      <c r="AC10" s="1600" t="s">
        <v>2185</v>
      </c>
      <c r="AD10" s="3298" t="s">
        <v>2186</v>
      </c>
      <c r="AE10" s="1779" t="s">
        <v>2187</v>
      </c>
      <c r="AF10" s="3299" t="s">
        <v>1620</v>
      </c>
      <c r="AH10" s="1781"/>
    </row>
    <row r="11" spans="1:34" ht="18.75" customHeight="1" x14ac:dyDescent="0.3">
      <c r="A11" s="447"/>
      <c r="B11" s="448" t="s">
        <v>306</v>
      </c>
      <c r="C11" s="449">
        <f>(C17*C18)</f>
        <v>7883.5712608376471</v>
      </c>
      <c r="D11" s="450"/>
      <c r="E11" s="451">
        <f>SUM(C11:C11)</f>
        <v>7883.5712608376471</v>
      </c>
      <c r="G11" s="1783" t="s">
        <v>306</v>
      </c>
      <c r="H11" s="2608">
        <f t="shared" ref="H11:AE11" si="0">(H17*H18)</f>
        <v>2854.0024473159929</v>
      </c>
      <c r="I11" s="1788">
        <f t="shared" si="0"/>
        <v>0</v>
      </c>
      <c r="J11" s="1786">
        <f t="shared" si="0"/>
        <v>4999</v>
      </c>
      <c r="K11" s="1784">
        <f>(K17*K18)</f>
        <v>4999</v>
      </c>
      <c r="L11" s="1788">
        <f t="shared" si="0"/>
        <v>4999</v>
      </c>
      <c r="M11" s="1786">
        <f t="shared" si="0"/>
        <v>0</v>
      </c>
      <c r="N11" s="1788">
        <f t="shared" si="0"/>
        <v>4999</v>
      </c>
      <c r="O11" s="1784">
        <f t="shared" si="0"/>
        <v>3310.7401897375121</v>
      </c>
      <c r="P11" s="1788">
        <f t="shared" si="0"/>
        <v>1757.9941169226142</v>
      </c>
      <c r="Q11" s="1786">
        <f t="shared" si="0"/>
        <v>4999</v>
      </c>
      <c r="R11" s="1788">
        <f t="shared" si="0"/>
        <v>0</v>
      </c>
      <c r="S11" s="1784">
        <f t="shared" si="0"/>
        <v>4999</v>
      </c>
      <c r="T11" s="1786">
        <f t="shared" si="0"/>
        <v>1388.2677538322143</v>
      </c>
      <c r="U11" s="1786">
        <f t="shared" si="0"/>
        <v>0</v>
      </c>
      <c r="V11" s="3300">
        <f t="shared" si="0"/>
        <v>0</v>
      </c>
      <c r="W11" s="1784">
        <f t="shared" si="0"/>
        <v>0</v>
      </c>
      <c r="X11" s="1788">
        <f t="shared" si="0"/>
        <v>2102.5187784706973</v>
      </c>
      <c r="Y11" s="1786">
        <f t="shared" si="0"/>
        <v>3136.7985567844075</v>
      </c>
      <c r="Z11" s="3301">
        <f t="shared" si="0"/>
        <v>1892.4883738095618</v>
      </c>
      <c r="AA11" s="1784">
        <f t="shared" si="0"/>
        <v>0</v>
      </c>
      <c r="AB11" s="1788">
        <f t="shared" si="0"/>
        <v>0</v>
      </c>
      <c r="AC11" s="1786">
        <f t="shared" si="0"/>
        <v>24.73117242934282</v>
      </c>
      <c r="AD11" s="3302">
        <f t="shared" si="0"/>
        <v>4999</v>
      </c>
      <c r="AE11" s="1788">
        <f t="shared" si="0"/>
        <v>88.589274373765335</v>
      </c>
      <c r="AF11" s="3303">
        <f>(AF17*AF18)</f>
        <v>4504.910628182407</v>
      </c>
      <c r="AH11" s="1791">
        <f>SUM(H11:AF11)</f>
        <v>56054.041291858506</v>
      </c>
    </row>
    <row r="12" spans="1:34" ht="18.75" customHeight="1" x14ac:dyDescent="0.3">
      <c r="A12" s="447"/>
      <c r="B12" s="453" t="s">
        <v>307</v>
      </c>
      <c r="C12" s="454">
        <f>(C22*C23)+(C27*C28)</f>
        <v>202.86774900000003</v>
      </c>
      <c r="D12" s="455"/>
      <c r="E12" s="456">
        <f>SUM(C12:C12)</f>
        <v>202.86774900000003</v>
      </c>
      <c r="G12" s="1367" t="s">
        <v>307</v>
      </c>
      <c r="H12" s="1792">
        <f>(H22*H23)</f>
        <v>0</v>
      </c>
      <c r="I12" s="1796">
        <f t="shared" ref="I12:J12" si="1">(I22*I23)</f>
        <v>0</v>
      </c>
      <c r="J12" s="1792">
        <f t="shared" si="1"/>
        <v>0</v>
      </c>
      <c r="K12" s="1792">
        <f>(K22*K23)</f>
        <v>0</v>
      </c>
      <c r="L12" s="1792">
        <f t="shared" ref="L12:N12" si="2">(L22*L23)</f>
        <v>0</v>
      </c>
      <c r="M12" s="1792">
        <f t="shared" si="2"/>
        <v>0</v>
      </c>
      <c r="N12" s="1792">
        <f t="shared" si="2"/>
        <v>0</v>
      </c>
      <c r="O12" s="1792">
        <f>(O22*O23)</f>
        <v>0</v>
      </c>
      <c r="P12" s="1792">
        <f t="shared" ref="P12:R12" si="3">(P22*P23)</f>
        <v>0</v>
      </c>
      <c r="Q12" s="1792">
        <f t="shared" si="3"/>
        <v>0</v>
      </c>
      <c r="R12" s="1792">
        <f t="shared" si="3"/>
        <v>0</v>
      </c>
      <c r="S12" s="1792">
        <f>(S22*S23)</f>
        <v>0</v>
      </c>
      <c r="T12" s="1792">
        <f t="shared" ref="T12:V12" si="4">(T22*T23)</f>
        <v>0</v>
      </c>
      <c r="U12" s="1792">
        <f t="shared" si="4"/>
        <v>0</v>
      </c>
      <c r="V12" s="1792">
        <f t="shared" si="4"/>
        <v>0</v>
      </c>
      <c r="W12" s="1792">
        <f>(W22*W23)</f>
        <v>0</v>
      </c>
      <c r="X12" s="1792">
        <f t="shared" ref="X12:Z12" si="5">(X22*X23)</f>
        <v>0</v>
      </c>
      <c r="Y12" s="1792">
        <f t="shared" si="5"/>
        <v>0</v>
      </c>
      <c r="Z12" s="1792">
        <f t="shared" si="5"/>
        <v>0</v>
      </c>
      <c r="AA12" s="1792">
        <f>(AA22*AA23)</f>
        <v>0</v>
      </c>
      <c r="AB12" s="1792">
        <f t="shared" ref="AB12:AE12" si="6">(AB22*AB23)</f>
        <v>0</v>
      </c>
      <c r="AC12" s="1792">
        <f t="shared" si="6"/>
        <v>0</v>
      </c>
      <c r="AD12" s="3304">
        <f t="shared" si="6"/>
        <v>0</v>
      </c>
      <c r="AE12" s="1795">
        <f t="shared" si="6"/>
        <v>0</v>
      </c>
      <c r="AF12" s="1794">
        <f>(AF22*AF23)</f>
        <v>0</v>
      </c>
      <c r="AH12" s="1797">
        <f>SUM(H12:AF12)</f>
        <v>0</v>
      </c>
    </row>
    <row r="13" spans="1:34" ht="18.75" customHeight="1" x14ac:dyDescent="0.3">
      <c r="A13" s="447"/>
      <c r="B13" s="448" t="s">
        <v>308</v>
      </c>
      <c r="C13" s="458" t="s">
        <v>8</v>
      </c>
      <c r="D13" s="459"/>
      <c r="E13" s="460"/>
      <c r="G13" s="1783" t="s">
        <v>308</v>
      </c>
      <c r="H13" s="1802" t="s">
        <v>8</v>
      </c>
      <c r="I13" s="3305" t="s">
        <v>8</v>
      </c>
      <c r="J13" s="1800" t="s">
        <v>8</v>
      </c>
      <c r="K13" s="3306" t="s">
        <v>8</v>
      </c>
      <c r="L13" s="1802" t="s">
        <v>8</v>
      </c>
      <c r="M13" s="1800" t="s">
        <v>8</v>
      </c>
      <c r="N13" s="1802" t="s">
        <v>8</v>
      </c>
      <c r="O13" s="1800" t="s">
        <v>8</v>
      </c>
      <c r="P13" s="1802" t="s">
        <v>8</v>
      </c>
      <c r="Q13" s="1800" t="s">
        <v>8</v>
      </c>
      <c r="R13" s="1802" t="s">
        <v>8</v>
      </c>
      <c r="S13" s="3307" t="s">
        <v>8</v>
      </c>
      <c r="T13" s="1802" t="s">
        <v>8</v>
      </c>
      <c r="U13" s="1800" t="s">
        <v>8</v>
      </c>
      <c r="V13" s="1802" t="s">
        <v>8</v>
      </c>
      <c r="W13" s="1800" t="s">
        <v>8</v>
      </c>
      <c r="X13" s="1802" t="s">
        <v>8</v>
      </c>
      <c r="Y13" s="1800" t="s">
        <v>8</v>
      </c>
      <c r="Z13" s="1802" t="s">
        <v>8</v>
      </c>
      <c r="AA13" s="1800" t="s">
        <v>8</v>
      </c>
      <c r="AB13" s="1802" t="s">
        <v>8</v>
      </c>
      <c r="AC13" s="1800" t="s">
        <v>8</v>
      </c>
      <c r="AD13" s="1798" t="s">
        <v>8</v>
      </c>
      <c r="AE13" s="1800" t="s">
        <v>8</v>
      </c>
      <c r="AF13" s="1799" t="s">
        <v>8</v>
      </c>
      <c r="AH13" s="1804"/>
    </row>
    <row r="14" spans="1:34" ht="18.75" customHeight="1" x14ac:dyDescent="0.3">
      <c r="A14" s="447"/>
      <c r="B14" s="462" t="s">
        <v>309</v>
      </c>
      <c r="C14" s="463">
        <f t="shared" ref="C14" si="7">C11-C12</f>
        <v>7680.7035118376471</v>
      </c>
      <c r="D14" s="455"/>
      <c r="E14" s="464">
        <f>SUM(C14:C14)</f>
        <v>7680.7035118376471</v>
      </c>
      <c r="G14" s="1412" t="s">
        <v>309</v>
      </c>
      <c r="H14" s="1809">
        <f t="shared" ref="H14:AE14" si="8">H11-H12</f>
        <v>2854.0024473159929</v>
      </c>
      <c r="I14" s="3308">
        <f t="shared" si="8"/>
        <v>0</v>
      </c>
      <c r="J14" s="1807">
        <f t="shared" si="8"/>
        <v>4999</v>
      </c>
      <c r="K14" s="3309">
        <f>K11-K12</f>
        <v>4999</v>
      </c>
      <c r="L14" s="1809">
        <f t="shared" si="8"/>
        <v>4999</v>
      </c>
      <c r="M14" s="1807">
        <f t="shared" si="8"/>
        <v>0</v>
      </c>
      <c r="N14" s="1809">
        <f t="shared" si="8"/>
        <v>4999</v>
      </c>
      <c r="O14" s="1807">
        <f t="shared" si="8"/>
        <v>3310.7401897375121</v>
      </c>
      <c r="P14" s="1809">
        <f t="shared" si="8"/>
        <v>1757.9941169226142</v>
      </c>
      <c r="Q14" s="1807">
        <f t="shared" si="8"/>
        <v>4999</v>
      </c>
      <c r="R14" s="1809">
        <f t="shared" si="8"/>
        <v>0</v>
      </c>
      <c r="S14" s="3310">
        <f t="shared" si="8"/>
        <v>4999</v>
      </c>
      <c r="T14" s="1809">
        <f t="shared" si="8"/>
        <v>1388.2677538322143</v>
      </c>
      <c r="U14" s="1807">
        <f t="shared" si="8"/>
        <v>0</v>
      </c>
      <c r="V14" s="1809">
        <f t="shared" si="8"/>
        <v>0</v>
      </c>
      <c r="W14" s="1807">
        <f t="shared" si="8"/>
        <v>0</v>
      </c>
      <c r="X14" s="1809">
        <f t="shared" si="8"/>
        <v>2102.5187784706973</v>
      </c>
      <c r="Y14" s="1807">
        <f t="shared" si="8"/>
        <v>3136.7985567844075</v>
      </c>
      <c r="Z14" s="1809">
        <f t="shared" si="8"/>
        <v>1892.4883738095618</v>
      </c>
      <c r="AA14" s="1807">
        <f t="shared" si="8"/>
        <v>0</v>
      </c>
      <c r="AB14" s="1809">
        <f t="shared" si="8"/>
        <v>0</v>
      </c>
      <c r="AC14" s="1807">
        <f t="shared" si="8"/>
        <v>24.73117242934282</v>
      </c>
      <c r="AD14" s="1805">
        <f t="shared" si="8"/>
        <v>4999</v>
      </c>
      <c r="AE14" s="1807">
        <f t="shared" si="8"/>
        <v>88.589274373765335</v>
      </c>
      <c r="AF14" s="3311">
        <f>AF11-AF12</f>
        <v>4504.910628182407</v>
      </c>
      <c r="AH14" s="1810">
        <f>SUM(H14:AF14)</f>
        <v>56054.041291858506</v>
      </c>
    </row>
    <row r="15" spans="1:34" ht="19.5" customHeight="1" x14ac:dyDescent="0.4">
      <c r="A15" s="428"/>
      <c r="B15" s="465" t="s">
        <v>310</v>
      </c>
      <c r="C15" s="466"/>
      <c r="D15" s="467"/>
      <c r="E15" s="468"/>
      <c r="G15" s="1811" t="s">
        <v>395</v>
      </c>
      <c r="H15" s="1817"/>
      <c r="I15" s="3312"/>
      <c r="J15" s="1814"/>
      <c r="K15" s="3313"/>
      <c r="L15" s="1817"/>
      <c r="M15" s="1814"/>
      <c r="N15" s="1817"/>
      <c r="O15" s="1814"/>
      <c r="P15" s="1817"/>
      <c r="Q15" s="1814"/>
      <c r="R15" s="1817"/>
      <c r="S15" s="1818"/>
      <c r="T15" s="1817"/>
      <c r="U15" s="1814"/>
      <c r="V15" s="1817"/>
      <c r="W15" s="1814"/>
      <c r="X15" s="1817"/>
      <c r="Y15" s="1814"/>
      <c r="Z15" s="1817"/>
      <c r="AA15" s="1814"/>
      <c r="AB15" s="1817"/>
      <c r="AC15" s="1814"/>
      <c r="AD15" s="1812"/>
      <c r="AE15" s="1815"/>
      <c r="AF15" s="3314"/>
      <c r="AH15" s="1819"/>
    </row>
    <row r="16" spans="1:34" ht="30" customHeight="1" x14ac:dyDescent="0.3">
      <c r="A16" s="447"/>
      <c r="B16" s="469" t="s">
        <v>311</v>
      </c>
      <c r="C16" s="470" t="s">
        <v>1915</v>
      </c>
      <c r="D16" s="457"/>
      <c r="E16" s="471"/>
      <c r="G16" s="1820" t="s">
        <v>311</v>
      </c>
      <c r="H16" s="1601" t="s">
        <v>1621</v>
      </c>
      <c r="I16" s="1861" t="s">
        <v>1621</v>
      </c>
      <c r="J16" s="1601" t="s">
        <v>1621</v>
      </c>
      <c r="K16" s="1601" t="s">
        <v>1621</v>
      </c>
      <c r="L16" s="1601" t="s">
        <v>1621</v>
      </c>
      <c r="M16" s="1601" t="s">
        <v>1621</v>
      </c>
      <c r="N16" s="1601" t="s">
        <v>1621</v>
      </c>
      <c r="O16" s="1601" t="s">
        <v>1621</v>
      </c>
      <c r="P16" s="1601" t="s">
        <v>1621</v>
      </c>
      <c r="Q16" s="1601" t="s">
        <v>1621</v>
      </c>
      <c r="R16" s="1601" t="s">
        <v>1621</v>
      </c>
      <c r="S16" s="1601" t="s">
        <v>1621</v>
      </c>
      <c r="T16" s="1601" t="s">
        <v>1621</v>
      </c>
      <c r="U16" s="1601" t="s">
        <v>1621</v>
      </c>
      <c r="V16" s="1601" t="s">
        <v>1621</v>
      </c>
      <c r="W16" s="1601" t="s">
        <v>1621</v>
      </c>
      <c r="X16" s="1601" t="s">
        <v>1621</v>
      </c>
      <c r="Y16" s="1601" t="s">
        <v>1621</v>
      </c>
      <c r="Z16" s="1601" t="s">
        <v>1621</v>
      </c>
      <c r="AA16" s="1601" t="s">
        <v>1621</v>
      </c>
      <c r="AB16" s="1601" t="s">
        <v>1621</v>
      </c>
      <c r="AC16" s="1601" t="s">
        <v>1621</v>
      </c>
      <c r="AD16" s="3315" t="s">
        <v>1621</v>
      </c>
      <c r="AE16" s="1860" t="s">
        <v>1621</v>
      </c>
      <c r="AF16" s="1859" t="s">
        <v>1622</v>
      </c>
      <c r="AH16" s="2618"/>
    </row>
    <row r="17" spans="1:34" ht="21" customHeight="1" x14ac:dyDescent="0.3">
      <c r="A17" s="447"/>
      <c r="B17" s="3316" t="s">
        <v>313</v>
      </c>
      <c r="C17" s="473">
        <f>'CF-1002|GDS'!I12</f>
        <v>2508649.411764706</v>
      </c>
      <c r="D17" s="474"/>
      <c r="E17" s="428"/>
      <c r="G17" s="1823" t="s">
        <v>398</v>
      </c>
      <c r="H17" s="1824">
        <f>'CF-1002|GDS'!I30</f>
        <v>3518</v>
      </c>
      <c r="I17" s="1828">
        <v>0</v>
      </c>
      <c r="J17" s="1824">
        <f>'CF-1002|GDS'!I33</f>
        <v>6162.0416676723462</v>
      </c>
      <c r="K17" s="1824">
        <f>'CF-1002|GDS'!I35</f>
        <v>6162.0416676723462</v>
      </c>
      <c r="L17" s="1824">
        <f>'CF-1002|GDS'!I38</f>
        <v>6162.0416676723462</v>
      </c>
      <c r="M17" s="1824">
        <v>0</v>
      </c>
      <c r="N17" s="1827">
        <f>'CF-1002|GDS'!I41</f>
        <v>6162.0416676723462</v>
      </c>
      <c r="O17" s="1824">
        <f>'CF-1002|GDS'!I42</f>
        <v>4081</v>
      </c>
      <c r="P17" s="1824">
        <f>'CF-1002|GDS'!I44</f>
        <v>2167</v>
      </c>
      <c r="Q17" s="1824">
        <f>'CF-1002|GDS'!I46</f>
        <v>6162.0416676723462</v>
      </c>
      <c r="R17" s="1827">
        <f>'CF-1002|GDS'!I47</f>
        <v>0</v>
      </c>
      <c r="S17" s="1824">
        <f>'CF-1002|GDS'!I50</f>
        <v>6162.0416676723462</v>
      </c>
      <c r="T17" s="1824">
        <f>'CF-1002|GDS'!I52</f>
        <v>1711.2550000000001</v>
      </c>
      <c r="U17" s="1824">
        <v>0</v>
      </c>
      <c r="V17" s="1828">
        <f>'CF-1002|GDS'!I56</f>
        <v>0</v>
      </c>
      <c r="W17" s="1824">
        <f>'CF-1002|GDS'!I58</f>
        <v>0</v>
      </c>
      <c r="X17" s="1824">
        <f>'CF-1002|GDS'!I60</f>
        <v>2591.6800000000003</v>
      </c>
      <c r="Y17" s="1824">
        <f>'CF-1002|GDS'!I63</f>
        <v>3866.59</v>
      </c>
      <c r="Z17" s="1828">
        <f>'CF-1002|GDS'!I66</f>
        <v>2332.7849999999999</v>
      </c>
      <c r="AA17" s="1824">
        <f>'CF-1002|GDS'!I69</f>
        <v>0</v>
      </c>
      <c r="AB17" s="1824">
        <f>'CF-1002|GDS'!I71</f>
        <v>0</v>
      </c>
      <c r="AC17" s="1824">
        <f>'CF-1002|GDS'!I73</f>
        <v>30.484999999999999</v>
      </c>
      <c r="AD17" s="3317">
        <f>'CF-1002|GDS'!I77</f>
        <v>6162.0416676723462</v>
      </c>
      <c r="AE17" s="1827">
        <f>'CF-1002|GDS'!I79</f>
        <v>109.2</v>
      </c>
      <c r="AF17" s="1826">
        <f>'CF-1002|GDS'!I99</f>
        <v>5553</v>
      </c>
    </row>
    <row r="18" spans="1:34" ht="19.5" customHeight="1" x14ac:dyDescent="0.3">
      <c r="A18" s="447"/>
      <c r="B18" s="476" t="s">
        <v>314</v>
      </c>
      <c r="C18" s="477">
        <v>3.1425559999999999E-3</v>
      </c>
      <c r="D18" s="478"/>
      <c r="E18" s="428"/>
      <c r="G18" s="1836" t="s">
        <v>314</v>
      </c>
      <c r="H18" s="1837">
        <v>0.81125709133484736</v>
      </c>
      <c r="I18" s="1837">
        <v>0.81125709133484736</v>
      </c>
      <c r="J18" s="1837">
        <v>0.81125709133484736</v>
      </c>
      <c r="K18" s="1837">
        <v>0.81125709133484736</v>
      </c>
      <c r="L18" s="1837">
        <v>0.81125709133484736</v>
      </c>
      <c r="M18" s="1837">
        <v>0.81125709133484736</v>
      </c>
      <c r="N18" s="1837">
        <v>0.81125709133484736</v>
      </c>
      <c r="O18" s="1837">
        <v>0.81125709133484736</v>
      </c>
      <c r="P18" s="1837">
        <v>0.81125709133484736</v>
      </c>
      <c r="Q18" s="1837">
        <v>0.81125709133484736</v>
      </c>
      <c r="R18" s="1837">
        <v>0.81125709133484736</v>
      </c>
      <c r="S18" s="1837">
        <v>0.81125709133484736</v>
      </c>
      <c r="T18" s="1837">
        <v>0.81125709133484736</v>
      </c>
      <c r="U18" s="1837">
        <v>0.81125709133484736</v>
      </c>
      <c r="V18" s="1837">
        <v>0.81125709133484736</v>
      </c>
      <c r="W18" s="1837">
        <v>0.81125709133484736</v>
      </c>
      <c r="X18" s="1837">
        <v>0.81125709133484736</v>
      </c>
      <c r="Y18" s="1837">
        <v>0.81125709133484736</v>
      </c>
      <c r="Z18" s="1837">
        <v>0.81125709133484736</v>
      </c>
      <c r="AA18" s="1837">
        <v>0.81125709133484736</v>
      </c>
      <c r="AB18" s="1837">
        <v>0.81125709133484736</v>
      </c>
      <c r="AC18" s="1837">
        <v>0.81125709133484736</v>
      </c>
      <c r="AD18" s="1837">
        <v>0.81125709133484736</v>
      </c>
      <c r="AE18" s="1837">
        <v>0.81125709133484736</v>
      </c>
      <c r="AF18" s="1837">
        <v>0.81125709133484736</v>
      </c>
      <c r="AH18" s="2621"/>
    </row>
    <row r="19" spans="1:34" ht="19.5" customHeight="1" x14ac:dyDescent="0.3">
      <c r="A19" s="447"/>
      <c r="B19" s="480" t="s">
        <v>315</v>
      </c>
      <c r="C19" s="481">
        <f>C17*C18</f>
        <v>7883.5712608376471</v>
      </c>
      <c r="D19" s="478"/>
      <c r="E19" s="428"/>
      <c r="G19" s="1843" t="s">
        <v>315</v>
      </c>
      <c r="H19" s="3318">
        <f t="shared" ref="H19:AE19" si="9">H17*H18</f>
        <v>2854.0024473159929</v>
      </c>
      <c r="I19" s="3319">
        <f t="shared" si="9"/>
        <v>0</v>
      </c>
      <c r="J19" s="3318">
        <f t="shared" si="9"/>
        <v>4999</v>
      </c>
      <c r="K19" s="3318">
        <f>K17*K18</f>
        <v>4999</v>
      </c>
      <c r="L19" s="3318">
        <f t="shared" si="9"/>
        <v>4999</v>
      </c>
      <c r="M19" s="3318">
        <f t="shared" si="9"/>
        <v>0</v>
      </c>
      <c r="N19" s="3318">
        <f t="shared" si="9"/>
        <v>4999</v>
      </c>
      <c r="O19" s="3318">
        <f t="shared" si="9"/>
        <v>3310.7401897375121</v>
      </c>
      <c r="P19" s="3318">
        <f t="shared" si="9"/>
        <v>1757.9941169226142</v>
      </c>
      <c r="Q19" s="3318">
        <f t="shared" si="9"/>
        <v>4999</v>
      </c>
      <c r="R19" s="3318">
        <f t="shared" si="9"/>
        <v>0</v>
      </c>
      <c r="S19" s="3318">
        <f t="shared" si="9"/>
        <v>4999</v>
      </c>
      <c r="T19" s="3318">
        <f t="shared" si="9"/>
        <v>1388.2677538322143</v>
      </c>
      <c r="U19" s="3318">
        <f t="shared" si="9"/>
        <v>0</v>
      </c>
      <c r="V19" s="3318">
        <f t="shared" si="9"/>
        <v>0</v>
      </c>
      <c r="W19" s="3318">
        <f t="shared" si="9"/>
        <v>0</v>
      </c>
      <c r="X19" s="3318">
        <f t="shared" si="9"/>
        <v>2102.5187784706973</v>
      </c>
      <c r="Y19" s="3318">
        <f t="shared" si="9"/>
        <v>3136.7985567844075</v>
      </c>
      <c r="Z19" s="3318">
        <f t="shared" si="9"/>
        <v>1892.4883738095618</v>
      </c>
      <c r="AA19" s="3318">
        <f t="shared" si="9"/>
        <v>0</v>
      </c>
      <c r="AB19" s="3318">
        <f t="shared" si="9"/>
        <v>0</v>
      </c>
      <c r="AC19" s="3318">
        <f t="shared" si="9"/>
        <v>24.73117242934282</v>
      </c>
      <c r="AD19" s="1844">
        <f t="shared" si="9"/>
        <v>4999</v>
      </c>
      <c r="AE19" s="1846">
        <f t="shared" si="9"/>
        <v>88.589274373765335</v>
      </c>
      <c r="AF19" s="3320">
        <f>AF17*AF18</f>
        <v>4504.910628182407</v>
      </c>
      <c r="AH19" s="2621"/>
    </row>
    <row r="20" spans="1:34" ht="18.75" customHeight="1" x14ac:dyDescent="0.4">
      <c r="A20" s="428"/>
      <c r="B20" s="465" t="s">
        <v>316</v>
      </c>
      <c r="C20" s="482"/>
      <c r="D20" s="467"/>
      <c r="E20" s="428"/>
      <c r="G20" s="1850" t="s">
        <v>316</v>
      </c>
      <c r="H20" s="1856"/>
      <c r="I20" s="3321"/>
      <c r="J20" s="1853"/>
      <c r="K20" s="3322"/>
      <c r="L20" s="1856"/>
      <c r="M20" s="1853"/>
      <c r="N20" s="1856"/>
      <c r="O20" s="1853"/>
      <c r="P20" s="1856"/>
      <c r="Q20" s="1853"/>
      <c r="R20" s="1856"/>
      <c r="S20" s="3323"/>
      <c r="T20" s="1856"/>
      <c r="U20" s="1853"/>
      <c r="V20" s="1856"/>
      <c r="W20" s="1853"/>
      <c r="X20" s="1856"/>
      <c r="Y20" s="1853"/>
      <c r="Z20" s="1856"/>
      <c r="AA20" s="1853"/>
      <c r="AB20" s="1856"/>
      <c r="AC20" s="1853"/>
      <c r="AD20" s="1851"/>
      <c r="AE20" s="1853"/>
      <c r="AF20" s="3324"/>
    </row>
    <row r="21" spans="1:34" ht="25.8" customHeight="1" x14ac:dyDescent="0.3">
      <c r="A21" s="447"/>
      <c r="B21" s="469" t="s">
        <v>183</v>
      </c>
      <c r="C21" s="470" t="s">
        <v>1623</v>
      </c>
      <c r="D21" s="2388"/>
      <c r="E21" s="428"/>
      <c r="G21" s="1820" t="s">
        <v>183</v>
      </c>
      <c r="H21" s="1601" t="s">
        <v>1624</v>
      </c>
      <c r="I21" s="1601" t="s">
        <v>1624</v>
      </c>
      <c r="J21" s="1601" t="s">
        <v>1624</v>
      </c>
      <c r="K21" s="1601" t="s">
        <v>1624</v>
      </c>
      <c r="L21" s="1601" t="s">
        <v>1624</v>
      </c>
      <c r="M21" s="1601" t="s">
        <v>1624</v>
      </c>
      <c r="N21" s="1601" t="s">
        <v>1624</v>
      </c>
      <c r="O21" s="1601" t="s">
        <v>1624</v>
      </c>
      <c r="P21" s="1601" t="s">
        <v>1624</v>
      </c>
      <c r="Q21" s="1601" t="s">
        <v>1624</v>
      </c>
      <c r="R21" s="1601" t="s">
        <v>1624</v>
      </c>
      <c r="S21" s="1601" t="s">
        <v>1624</v>
      </c>
      <c r="T21" s="1601" t="s">
        <v>1624</v>
      </c>
      <c r="U21" s="1601" t="s">
        <v>1624</v>
      </c>
      <c r="V21" s="1601" t="s">
        <v>1624</v>
      </c>
      <c r="W21" s="1601" t="s">
        <v>1624</v>
      </c>
      <c r="X21" s="1601" t="s">
        <v>1624</v>
      </c>
      <c r="Y21" s="1601" t="s">
        <v>1624</v>
      </c>
      <c r="Z21" s="1601" t="s">
        <v>1624</v>
      </c>
      <c r="AA21" s="1601" t="s">
        <v>1624</v>
      </c>
      <c r="AB21" s="1601" t="s">
        <v>1624</v>
      </c>
      <c r="AC21" s="1601" t="s">
        <v>1624</v>
      </c>
      <c r="AD21" s="1601" t="s">
        <v>1624</v>
      </c>
      <c r="AE21" s="1601" t="s">
        <v>1624</v>
      </c>
      <c r="AF21" s="1601" t="s">
        <v>1624</v>
      </c>
    </row>
    <row r="22" spans="1:34" ht="22.8" customHeight="1" x14ac:dyDescent="0.3">
      <c r="A22" s="447"/>
      <c r="B22" s="3325" t="s">
        <v>369</v>
      </c>
      <c r="C22" s="487">
        <f>'CF-1002|GDS'!I10</f>
        <v>5553000</v>
      </c>
      <c r="D22" s="474"/>
      <c r="E22" s="428"/>
      <c r="G22" s="1862" t="s">
        <v>398</v>
      </c>
      <c r="H22" s="1867">
        <f>H17</f>
        <v>3518</v>
      </c>
      <c r="I22" s="3326">
        <f>I17</f>
        <v>0</v>
      </c>
      <c r="J22" s="1867">
        <f>J17</f>
        <v>6162.0416676723462</v>
      </c>
      <c r="K22" s="1867">
        <f>K17</f>
        <v>6162.0416676723462</v>
      </c>
      <c r="L22" s="1867">
        <f t="shared" ref="L22:AE22" si="10">L17</f>
        <v>6162.0416676723462</v>
      </c>
      <c r="M22" s="1867">
        <f t="shared" si="10"/>
        <v>0</v>
      </c>
      <c r="N22" s="1867">
        <f t="shared" si="10"/>
        <v>6162.0416676723462</v>
      </c>
      <c r="O22" s="1867">
        <f t="shared" si="10"/>
        <v>4081</v>
      </c>
      <c r="P22" s="1867">
        <f t="shared" si="10"/>
        <v>2167</v>
      </c>
      <c r="Q22" s="1867">
        <f t="shared" si="10"/>
        <v>6162.0416676723462</v>
      </c>
      <c r="R22" s="1867">
        <f t="shared" si="10"/>
        <v>0</v>
      </c>
      <c r="S22" s="1867">
        <f t="shared" si="10"/>
        <v>6162.0416676723462</v>
      </c>
      <c r="T22" s="1867">
        <f t="shared" si="10"/>
        <v>1711.2550000000001</v>
      </c>
      <c r="U22" s="1867">
        <f t="shared" si="10"/>
        <v>0</v>
      </c>
      <c r="V22" s="1867">
        <f t="shared" si="10"/>
        <v>0</v>
      </c>
      <c r="W22" s="1867">
        <f t="shared" si="10"/>
        <v>0</v>
      </c>
      <c r="X22" s="1867">
        <f t="shared" si="10"/>
        <v>2591.6800000000003</v>
      </c>
      <c r="Y22" s="1867">
        <f t="shared" si="10"/>
        <v>3866.59</v>
      </c>
      <c r="Z22" s="1867">
        <f t="shared" si="10"/>
        <v>2332.7849999999999</v>
      </c>
      <c r="AA22" s="1867">
        <f t="shared" si="10"/>
        <v>0</v>
      </c>
      <c r="AB22" s="1867">
        <f t="shared" si="10"/>
        <v>0</v>
      </c>
      <c r="AC22" s="1867">
        <f t="shared" si="10"/>
        <v>30.484999999999999</v>
      </c>
      <c r="AD22" s="1863">
        <f t="shared" si="10"/>
        <v>6162.0416676723462</v>
      </c>
      <c r="AE22" s="1864">
        <f t="shared" si="10"/>
        <v>109.2</v>
      </c>
      <c r="AF22" s="1865">
        <f>'CF-1002|GDS'!I99</f>
        <v>5553</v>
      </c>
    </row>
    <row r="23" spans="1:34" ht="22.8" customHeight="1" x14ac:dyDescent="0.3">
      <c r="A23" s="447"/>
      <c r="B23" s="489" t="s">
        <v>314</v>
      </c>
      <c r="C23" s="490">
        <v>3.6533000000000004E-5</v>
      </c>
      <c r="D23" s="478"/>
      <c r="E23" s="1095"/>
      <c r="G23" s="1868" t="s">
        <v>314</v>
      </c>
      <c r="H23" s="1869">
        <v>0</v>
      </c>
      <c r="I23" s="1869">
        <v>0</v>
      </c>
      <c r="J23" s="1869">
        <v>0</v>
      </c>
      <c r="K23" s="1869">
        <v>0</v>
      </c>
      <c r="L23" s="1869">
        <v>0</v>
      </c>
      <c r="M23" s="1869">
        <v>0</v>
      </c>
      <c r="N23" s="1869">
        <v>0</v>
      </c>
      <c r="O23" s="1869">
        <v>0</v>
      </c>
      <c r="P23" s="1869">
        <v>0</v>
      </c>
      <c r="Q23" s="1869">
        <v>0</v>
      </c>
      <c r="R23" s="1869">
        <v>0</v>
      </c>
      <c r="S23" s="1869">
        <v>0</v>
      </c>
      <c r="T23" s="1869">
        <v>0</v>
      </c>
      <c r="U23" s="1869">
        <v>0</v>
      </c>
      <c r="V23" s="1869">
        <v>0</v>
      </c>
      <c r="W23" s="1869">
        <v>0</v>
      </c>
      <c r="X23" s="1869">
        <v>0</v>
      </c>
      <c r="Y23" s="1869">
        <v>0</v>
      </c>
      <c r="Z23" s="1869">
        <v>0</v>
      </c>
      <c r="AA23" s="1869">
        <v>0</v>
      </c>
      <c r="AB23" s="1869">
        <v>0</v>
      </c>
      <c r="AC23" s="1869">
        <v>0</v>
      </c>
      <c r="AD23" s="1869">
        <v>0</v>
      </c>
      <c r="AE23" s="1870">
        <v>0</v>
      </c>
      <c r="AF23" s="1871">
        <v>0</v>
      </c>
    </row>
    <row r="24" spans="1:34" ht="22.8" customHeight="1" x14ac:dyDescent="0.3">
      <c r="A24" s="447"/>
      <c r="B24" s="492" t="s">
        <v>315</v>
      </c>
      <c r="C24" s="493">
        <f>C22*C23</f>
        <v>202.86774900000003</v>
      </c>
      <c r="D24" s="478"/>
      <c r="E24" s="1096"/>
      <c r="G24" s="1874" t="s">
        <v>315</v>
      </c>
      <c r="H24" s="1875">
        <f t="shared" ref="H24:AE24" si="11">H22*H23</f>
        <v>0</v>
      </c>
      <c r="I24" s="3327">
        <f t="shared" si="11"/>
        <v>0</v>
      </c>
      <c r="J24" s="1875">
        <f t="shared" si="11"/>
        <v>0</v>
      </c>
      <c r="K24" s="1875">
        <f t="shared" si="11"/>
        <v>0</v>
      </c>
      <c r="L24" s="1875">
        <f t="shared" si="11"/>
        <v>0</v>
      </c>
      <c r="M24" s="1875">
        <f t="shared" si="11"/>
        <v>0</v>
      </c>
      <c r="N24" s="1875">
        <f t="shared" si="11"/>
        <v>0</v>
      </c>
      <c r="O24" s="1875">
        <f t="shared" si="11"/>
        <v>0</v>
      </c>
      <c r="P24" s="1875">
        <f t="shared" si="11"/>
        <v>0</v>
      </c>
      <c r="Q24" s="1875">
        <f t="shared" si="11"/>
        <v>0</v>
      </c>
      <c r="R24" s="1875">
        <f t="shared" si="11"/>
        <v>0</v>
      </c>
      <c r="S24" s="1875">
        <f t="shared" si="11"/>
        <v>0</v>
      </c>
      <c r="T24" s="1875">
        <f t="shared" si="11"/>
        <v>0</v>
      </c>
      <c r="U24" s="1875">
        <f t="shared" si="11"/>
        <v>0</v>
      </c>
      <c r="V24" s="1875">
        <f t="shared" si="11"/>
        <v>0</v>
      </c>
      <c r="W24" s="1875">
        <f t="shared" si="11"/>
        <v>0</v>
      </c>
      <c r="X24" s="1875">
        <f t="shared" si="11"/>
        <v>0</v>
      </c>
      <c r="Y24" s="1875">
        <f t="shared" si="11"/>
        <v>0</v>
      </c>
      <c r="Z24" s="1875">
        <f t="shared" si="11"/>
        <v>0</v>
      </c>
      <c r="AA24" s="1875">
        <f t="shared" si="11"/>
        <v>0</v>
      </c>
      <c r="AB24" s="1875">
        <f t="shared" si="11"/>
        <v>0</v>
      </c>
      <c r="AC24" s="1875">
        <f t="shared" si="11"/>
        <v>0</v>
      </c>
      <c r="AD24" s="3328">
        <f t="shared" si="11"/>
        <v>0</v>
      </c>
      <c r="AE24" s="1878">
        <f t="shared" si="11"/>
        <v>0</v>
      </c>
      <c r="AF24" s="3329">
        <f>AF22*AF23</f>
        <v>0</v>
      </c>
    </row>
    <row r="25" spans="1:34" ht="24.6" customHeight="1" x14ac:dyDescent="0.3">
      <c r="A25" s="428"/>
      <c r="B25" s="465"/>
      <c r="C25" s="482"/>
      <c r="D25" s="483"/>
      <c r="E25" s="484"/>
      <c r="G25" s="2629" t="s">
        <v>320</v>
      </c>
      <c r="H25" s="3330" t="s">
        <v>1477</v>
      </c>
      <c r="I25" s="3331" t="s">
        <v>1477</v>
      </c>
      <c r="J25" s="3330" t="s">
        <v>1477</v>
      </c>
      <c r="K25" s="3330" t="s">
        <v>1477</v>
      </c>
      <c r="L25" s="3330" t="s">
        <v>1477</v>
      </c>
      <c r="M25" s="3330" t="s">
        <v>1477</v>
      </c>
      <c r="N25" s="3330" t="s">
        <v>1477</v>
      </c>
      <c r="O25" s="3330" t="s">
        <v>1477</v>
      </c>
      <c r="P25" s="3330" t="s">
        <v>1477</v>
      </c>
      <c r="Q25" s="3330" t="s">
        <v>1477</v>
      </c>
      <c r="R25" s="3330" t="s">
        <v>1625</v>
      </c>
      <c r="S25" s="3330" t="s">
        <v>1477</v>
      </c>
      <c r="T25" s="3330" t="s">
        <v>1477</v>
      </c>
      <c r="U25" s="3330" t="s">
        <v>1625</v>
      </c>
      <c r="V25" s="3330" t="s">
        <v>1477</v>
      </c>
      <c r="W25" s="3330" t="s">
        <v>1477</v>
      </c>
      <c r="X25" s="3330" t="s">
        <v>1477</v>
      </c>
      <c r="Y25" s="3330" t="s">
        <v>1477</v>
      </c>
      <c r="Z25" s="3330" t="s">
        <v>1477</v>
      </c>
      <c r="AA25" s="3330" t="s">
        <v>1477</v>
      </c>
      <c r="AB25" s="3330" t="s">
        <v>1477</v>
      </c>
      <c r="AC25" s="3330" t="s">
        <v>1477</v>
      </c>
      <c r="AD25" s="3332" t="s">
        <v>1477</v>
      </c>
      <c r="AE25" s="3333" t="s">
        <v>1477</v>
      </c>
      <c r="AF25" s="3334" t="s">
        <v>1626</v>
      </c>
      <c r="AH25" s="2627"/>
    </row>
    <row r="26" spans="1:34" ht="30.6" customHeight="1" x14ac:dyDescent="0.3">
      <c r="A26" s="447"/>
      <c r="B26" s="469"/>
      <c r="C26" s="470"/>
      <c r="D26" s="479"/>
      <c r="E26" s="485"/>
      <c r="G26" s="1437" t="s">
        <v>1181</v>
      </c>
      <c r="H26" s="1397" t="s">
        <v>324</v>
      </c>
      <c r="I26" s="1894" t="s">
        <v>324</v>
      </c>
      <c r="J26" s="1397" t="s">
        <v>324</v>
      </c>
      <c r="K26" s="1397" t="s">
        <v>324</v>
      </c>
      <c r="L26" s="1397" t="s">
        <v>324</v>
      </c>
      <c r="M26" s="1397" t="s">
        <v>324</v>
      </c>
      <c r="N26" s="1397" t="s">
        <v>324</v>
      </c>
      <c r="O26" s="1397" t="s">
        <v>324</v>
      </c>
      <c r="P26" s="1397" t="s">
        <v>324</v>
      </c>
      <c r="Q26" s="1397" t="s">
        <v>324</v>
      </c>
      <c r="R26" s="1397" t="s">
        <v>324</v>
      </c>
      <c r="S26" s="1397" t="s">
        <v>324</v>
      </c>
      <c r="T26" s="1397" t="s">
        <v>324</v>
      </c>
      <c r="U26" s="1397" t="s">
        <v>324</v>
      </c>
      <c r="V26" s="1397" t="s">
        <v>324</v>
      </c>
      <c r="W26" s="1397" t="s">
        <v>324</v>
      </c>
      <c r="X26" s="1397" t="s">
        <v>324</v>
      </c>
      <c r="Y26" s="1397" t="s">
        <v>324</v>
      </c>
      <c r="Z26" s="1397" t="s">
        <v>324</v>
      </c>
      <c r="AA26" s="1397" t="s">
        <v>324</v>
      </c>
      <c r="AB26" s="1397" t="s">
        <v>324</v>
      </c>
      <c r="AC26" s="1397" t="s">
        <v>324</v>
      </c>
      <c r="AD26" s="1893" t="s">
        <v>324</v>
      </c>
      <c r="AE26" s="1369" t="s">
        <v>324</v>
      </c>
      <c r="AF26" s="1886" t="s">
        <v>324</v>
      </c>
      <c r="AH26" s="2627"/>
    </row>
    <row r="27" spans="1:34" ht="26.4" customHeight="1" x14ac:dyDescent="0.3">
      <c r="A27" s="447"/>
      <c r="B27" s="486"/>
      <c r="C27" s="487"/>
      <c r="D27" s="479"/>
      <c r="E27" s="488"/>
      <c r="G27" s="1887" t="s">
        <v>1182</v>
      </c>
      <c r="H27" s="1889" t="s">
        <v>326</v>
      </c>
      <c r="I27" s="1896" t="s">
        <v>326</v>
      </c>
      <c r="J27" s="1889" t="s">
        <v>326</v>
      </c>
      <c r="K27" s="1889" t="s">
        <v>326</v>
      </c>
      <c r="L27" s="1889" t="s">
        <v>326</v>
      </c>
      <c r="M27" s="1889" t="s">
        <v>326</v>
      </c>
      <c r="N27" s="1889" t="s">
        <v>326</v>
      </c>
      <c r="O27" s="1889" t="s">
        <v>326</v>
      </c>
      <c r="P27" s="1889" t="s">
        <v>326</v>
      </c>
      <c r="Q27" s="1889" t="s">
        <v>326</v>
      </c>
      <c r="R27" s="1889" t="s">
        <v>326</v>
      </c>
      <c r="S27" s="1889" t="s">
        <v>326</v>
      </c>
      <c r="T27" s="1889" t="s">
        <v>326</v>
      </c>
      <c r="U27" s="1889" t="s">
        <v>326</v>
      </c>
      <c r="V27" s="1889" t="s">
        <v>326</v>
      </c>
      <c r="W27" s="1889" t="s">
        <v>326</v>
      </c>
      <c r="X27" s="1889" t="s">
        <v>326</v>
      </c>
      <c r="Y27" s="1889" t="s">
        <v>326</v>
      </c>
      <c r="Z27" s="1889" t="s">
        <v>326</v>
      </c>
      <c r="AA27" s="1889" t="s">
        <v>326</v>
      </c>
      <c r="AB27" s="1889" t="s">
        <v>326</v>
      </c>
      <c r="AC27" s="1889" t="s">
        <v>326</v>
      </c>
      <c r="AD27" s="1891" t="s">
        <v>326</v>
      </c>
      <c r="AE27" s="1888" t="s">
        <v>326</v>
      </c>
      <c r="AF27" s="1892" t="s">
        <v>326</v>
      </c>
      <c r="AH27" s="3335"/>
    </row>
    <row r="28" spans="1:34" ht="26.4" x14ac:dyDescent="0.3">
      <c r="A28" s="447"/>
      <c r="B28" s="489"/>
      <c r="C28" s="490"/>
      <c r="D28" s="479"/>
      <c r="E28" s="491"/>
      <c r="G28" s="1437" t="s">
        <v>1183</v>
      </c>
      <c r="H28" s="1397" t="s">
        <v>402</v>
      </c>
      <c r="I28" s="1894" t="s">
        <v>402</v>
      </c>
      <c r="J28" s="1397" t="s">
        <v>402</v>
      </c>
      <c r="K28" s="1397" t="s">
        <v>402</v>
      </c>
      <c r="L28" s="1397" t="s">
        <v>402</v>
      </c>
      <c r="M28" s="1397" t="s">
        <v>402</v>
      </c>
      <c r="N28" s="1397" t="s">
        <v>402</v>
      </c>
      <c r="O28" s="1397" t="s">
        <v>402</v>
      </c>
      <c r="P28" s="1397" t="s">
        <v>402</v>
      </c>
      <c r="Q28" s="1397" t="s">
        <v>402</v>
      </c>
      <c r="R28" s="1397" t="s">
        <v>402</v>
      </c>
      <c r="S28" s="1397" t="s">
        <v>402</v>
      </c>
      <c r="T28" s="1397" t="s">
        <v>402</v>
      </c>
      <c r="U28" s="1397" t="s">
        <v>402</v>
      </c>
      <c r="V28" s="1397" t="s">
        <v>402</v>
      </c>
      <c r="W28" s="1397" t="s">
        <v>402</v>
      </c>
      <c r="X28" s="1397" t="s">
        <v>402</v>
      </c>
      <c r="Y28" s="1397" t="s">
        <v>402</v>
      </c>
      <c r="Z28" s="1397" t="s">
        <v>402</v>
      </c>
      <c r="AA28" s="1397" t="s">
        <v>402</v>
      </c>
      <c r="AB28" s="1397" t="s">
        <v>402</v>
      </c>
      <c r="AC28" s="1397" t="s">
        <v>402</v>
      </c>
      <c r="AD28" s="1893" t="s">
        <v>402</v>
      </c>
      <c r="AE28" s="1369" t="s">
        <v>402</v>
      </c>
      <c r="AF28" s="1886" t="s">
        <v>402</v>
      </c>
      <c r="AH28" s="3336"/>
    </row>
    <row r="29" spans="1:34" ht="22.8" customHeight="1" x14ac:dyDescent="0.3">
      <c r="A29" s="447"/>
      <c r="B29" s="492"/>
      <c r="C29" s="493"/>
      <c r="D29" s="479"/>
      <c r="E29" s="494"/>
      <c r="G29" s="1895" t="s">
        <v>329</v>
      </c>
      <c r="H29" s="1889">
        <v>1</v>
      </c>
      <c r="I29" s="1889">
        <v>0</v>
      </c>
      <c r="J29" s="1889">
        <v>1</v>
      </c>
      <c r="K29" s="1889">
        <v>1</v>
      </c>
      <c r="L29" s="1889">
        <v>1</v>
      </c>
      <c r="M29" s="1889">
        <v>0</v>
      </c>
      <c r="N29" s="1889">
        <v>1</v>
      </c>
      <c r="O29" s="1889">
        <v>1</v>
      </c>
      <c r="P29" s="1889">
        <v>1</v>
      </c>
      <c r="Q29" s="1889">
        <v>1</v>
      </c>
      <c r="R29" s="1889">
        <v>0</v>
      </c>
      <c r="S29" s="1889">
        <v>1</v>
      </c>
      <c r="T29" s="1889">
        <v>1</v>
      </c>
      <c r="U29" s="1889">
        <v>0</v>
      </c>
      <c r="V29" s="1889">
        <v>0</v>
      </c>
      <c r="W29" s="1889">
        <v>0</v>
      </c>
      <c r="X29" s="1889">
        <v>1</v>
      </c>
      <c r="Y29" s="1889">
        <v>1</v>
      </c>
      <c r="Z29" s="1889">
        <v>1</v>
      </c>
      <c r="AA29" s="1889">
        <v>0</v>
      </c>
      <c r="AB29" s="1889">
        <v>0</v>
      </c>
      <c r="AC29" s="1889">
        <v>1</v>
      </c>
      <c r="AD29" s="1891">
        <v>1</v>
      </c>
      <c r="AE29" s="1888">
        <v>1</v>
      </c>
      <c r="AF29" s="1892">
        <v>1</v>
      </c>
      <c r="AH29" s="2625"/>
    </row>
    <row r="30" spans="1:34" ht="30.75" customHeight="1" x14ac:dyDescent="0.3">
      <c r="A30" s="428"/>
      <c r="B30" s="498" t="s">
        <v>320</v>
      </c>
      <c r="C30" s="592" t="s">
        <v>321</v>
      </c>
      <c r="D30" s="483"/>
      <c r="E30" s="495"/>
      <c r="G30" s="1367" t="s">
        <v>330</v>
      </c>
      <c r="H30" s="1397" t="s">
        <v>324</v>
      </c>
      <c r="I30" s="1397" t="s">
        <v>324</v>
      </c>
      <c r="J30" s="1397" t="s">
        <v>324</v>
      </c>
      <c r="K30" s="1397" t="s">
        <v>324</v>
      </c>
      <c r="L30" s="1397" t="s">
        <v>324</v>
      </c>
      <c r="M30" s="1397" t="s">
        <v>324</v>
      </c>
      <c r="N30" s="1397" t="s">
        <v>324</v>
      </c>
      <c r="O30" s="1397" t="s">
        <v>324</v>
      </c>
      <c r="P30" s="1397" t="s">
        <v>324</v>
      </c>
      <c r="Q30" s="1397" t="s">
        <v>324</v>
      </c>
      <c r="R30" s="1397" t="s">
        <v>324</v>
      </c>
      <c r="S30" s="1397" t="s">
        <v>324</v>
      </c>
      <c r="T30" s="1397" t="s">
        <v>324</v>
      </c>
      <c r="U30" s="1397" t="s">
        <v>324</v>
      </c>
      <c r="V30" s="1397" t="s">
        <v>324</v>
      </c>
      <c r="W30" s="1397" t="s">
        <v>324</v>
      </c>
      <c r="X30" s="1397" t="s">
        <v>324</v>
      </c>
      <c r="Y30" s="1397" t="s">
        <v>324</v>
      </c>
      <c r="Z30" s="1397" t="s">
        <v>324</v>
      </c>
      <c r="AA30" s="1397" t="s">
        <v>324</v>
      </c>
      <c r="AB30" s="1397" t="s">
        <v>324</v>
      </c>
      <c r="AC30" s="1397" t="s">
        <v>324</v>
      </c>
      <c r="AD30" s="1893" t="s">
        <v>324</v>
      </c>
      <c r="AE30" s="1369" t="s">
        <v>324</v>
      </c>
      <c r="AF30" s="1886" t="s">
        <v>324</v>
      </c>
      <c r="AH30" s="2627"/>
    </row>
    <row r="31" spans="1:34" ht="21" customHeight="1" x14ac:dyDescent="0.3">
      <c r="A31" s="447"/>
      <c r="B31" s="502" t="s">
        <v>322</v>
      </c>
      <c r="C31" s="503">
        <v>3</v>
      </c>
      <c r="D31" s="479"/>
      <c r="E31" s="496"/>
      <c r="G31" s="1898" t="s">
        <v>331</v>
      </c>
      <c r="H31" s="1903" t="s">
        <v>324</v>
      </c>
      <c r="I31" s="1903" t="s">
        <v>324</v>
      </c>
      <c r="J31" s="1903" t="s">
        <v>324</v>
      </c>
      <c r="K31" s="1903" t="s">
        <v>324</v>
      </c>
      <c r="L31" s="1903" t="s">
        <v>324</v>
      </c>
      <c r="M31" s="1903" t="s">
        <v>324</v>
      </c>
      <c r="N31" s="1903" t="s">
        <v>324</v>
      </c>
      <c r="O31" s="1903" t="s">
        <v>324</v>
      </c>
      <c r="P31" s="1903" t="s">
        <v>324</v>
      </c>
      <c r="Q31" s="1903" t="s">
        <v>324</v>
      </c>
      <c r="R31" s="1903" t="s">
        <v>324</v>
      </c>
      <c r="S31" s="1903" t="s">
        <v>324</v>
      </c>
      <c r="T31" s="1903" t="s">
        <v>324</v>
      </c>
      <c r="U31" s="1903" t="s">
        <v>324</v>
      </c>
      <c r="V31" s="1903" t="s">
        <v>324</v>
      </c>
      <c r="W31" s="1903" t="s">
        <v>324</v>
      </c>
      <c r="X31" s="1903" t="s">
        <v>324</v>
      </c>
      <c r="Y31" s="1903" t="s">
        <v>324</v>
      </c>
      <c r="Z31" s="1903" t="s">
        <v>324</v>
      </c>
      <c r="AA31" s="1903" t="s">
        <v>324</v>
      </c>
      <c r="AB31" s="1903" t="s">
        <v>324</v>
      </c>
      <c r="AC31" s="1903" t="s">
        <v>324</v>
      </c>
      <c r="AD31" s="1899" t="s">
        <v>324</v>
      </c>
      <c r="AE31" s="1900" t="s">
        <v>324</v>
      </c>
      <c r="AF31" s="1901" t="s">
        <v>324</v>
      </c>
      <c r="AH31" s="2628"/>
    </row>
    <row r="32" spans="1:34" ht="21" customHeight="1" x14ac:dyDescent="0.3">
      <c r="A32" s="447"/>
      <c r="B32" s="506" t="s">
        <v>323</v>
      </c>
      <c r="C32" s="507" t="s">
        <v>324</v>
      </c>
      <c r="D32" s="479"/>
      <c r="E32" s="488"/>
      <c r="G32" s="1344"/>
      <c r="H32" s="1344"/>
      <c r="I32" s="1344"/>
      <c r="J32" s="1344"/>
      <c r="K32" s="2624"/>
      <c r="L32" s="2624"/>
      <c r="M32" s="2624"/>
      <c r="N32" s="1344"/>
      <c r="S32" s="1344"/>
      <c r="T32" s="1344"/>
      <c r="AH32" s="1842"/>
    </row>
    <row r="33" spans="1:34" ht="21" customHeight="1" x14ac:dyDescent="0.3">
      <c r="A33" s="447"/>
      <c r="B33" s="508" t="s">
        <v>325</v>
      </c>
      <c r="C33" s="509" t="s">
        <v>326</v>
      </c>
      <c r="D33" s="479"/>
      <c r="E33" s="491"/>
      <c r="G33" s="2634" t="s">
        <v>334</v>
      </c>
      <c r="H33" s="1344"/>
      <c r="I33" s="1344"/>
      <c r="J33" s="1344"/>
      <c r="K33" s="2624"/>
      <c r="L33" s="2624"/>
      <c r="M33" s="2624"/>
      <c r="S33" s="1344"/>
      <c r="T33" s="1344"/>
      <c r="AH33" s="1849"/>
    </row>
    <row r="34" spans="1:34" ht="27.6" customHeight="1" x14ac:dyDescent="0.3">
      <c r="A34" s="447"/>
      <c r="B34" s="506" t="s">
        <v>327</v>
      </c>
      <c r="C34" s="507" t="s">
        <v>729</v>
      </c>
      <c r="D34" s="479"/>
      <c r="E34" s="494"/>
      <c r="G34" s="2634" t="s">
        <v>335</v>
      </c>
      <c r="H34" s="1344"/>
      <c r="I34" s="1344"/>
      <c r="J34" s="1344"/>
      <c r="K34" s="2624"/>
      <c r="L34" s="2624"/>
      <c r="M34" s="2624"/>
      <c r="S34" s="1344"/>
      <c r="T34" s="1344"/>
      <c r="AH34" s="1857"/>
    </row>
    <row r="35" spans="1:34" ht="28.2" customHeight="1" x14ac:dyDescent="0.3">
      <c r="A35" s="447"/>
      <c r="B35" s="510" t="s">
        <v>329</v>
      </c>
      <c r="C35" s="509">
        <v>3</v>
      </c>
      <c r="D35" s="500"/>
      <c r="E35" s="501"/>
      <c r="G35" s="2634" t="s">
        <v>336</v>
      </c>
      <c r="H35" s="1344"/>
      <c r="I35" s="1344"/>
      <c r="J35" s="1344"/>
      <c r="K35" s="2624"/>
      <c r="L35" s="2624"/>
      <c r="M35" s="2624"/>
      <c r="S35" s="1344"/>
      <c r="T35" s="1344"/>
      <c r="AH35" s="1369"/>
    </row>
    <row r="36" spans="1:34" ht="21" customHeight="1" x14ac:dyDescent="0.3">
      <c r="A36" s="428"/>
      <c r="B36" s="453" t="s">
        <v>330</v>
      </c>
      <c r="C36" s="507" t="s">
        <v>324</v>
      </c>
      <c r="D36" s="504"/>
      <c r="E36" s="505"/>
      <c r="G36" s="2634" t="s">
        <v>337</v>
      </c>
      <c r="H36" s="1344"/>
      <c r="I36" s="1344"/>
      <c r="J36" s="1344"/>
      <c r="K36" s="2624"/>
      <c r="L36" s="2624"/>
      <c r="M36" s="2624"/>
      <c r="S36" s="1344"/>
      <c r="T36" s="1344"/>
      <c r="AH36" s="2628"/>
    </row>
    <row r="37" spans="1:34" ht="21" customHeight="1" x14ac:dyDescent="0.3">
      <c r="A37" s="447"/>
      <c r="B37" s="510" t="s">
        <v>331</v>
      </c>
      <c r="C37" s="509" t="s">
        <v>324</v>
      </c>
      <c r="D37" s="479"/>
      <c r="E37" s="496"/>
      <c r="G37" s="2634" t="s">
        <v>338</v>
      </c>
      <c r="K37" s="1344"/>
      <c r="M37" s="1344"/>
      <c r="S37" s="1344"/>
      <c r="T37" s="1344"/>
      <c r="AH37" s="1842"/>
    </row>
    <row r="38" spans="1:34" ht="21" customHeight="1" x14ac:dyDescent="0.3">
      <c r="A38" s="447"/>
      <c r="B38" s="453" t="s">
        <v>332</v>
      </c>
      <c r="C38" s="507" t="s">
        <v>333</v>
      </c>
      <c r="D38" s="479"/>
      <c r="E38" s="496"/>
      <c r="G38" s="2634" t="s">
        <v>339</v>
      </c>
      <c r="K38" s="1344"/>
      <c r="M38" s="1344"/>
      <c r="S38" s="1344"/>
      <c r="T38" s="1344"/>
      <c r="AH38" s="1849"/>
    </row>
    <row r="39" spans="1:34" ht="22.2" customHeight="1" x14ac:dyDescent="0.3">
      <c r="A39" s="447"/>
      <c r="B39" s="3337" t="s">
        <v>1627</v>
      </c>
      <c r="C39" s="3338">
        <f>C14/C35</f>
        <v>2560.2345039458824</v>
      </c>
      <c r="D39" s="479"/>
      <c r="E39" s="496"/>
      <c r="K39" s="1344"/>
      <c r="M39" s="1344"/>
      <c r="S39" s="1344"/>
      <c r="T39" s="1344"/>
      <c r="AH39" s="1834"/>
    </row>
    <row r="40" spans="1:34" ht="33" customHeight="1" x14ac:dyDescent="0.3">
      <c r="A40" s="428"/>
      <c r="D40" s="467"/>
      <c r="E40" s="467"/>
      <c r="K40" s="1344"/>
      <c r="M40" s="1344"/>
      <c r="S40" s="1344"/>
      <c r="T40" s="1344"/>
      <c r="AH40" s="1369"/>
    </row>
    <row r="41" spans="1:34" ht="33" customHeight="1" x14ac:dyDescent="0.3">
      <c r="A41" s="428"/>
      <c r="D41" s="483"/>
      <c r="E41" s="495"/>
      <c r="K41" s="1344"/>
      <c r="M41" s="1344"/>
      <c r="S41" s="1344"/>
      <c r="T41" s="1344"/>
      <c r="AH41" s="1369"/>
    </row>
    <row r="42" spans="1:34" ht="33" customHeight="1" x14ac:dyDescent="0.3">
      <c r="A42" s="428"/>
      <c r="D42" s="483"/>
      <c r="E42" s="495"/>
      <c r="K42" s="1344"/>
      <c r="M42" s="1344"/>
      <c r="S42" s="1344"/>
      <c r="AH42" s="1369"/>
    </row>
    <row r="43" spans="1:34" ht="21" customHeight="1" x14ac:dyDescent="0.3">
      <c r="A43" s="428"/>
      <c r="D43" s="483"/>
      <c r="E43" s="495"/>
      <c r="K43" s="1344"/>
      <c r="M43" s="1344"/>
      <c r="S43" s="1344"/>
      <c r="AH43" s="1897"/>
    </row>
    <row r="44" spans="1:34" ht="21" customHeight="1" x14ac:dyDescent="0.3">
      <c r="A44" s="428"/>
      <c r="D44" s="483"/>
      <c r="E44" s="483"/>
      <c r="K44" s="1344"/>
      <c r="M44" s="1344"/>
      <c r="S44" s="1344"/>
      <c r="AH44" s="1857"/>
    </row>
    <row r="45" spans="1:34" ht="21" customHeight="1" x14ac:dyDescent="0.3">
      <c r="K45" s="1344"/>
      <c r="M45" s="1344"/>
      <c r="S45" s="1344"/>
      <c r="AH45" s="1857"/>
    </row>
    <row r="46" spans="1:34" ht="15.75" customHeight="1" x14ac:dyDescent="0.3">
      <c r="K46" s="1344"/>
      <c r="M46" s="1344"/>
      <c r="S46" s="1344"/>
    </row>
    <row r="47" spans="1:34" ht="15.75" customHeight="1" x14ac:dyDescent="0.3">
      <c r="K47" s="1344"/>
      <c r="M47" s="1344"/>
      <c r="S47" s="1344"/>
    </row>
    <row r="48" spans="1:34" ht="15.75" customHeight="1" x14ac:dyDescent="0.3">
      <c r="K48" s="1344"/>
      <c r="M48" s="1344"/>
      <c r="S48" s="1344"/>
    </row>
    <row r="49" spans="11:19" ht="15.75" customHeight="1" x14ac:dyDescent="0.3">
      <c r="K49" s="1344"/>
      <c r="M49" s="1344"/>
      <c r="S49" s="1344"/>
    </row>
    <row r="50" spans="11:19" ht="15.75" customHeight="1" x14ac:dyDescent="0.3">
      <c r="K50" s="1344"/>
      <c r="M50" s="1344"/>
      <c r="S50" s="1344"/>
    </row>
    <row r="51" spans="11:19" ht="15.75" customHeight="1" x14ac:dyDescent="0.3">
      <c r="K51" s="1344"/>
      <c r="M51" s="1344"/>
      <c r="S51" s="1344"/>
    </row>
    <row r="52" spans="11:19" ht="15.75" customHeight="1" x14ac:dyDescent="0.3">
      <c r="K52" s="1344"/>
      <c r="M52" s="1344"/>
      <c r="S52" s="1344"/>
    </row>
    <row r="53" spans="11:19" ht="15.75" customHeight="1" x14ac:dyDescent="0.3">
      <c r="K53" s="1344"/>
      <c r="M53" s="1344"/>
      <c r="S53" s="1344"/>
    </row>
    <row r="54" spans="11:19" ht="15.75" customHeight="1" x14ac:dyDescent="0.3">
      <c r="K54" s="1344"/>
      <c r="M54" s="1344"/>
      <c r="S54" s="1344"/>
    </row>
    <row r="55" spans="11:19" ht="15.75" customHeight="1" x14ac:dyDescent="0.3">
      <c r="K55" s="1344"/>
      <c r="M55" s="1344"/>
      <c r="S55" s="1344"/>
    </row>
    <row r="56" spans="11:19" ht="15.75" customHeight="1" x14ac:dyDescent="0.3">
      <c r="K56" s="1344"/>
      <c r="M56" s="1344"/>
      <c r="S56" s="1344"/>
    </row>
    <row r="57" spans="11:19" ht="15.75" customHeight="1" x14ac:dyDescent="0.3">
      <c r="K57" s="1344"/>
      <c r="M57" s="1344"/>
      <c r="S57" s="1344"/>
    </row>
    <row r="58" spans="11:19" ht="15.75" customHeight="1" x14ac:dyDescent="0.3">
      <c r="K58" s="1344"/>
      <c r="M58" s="1344"/>
      <c r="S58" s="1344"/>
    </row>
    <row r="59" spans="11:19" ht="15.75" customHeight="1" x14ac:dyDescent="0.3">
      <c r="K59" s="1344"/>
      <c r="M59" s="1344"/>
      <c r="S59" s="1344"/>
    </row>
    <row r="60" spans="11:19" ht="15.75" customHeight="1" x14ac:dyDescent="0.3">
      <c r="K60" s="1344"/>
      <c r="M60" s="1344"/>
      <c r="S60" s="1344"/>
    </row>
    <row r="61" spans="11:19" ht="15.75" customHeight="1" x14ac:dyDescent="0.3">
      <c r="K61" s="1344"/>
      <c r="M61" s="1344"/>
      <c r="S61" s="1344"/>
    </row>
    <row r="62" spans="11:19" ht="15.75" customHeight="1" x14ac:dyDescent="0.3">
      <c r="K62" s="1344"/>
      <c r="M62" s="1344"/>
      <c r="S62" s="1344"/>
    </row>
    <row r="63" spans="11:19" ht="15.75" customHeight="1" x14ac:dyDescent="0.3">
      <c r="K63" s="1344"/>
      <c r="M63" s="1344"/>
      <c r="S63" s="1344"/>
    </row>
    <row r="64" spans="11:19" ht="15.75" customHeight="1" x14ac:dyDescent="0.3">
      <c r="K64" s="1344"/>
      <c r="M64" s="1344"/>
      <c r="S64" s="1344"/>
    </row>
    <row r="65" spans="11:19" ht="15.75" customHeight="1" x14ac:dyDescent="0.3">
      <c r="K65" s="1344"/>
      <c r="M65" s="1344"/>
      <c r="S65" s="1344"/>
    </row>
    <row r="66" spans="11:19" ht="15.75" customHeight="1" x14ac:dyDescent="0.3">
      <c r="K66" s="1344"/>
      <c r="M66" s="1344"/>
      <c r="S66" s="1344"/>
    </row>
    <row r="67" spans="11:19" ht="15.75" customHeight="1" x14ac:dyDescent="0.3">
      <c r="K67" s="1344"/>
      <c r="M67" s="1344"/>
      <c r="S67" s="1344"/>
    </row>
    <row r="68" spans="11:19" ht="15.75" customHeight="1" x14ac:dyDescent="0.3">
      <c r="K68" s="1344"/>
      <c r="M68" s="1344"/>
      <c r="S68" s="1344"/>
    </row>
    <row r="69" spans="11:19" ht="15.75" customHeight="1" x14ac:dyDescent="0.3">
      <c r="K69" s="1344"/>
      <c r="M69" s="1344"/>
      <c r="S69" s="1344"/>
    </row>
    <row r="70" spans="11:19" ht="15.75" customHeight="1" x14ac:dyDescent="0.3">
      <c r="K70" s="1344"/>
      <c r="M70" s="1344"/>
      <c r="S70" s="1344"/>
    </row>
    <row r="71" spans="11:19" ht="15.75" customHeight="1" x14ac:dyDescent="0.3">
      <c r="K71" s="1344"/>
      <c r="M71" s="1344"/>
      <c r="S71" s="1344"/>
    </row>
    <row r="72" spans="11:19" ht="15.75" customHeight="1" x14ac:dyDescent="0.3">
      <c r="K72" s="1344"/>
      <c r="M72" s="1344"/>
      <c r="S72" s="1344"/>
    </row>
    <row r="73" spans="11:19" ht="15.75" customHeight="1" x14ac:dyDescent="0.3">
      <c r="K73" s="1344"/>
      <c r="M73" s="1344"/>
      <c r="S73" s="1344"/>
    </row>
    <row r="74" spans="11:19" ht="15.75" customHeight="1" x14ac:dyDescent="0.3">
      <c r="K74" s="1344"/>
      <c r="M74" s="1344"/>
      <c r="S74" s="1344"/>
    </row>
    <row r="75" spans="11:19" ht="15.75" customHeight="1" x14ac:dyDescent="0.3">
      <c r="K75" s="1344"/>
      <c r="M75" s="1344"/>
      <c r="S75" s="1344"/>
    </row>
    <row r="76" spans="11:19" ht="15.75" customHeight="1" x14ac:dyDescent="0.3">
      <c r="K76" s="1344"/>
      <c r="M76" s="1344"/>
      <c r="S76" s="1344"/>
    </row>
    <row r="77" spans="11:19" ht="15.75" customHeight="1" x14ac:dyDescent="0.3">
      <c r="K77" s="1344"/>
      <c r="M77" s="1344"/>
      <c r="S77" s="1344"/>
    </row>
    <row r="78" spans="11:19" ht="15.75" customHeight="1" x14ac:dyDescent="0.3">
      <c r="K78" s="1344"/>
      <c r="M78" s="1344"/>
      <c r="S78" s="1344"/>
    </row>
    <row r="79" spans="11:19" ht="15.75" customHeight="1" x14ac:dyDescent="0.3">
      <c r="K79" s="1344"/>
      <c r="M79" s="1344"/>
      <c r="S79" s="1344"/>
    </row>
    <row r="80" spans="11:19" ht="15.75" customHeight="1" x14ac:dyDescent="0.3">
      <c r="K80" s="1344"/>
      <c r="M80" s="1344"/>
      <c r="S80" s="1344"/>
    </row>
    <row r="81" spans="11:19" ht="15.75" customHeight="1" x14ac:dyDescent="0.3">
      <c r="K81" s="1344"/>
      <c r="M81" s="1344"/>
      <c r="S81" s="1344"/>
    </row>
    <row r="82" spans="11:19" ht="15.75" customHeight="1" x14ac:dyDescent="0.3">
      <c r="K82" s="1344"/>
      <c r="M82" s="1344"/>
      <c r="S82" s="1344"/>
    </row>
    <row r="83" spans="11:19" ht="15.75" customHeight="1" x14ac:dyDescent="0.3">
      <c r="K83" s="1344"/>
      <c r="M83" s="1344"/>
      <c r="S83" s="1344"/>
    </row>
    <row r="84" spans="11:19" ht="15.75" customHeight="1" x14ac:dyDescent="0.3">
      <c r="K84" s="1344"/>
      <c r="M84" s="1344"/>
      <c r="S84" s="1344"/>
    </row>
    <row r="85" spans="11:19" ht="15.75" customHeight="1" x14ac:dyDescent="0.3">
      <c r="K85" s="1344"/>
      <c r="M85" s="1344"/>
      <c r="S85" s="1344"/>
    </row>
    <row r="86" spans="11:19" ht="15.75" customHeight="1" x14ac:dyDescent="0.3">
      <c r="K86" s="1344"/>
      <c r="M86" s="1344"/>
      <c r="S86" s="1344"/>
    </row>
    <row r="87" spans="11:19" ht="15.75" customHeight="1" x14ac:dyDescent="0.3">
      <c r="K87" s="1344"/>
      <c r="M87" s="1344"/>
      <c r="S87" s="1344"/>
    </row>
    <row r="88" spans="11:19" ht="15.75" customHeight="1" x14ac:dyDescent="0.3">
      <c r="K88" s="1344"/>
      <c r="M88" s="1344"/>
      <c r="S88" s="1344"/>
    </row>
    <row r="89" spans="11:19" ht="15.75" customHeight="1" x14ac:dyDescent="0.3">
      <c r="K89" s="1344"/>
      <c r="M89" s="1344"/>
      <c r="S89" s="1344"/>
    </row>
    <row r="90" spans="11:19" ht="15.75" customHeight="1" x14ac:dyDescent="0.3">
      <c r="K90" s="1344"/>
      <c r="M90" s="1344"/>
      <c r="S90" s="1344"/>
    </row>
    <row r="91" spans="11:19" ht="15.75" customHeight="1" x14ac:dyDescent="0.3">
      <c r="K91" s="1344"/>
      <c r="M91" s="1344"/>
      <c r="S91" s="1344"/>
    </row>
    <row r="92" spans="11:19" ht="15.75" customHeight="1" x14ac:dyDescent="0.3">
      <c r="K92" s="1344"/>
      <c r="M92" s="1344"/>
      <c r="S92" s="1344"/>
    </row>
    <row r="93" spans="11:19" ht="15.75" customHeight="1" x14ac:dyDescent="0.3">
      <c r="K93" s="1344"/>
      <c r="M93" s="1344"/>
      <c r="S93" s="1344"/>
    </row>
    <row r="94" spans="11:19" ht="15.75" customHeight="1" x14ac:dyDescent="0.3">
      <c r="K94" s="1344"/>
      <c r="M94" s="1344"/>
      <c r="S94" s="1344"/>
    </row>
    <row r="95" spans="11:19" ht="15.75" customHeight="1" x14ac:dyDescent="0.3">
      <c r="K95" s="1344"/>
      <c r="M95" s="1344"/>
      <c r="S95" s="1344"/>
    </row>
    <row r="96" spans="11:19" ht="15.75" customHeight="1" x14ac:dyDescent="0.3">
      <c r="K96" s="1344"/>
      <c r="M96" s="1344"/>
      <c r="S96" s="1344"/>
    </row>
    <row r="97" spans="11:19" ht="15.75" customHeight="1" x14ac:dyDescent="0.3">
      <c r="K97" s="1344"/>
      <c r="M97" s="1344"/>
      <c r="S97" s="1344"/>
    </row>
    <row r="98" spans="11:19" ht="15.75" customHeight="1" x14ac:dyDescent="0.3">
      <c r="K98" s="1344"/>
      <c r="M98" s="1344"/>
      <c r="S98" s="1344"/>
    </row>
    <row r="99" spans="11:19" ht="15.75" customHeight="1" x14ac:dyDescent="0.3">
      <c r="K99" s="1344"/>
      <c r="M99" s="1344"/>
      <c r="S99" s="1344"/>
    </row>
    <row r="100" spans="11:19" ht="15.75" customHeight="1" x14ac:dyDescent="0.3">
      <c r="K100" s="1344"/>
      <c r="M100" s="1344"/>
      <c r="S100" s="1344"/>
    </row>
    <row r="101" spans="11:19" ht="15.75" customHeight="1" x14ac:dyDescent="0.3">
      <c r="K101" s="1344"/>
      <c r="M101" s="1344"/>
      <c r="S101" s="1344"/>
    </row>
    <row r="102" spans="11:19" ht="15.75" customHeight="1" x14ac:dyDescent="0.3">
      <c r="K102" s="1344"/>
      <c r="M102" s="1344"/>
      <c r="S102" s="1344"/>
    </row>
    <row r="103" spans="11:19" ht="15.75" customHeight="1" x14ac:dyDescent="0.3">
      <c r="K103" s="1344"/>
      <c r="M103" s="1344"/>
      <c r="S103" s="1344"/>
    </row>
    <row r="104" spans="11:19" ht="15.75" customHeight="1" x14ac:dyDescent="0.3">
      <c r="K104" s="1344"/>
      <c r="M104" s="1344"/>
      <c r="S104" s="1344"/>
    </row>
    <row r="105" spans="11:19" ht="15.75" customHeight="1" x14ac:dyDescent="0.3">
      <c r="K105" s="1344"/>
      <c r="M105" s="1344"/>
      <c r="S105" s="1344"/>
    </row>
    <row r="106" spans="11:19" ht="15.75" customHeight="1" x14ac:dyDescent="0.3">
      <c r="K106" s="1344"/>
      <c r="M106" s="1344"/>
      <c r="S106" s="1344"/>
    </row>
    <row r="107" spans="11:19" ht="15.75" customHeight="1" x14ac:dyDescent="0.3">
      <c r="K107" s="1344"/>
      <c r="M107" s="1344"/>
      <c r="S107" s="1344"/>
    </row>
    <row r="108" spans="11:19" ht="15.75" customHeight="1" x14ac:dyDescent="0.3">
      <c r="K108" s="1344"/>
      <c r="M108" s="1344"/>
      <c r="S108" s="1344"/>
    </row>
    <row r="109" spans="11:19" ht="15.75" customHeight="1" x14ac:dyDescent="0.3">
      <c r="K109" s="1344"/>
      <c r="M109" s="1344"/>
      <c r="S109" s="1344"/>
    </row>
    <row r="110" spans="11:19" ht="15.75" customHeight="1" x14ac:dyDescent="0.3">
      <c r="K110" s="1344"/>
      <c r="M110" s="1344"/>
      <c r="S110" s="1344"/>
    </row>
    <row r="111" spans="11:19" ht="15.75" customHeight="1" x14ac:dyDescent="0.3">
      <c r="K111" s="1344"/>
      <c r="M111" s="1344"/>
      <c r="S111" s="1344"/>
    </row>
    <row r="112" spans="11:19" ht="15.75" customHeight="1" x14ac:dyDescent="0.3">
      <c r="K112" s="1344"/>
      <c r="M112" s="1344"/>
      <c r="S112" s="1344"/>
    </row>
    <row r="113" spans="11:19" ht="15.75" customHeight="1" x14ac:dyDescent="0.3">
      <c r="K113" s="1344"/>
      <c r="M113" s="1344"/>
      <c r="S113" s="1344"/>
    </row>
    <row r="114" spans="11:19" ht="15.75" customHeight="1" x14ac:dyDescent="0.3">
      <c r="K114" s="1344"/>
      <c r="M114" s="1344"/>
      <c r="S114" s="1344"/>
    </row>
    <row r="115" spans="11:19" ht="15.75" customHeight="1" x14ac:dyDescent="0.3">
      <c r="K115" s="1344"/>
      <c r="M115" s="1344"/>
      <c r="S115" s="1344"/>
    </row>
    <row r="116" spans="11:19" ht="15.75" customHeight="1" x14ac:dyDescent="0.3">
      <c r="K116" s="1344"/>
      <c r="M116" s="1344"/>
      <c r="S116" s="1344"/>
    </row>
    <row r="117" spans="11:19" ht="15.75" customHeight="1" x14ac:dyDescent="0.3">
      <c r="K117" s="1344"/>
      <c r="M117" s="1344"/>
      <c r="S117" s="1344"/>
    </row>
    <row r="118" spans="11:19" ht="15.75" customHeight="1" x14ac:dyDescent="0.3">
      <c r="K118" s="1344"/>
      <c r="M118" s="1344"/>
      <c r="S118" s="1344"/>
    </row>
    <row r="119" spans="11:19" ht="15.75" customHeight="1" x14ac:dyDescent="0.3">
      <c r="K119" s="1344"/>
      <c r="M119" s="1344"/>
      <c r="S119" s="1344"/>
    </row>
    <row r="120" spans="11:19" ht="15.75" customHeight="1" x14ac:dyDescent="0.3">
      <c r="K120" s="1344"/>
      <c r="M120" s="1344"/>
      <c r="S120" s="1344"/>
    </row>
    <row r="121" spans="11:19" ht="15.75" customHeight="1" x14ac:dyDescent="0.3">
      <c r="K121" s="1344"/>
      <c r="M121" s="1344"/>
      <c r="S121" s="1344"/>
    </row>
    <row r="122" spans="11:19" ht="15.75" customHeight="1" x14ac:dyDescent="0.3">
      <c r="K122" s="1344"/>
      <c r="M122" s="1344"/>
      <c r="S122" s="1344"/>
    </row>
    <row r="123" spans="11:19" ht="15.75" customHeight="1" x14ac:dyDescent="0.3">
      <c r="K123" s="1344"/>
      <c r="M123" s="1344"/>
      <c r="S123" s="1344"/>
    </row>
    <row r="124" spans="11:19" ht="15.75" customHeight="1" x14ac:dyDescent="0.3">
      <c r="K124" s="1344"/>
      <c r="M124" s="1344"/>
      <c r="S124" s="1344"/>
    </row>
    <row r="125" spans="11:19" ht="15.75" customHeight="1" x14ac:dyDescent="0.3">
      <c r="K125" s="1344"/>
      <c r="M125" s="1344"/>
      <c r="S125" s="1344"/>
    </row>
    <row r="126" spans="11:19" ht="15.75" customHeight="1" x14ac:dyDescent="0.3">
      <c r="K126" s="1344"/>
      <c r="M126" s="1344"/>
      <c r="S126" s="1344"/>
    </row>
    <row r="127" spans="11:19" ht="15.75" customHeight="1" x14ac:dyDescent="0.3">
      <c r="K127" s="1344"/>
      <c r="M127" s="1344"/>
      <c r="S127" s="1344"/>
    </row>
    <row r="128" spans="11:19" ht="15.75" customHeight="1" x14ac:dyDescent="0.3">
      <c r="K128" s="1344"/>
      <c r="M128" s="1344"/>
      <c r="S128" s="1344"/>
    </row>
    <row r="129" spans="11:19" ht="15.75" customHeight="1" x14ac:dyDescent="0.3">
      <c r="K129" s="1344"/>
      <c r="M129" s="1344"/>
      <c r="S129" s="1344"/>
    </row>
    <row r="130" spans="11:19" ht="15.75" customHeight="1" x14ac:dyDescent="0.3">
      <c r="K130" s="1344"/>
      <c r="M130" s="1344"/>
      <c r="S130" s="1344"/>
    </row>
    <row r="131" spans="11:19" ht="15.75" customHeight="1" x14ac:dyDescent="0.3">
      <c r="K131" s="1344"/>
      <c r="M131" s="1344"/>
      <c r="S131" s="1344"/>
    </row>
    <row r="132" spans="11:19" ht="15.75" customHeight="1" x14ac:dyDescent="0.3">
      <c r="K132" s="1344"/>
      <c r="M132" s="1344"/>
      <c r="S132" s="1344"/>
    </row>
    <row r="133" spans="11:19" ht="15.75" customHeight="1" x14ac:dyDescent="0.3">
      <c r="K133" s="1344"/>
      <c r="M133" s="1344"/>
      <c r="S133" s="1344"/>
    </row>
    <row r="134" spans="11:19" ht="15.75" customHeight="1" x14ac:dyDescent="0.3">
      <c r="K134" s="1344"/>
      <c r="M134" s="1344"/>
      <c r="S134" s="1344"/>
    </row>
    <row r="135" spans="11:19" ht="15.75" customHeight="1" x14ac:dyDescent="0.3">
      <c r="K135" s="1344"/>
      <c r="M135" s="1344"/>
      <c r="S135" s="1344"/>
    </row>
    <row r="136" spans="11:19" ht="15.75" customHeight="1" x14ac:dyDescent="0.3">
      <c r="K136" s="1344"/>
      <c r="M136" s="1344"/>
      <c r="S136" s="1344"/>
    </row>
    <row r="137" spans="11:19" ht="15.75" customHeight="1" x14ac:dyDescent="0.3">
      <c r="K137" s="1344"/>
      <c r="M137" s="1344"/>
      <c r="S137" s="1344"/>
    </row>
    <row r="138" spans="11:19" ht="15.75" customHeight="1" x14ac:dyDescent="0.3">
      <c r="K138" s="1344"/>
      <c r="M138" s="1344"/>
      <c r="S138" s="1344"/>
    </row>
    <row r="139" spans="11:19" ht="15.75" customHeight="1" x14ac:dyDescent="0.3">
      <c r="K139" s="1344"/>
      <c r="M139" s="1344"/>
      <c r="S139" s="1344"/>
    </row>
    <row r="140" spans="11:19" ht="15.75" customHeight="1" x14ac:dyDescent="0.3">
      <c r="K140" s="1344"/>
      <c r="M140" s="1344"/>
      <c r="S140" s="1344"/>
    </row>
    <row r="141" spans="11:19" ht="15.75" customHeight="1" x14ac:dyDescent="0.3">
      <c r="K141" s="1344"/>
      <c r="M141" s="1344"/>
      <c r="S141" s="1344"/>
    </row>
    <row r="142" spans="11:19" ht="15.75" customHeight="1" x14ac:dyDescent="0.3">
      <c r="K142" s="1344"/>
      <c r="M142" s="1344"/>
      <c r="S142" s="1344"/>
    </row>
    <row r="143" spans="11:19" ht="15.75" customHeight="1" x14ac:dyDescent="0.3">
      <c r="K143" s="1344"/>
      <c r="M143" s="1344"/>
      <c r="S143" s="1344"/>
    </row>
    <row r="144" spans="11:19" ht="15.75" customHeight="1" x14ac:dyDescent="0.3">
      <c r="K144" s="1344"/>
      <c r="M144" s="1344"/>
      <c r="S144" s="1344"/>
    </row>
    <row r="145" spans="11:19" ht="15.75" customHeight="1" x14ac:dyDescent="0.3">
      <c r="K145" s="1344"/>
      <c r="M145" s="1344"/>
      <c r="S145" s="1344"/>
    </row>
    <row r="146" spans="11:19" ht="15.75" customHeight="1" x14ac:dyDescent="0.3">
      <c r="K146" s="1344"/>
      <c r="M146" s="1344"/>
      <c r="S146" s="1344"/>
    </row>
    <row r="147" spans="11:19" ht="15.75" customHeight="1" x14ac:dyDescent="0.3">
      <c r="K147" s="1344"/>
      <c r="M147" s="1344"/>
      <c r="S147" s="1344"/>
    </row>
    <row r="148" spans="11:19" ht="15.75" customHeight="1" x14ac:dyDescent="0.3">
      <c r="K148" s="1344"/>
      <c r="M148" s="1344"/>
      <c r="S148" s="1344"/>
    </row>
    <row r="149" spans="11:19" ht="15.75" customHeight="1" x14ac:dyDescent="0.3">
      <c r="K149" s="1344"/>
      <c r="M149" s="1344"/>
      <c r="S149" s="1344"/>
    </row>
    <row r="150" spans="11:19" ht="15.75" customHeight="1" x14ac:dyDescent="0.3">
      <c r="K150" s="1344"/>
      <c r="M150" s="1344"/>
      <c r="S150" s="1344"/>
    </row>
    <row r="151" spans="11:19" ht="15.75" customHeight="1" x14ac:dyDescent="0.3">
      <c r="K151" s="1344"/>
      <c r="M151" s="1344"/>
      <c r="S151" s="1344"/>
    </row>
    <row r="152" spans="11:19" ht="15.75" customHeight="1" x14ac:dyDescent="0.3">
      <c r="K152" s="1344"/>
      <c r="M152" s="1344"/>
      <c r="S152" s="1344"/>
    </row>
    <row r="153" spans="11:19" ht="15.75" customHeight="1" x14ac:dyDescent="0.3">
      <c r="K153" s="1344"/>
      <c r="M153" s="1344"/>
      <c r="S153" s="1344"/>
    </row>
    <row r="154" spans="11:19" ht="15.75" customHeight="1" x14ac:dyDescent="0.3">
      <c r="K154" s="1344"/>
      <c r="M154" s="1344"/>
      <c r="S154" s="1344"/>
    </row>
    <row r="155" spans="11:19" ht="15.75" customHeight="1" x14ac:dyDescent="0.3">
      <c r="K155" s="1344"/>
      <c r="M155" s="1344"/>
      <c r="S155" s="1344"/>
    </row>
    <row r="156" spans="11:19" ht="15.75" customHeight="1" x14ac:dyDescent="0.3">
      <c r="K156" s="1344"/>
      <c r="M156" s="1344"/>
      <c r="S156" s="1344"/>
    </row>
    <row r="157" spans="11:19" ht="15.75" customHeight="1" x14ac:dyDescent="0.3">
      <c r="K157" s="1344"/>
      <c r="M157" s="1344"/>
      <c r="S157" s="1344"/>
    </row>
    <row r="158" spans="11:19" ht="15.75" customHeight="1" x14ac:dyDescent="0.3">
      <c r="K158" s="1344"/>
      <c r="M158" s="1344"/>
      <c r="S158" s="1344"/>
    </row>
    <row r="159" spans="11:19" ht="15.75" customHeight="1" x14ac:dyDescent="0.3">
      <c r="K159" s="1344"/>
      <c r="M159" s="1344"/>
      <c r="S159" s="1344"/>
    </row>
    <row r="160" spans="11:19" ht="15.75" customHeight="1" x14ac:dyDescent="0.3">
      <c r="K160" s="1344"/>
      <c r="M160" s="1344"/>
      <c r="S160" s="1344"/>
    </row>
    <row r="161" spans="11:19" ht="15.75" customHeight="1" x14ac:dyDescent="0.3">
      <c r="K161" s="1344"/>
      <c r="M161" s="1344"/>
      <c r="S161" s="1344"/>
    </row>
    <row r="162" spans="11:19" ht="15.75" customHeight="1" x14ac:dyDescent="0.3">
      <c r="K162" s="1344"/>
      <c r="M162" s="1344"/>
      <c r="S162" s="1344"/>
    </row>
    <row r="163" spans="11:19" ht="15.75" customHeight="1" x14ac:dyDescent="0.3">
      <c r="K163" s="1344"/>
      <c r="M163" s="1344"/>
      <c r="S163" s="1344"/>
    </row>
    <row r="164" spans="11:19" ht="15.75" customHeight="1" x14ac:dyDescent="0.3">
      <c r="K164" s="1344"/>
      <c r="M164" s="1344"/>
      <c r="S164" s="1344"/>
    </row>
    <row r="165" spans="11:19" ht="15.75" customHeight="1" x14ac:dyDescent="0.3">
      <c r="K165" s="1344"/>
      <c r="M165" s="1344"/>
      <c r="S165" s="1344"/>
    </row>
    <row r="166" spans="11:19" ht="15.75" customHeight="1" x14ac:dyDescent="0.3">
      <c r="K166" s="1344"/>
      <c r="M166" s="1344"/>
      <c r="S166" s="1344"/>
    </row>
    <row r="167" spans="11:19" ht="15.75" customHeight="1" x14ac:dyDescent="0.3">
      <c r="K167" s="1344"/>
      <c r="M167" s="1344"/>
      <c r="S167" s="1344"/>
    </row>
    <row r="168" spans="11:19" ht="15.75" customHeight="1" x14ac:dyDescent="0.3">
      <c r="K168" s="1344"/>
      <c r="M168" s="1344"/>
      <c r="S168" s="1344"/>
    </row>
    <row r="169" spans="11:19" ht="15.75" customHeight="1" x14ac:dyDescent="0.3">
      <c r="K169" s="1344"/>
      <c r="M169" s="1344"/>
      <c r="S169" s="1344"/>
    </row>
    <row r="170" spans="11:19" ht="15.75" customHeight="1" x14ac:dyDescent="0.3">
      <c r="K170" s="1344"/>
      <c r="M170" s="1344"/>
      <c r="S170" s="1344"/>
    </row>
    <row r="171" spans="11:19" ht="15.75" customHeight="1" x14ac:dyDescent="0.3">
      <c r="K171" s="1344"/>
      <c r="M171" s="1344"/>
      <c r="S171" s="1344"/>
    </row>
    <row r="172" spans="11:19" ht="15.75" customHeight="1" x14ac:dyDescent="0.3">
      <c r="K172" s="1344"/>
      <c r="M172" s="1344"/>
      <c r="S172" s="1344"/>
    </row>
    <row r="173" spans="11:19" ht="15.75" customHeight="1" x14ac:dyDescent="0.3">
      <c r="K173" s="1344"/>
      <c r="M173" s="1344"/>
      <c r="S173" s="1344"/>
    </row>
    <row r="174" spans="11:19" ht="15.75" customHeight="1" x14ac:dyDescent="0.3">
      <c r="K174" s="1344"/>
      <c r="M174" s="1344"/>
      <c r="S174" s="1344"/>
    </row>
    <row r="175" spans="11:19" ht="15.75" customHeight="1" x14ac:dyDescent="0.3">
      <c r="K175" s="1344"/>
      <c r="M175" s="1344"/>
      <c r="S175" s="1344"/>
    </row>
    <row r="176" spans="11:19" ht="15.75" customHeight="1" x14ac:dyDescent="0.3">
      <c r="K176" s="1344"/>
      <c r="M176" s="1344"/>
      <c r="S176" s="1344"/>
    </row>
    <row r="177" spans="11:19" ht="15.75" customHeight="1" x14ac:dyDescent="0.3">
      <c r="K177" s="1344"/>
      <c r="M177" s="1344"/>
      <c r="S177" s="1344"/>
    </row>
    <row r="178" spans="11:19" ht="15.75" customHeight="1" x14ac:dyDescent="0.3">
      <c r="K178" s="1344"/>
      <c r="M178" s="1344"/>
      <c r="S178" s="1344"/>
    </row>
    <row r="179" spans="11:19" ht="15.75" customHeight="1" x14ac:dyDescent="0.3">
      <c r="K179" s="1344"/>
      <c r="M179" s="1344"/>
      <c r="S179" s="1344"/>
    </row>
    <row r="180" spans="11:19" ht="15.75" customHeight="1" x14ac:dyDescent="0.3">
      <c r="K180" s="1344"/>
      <c r="M180" s="1344"/>
      <c r="S180" s="1344"/>
    </row>
    <row r="181" spans="11:19" ht="15.75" customHeight="1" x14ac:dyDescent="0.3">
      <c r="K181" s="1344"/>
      <c r="M181" s="1344"/>
      <c r="S181" s="1344"/>
    </row>
    <row r="182" spans="11:19" ht="15.75" customHeight="1" x14ac:dyDescent="0.3">
      <c r="K182" s="1344"/>
      <c r="M182" s="1344"/>
      <c r="S182" s="1344"/>
    </row>
    <row r="183" spans="11:19" ht="15.75" customHeight="1" x14ac:dyDescent="0.3">
      <c r="K183" s="1344"/>
      <c r="M183" s="1344"/>
      <c r="S183" s="1344"/>
    </row>
    <row r="184" spans="11:19" ht="15.75" customHeight="1" x14ac:dyDescent="0.3">
      <c r="K184" s="1344"/>
      <c r="M184" s="1344"/>
      <c r="S184" s="1344"/>
    </row>
    <row r="185" spans="11:19" ht="15.75" customHeight="1" x14ac:dyDescent="0.3">
      <c r="K185" s="1344"/>
      <c r="M185" s="1344"/>
      <c r="S185" s="1344"/>
    </row>
    <row r="186" spans="11:19" ht="15.75" customHeight="1" x14ac:dyDescent="0.3">
      <c r="K186" s="1344"/>
      <c r="M186" s="1344"/>
      <c r="S186" s="1344"/>
    </row>
    <row r="187" spans="11:19" ht="15.75" customHeight="1" x14ac:dyDescent="0.3">
      <c r="K187" s="1344"/>
      <c r="M187" s="1344"/>
      <c r="S187" s="1344"/>
    </row>
    <row r="188" spans="11:19" ht="15.75" customHeight="1" x14ac:dyDescent="0.3">
      <c r="K188" s="1344"/>
      <c r="M188" s="1344"/>
      <c r="S188" s="1344"/>
    </row>
    <row r="189" spans="11:19" ht="15.75" customHeight="1" x14ac:dyDescent="0.3">
      <c r="K189" s="1344"/>
      <c r="M189" s="1344"/>
      <c r="S189" s="1344"/>
    </row>
    <row r="190" spans="11:19" ht="15.75" customHeight="1" x14ac:dyDescent="0.3">
      <c r="K190" s="1344"/>
      <c r="M190" s="1344"/>
      <c r="S190" s="1344"/>
    </row>
    <row r="191" spans="11:19" ht="15.75" customHeight="1" x14ac:dyDescent="0.3">
      <c r="K191" s="1344"/>
      <c r="M191" s="1344"/>
      <c r="S191" s="1344"/>
    </row>
    <row r="192" spans="11:19" ht="15.75" customHeight="1" x14ac:dyDescent="0.3">
      <c r="K192" s="1344"/>
      <c r="M192" s="1344"/>
      <c r="S192" s="1344"/>
    </row>
    <row r="193" spans="11:19" ht="15.75" customHeight="1" x14ac:dyDescent="0.3">
      <c r="K193" s="1344"/>
      <c r="M193" s="1344"/>
      <c r="S193" s="1344"/>
    </row>
    <row r="194" spans="11:19" ht="15.75" customHeight="1" x14ac:dyDescent="0.3">
      <c r="K194" s="1344"/>
      <c r="M194" s="1344"/>
      <c r="S194" s="1344"/>
    </row>
    <row r="195" spans="11:19" ht="15.75" customHeight="1" x14ac:dyDescent="0.3">
      <c r="K195" s="1344"/>
      <c r="M195" s="1344"/>
      <c r="S195" s="1344"/>
    </row>
    <row r="196" spans="11:19" ht="15.75" customHeight="1" x14ac:dyDescent="0.3">
      <c r="K196" s="1344"/>
      <c r="M196" s="1344"/>
      <c r="S196" s="1344"/>
    </row>
    <row r="197" spans="11:19" ht="15.75" customHeight="1" x14ac:dyDescent="0.3">
      <c r="K197" s="1344"/>
      <c r="M197" s="1344"/>
      <c r="S197" s="1344"/>
    </row>
    <row r="198" spans="11:19" ht="15.75" customHeight="1" x14ac:dyDescent="0.3">
      <c r="K198" s="1344"/>
      <c r="M198" s="1344"/>
      <c r="S198" s="1344"/>
    </row>
    <row r="199" spans="11:19" ht="15.75" customHeight="1" x14ac:dyDescent="0.3">
      <c r="K199" s="1344"/>
      <c r="M199" s="1344"/>
      <c r="S199" s="1344"/>
    </row>
    <row r="200" spans="11:19" ht="15.75" customHeight="1" x14ac:dyDescent="0.3">
      <c r="K200" s="1344"/>
      <c r="M200" s="1344"/>
      <c r="S200" s="1344"/>
    </row>
    <row r="201" spans="11:19" ht="15.75" customHeight="1" x14ac:dyDescent="0.3">
      <c r="K201" s="1344"/>
      <c r="M201" s="1344"/>
      <c r="S201" s="1344"/>
    </row>
    <row r="202" spans="11:19" ht="15.75" customHeight="1" x14ac:dyDescent="0.3">
      <c r="K202" s="1344"/>
      <c r="M202" s="1344"/>
      <c r="S202" s="1344"/>
    </row>
    <row r="203" spans="11:19" ht="15.75" customHeight="1" x14ac:dyDescent="0.3">
      <c r="K203" s="1344"/>
      <c r="M203" s="1344"/>
      <c r="S203" s="1344"/>
    </row>
    <row r="204" spans="11:19" ht="15.75" customHeight="1" x14ac:dyDescent="0.3">
      <c r="K204" s="1344"/>
      <c r="M204" s="1344"/>
      <c r="S204" s="1344"/>
    </row>
    <row r="205" spans="11:19" ht="15.75" customHeight="1" x14ac:dyDescent="0.3">
      <c r="K205" s="1344"/>
      <c r="M205" s="1344"/>
      <c r="S205" s="1344"/>
    </row>
    <row r="206" spans="11:19" ht="15.75" customHeight="1" x14ac:dyDescent="0.3">
      <c r="K206" s="1344"/>
      <c r="M206" s="1344"/>
      <c r="S206" s="1344"/>
    </row>
    <row r="207" spans="11:19" ht="15.75" customHeight="1" x14ac:dyDescent="0.3">
      <c r="K207" s="1344"/>
      <c r="M207" s="1344"/>
      <c r="S207" s="1344"/>
    </row>
    <row r="208" spans="11:19" ht="15.75" customHeight="1" x14ac:dyDescent="0.3">
      <c r="K208" s="1344"/>
      <c r="M208" s="1344"/>
      <c r="S208" s="1344"/>
    </row>
    <row r="209" spans="11:19" ht="15.75" customHeight="1" x14ac:dyDescent="0.3">
      <c r="K209" s="1344"/>
      <c r="M209" s="1344"/>
      <c r="S209" s="1344"/>
    </row>
    <row r="210" spans="11:19" ht="15.75" customHeight="1" x14ac:dyDescent="0.3">
      <c r="K210" s="1344"/>
      <c r="M210" s="1344"/>
      <c r="S210" s="1344"/>
    </row>
    <row r="211" spans="11:19" ht="15.75" customHeight="1" x14ac:dyDescent="0.3">
      <c r="K211" s="1344"/>
      <c r="M211" s="1344"/>
      <c r="S211" s="1344"/>
    </row>
    <row r="212" spans="11:19" ht="15.75" customHeight="1" x14ac:dyDescent="0.3">
      <c r="K212" s="1344"/>
      <c r="M212" s="1344"/>
      <c r="S212" s="1344"/>
    </row>
    <row r="213" spans="11:19" ht="15.75" customHeight="1" x14ac:dyDescent="0.3">
      <c r="K213" s="1344"/>
      <c r="M213" s="1344"/>
      <c r="S213" s="1344"/>
    </row>
    <row r="214" spans="11:19" ht="15.75" customHeight="1" x14ac:dyDescent="0.3">
      <c r="K214" s="1344"/>
      <c r="M214" s="1344"/>
      <c r="S214" s="1344"/>
    </row>
    <row r="215" spans="11:19" ht="15.75" customHeight="1" x14ac:dyDescent="0.3">
      <c r="K215" s="1344"/>
      <c r="M215" s="1344"/>
      <c r="S215" s="1344"/>
    </row>
    <row r="216" spans="11:19" ht="15.75" customHeight="1" x14ac:dyDescent="0.3">
      <c r="K216" s="1344"/>
      <c r="M216" s="1344"/>
      <c r="S216" s="1344"/>
    </row>
    <row r="217" spans="11:19" ht="15.75" customHeight="1" x14ac:dyDescent="0.3">
      <c r="K217" s="1344"/>
      <c r="M217" s="1344"/>
      <c r="S217" s="1344"/>
    </row>
    <row r="218" spans="11:19" ht="15.75" customHeight="1" x14ac:dyDescent="0.3">
      <c r="K218" s="1344"/>
      <c r="M218" s="1344"/>
      <c r="S218" s="1344"/>
    </row>
    <row r="219" spans="11:19" ht="15.75" customHeight="1" x14ac:dyDescent="0.3">
      <c r="K219" s="1344"/>
      <c r="M219" s="1344"/>
      <c r="S219" s="1344"/>
    </row>
    <row r="220" spans="11:19" ht="15.75" customHeight="1" x14ac:dyDescent="0.3">
      <c r="K220" s="1344"/>
      <c r="M220" s="1344"/>
      <c r="S220" s="1344"/>
    </row>
    <row r="221" spans="11:19" ht="15.75" customHeight="1" x14ac:dyDescent="0.3">
      <c r="K221" s="1344"/>
      <c r="M221" s="1344"/>
      <c r="S221" s="1344"/>
    </row>
    <row r="222" spans="11:19" ht="15.75" customHeight="1" x14ac:dyDescent="0.3">
      <c r="K222" s="1344"/>
      <c r="M222" s="1344"/>
      <c r="S222" s="1344"/>
    </row>
    <row r="223" spans="11:19" ht="15.75" customHeight="1" x14ac:dyDescent="0.3">
      <c r="K223" s="1344"/>
      <c r="M223" s="1344"/>
      <c r="S223" s="1344"/>
    </row>
    <row r="224" spans="11:19" ht="15.75" customHeight="1" x14ac:dyDescent="0.3">
      <c r="K224" s="1344"/>
      <c r="M224" s="1344"/>
      <c r="S224" s="1344"/>
    </row>
    <row r="225" spans="11:19" ht="15.75" customHeight="1" x14ac:dyDescent="0.3">
      <c r="K225" s="1344"/>
      <c r="M225" s="1344"/>
      <c r="S225" s="1344"/>
    </row>
    <row r="226" spans="11:19" ht="15.75" customHeight="1" x14ac:dyDescent="0.3">
      <c r="K226" s="1344"/>
      <c r="M226" s="1344"/>
      <c r="S226" s="1344"/>
    </row>
    <row r="227" spans="11:19" ht="15.75" customHeight="1" x14ac:dyDescent="0.3">
      <c r="K227" s="1344"/>
      <c r="M227" s="1344"/>
      <c r="S227" s="1344"/>
    </row>
    <row r="228" spans="11:19" ht="15.75" customHeight="1" x14ac:dyDescent="0.3">
      <c r="K228" s="1344"/>
      <c r="M228" s="1344"/>
      <c r="S228" s="1344"/>
    </row>
    <row r="229" spans="11:19" ht="15.75" customHeight="1" x14ac:dyDescent="0.3">
      <c r="K229" s="1344"/>
      <c r="M229" s="1344"/>
      <c r="S229" s="1344"/>
    </row>
    <row r="230" spans="11:19" ht="15.75" customHeight="1" x14ac:dyDescent="0.3">
      <c r="K230" s="1344"/>
      <c r="M230" s="1344"/>
      <c r="S230" s="1344"/>
    </row>
    <row r="231" spans="11:19" ht="15.75" customHeight="1" x14ac:dyDescent="0.3">
      <c r="K231" s="1344"/>
      <c r="M231" s="1344"/>
      <c r="S231" s="1344"/>
    </row>
    <row r="232" spans="11:19" ht="15.75" customHeight="1" x14ac:dyDescent="0.3">
      <c r="K232" s="1344"/>
      <c r="M232" s="1344"/>
      <c r="S232" s="1344"/>
    </row>
    <row r="233" spans="11:19" ht="15.75" customHeight="1" x14ac:dyDescent="0.3">
      <c r="K233" s="1344"/>
      <c r="M233" s="1344"/>
      <c r="S233" s="1344"/>
    </row>
    <row r="234" spans="11:19" ht="15.75" customHeight="1" x14ac:dyDescent="0.3">
      <c r="K234" s="1344"/>
      <c r="M234" s="1344"/>
      <c r="S234" s="1344"/>
    </row>
    <row r="235" spans="11:19" ht="15.75" customHeight="1" x14ac:dyDescent="0.3">
      <c r="K235" s="1344"/>
      <c r="M235" s="1344"/>
      <c r="S235" s="1344"/>
    </row>
    <row r="236" spans="11:19" ht="15.75" customHeight="1" x14ac:dyDescent="0.3">
      <c r="K236" s="1344"/>
      <c r="M236" s="1344"/>
      <c r="S236" s="1344"/>
    </row>
    <row r="237" spans="11:19" ht="15.75" customHeight="1" x14ac:dyDescent="0.3">
      <c r="K237" s="1344"/>
      <c r="M237" s="1344"/>
      <c r="S237" s="1344"/>
    </row>
    <row r="238" spans="11:19" ht="15.75" customHeight="1" x14ac:dyDescent="0.3">
      <c r="K238" s="1344"/>
      <c r="M238" s="1344"/>
      <c r="S238" s="1344"/>
    </row>
    <row r="239" spans="11:19" ht="15.75" customHeight="1" x14ac:dyDescent="0.3">
      <c r="M239" s="2635"/>
    </row>
    <row r="240" spans="11:19" ht="15.75" customHeight="1" x14ac:dyDescent="0.3">
      <c r="M240" s="2635"/>
    </row>
    <row r="241" spans="13:13" ht="15.75" customHeight="1" x14ac:dyDescent="0.3">
      <c r="M241" s="2635"/>
    </row>
    <row r="242" spans="13:13" ht="15.75" customHeight="1" x14ac:dyDescent="0.3">
      <c r="M242" s="2635"/>
    </row>
    <row r="243" spans="13:13" ht="15.75" customHeight="1" x14ac:dyDescent="0.3">
      <c r="M243" s="2635"/>
    </row>
    <row r="244" spans="13:13" ht="15.75" customHeight="1" x14ac:dyDescent="0.3">
      <c r="M244" s="2635"/>
    </row>
    <row r="245" spans="13:13" ht="15.75" customHeight="1" x14ac:dyDescent="0.3">
      <c r="M245" s="2635"/>
    </row>
    <row r="246" spans="13:13" ht="15.75" customHeight="1" x14ac:dyDescent="0.3">
      <c r="M246" s="2635"/>
    </row>
    <row r="247" spans="13:13" ht="15.75" customHeight="1" x14ac:dyDescent="0.3">
      <c r="M247" s="2635"/>
    </row>
    <row r="248" spans="13:13" ht="15.75" customHeight="1" x14ac:dyDescent="0.3">
      <c r="M248" s="2635"/>
    </row>
    <row r="249" spans="13:13" ht="15.75" customHeight="1" x14ac:dyDescent="0.3">
      <c r="M249" s="2635"/>
    </row>
    <row r="250" spans="13:13" ht="15.75" customHeight="1" x14ac:dyDescent="0.3">
      <c r="M250" s="2635"/>
    </row>
    <row r="251" spans="13:13" ht="15.75" customHeight="1" x14ac:dyDescent="0.3">
      <c r="M251" s="2635"/>
    </row>
    <row r="252" spans="13:13" ht="15.75" customHeight="1" x14ac:dyDescent="0.3">
      <c r="M252" s="2635"/>
    </row>
    <row r="253" spans="13:13" ht="15.75" customHeight="1" x14ac:dyDescent="0.3">
      <c r="M253" s="2635"/>
    </row>
    <row r="254" spans="13:13" ht="15.75" customHeight="1" x14ac:dyDescent="0.3">
      <c r="M254" s="2635"/>
    </row>
    <row r="255" spans="13:13" ht="15.75" customHeight="1" x14ac:dyDescent="0.3">
      <c r="M255" s="2635"/>
    </row>
    <row r="256" spans="13:13" ht="15.75" customHeight="1" x14ac:dyDescent="0.3">
      <c r="M256" s="2635"/>
    </row>
    <row r="257" spans="13:13" ht="15.75" customHeight="1" x14ac:dyDescent="0.3">
      <c r="M257" s="2635"/>
    </row>
    <row r="258" spans="13:13" ht="15.75" customHeight="1" x14ac:dyDescent="0.3">
      <c r="M258" s="2635"/>
    </row>
    <row r="259" spans="13:13" ht="15.75" customHeight="1" x14ac:dyDescent="0.3">
      <c r="M259" s="2635"/>
    </row>
    <row r="260" spans="13:13" ht="15.75" customHeight="1" x14ac:dyDescent="0.3">
      <c r="M260" s="2635"/>
    </row>
    <row r="261" spans="13:13" ht="15.75" customHeight="1" x14ac:dyDescent="0.3">
      <c r="M261" s="2635"/>
    </row>
    <row r="262" spans="13:13" ht="15.75" customHeight="1" x14ac:dyDescent="0.3">
      <c r="M262" s="2635"/>
    </row>
    <row r="263" spans="13:13" ht="15.75" customHeight="1" x14ac:dyDescent="0.3">
      <c r="M263" s="2635"/>
    </row>
    <row r="264" spans="13:13" ht="15.75" customHeight="1" x14ac:dyDescent="0.3">
      <c r="M264" s="2635"/>
    </row>
    <row r="265" spans="13:13" ht="15.75" customHeight="1" x14ac:dyDescent="0.3">
      <c r="M265" s="2635"/>
    </row>
    <row r="266" spans="13:13" ht="15.75" customHeight="1" x14ac:dyDescent="0.3">
      <c r="M266" s="2635"/>
    </row>
    <row r="267" spans="13:13" ht="15.75" customHeight="1" x14ac:dyDescent="0.3">
      <c r="M267" s="2635"/>
    </row>
    <row r="268" spans="13:13" ht="15.75" customHeight="1" x14ac:dyDescent="0.3">
      <c r="M268" s="2635"/>
    </row>
    <row r="269" spans="13:13" ht="15.75" customHeight="1" x14ac:dyDescent="0.3">
      <c r="M269" s="2635"/>
    </row>
    <row r="270" spans="13:13" ht="15.75" customHeight="1" x14ac:dyDescent="0.3">
      <c r="M270" s="2635"/>
    </row>
    <row r="271" spans="13:13" ht="15.75" customHeight="1" x14ac:dyDescent="0.3">
      <c r="M271" s="2635"/>
    </row>
    <row r="272" spans="13:13" ht="15.75" customHeight="1" x14ac:dyDescent="0.3">
      <c r="M272" s="2635"/>
    </row>
    <row r="273" spans="13:13" ht="15.75" customHeight="1" x14ac:dyDescent="0.3">
      <c r="M273" s="2635"/>
    </row>
    <row r="274" spans="13:13" ht="15.75" customHeight="1" x14ac:dyDescent="0.3">
      <c r="M274" s="2635"/>
    </row>
    <row r="275" spans="13:13" ht="15.75" customHeight="1" x14ac:dyDescent="0.3">
      <c r="M275" s="2635"/>
    </row>
    <row r="276" spans="13:13" ht="15.75" customHeight="1" x14ac:dyDescent="0.3">
      <c r="M276" s="2635"/>
    </row>
    <row r="277" spans="13:13" ht="15.75" customHeight="1" x14ac:dyDescent="0.3">
      <c r="M277" s="2635"/>
    </row>
    <row r="278" spans="13:13" ht="15.75" customHeight="1" x14ac:dyDescent="0.3">
      <c r="M278" s="2635"/>
    </row>
    <row r="279" spans="13:13" ht="15.75" customHeight="1" x14ac:dyDescent="0.3">
      <c r="M279" s="2635"/>
    </row>
    <row r="280" spans="13:13" ht="15.75" customHeight="1" x14ac:dyDescent="0.3">
      <c r="M280" s="2635"/>
    </row>
    <row r="281" spans="13:13" ht="15.75" customHeight="1" x14ac:dyDescent="0.3">
      <c r="M281" s="2635"/>
    </row>
    <row r="282" spans="13:13" ht="15.75" customHeight="1" x14ac:dyDescent="0.3">
      <c r="M282" s="2635"/>
    </row>
    <row r="283" spans="13:13" ht="15.75" customHeight="1" x14ac:dyDescent="0.3">
      <c r="M283" s="2635"/>
    </row>
    <row r="284" spans="13:13" ht="15.75" customHeight="1" x14ac:dyDescent="0.3">
      <c r="M284" s="2635"/>
    </row>
    <row r="285" spans="13:13" ht="15.75" customHeight="1" x14ac:dyDescent="0.3">
      <c r="M285" s="2635"/>
    </row>
    <row r="286" spans="13:13" ht="15.75" customHeight="1" x14ac:dyDescent="0.3">
      <c r="M286" s="2635"/>
    </row>
    <row r="287" spans="13:13" ht="15.75" customHeight="1" x14ac:dyDescent="0.3">
      <c r="M287" s="2635"/>
    </row>
    <row r="288" spans="13:13" ht="15.75" customHeight="1" x14ac:dyDescent="0.3">
      <c r="M288" s="2635"/>
    </row>
    <row r="289" spans="13:13" ht="15.75" customHeight="1" x14ac:dyDescent="0.3">
      <c r="M289" s="2635"/>
    </row>
    <row r="290" spans="13:13" ht="15.75" customHeight="1" x14ac:dyDescent="0.3">
      <c r="M290" s="2635"/>
    </row>
    <row r="291" spans="13:13" ht="15.75" customHeight="1" x14ac:dyDescent="0.3">
      <c r="M291" s="2635"/>
    </row>
    <row r="292" spans="13:13" ht="15.75" customHeight="1" x14ac:dyDescent="0.3">
      <c r="M292" s="2635"/>
    </row>
    <row r="293" spans="13:13" ht="15.75" customHeight="1" x14ac:dyDescent="0.3">
      <c r="M293" s="2635"/>
    </row>
    <row r="294" spans="13:13" ht="15.75" customHeight="1" x14ac:dyDescent="0.3">
      <c r="M294" s="2635"/>
    </row>
    <row r="295" spans="13:13" ht="15.75" customHeight="1" x14ac:dyDescent="0.3">
      <c r="M295" s="2635"/>
    </row>
    <row r="296" spans="13:13" ht="15.75" customHeight="1" x14ac:dyDescent="0.3">
      <c r="M296" s="2635"/>
    </row>
    <row r="297" spans="13:13" ht="15.75" customHeight="1" x14ac:dyDescent="0.3">
      <c r="M297" s="2635"/>
    </row>
    <row r="298" spans="13:13" ht="15.75" customHeight="1" x14ac:dyDescent="0.3">
      <c r="M298" s="2635"/>
    </row>
    <row r="299" spans="13:13" ht="15.75" customHeight="1" x14ac:dyDescent="0.3">
      <c r="M299" s="2635"/>
    </row>
    <row r="300" spans="13:13" ht="15.75" customHeight="1" x14ac:dyDescent="0.3">
      <c r="M300" s="2635"/>
    </row>
    <row r="301" spans="13:13" ht="15.75" customHeight="1" x14ac:dyDescent="0.3">
      <c r="M301" s="2635"/>
    </row>
    <row r="302" spans="13:13" ht="15.75" customHeight="1" x14ac:dyDescent="0.3">
      <c r="M302" s="2635"/>
    </row>
    <row r="303" spans="13:13" ht="15.75" customHeight="1" x14ac:dyDescent="0.3">
      <c r="M303" s="2635"/>
    </row>
    <row r="304" spans="13:13" ht="15.75" customHeight="1" x14ac:dyDescent="0.3">
      <c r="M304" s="2635"/>
    </row>
    <row r="305" spans="13:13" ht="15.75" customHeight="1" x14ac:dyDescent="0.3">
      <c r="M305" s="2635"/>
    </row>
    <row r="306" spans="13:13" ht="15.75" customHeight="1" x14ac:dyDescent="0.3">
      <c r="M306" s="2635"/>
    </row>
    <row r="307" spans="13:13" ht="15.75" customHeight="1" x14ac:dyDescent="0.3">
      <c r="M307" s="2635"/>
    </row>
    <row r="308" spans="13:13" ht="15.75" customHeight="1" x14ac:dyDescent="0.3">
      <c r="M308" s="2635"/>
    </row>
    <row r="309" spans="13:13" ht="15.75" customHeight="1" x14ac:dyDescent="0.3">
      <c r="M309" s="2635"/>
    </row>
    <row r="310" spans="13:13" ht="15.75" customHeight="1" x14ac:dyDescent="0.3">
      <c r="M310" s="2635"/>
    </row>
    <row r="311" spans="13:13" ht="15.75" customHeight="1" x14ac:dyDescent="0.3">
      <c r="M311" s="2635"/>
    </row>
    <row r="312" spans="13:13" ht="15.75" customHeight="1" x14ac:dyDescent="0.3">
      <c r="M312" s="2635"/>
    </row>
    <row r="313" spans="13:13" ht="15.75" customHeight="1" x14ac:dyDescent="0.3">
      <c r="M313" s="2635"/>
    </row>
    <row r="314" spans="13:13" ht="15.75" customHeight="1" x14ac:dyDescent="0.3">
      <c r="M314" s="2635"/>
    </row>
    <row r="315" spans="13:13" ht="15.75" customHeight="1" x14ac:dyDescent="0.3">
      <c r="M315" s="2635"/>
    </row>
    <row r="316" spans="13:13" ht="15.75" customHeight="1" x14ac:dyDescent="0.3">
      <c r="M316" s="2635"/>
    </row>
    <row r="317" spans="13:13" ht="15.75" customHeight="1" x14ac:dyDescent="0.3">
      <c r="M317" s="2635"/>
    </row>
    <row r="318" spans="13:13" ht="15.75" customHeight="1" x14ac:dyDescent="0.3">
      <c r="M318" s="2635"/>
    </row>
    <row r="319" spans="13:13" ht="15.75" customHeight="1" x14ac:dyDescent="0.3">
      <c r="M319" s="2635"/>
    </row>
    <row r="320" spans="13:13" ht="15.75" customHeight="1" x14ac:dyDescent="0.3">
      <c r="M320" s="2635"/>
    </row>
    <row r="321" spans="13:13" ht="15.75" customHeight="1" x14ac:dyDescent="0.3">
      <c r="M321" s="2635"/>
    </row>
    <row r="322" spans="13:13" ht="15.75" customHeight="1" x14ac:dyDescent="0.3">
      <c r="M322" s="2635"/>
    </row>
    <row r="323" spans="13:13" ht="15.75" customHeight="1" x14ac:dyDescent="0.3">
      <c r="M323" s="2635"/>
    </row>
    <row r="324" spans="13:13" ht="15.75" customHeight="1" x14ac:dyDescent="0.3">
      <c r="M324" s="2635"/>
    </row>
    <row r="325" spans="13:13" ht="15.75" customHeight="1" x14ac:dyDescent="0.3">
      <c r="M325" s="2635"/>
    </row>
    <row r="326" spans="13:13" ht="15.75" customHeight="1" x14ac:dyDescent="0.3">
      <c r="M326" s="2635"/>
    </row>
    <row r="327" spans="13:13" ht="15.75" customHeight="1" x14ac:dyDescent="0.3">
      <c r="M327" s="2635"/>
    </row>
    <row r="328" spans="13:13" ht="15.75" customHeight="1" x14ac:dyDescent="0.3">
      <c r="M328" s="2635"/>
    </row>
    <row r="329" spans="13:13" ht="15.75" customHeight="1" x14ac:dyDescent="0.3">
      <c r="M329" s="2635"/>
    </row>
    <row r="330" spans="13:13" ht="15.75" customHeight="1" x14ac:dyDescent="0.3">
      <c r="M330" s="2635"/>
    </row>
    <row r="331" spans="13:13" ht="15.75" customHeight="1" x14ac:dyDescent="0.3">
      <c r="M331" s="2635"/>
    </row>
    <row r="332" spans="13:13" ht="15.75" customHeight="1" x14ac:dyDescent="0.3">
      <c r="M332" s="2635"/>
    </row>
    <row r="333" spans="13:13" ht="15.75" customHeight="1" x14ac:dyDescent="0.3">
      <c r="M333" s="2635"/>
    </row>
    <row r="334" spans="13:13" ht="15.75" customHeight="1" x14ac:dyDescent="0.3">
      <c r="M334" s="2635"/>
    </row>
    <row r="335" spans="13:13" ht="15.75" customHeight="1" x14ac:dyDescent="0.3">
      <c r="M335" s="2635"/>
    </row>
    <row r="336" spans="13:13" ht="15.75" customHeight="1" x14ac:dyDescent="0.3">
      <c r="M336" s="2635"/>
    </row>
    <row r="337" spans="13:13" ht="15.75" customHeight="1" x14ac:dyDescent="0.3">
      <c r="M337" s="2635"/>
    </row>
    <row r="338" spans="13:13" ht="15.75" customHeight="1" x14ac:dyDescent="0.3">
      <c r="M338" s="2635"/>
    </row>
    <row r="339" spans="13:13" ht="15.75" customHeight="1" x14ac:dyDescent="0.3">
      <c r="M339" s="2635"/>
    </row>
    <row r="340" spans="13:13" ht="15.75" customHeight="1" x14ac:dyDescent="0.3">
      <c r="M340" s="2635"/>
    </row>
    <row r="341" spans="13:13" ht="15.75" customHeight="1" x14ac:dyDescent="0.3">
      <c r="M341" s="2635"/>
    </row>
    <row r="342" spans="13:13" ht="15.75" customHeight="1" x14ac:dyDescent="0.3">
      <c r="M342" s="2635"/>
    </row>
    <row r="343" spans="13:13" ht="15.75" customHeight="1" x14ac:dyDescent="0.3">
      <c r="M343" s="2635"/>
    </row>
    <row r="344" spans="13:13" ht="15.75" customHeight="1" x14ac:dyDescent="0.3">
      <c r="M344" s="2635"/>
    </row>
    <row r="345" spans="13:13" ht="15.75" customHeight="1" x14ac:dyDescent="0.3">
      <c r="M345" s="2635"/>
    </row>
    <row r="346" spans="13:13" ht="15.75" customHeight="1" x14ac:dyDescent="0.3">
      <c r="M346" s="2635"/>
    </row>
    <row r="347" spans="13:13" ht="15.75" customHeight="1" x14ac:dyDescent="0.3">
      <c r="M347" s="2635"/>
    </row>
    <row r="348" spans="13:13" ht="15.75" customHeight="1" x14ac:dyDescent="0.3">
      <c r="M348" s="2635"/>
    </row>
    <row r="349" spans="13:13" ht="15.75" customHeight="1" x14ac:dyDescent="0.3">
      <c r="M349" s="2635"/>
    </row>
    <row r="350" spans="13:13" ht="15.75" customHeight="1" x14ac:dyDescent="0.3">
      <c r="M350" s="2635"/>
    </row>
    <row r="351" spans="13:13" ht="15.75" customHeight="1" x14ac:dyDescent="0.3">
      <c r="M351" s="2635"/>
    </row>
    <row r="352" spans="13:13" ht="15.75" customHeight="1" x14ac:dyDescent="0.3">
      <c r="M352" s="2635"/>
    </row>
    <row r="353" spans="13:13" ht="15.75" customHeight="1" x14ac:dyDescent="0.3">
      <c r="M353" s="2635"/>
    </row>
    <row r="354" spans="13:13" ht="15.75" customHeight="1" x14ac:dyDescent="0.3">
      <c r="M354" s="2635"/>
    </row>
    <row r="355" spans="13:13" ht="15.75" customHeight="1" x14ac:dyDescent="0.3">
      <c r="M355" s="2635"/>
    </row>
    <row r="356" spans="13:13" ht="15.75" customHeight="1" x14ac:dyDescent="0.3">
      <c r="M356" s="2635"/>
    </row>
    <row r="357" spans="13:13" ht="15.75" customHeight="1" x14ac:dyDescent="0.3">
      <c r="M357" s="2635"/>
    </row>
    <row r="358" spans="13:13" ht="15.75" customHeight="1" x14ac:dyDescent="0.3">
      <c r="M358" s="2635"/>
    </row>
    <row r="359" spans="13:13" ht="15.75" customHeight="1" x14ac:dyDescent="0.3">
      <c r="M359" s="2635"/>
    </row>
    <row r="360" spans="13:13" ht="15.75" customHeight="1" x14ac:dyDescent="0.3">
      <c r="M360" s="2635"/>
    </row>
    <row r="361" spans="13:13" ht="15.75" customHeight="1" x14ac:dyDescent="0.3">
      <c r="M361" s="2635"/>
    </row>
    <row r="362" spans="13:13" ht="15.75" customHeight="1" x14ac:dyDescent="0.3">
      <c r="M362" s="2635"/>
    </row>
    <row r="363" spans="13:13" ht="15.75" customHeight="1" x14ac:dyDescent="0.3">
      <c r="M363" s="2635"/>
    </row>
    <row r="364" spans="13:13" ht="15.75" customHeight="1" x14ac:dyDescent="0.3">
      <c r="M364" s="2635"/>
    </row>
    <row r="365" spans="13:13" ht="15.75" customHeight="1" x14ac:dyDescent="0.3">
      <c r="M365" s="2635"/>
    </row>
    <row r="366" spans="13:13" ht="15.75" customHeight="1" x14ac:dyDescent="0.3">
      <c r="M366" s="2635"/>
    </row>
    <row r="367" spans="13:13" ht="15.75" customHeight="1" x14ac:dyDescent="0.3">
      <c r="M367" s="2635"/>
    </row>
    <row r="368" spans="13:13" ht="15.75" customHeight="1" x14ac:dyDescent="0.3">
      <c r="M368" s="2635"/>
    </row>
    <row r="369" spans="13:13" ht="15.75" customHeight="1" x14ac:dyDescent="0.3">
      <c r="M369" s="2635"/>
    </row>
    <row r="370" spans="13:13" ht="15.75" customHeight="1" x14ac:dyDescent="0.3">
      <c r="M370" s="2635"/>
    </row>
    <row r="371" spans="13:13" ht="15.75" customHeight="1" x14ac:dyDescent="0.3">
      <c r="M371" s="2635"/>
    </row>
    <row r="372" spans="13:13" ht="15.75" customHeight="1" x14ac:dyDescent="0.3">
      <c r="M372" s="2635"/>
    </row>
    <row r="373" spans="13:13" ht="15.75" customHeight="1" x14ac:dyDescent="0.3">
      <c r="M373" s="2635"/>
    </row>
    <row r="374" spans="13:13" ht="15.75" customHeight="1" x14ac:dyDescent="0.3">
      <c r="M374" s="2635"/>
    </row>
    <row r="375" spans="13:13" ht="15.75" customHeight="1" x14ac:dyDescent="0.3">
      <c r="M375" s="2635"/>
    </row>
    <row r="376" spans="13:13" ht="15.75" customHeight="1" x14ac:dyDescent="0.3">
      <c r="M376" s="2635"/>
    </row>
    <row r="377" spans="13:13" ht="15.75" customHeight="1" x14ac:dyDescent="0.3">
      <c r="M377" s="2635"/>
    </row>
    <row r="378" spans="13:13" ht="15.75" customHeight="1" x14ac:dyDescent="0.3">
      <c r="M378" s="2635"/>
    </row>
    <row r="379" spans="13:13" ht="15.75" customHeight="1" x14ac:dyDescent="0.3">
      <c r="M379" s="2635"/>
    </row>
    <row r="380" spans="13:13" ht="15.75" customHeight="1" x14ac:dyDescent="0.3">
      <c r="M380" s="2635"/>
    </row>
    <row r="381" spans="13:13" ht="15.75" customHeight="1" x14ac:dyDescent="0.3">
      <c r="M381" s="2635"/>
    </row>
    <row r="382" spans="13:13" ht="15.75" customHeight="1" x14ac:dyDescent="0.3">
      <c r="M382" s="2635"/>
    </row>
    <row r="383" spans="13:13" ht="15.75" customHeight="1" x14ac:dyDescent="0.3">
      <c r="M383" s="2635"/>
    </row>
    <row r="384" spans="13:13" ht="15.75" customHeight="1" x14ac:dyDescent="0.3">
      <c r="M384" s="2635"/>
    </row>
    <row r="385" spans="13:13" ht="15.75" customHeight="1" x14ac:dyDescent="0.3">
      <c r="M385" s="2635"/>
    </row>
    <row r="386" spans="13:13" ht="15.75" customHeight="1" x14ac:dyDescent="0.3">
      <c r="M386" s="2635"/>
    </row>
    <row r="387" spans="13:13" ht="15.75" customHeight="1" x14ac:dyDescent="0.3">
      <c r="M387" s="2635"/>
    </row>
    <row r="388" spans="13:13" ht="15.75" customHeight="1" x14ac:dyDescent="0.3">
      <c r="M388" s="2635"/>
    </row>
    <row r="389" spans="13:13" ht="15.75" customHeight="1" x14ac:dyDescent="0.3">
      <c r="M389" s="2635"/>
    </row>
    <row r="390" spans="13:13" ht="15.75" customHeight="1" x14ac:dyDescent="0.3">
      <c r="M390" s="2635"/>
    </row>
    <row r="391" spans="13:13" ht="15.75" customHeight="1" x14ac:dyDescent="0.3">
      <c r="M391" s="2635"/>
    </row>
    <row r="392" spans="13:13" ht="15.75" customHeight="1" x14ac:dyDescent="0.3">
      <c r="M392" s="2635"/>
    </row>
    <row r="393" spans="13:13" ht="15.75" customHeight="1" x14ac:dyDescent="0.3">
      <c r="M393" s="2635"/>
    </row>
    <row r="394" spans="13:13" ht="15.75" customHeight="1" x14ac:dyDescent="0.3">
      <c r="M394" s="2635"/>
    </row>
    <row r="395" spans="13:13" ht="15.75" customHeight="1" x14ac:dyDescent="0.3">
      <c r="M395" s="2635"/>
    </row>
    <row r="396" spans="13:13" ht="15.75" customHeight="1" x14ac:dyDescent="0.3">
      <c r="M396" s="2635"/>
    </row>
    <row r="397" spans="13:13" ht="15.75" customHeight="1" x14ac:dyDescent="0.3">
      <c r="M397" s="2635"/>
    </row>
    <row r="398" spans="13:13" ht="15.75" customHeight="1" x14ac:dyDescent="0.3">
      <c r="M398" s="2635"/>
    </row>
    <row r="399" spans="13:13" ht="15.75" customHeight="1" x14ac:dyDescent="0.3">
      <c r="M399" s="2635"/>
    </row>
    <row r="400" spans="13:13" ht="15.75" customHeight="1" x14ac:dyDescent="0.3">
      <c r="M400" s="2635"/>
    </row>
    <row r="401" spans="13:13" ht="15.75" customHeight="1" x14ac:dyDescent="0.3">
      <c r="M401" s="2635"/>
    </row>
    <row r="402" spans="13:13" ht="15.75" customHeight="1" x14ac:dyDescent="0.3">
      <c r="M402" s="2635"/>
    </row>
    <row r="403" spans="13:13" ht="15.75" customHeight="1" x14ac:dyDescent="0.3">
      <c r="M403" s="2635"/>
    </row>
    <row r="404" spans="13:13" ht="15.75" customHeight="1" x14ac:dyDescent="0.3">
      <c r="M404" s="2635"/>
    </row>
    <row r="405" spans="13:13" ht="15.75" customHeight="1" x14ac:dyDescent="0.3">
      <c r="M405" s="2635"/>
    </row>
    <row r="406" spans="13:13" ht="15.75" customHeight="1" x14ac:dyDescent="0.3">
      <c r="M406" s="2635"/>
    </row>
    <row r="407" spans="13:13" ht="15.75" customHeight="1" x14ac:dyDescent="0.3">
      <c r="M407" s="2635"/>
    </row>
    <row r="408" spans="13:13" ht="15.75" customHeight="1" x14ac:dyDescent="0.3">
      <c r="M408" s="2635"/>
    </row>
    <row r="409" spans="13:13" ht="15.75" customHeight="1" x14ac:dyDescent="0.3">
      <c r="M409" s="2635"/>
    </row>
    <row r="410" spans="13:13" ht="15.75" customHeight="1" x14ac:dyDescent="0.3">
      <c r="M410" s="2635"/>
    </row>
    <row r="411" spans="13:13" ht="15.75" customHeight="1" x14ac:dyDescent="0.3">
      <c r="M411" s="2635"/>
    </row>
    <row r="412" spans="13:13" ht="15.75" customHeight="1" x14ac:dyDescent="0.3">
      <c r="M412" s="2635"/>
    </row>
    <row r="413" spans="13:13" ht="15.75" customHeight="1" x14ac:dyDescent="0.3">
      <c r="M413" s="2635"/>
    </row>
    <row r="414" spans="13:13" ht="15.75" customHeight="1" x14ac:dyDescent="0.3">
      <c r="M414" s="2635"/>
    </row>
    <row r="415" spans="13:13" ht="15.75" customHeight="1" x14ac:dyDescent="0.3">
      <c r="M415" s="2635"/>
    </row>
    <row r="416" spans="13:13" ht="15.75" customHeight="1" x14ac:dyDescent="0.3">
      <c r="M416" s="2635"/>
    </row>
    <row r="417" spans="13:13" ht="15.75" customHeight="1" x14ac:dyDescent="0.3">
      <c r="M417" s="2635"/>
    </row>
    <row r="418" spans="13:13" ht="15.75" customHeight="1" x14ac:dyDescent="0.3">
      <c r="M418" s="2635"/>
    </row>
    <row r="419" spans="13:13" ht="15.75" customHeight="1" x14ac:dyDescent="0.3">
      <c r="M419" s="2635"/>
    </row>
    <row r="420" spans="13:13" ht="15.75" customHeight="1" x14ac:dyDescent="0.3">
      <c r="M420" s="2635"/>
    </row>
    <row r="421" spans="13:13" ht="15.75" customHeight="1" x14ac:dyDescent="0.3">
      <c r="M421" s="2635"/>
    </row>
    <row r="422" spans="13:13" ht="15.75" customHeight="1" x14ac:dyDescent="0.3">
      <c r="M422" s="2635"/>
    </row>
    <row r="423" spans="13:13" ht="15.75" customHeight="1" x14ac:dyDescent="0.3">
      <c r="M423" s="2635"/>
    </row>
    <row r="424" spans="13:13" ht="15.75" customHeight="1" x14ac:dyDescent="0.3">
      <c r="M424" s="2635"/>
    </row>
    <row r="425" spans="13:13" ht="15.75" customHeight="1" x14ac:dyDescent="0.3">
      <c r="M425" s="2635"/>
    </row>
    <row r="426" spans="13:13" ht="15.75" customHeight="1" x14ac:dyDescent="0.3">
      <c r="M426" s="2635"/>
    </row>
    <row r="427" spans="13:13" ht="15.75" customHeight="1" x14ac:dyDescent="0.3">
      <c r="M427" s="2635"/>
    </row>
    <row r="428" spans="13:13" ht="15.75" customHeight="1" x14ac:dyDescent="0.3">
      <c r="M428" s="2635"/>
    </row>
    <row r="429" spans="13:13" ht="15.75" customHeight="1" x14ac:dyDescent="0.3">
      <c r="M429" s="2635"/>
    </row>
    <row r="430" spans="13:13" ht="15.75" customHeight="1" x14ac:dyDescent="0.3">
      <c r="M430" s="2635"/>
    </row>
    <row r="431" spans="13:13" ht="15.75" customHeight="1" x14ac:dyDescent="0.3">
      <c r="M431" s="2635"/>
    </row>
    <row r="432" spans="13:13" ht="15.75" customHeight="1" x14ac:dyDescent="0.3">
      <c r="M432" s="2635"/>
    </row>
    <row r="433" spans="13:13" ht="15.75" customHeight="1" x14ac:dyDescent="0.3">
      <c r="M433" s="2635"/>
    </row>
    <row r="434" spans="13:13" ht="15.75" customHeight="1" x14ac:dyDescent="0.3">
      <c r="M434" s="2635"/>
    </row>
    <row r="435" spans="13:13" ht="15.75" customHeight="1" x14ac:dyDescent="0.3">
      <c r="M435" s="2635"/>
    </row>
    <row r="436" spans="13:13" ht="15.75" customHeight="1" x14ac:dyDescent="0.3">
      <c r="M436" s="2635"/>
    </row>
    <row r="437" spans="13:13" ht="15.75" customHeight="1" x14ac:dyDescent="0.3">
      <c r="M437" s="2635"/>
    </row>
    <row r="438" spans="13:13" ht="15.75" customHeight="1" x14ac:dyDescent="0.3">
      <c r="M438" s="2635"/>
    </row>
    <row r="439" spans="13:13" ht="15.75" customHeight="1" x14ac:dyDescent="0.3">
      <c r="M439" s="2635"/>
    </row>
    <row r="440" spans="13:13" ht="15.75" customHeight="1" x14ac:dyDescent="0.3">
      <c r="M440" s="2635"/>
    </row>
    <row r="441" spans="13:13" ht="15.75" customHeight="1" x14ac:dyDescent="0.3">
      <c r="M441" s="2635"/>
    </row>
    <row r="442" spans="13:13" ht="15.75" customHeight="1" x14ac:dyDescent="0.3">
      <c r="M442" s="2635"/>
    </row>
    <row r="443" spans="13:13" ht="15.75" customHeight="1" x14ac:dyDescent="0.3">
      <c r="M443" s="2635"/>
    </row>
    <row r="444" spans="13:13" ht="15.75" customHeight="1" x14ac:dyDescent="0.3">
      <c r="M444" s="2635"/>
    </row>
    <row r="445" spans="13:13" ht="15.75" customHeight="1" x14ac:dyDescent="0.3">
      <c r="M445" s="2635"/>
    </row>
    <row r="446" spans="13:13" ht="15.75" customHeight="1" x14ac:dyDescent="0.3">
      <c r="M446" s="2635"/>
    </row>
    <row r="447" spans="13:13" ht="15.75" customHeight="1" x14ac:dyDescent="0.3">
      <c r="M447" s="2635"/>
    </row>
    <row r="448" spans="13:13" ht="15.75" customHeight="1" x14ac:dyDescent="0.3">
      <c r="M448" s="2635"/>
    </row>
    <row r="449" spans="13:13" ht="15.75" customHeight="1" x14ac:dyDescent="0.3">
      <c r="M449" s="2635"/>
    </row>
    <row r="450" spans="13:13" ht="15.75" customHeight="1" x14ac:dyDescent="0.3">
      <c r="M450" s="2635"/>
    </row>
    <row r="451" spans="13:13" ht="15.75" customHeight="1" x14ac:dyDescent="0.3">
      <c r="M451" s="2635"/>
    </row>
    <row r="452" spans="13:13" ht="15.75" customHeight="1" x14ac:dyDescent="0.3">
      <c r="M452" s="2635"/>
    </row>
    <row r="453" spans="13:13" ht="15.75" customHeight="1" x14ac:dyDescent="0.3">
      <c r="M453" s="2635"/>
    </row>
    <row r="454" spans="13:13" ht="15.75" customHeight="1" x14ac:dyDescent="0.3">
      <c r="M454" s="2635"/>
    </row>
    <row r="455" spans="13:13" ht="15.75" customHeight="1" x14ac:dyDescent="0.3">
      <c r="M455" s="2635"/>
    </row>
    <row r="456" spans="13:13" ht="15.75" customHeight="1" x14ac:dyDescent="0.3">
      <c r="M456" s="2635"/>
    </row>
    <row r="457" spans="13:13" ht="15.75" customHeight="1" x14ac:dyDescent="0.3">
      <c r="M457" s="2635"/>
    </row>
    <row r="458" spans="13:13" ht="15.75" customHeight="1" x14ac:dyDescent="0.3">
      <c r="M458" s="2635"/>
    </row>
    <row r="459" spans="13:13" ht="15.75" customHeight="1" x14ac:dyDescent="0.3">
      <c r="M459" s="2635"/>
    </row>
    <row r="460" spans="13:13" ht="15.75" customHeight="1" x14ac:dyDescent="0.3">
      <c r="M460" s="2635"/>
    </row>
    <row r="461" spans="13:13" ht="15.75" customHeight="1" x14ac:dyDescent="0.3">
      <c r="M461" s="2635"/>
    </row>
    <row r="462" spans="13:13" ht="15.75" customHeight="1" x14ac:dyDescent="0.3">
      <c r="M462" s="2635"/>
    </row>
    <row r="463" spans="13:13" ht="15.75" customHeight="1" x14ac:dyDescent="0.3">
      <c r="M463" s="2635"/>
    </row>
    <row r="464" spans="13:13" ht="15.75" customHeight="1" x14ac:dyDescent="0.3">
      <c r="M464" s="2635"/>
    </row>
    <row r="465" spans="13:13" ht="15.75" customHeight="1" x14ac:dyDescent="0.3">
      <c r="M465" s="2635"/>
    </row>
    <row r="466" spans="13:13" ht="15.75" customHeight="1" x14ac:dyDescent="0.3">
      <c r="M466" s="2635"/>
    </row>
    <row r="467" spans="13:13" ht="15.75" customHeight="1" x14ac:dyDescent="0.3">
      <c r="M467" s="2635"/>
    </row>
    <row r="468" spans="13:13" ht="15.75" customHeight="1" x14ac:dyDescent="0.3">
      <c r="M468" s="2635"/>
    </row>
    <row r="469" spans="13:13" ht="15.75" customHeight="1" x14ac:dyDescent="0.3">
      <c r="M469" s="2635"/>
    </row>
    <row r="470" spans="13:13" ht="15.75" customHeight="1" x14ac:dyDescent="0.3">
      <c r="M470" s="2635"/>
    </row>
    <row r="471" spans="13:13" ht="15.75" customHeight="1" x14ac:dyDescent="0.3">
      <c r="M471" s="2635"/>
    </row>
    <row r="472" spans="13:13" ht="15.75" customHeight="1" x14ac:dyDescent="0.3">
      <c r="M472" s="2635"/>
    </row>
    <row r="473" spans="13:13" ht="15.75" customHeight="1" x14ac:dyDescent="0.3">
      <c r="M473" s="2635"/>
    </row>
    <row r="474" spans="13:13" ht="15.75" customHeight="1" x14ac:dyDescent="0.3">
      <c r="M474" s="2635"/>
    </row>
    <row r="475" spans="13:13" ht="15.75" customHeight="1" x14ac:dyDescent="0.3">
      <c r="M475" s="2635"/>
    </row>
    <row r="476" spans="13:13" ht="15.75" customHeight="1" x14ac:dyDescent="0.3">
      <c r="M476" s="2635"/>
    </row>
    <row r="477" spans="13:13" ht="15.75" customHeight="1" x14ac:dyDescent="0.3">
      <c r="M477" s="2635"/>
    </row>
    <row r="478" spans="13:13" ht="15.75" customHeight="1" x14ac:dyDescent="0.3">
      <c r="M478" s="2635"/>
    </row>
    <row r="479" spans="13:13" ht="15.75" customHeight="1" x14ac:dyDescent="0.3">
      <c r="M479" s="2635"/>
    </row>
    <row r="480" spans="13:13" ht="15.75" customHeight="1" x14ac:dyDescent="0.3">
      <c r="M480" s="2635"/>
    </row>
    <row r="481" spans="13:13" ht="15.75" customHeight="1" x14ac:dyDescent="0.3">
      <c r="M481" s="2635"/>
    </row>
    <row r="482" spans="13:13" ht="15.75" customHeight="1" x14ac:dyDescent="0.3">
      <c r="M482" s="2635"/>
    </row>
    <row r="483" spans="13:13" ht="15.75" customHeight="1" x14ac:dyDescent="0.3">
      <c r="M483" s="2635"/>
    </row>
    <row r="484" spans="13:13" ht="15.75" customHeight="1" x14ac:dyDescent="0.3">
      <c r="M484" s="2635"/>
    </row>
    <row r="485" spans="13:13" ht="15.75" customHeight="1" x14ac:dyDescent="0.3">
      <c r="M485" s="2635"/>
    </row>
    <row r="486" spans="13:13" ht="15.75" customHeight="1" x14ac:dyDescent="0.3">
      <c r="M486" s="2635"/>
    </row>
    <row r="487" spans="13:13" ht="15.75" customHeight="1" x14ac:dyDescent="0.3">
      <c r="M487" s="2635"/>
    </row>
    <row r="488" spans="13:13" ht="15.75" customHeight="1" x14ac:dyDescent="0.3">
      <c r="M488" s="2635"/>
    </row>
    <row r="489" spans="13:13" ht="15.75" customHeight="1" x14ac:dyDescent="0.3">
      <c r="M489" s="2635"/>
    </row>
    <row r="490" spans="13:13" ht="15.75" customHeight="1" x14ac:dyDescent="0.3">
      <c r="M490" s="2635"/>
    </row>
    <row r="491" spans="13:13" ht="15.75" customHeight="1" x14ac:dyDescent="0.3">
      <c r="M491" s="2635"/>
    </row>
    <row r="492" spans="13:13" ht="15.75" customHeight="1" x14ac:dyDescent="0.3">
      <c r="M492" s="2635"/>
    </row>
    <row r="493" spans="13:13" ht="15.75" customHeight="1" x14ac:dyDescent="0.3">
      <c r="M493" s="2635"/>
    </row>
    <row r="494" spans="13:13" ht="15.75" customHeight="1" x14ac:dyDescent="0.3">
      <c r="M494" s="2635"/>
    </row>
    <row r="495" spans="13:13" ht="15.75" customHeight="1" x14ac:dyDescent="0.3">
      <c r="M495" s="2635"/>
    </row>
    <row r="496" spans="13:13" ht="15.75" customHeight="1" x14ac:dyDescent="0.3">
      <c r="M496" s="2635"/>
    </row>
    <row r="497" spans="13:13" ht="15.75" customHeight="1" x14ac:dyDescent="0.3">
      <c r="M497" s="2635"/>
    </row>
    <row r="498" spans="13:13" ht="15.75" customHeight="1" x14ac:dyDescent="0.3">
      <c r="M498" s="2635"/>
    </row>
    <row r="499" spans="13:13" ht="15.75" customHeight="1" x14ac:dyDescent="0.3">
      <c r="M499" s="2635"/>
    </row>
    <row r="500" spans="13:13" ht="15.75" customHeight="1" x14ac:dyDescent="0.3">
      <c r="M500" s="2635"/>
    </row>
    <row r="501" spans="13:13" ht="15.75" customHeight="1" x14ac:dyDescent="0.3">
      <c r="M501" s="2635"/>
    </row>
    <row r="502" spans="13:13" ht="15.75" customHeight="1" x14ac:dyDescent="0.3">
      <c r="M502" s="2635"/>
    </row>
    <row r="503" spans="13:13" ht="15.75" customHeight="1" x14ac:dyDescent="0.3">
      <c r="M503" s="2635"/>
    </row>
    <row r="504" spans="13:13" ht="15.75" customHeight="1" x14ac:dyDescent="0.3">
      <c r="M504" s="2635"/>
    </row>
    <row r="505" spans="13:13" ht="15.75" customHeight="1" x14ac:dyDescent="0.3">
      <c r="M505" s="2635"/>
    </row>
    <row r="506" spans="13:13" ht="15.75" customHeight="1" x14ac:dyDescent="0.3">
      <c r="M506" s="2635"/>
    </row>
    <row r="507" spans="13:13" ht="15.75" customHeight="1" x14ac:dyDescent="0.3">
      <c r="M507" s="2635"/>
    </row>
    <row r="508" spans="13:13" ht="15.75" customHeight="1" x14ac:dyDescent="0.3">
      <c r="M508" s="2635"/>
    </row>
    <row r="509" spans="13:13" ht="15.75" customHeight="1" x14ac:dyDescent="0.3">
      <c r="M509" s="2635"/>
    </row>
    <row r="510" spans="13:13" ht="15.75" customHeight="1" x14ac:dyDescent="0.3">
      <c r="M510" s="2635"/>
    </row>
    <row r="511" spans="13:13" ht="15.75" customHeight="1" x14ac:dyDescent="0.3">
      <c r="M511" s="2635"/>
    </row>
    <row r="512" spans="13:13" ht="15.75" customHeight="1" x14ac:dyDescent="0.3">
      <c r="M512" s="2635"/>
    </row>
    <row r="513" spans="13:13" ht="15.75" customHeight="1" x14ac:dyDescent="0.3">
      <c r="M513" s="2635"/>
    </row>
    <row r="514" spans="13:13" ht="15.75" customHeight="1" x14ac:dyDescent="0.3">
      <c r="M514" s="2635"/>
    </row>
    <row r="515" spans="13:13" ht="15.75" customHeight="1" x14ac:dyDescent="0.3">
      <c r="M515" s="2635"/>
    </row>
    <row r="516" spans="13:13" ht="15.75" customHeight="1" x14ac:dyDescent="0.3">
      <c r="M516" s="2635"/>
    </row>
    <row r="517" spans="13:13" ht="15.75" customHeight="1" x14ac:dyDescent="0.3">
      <c r="M517" s="2635"/>
    </row>
    <row r="518" spans="13:13" ht="15.75" customHeight="1" x14ac:dyDescent="0.3">
      <c r="M518" s="2635"/>
    </row>
    <row r="519" spans="13:13" ht="15.75" customHeight="1" x14ac:dyDescent="0.3">
      <c r="M519" s="2635"/>
    </row>
    <row r="520" spans="13:13" ht="15.75" customHeight="1" x14ac:dyDescent="0.3">
      <c r="M520" s="2635"/>
    </row>
    <row r="521" spans="13:13" ht="15.75" customHeight="1" x14ac:dyDescent="0.3">
      <c r="M521" s="2635"/>
    </row>
    <row r="522" spans="13:13" ht="15.75" customHeight="1" x14ac:dyDescent="0.3">
      <c r="M522" s="2635"/>
    </row>
    <row r="523" spans="13:13" ht="15.75" customHeight="1" x14ac:dyDescent="0.3">
      <c r="M523" s="2635"/>
    </row>
    <row r="524" spans="13:13" ht="15.75" customHeight="1" x14ac:dyDescent="0.3">
      <c r="M524" s="2635"/>
    </row>
    <row r="525" spans="13:13" ht="15.75" customHeight="1" x14ac:dyDescent="0.3">
      <c r="M525" s="2635"/>
    </row>
    <row r="526" spans="13:13" ht="15.75" customHeight="1" x14ac:dyDescent="0.3">
      <c r="M526" s="2635"/>
    </row>
    <row r="527" spans="13:13" ht="15.75" customHeight="1" x14ac:dyDescent="0.3">
      <c r="M527" s="2635"/>
    </row>
    <row r="528" spans="13:13" ht="15.75" customHeight="1" x14ac:dyDescent="0.3">
      <c r="M528" s="2635"/>
    </row>
    <row r="529" spans="13:13" ht="15.75" customHeight="1" x14ac:dyDescent="0.3">
      <c r="M529" s="2635"/>
    </row>
    <row r="530" spans="13:13" ht="15.75" customHeight="1" x14ac:dyDescent="0.3">
      <c r="M530" s="2635"/>
    </row>
    <row r="531" spans="13:13" ht="15.75" customHeight="1" x14ac:dyDescent="0.3">
      <c r="M531" s="2635"/>
    </row>
    <row r="532" spans="13:13" ht="15.75" customHeight="1" x14ac:dyDescent="0.3">
      <c r="M532" s="2635"/>
    </row>
    <row r="533" spans="13:13" ht="15.75" customHeight="1" x14ac:dyDescent="0.3">
      <c r="M533" s="2635"/>
    </row>
    <row r="534" spans="13:13" ht="15.75" customHeight="1" x14ac:dyDescent="0.3">
      <c r="M534" s="2635"/>
    </row>
    <row r="535" spans="13:13" ht="15.75" customHeight="1" x14ac:dyDescent="0.3">
      <c r="M535" s="2635"/>
    </row>
    <row r="536" spans="13:13" ht="15.75" customHeight="1" x14ac:dyDescent="0.3">
      <c r="M536" s="2635"/>
    </row>
    <row r="537" spans="13:13" ht="15.75" customHeight="1" x14ac:dyDescent="0.3">
      <c r="M537" s="2635"/>
    </row>
    <row r="538" spans="13:13" ht="15.75" customHeight="1" x14ac:dyDescent="0.3">
      <c r="M538" s="2635"/>
    </row>
    <row r="539" spans="13:13" ht="15.75" customHeight="1" x14ac:dyDescent="0.3">
      <c r="M539" s="2635"/>
    </row>
    <row r="540" spans="13:13" ht="15.75" customHeight="1" x14ac:dyDescent="0.3">
      <c r="M540" s="2635"/>
    </row>
    <row r="541" spans="13:13" ht="15.75" customHeight="1" x14ac:dyDescent="0.3">
      <c r="M541" s="2635"/>
    </row>
    <row r="542" spans="13:13" ht="15.75" customHeight="1" x14ac:dyDescent="0.3">
      <c r="M542" s="2635"/>
    </row>
    <row r="543" spans="13:13" ht="15.75" customHeight="1" x14ac:dyDescent="0.3">
      <c r="M543" s="2635"/>
    </row>
    <row r="544" spans="13:13" ht="15.75" customHeight="1" x14ac:dyDescent="0.3">
      <c r="M544" s="2635"/>
    </row>
    <row r="545" spans="13:13" ht="15.75" customHeight="1" x14ac:dyDescent="0.3">
      <c r="M545" s="2635"/>
    </row>
    <row r="546" spans="13:13" ht="15.75" customHeight="1" x14ac:dyDescent="0.3">
      <c r="M546" s="2635"/>
    </row>
    <row r="547" spans="13:13" ht="15.75" customHeight="1" x14ac:dyDescent="0.3">
      <c r="M547" s="2635"/>
    </row>
    <row r="548" spans="13:13" ht="15.75" customHeight="1" x14ac:dyDescent="0.3">
      <c r="M548" s="2635"/>
    </row>
    <row r="549" spans="13:13" ht="15.75" customHeight="1" x14ac:dyDescent="0.3">
      <c r="M549" s="2635"/>
    </row>
    <row r="550" spans="13:13" ht="15.75" customHeight="1" x14ac:dyDescent="0.3">
      <c r="M550" s="2635"/>
    </row>
    <row r="551" spans="13:13" ht="15.75" customHeight="1" x14ac:dyDescent="0.3">
      <c r="M551" s="2635"/>
    </row>
    <row r="552" spans="13:13" ht="15.75" customHeight="1" x14ac:dyDescent="0.3">
      <c r="M552" s="2635"/>
    </row>
    <row r="553" spans="13:13" ht="15.75" customHeight="1" x14ac:dyDescent="0.3">
      <c r="M553" s="2635"/>
    </row>
    <row r="554" spans="13:13" ht="15.75" customHeight="1" x14ac:dyDescent="0.3">
      <c r="M554" s="2635"/>
    </row>
    <row r="555" spans="13:13" ht="15.75" customHeight="1" x14ac:dyDescent="0.3">
      <c r="M555" s="2635"/>
    </row>
    <row r="556" spans="13:13" ht="15.75" customHeight="1" x14ac:dyDescent="0.3">
      <c r="M556" s="2635"/>
    </row>
    <row r="557" spans="13:13" ht="15.75" customHeight="1" x14ac:dyDescent="0.3">
      <c r="M557" s="2635"/>
    </row>
    <row r="558" spans="13:13" ht="15.75" customHeight="1" x14ac:dyDescent="0.3">
      <c r="M558" s="2635"/>
    </row>
    <row r="559" spans="13:13" ht="15.75" customHeight="1" x14ac:dyDescent="0.3">
      <c r="M559" s="2635"/>
    </row>
    <row r="560" spans="13:13" ht="15.75" customHeight="1" x14ac:dyDescent="0.3">
      <c r="M560" s="2635"/>
    </row>
    <row r="561" spans="13:13" ht="15.75" customHeight="1" x14ac:dyDescent="0.3">
      <c r="M561" s="2635"/>
    </row>
    <row r="562" spans="13:13" ht="15.75" customHeight="1" x14ac:dyDescent="0.3">
      <c r="M562" s="2635"/>
    </row>
    <row r="563" spans="13:13" ht="15.75" customHeight="1" x14ac:dyDescent="0.3">
      <c r="M563" s="2635"/>
    </row>
    <row r="564" spans="13:13" ht="15.75" customHeight="1" x14ac:dyDescent="0.3">
      <c r="M564" s="2635"/>
    </row>
    <row r="565" spans="13:13" ht="15.75" customHeight="1" x14ac:dyDescent="0.3">
      <c r="M565" s="2635"/>
    </row>
    <row r="566" spans="13:13" ht="15.75" customHeight="1" x14ac:dyDescent="0.3">
      <c r="M566" s="2635"/>
    </row>
    <row r="567" spans="13:13" ht="15.75" customHeight="1" x14ac:dyDescent="0.3">
      <c r="M567" s="2635"/>
    </row>
    <row r="568" spans="13:13" ht="15.75" customHeight="1" x14ac:dyDescent="0.3">
      <c r="M568" s="2635"/>
    </row>
    <row r="569" spans="13:13" ht="15.75" customHeight="1" x14ac:dyDescent="0.3">
      <c r="M569" s="2635"/>
    </row>
    <row r="570" spans="13:13" ht="15.75" customHeight="1" x14ac:dyDescent="0.3">
      <c r="M570" s="2635"/>
    </row>
    <row r="571" spans="13:13" ht="15.75" customHeight="1" x14ac:dyDescent="0.3">
      <c r="M571" s="2635"/>
    </row>
    <row r="572" spans="13:13" ht="15.75" customHeight="1" x14ac:dyDescent="0.3">
      <c r="M572" s="2635"/>
    </row>
    <row r="573" spans="13:13" ht="15.75" customHeight="1" x14ac:dyDescent="0.3">
      <c r="M573" s="2635"/>
    </row>
    <row r="574" spans="13:13" ht="15.75" customHeight="1" x14ac:dyDescent="0.3">
      <c r="M574" s="2635"/>
    </row>
    <row r="575" spans="13:13" ht="15.75" customHeight="1" x14ac:dyDescent="0.3">
      <c r="M575" s="2635"/>
    </row>
    <row r="576" spans="13:13" ht="15.75" customHeight="1" x14ac:dyDescent="0.3">
      <c r="M576" s="2635"/>
    </row>
    <row r="577" spans="13:13" ht="15.75" customHeight="1" x14ac:dyDescent="0.3">
      <c r="M577" s="2635"/>
    </row>
    <row r="578" spans="13:13" ht="15.75" customHeight="1" x14ac:dyDescent="0.3">
      <c r="M578" s="2635"/>
    </row>
    <row r="579" spans="13:13" ht="15.75" customHeight="1" x14ac:dyDescent="0.3">
      <c r="M579" s="2635"/>
    </row>
    <row r="580" spans="13:13" ht="15.75" customHeight="1" x14ac:dyDescent="0.3">
      <c r="M580" s="2635"/>
    </row>
    <row r="581" spans="13:13" ht="15.75" customHeight="1" x14ac:dyDescent="0.3">
      <c r="M581" s="2635"/>
    </row>
    <row r="582" spans="13:13" ht="15.75" customHeight="1" x14ac:dyDescent="0.3">
      <c r="M582" s="2635"/>
    </row>
    <row r="583" spans="13:13" ht="15.75" customHeight="1" x14ac:dyDescent="0.3">
      <c r="M583" s="2635"/>
    </row>
    <row r="584" spans="13:13" ht="15.75" customHeight="1" x14ac:dyDescent="0.3">
      <c r="M584" s="2635"/>
    </row>
    <row r="585" spans="13:13" ht="15.75" customHeight="1" x14ac:dyDescent="0.3">
      <c r="M585" s="2635"/>
    </row>
    <row r="586" spans="13:13" ht="15.75" customHeight="1" x14ac:dyDescent="0.3">
      <c r="M586" s="2635"/>
    </row>
    <row r="587" spans="13:13" ht="15.75" customHeight="1" x14ac:dyDescent="0.3">
      <c r="M587" s="2635"/>
    </row>
    <row r="588" spans="13:13" ht="15.75" customHeight="1" x14ac:dyDescent="0.3">
      <c r="M588" s="2635"/>
    </row>
    <row r="589" spans="13:13" ht="15.75" customHeight="1" x14ac:dyDescent="0.3">
      <c r="M589" s="2635"/>
    </row>
    <row r="590" spans="13:13" ht="15.75" customHeight="1" x14ac:dyDescent="0.3">
      <c r="M590" s="2635"/>
    </row>
    <row r="591" spans="13:13" ht="15.75" customHeight="1" x14ac:dyDescent="0.3">
      <c r="M591" s="2635"/>
    </row>
    <row r="592" spans="13:13" ht="15.75" customHeight="1" x14ac:dyDescent="0.3">
      <c r="M592" s="2635"/>
    </row>
    <row r="593" spans="13:13" ht="15.75" customHeight="1" x14ac:dyDescent="0.3">
      <c r="M593" s="2635"/>
    </row>
    <row r="594" spans="13:13" ht="15.75" customHeight="1" x14ac:dyDescent="0.3">
      <c r="M594" s="2635"/>
    </row>
    <row r="595" spans="13:13" ht="15.75" customHeight="1" x14ac:dyDescent="0.3">
      <c r="M595" s="2635"/>
    </row>
    <row r="596" spans="13:13" ht="15.75" customHeight="1" x14ac:dyDescent="0.3">
      <c r="M596" s="2635"/>
    </row>
    <row r="597" spans="13:13" ht="15.75" customHeight="1" x14ac:dyDescent="0.3">
      <c r="M597" s="2635"/>
    </row>
    <row r="598" spans="13:13" ht="15.75" customHeight="1" x14ac:dyDescent="0.3">
      <c r="M598" s="2635"/>
    </row>
    <row r="599" spans="13:13" ht="15.75" customHeight="1" x14ac:dyDescent="0.3">
      <c r="M599" s="2635"/>
    </row>
    <row r="600" spans="13:13" ht="15.75" customHeight="1" x14ac:dyDescent="0.3">
      <c r="M600" s="2635"/>
    </row>
    <row r="601" spans="13:13" ht="15.75" customHeight="1" x14ac:dyDescent="0.3">
      <c r="M601" s="2635"/>
    </row>
    <row r="602" spans="13:13" ht="15.75" customHeight="1" x14ac:dyDescent="0.3">
      <c r="M602" s="2635"/>
    </row>
    <row r="603" spans="13:13" ht="15.75" customHeight="1" x14ac:dyDescent="0.3">
      <c r="M603" s="2635"/>
    </row>
    <row r="604" spans="13:13" ht="15.75" customHeight="1" x14ac:dyDescent="0.3">
      <c r="M604" s="2635"/>
    </row>
    <row r="605" spans="13:13" ht="15.75" customHeight="1" x14ac:dyDescent="0.3">
      <c r="M605" s="2635"/>
    </row>
    <row r="606" spans="13:13" ht="15.75" customHeight="1" x14ac:dyDescent="0.3">
      <c r="M606" s="2635"/>
    </row>
    <row r="607" spans="13:13" ht="15.75" customHeight="1" x14ac:dyDescent="0.3">
      <c r="M607" s="2635"/>
    </row>
    <row r="608" spans="13:13" ht="15.75" customHeight="1" x14ac:dyDescent="0.3">
      <c r="M608" s="2635"/>
    </row>
    <row r="609" spans="13:13" ht="15.75" customHeight="1" x14ac:dyDescent="0.3">
      <c r="M609" s="2635"/>
    </row>
    <row r="610" spans="13:13" ht="15.75" customHeight="1" x14ac:dyDescent="0.3">
      <c r="M610" s="2635"/>
    </row>
    <row r="611" spans="13:13" ht="15.75" customHeight="1" x14ac:dyDescent="0.3">
      <c r="M611" s="2635"/>
    </row>
    <row r="612" spans="13:13" ht="15.75" customHeight="1" x14ac:dyDescent="0.3">
      <c r="M612" s="2635"/>
    </row>
    <row r="613" spans="13:13" ht="15.75" customHeight="1" x14ac:dyDescent="0.3">
      <c r="M613" s="2635"/>
    </row>
    <row r="614" spans="13:13" ht="15.75" customHeight="1" x14ac:dyDescent="0.3">
      <c r="M614" s="2635"/>
    </row>
    <row r="615" spans="13:13" ht="15.75" customHeight="1" x14ac:dyDescent="0.3">
      <c r="M615" s="2635"/>
    </row>
    <row r="616" spans="13:13" ht="15.75" customHeight="1" x14ac:dyDescent="0.3">
      <c r="M616" s="2635"/>
    </row>
    <row r="617" spans="13:13" ht="15.75" customHeight="1" x14ac:dyDescent="0.3">
      <c r="M617" s="2635"/>
    </row>
    <row r="618" spans="13:13" ht="15.75" customHeight="1" x14ac:dyDescent="0.3">
      <c r="M618" s="2635"/>
    </row>
    <row r="619" spans="13:13" ht="15.75" customHeight="1" x14ac:dyDescent="0.3">
      <c r="M619" s="2635"/>
    </row>
    <row r="620" spans="13:13" ht="15.75" customHeight="1" x14ac:dyDescent="0.3">
      <c r="M620" s="2635"/>
    </row>
    <row r="621" spans="13:13" ht="15.75" customHeight="1" x14ac:dyDescent="0.3">
      <c r="M621" s="2635"/>
    </row>
    <row r="622" spans="13:13" ht="15.75" customHeight="1" x14ac:dyDescent="0.3">
      <c r="M622" s="2635"/>
    </row>
    <row r="623" spans="13:13" ht="15.75" customHeight="1" x14ac:dyDescent="0.3">
      <c r="M623" s="2635"/>
    </row>
    <row r="624" spans="13:13" ht="15.75" customHeight="1" x14ac:dyDescent="0.3">
      <c r="M624" s="2635"/>
    </row>
    <row r="625" spans="13:13" ht="15.75" customHeight="1" x14ac:dyDescent="0.3">
      <c r="M625" s="2635"/>
    </row>
    <row r="626" spans="13:13" ht="15.75" customHeight="1" x14ac:dyDescent="0.3">
      <c r="M626" s="2635"/>
    </row>
    <row r="627" spans="13:13" ht="15.75" customHeight="1" x14ac:dyDescent="0.3">
      <c r="M627" s="2635"/>
    </row>
    <row r="628" spans="13:13" ht="15.75" customHeight="1" x14ac:dyDescent="0.3">
      <c r="M628" s="2635"/>
    </row>
    <row r="629" spans="13:13" ht="15.75" customHeight="1" x14ac:dyDescent="0.3">
      <c r="M629" s="2635"/>
    </row>
    <row r="630" spans="13:13" ht="15.75" customHeight="1" x14ac:dyDescent="0.3">
      <c r="M630" s="2635"/>
    </row>
    <row r="631" spans="13:13" ht="15.75" customHeight="1" x14ac:dyDescent="0.3">
      <c r="M631" s="2635"/>
    </row>
    <row r="632" spans="13:13" ht="15.75" customHeight="1" x14ac:dyDescent="0.3">
      <c r="M632" s="2635"/>
    </row>
    <row r="633" spans="13:13" ht="15.75" customHeight="1" x14ac:dyDescent="0.3">
      <c r="M633" s="2635"/>
    </row>
    <row r="634" spans="13:13" ht="15.75" customHeight="1" x14ac:dyDescent="0.3">
      <c r="M634" s="2635"/>
    </row>
    <row r="635" spans="13:13" ht="15.75" customHeight="1" x14ac:dyDescent="0.3">
      <c r="M635" s="2635"/>
    </row>
    <row r="636" spans="13:13" ht="15.75" customHeight="1" x14ac:dyDescent="0.3">
      <c r="M636" s="2635"/>
    </row>
    <row r="637" spans="13:13" ht="15.75" customHeight="1" x14ac:dyDescent="0.3">
      <c r="M637" s="2635"/>
    </row>
    <row r="638" spans="13:13" ht="15.75" customHeight="1" x14ac:dyDescent="0.3">
      <c r="M638" s="2635"/>
    </row>
    <row r="639" spans="13:13" ht="15.75" customHeight="1" x14ac:dyDescent="0.3">
      <c r="M639" s="2635"/>
    </row>
    <row r="640" spans="13:13" ht="15.75" customHeight="1" x14ac:dyDescent="0.3">
      <c r="M640" s="2635"/>
    </row>
    <row r="641" spans="13:13" ht="15.75" customHeight="1" x14ac:dyDescent="0.3">
      <c r="M641" s="2635"/>
    </row>
    <row r="642" spans="13:13" ht="15.75" customHeight="1" x14ac:dyDescent="0.3">
      <c r="M642" s="2635"/>
    </row>
    <row r="643" spans="13:13" ht="15.75" customHeight="1" x14ac:dyDescent="0.3">
      <c r="M643" s="2635"/>
    </row>
    <row r="644" spans="13:13" ht="15.75" customHeight="1" x14ac:dyDescent="0.3">
      <c r="M644" s="2635"/>
    </row>
    <row r="645" spans="13:13" ht="15.75" customHeight="1" x14ac:dyDescent="0.3">
      <c r="M645" s="2635"/>
    </row>
    <row r="646" spans="13:13" ht="15.75" customHeight="1" x14ac:dyDescent="0.3">
      <c r="M646" s="2635"/>
    </row>
    <row r="647" spans="13:13" ht="15.75" customHeight="1" x14ac:dyDescent="0.3">
      <c r="M647" s="2635"/>
    </row>
    <row r="648" spans="13:13" ht="15.75" customHeight="1" x14ac:dyDescent="0.3">
      <c r="M648" s="2635"/>
    </row>
    <row r="649" spans="13:13" ht="15.75" customHeight="1" x14ac:dyDescent="0.3">
      <c r="M649" s="2635"/>
    </row>
    <row r="650" spans="13:13" ht="15.75" customHeight="1" x14ac:dyDescent="0.3">
      <c r="M650" s="2635"/>
    </row>
    <row r="651" spans="13:13" ht="15.75" customHeight="1" x14ac:dyDescent="0.3">
      <c r="M651" s="2635"/>
    </row>
    <row r="652" spans="13:13" ht="15.75" customHeight="1" x14ac:dyDescent="0.3">
      <c r="M652" s="2635"/>
    </row>
    <row r="653" spans="13:13" ht="15.75" customHeight="1" x14ac:dyDescent="0.3">
      <c r="M653" s="2635"/>
    </row>
    <row r="654" spans="13:13" ht="15.75" customHeight="1" x14ac:dyDescent="0.3">
      <c r="M654" s="2635"/>
    </row>
    <row r="655" spans="13:13" ht="15.75" customHeight="1" x14ac:dyDescent="0.3">
      <c r="M655" s="2635"/>
    </row>
    <row r="656" spans="13:13" ht="15.75" customHeight="1" x14ac:dyDescent="0.3">
      <c r="M656" s="2635"/>
    </row>
    <row r="657" spans="13:13" ht="15.75" customHeight="1" x14ac:dyDescent="0.3">
      <c r="M657" s="2635"/>
    </row>
    <row r="658" spans="13:13" ht="15.75" customHeight="1" x14ac:dyDescent="0.3">
      <c r="M658" s="2635"/>
    </row>
    <row r="659" spans="13:13" ht="15.75" customHeight="1" x14ac:dyDescent="0.3">
      <c r="M659" s="2635"/>
    </row>
    <row r="660" spans="13:13" ht="15.75" customHeight="1" x14ac:dyDescent="0.3">
      <c r="M660" s="2635"/>
    </row>
    <row r="661" spans="13:13" ht="15.75" customHeight="1" x14ac:dyDescent="0.3">
      <c r="M661" s="2635"/>
    </row>
    <row r="662" spans="13:13" ht="15.75" customHeight="1" x14ac:dyDescent="0.3">
      <c r="M662" s="2635"/>
    </row>
    <row r="663" spans="13:13" ht="15.75" customHeight="1" x14ac:dyDescent="0.3">
      <c r="M663" s="2635"/>
    </row>
    <row r="664" spans="13:13" ht="15.75" customHeight="1" x14ac:dyDescent="0.3">
      <c r="M664" s="2635"/>
    </row>
    <row r="665" spans="13:13" ht="15.75" customHeight="1" x14ac:dyDescent="0.3">
      <c r="M665" s="2635"/>
    </row>
    <row r="666" spans="13:13" ht="15.75" customHeight="1" x14ac:dyDescent="0.3">
      <c r="M666" s="2635"/>
    </row>
    <row r="667" spans="13:13" ht="15.75" customHeight="1" x14ac:dyDescent="0.3">
      <c r="M667" s="2635"/>
    </row>
    <row r="668" spans="13:13" ht="15.75" customHeight="1" x14ac:dyDescent="0.3">
      <c r="M668" s="2635"/>
    </row>
    <row r="669" spans="13:13" ht="15.75" customHeight="1" x14ac:dyDescent="0.3">
      <c r="M669" s="2635"/>
    </row>
    <row r="670" spans="13:13" ht="15.75" customHeight="1" x14ac:dyDescent="0.3">
      <c r="M670" s="2635"/>
    </row>
    <row r="671" spans="13:13" ht="15.75" customHeight="1" x14ac:dyDescent="0.3">
      <c r="M671" s="2635"/>
    </row>
    <row r="672" spans="13:13" ht="15.75" customHeight="1" x14ac:dyDescent="0.3">
      <c r="M672" s="2635"/>
    </row>
    <row r="673" spans="13:13" ht="15.75" customHeight="1" x14ac:dyDescent="0.3">
      <c r="M673" s="2635"/>
    </row>
    <row r="674" spans="13:13" ht="15.75" customHeight="1" x14ac:dyDescent="0.3">
      <c r="M674" s="2635"/>
    </row>
    <row r="675" spans="13:13" ht="15.75" customHeight="1" x14ac:dyDescent="0.3">
      <c r="M675" s="2635"/>
    </row>
    <row r="676" spans="13:13" ht="15.75" customHeight="1" x14ac:dyDescent="0.3">
      <c r="M676" s="2635"/>
    </row>
    <row r="677" spans="13:13" ht="15.75" customHeight="1" x14ac:dyDescent="0.3">
      <c r="M677" s="2635"/>
    </row>
    <row r="678" spans="13:13" ht="15.75" customHeight="1" x14ac:dyDescent="0.3">
      <c r="M678" s="2635"/>
    </row>
    <row r="679" spans="13:13" ht="15.75" customHeight="1" x14ac:dyDescent="0.3">
      <c r="M679" s="2635"/>
    </row>
    <row r="680" spans="13:13" ht="15.75" customHeight="1" x14ac:dyDescent="0.3">
      <c r="M680" s="2635"/>
    </row>
    <row r="681" spans="13:13" ht="15.75" customHeight="1" x14ac:dyDescent="0.3">
      <c r="M681" s="2635"/>
    </row>
    <row r="682" spans="13:13" ht="15.75" customHeight="1" x14ac:dyDescent="0.3">
      <c r="M682" s="2635"/>
    </row>
    <row r="683" spans="13:13" ht="15.75" customHeight="1" x14ac:dyDescent="0.3">
      <c r="M683" s="2635"/>
    </row>
    <row r="684" spans="13:13" ht="15.75" customHeight="1" x14ac:dyDescent="0.3">
      <c r="M684" s="2635"/>
    </row>
    <row r="685" spans="13:13" ht="15.75" customHeight="1" x14ac:dyDescent="0.3">
      <c r="M685" s="2635"/>
    </row>
    <row r="686" spans="13:13" ht="15.75" customHeight="1" x14ac:dyDescent="0.3">
      <c r="M686" s="2635"/>
    </row>
    <row r="687" spans="13:13" ht="15.75" customHeight="1" x14ac:dyDescent="0.3">
      <c r="M687" s="2635"/>
    </row>
    <row r="688" spans="13:13" ht="15.75" customHeight="1" x14ac:dyDescent="0.3">
      <c r="M688" s="2635"/>
    </row>
    <row r="689" spans="13:13" ht="15.75" customHeight="1" x14ac:dyDescent="0.3">
      <c r="M689" s="2635"/>
    </row>
    <row r="690" spans="13:13" ht="15.75" customHeight="1" x14ac:dyDescent="0.3">
      <c r="M690" s="2635"/>
    </row>
    <row r="691" spans="13:13" ht="15.75" customHeight="1" x14ac:dyDescent="0.3">
      <c r="M691" s="2635"/>
    </row>
    <row r="692" spans="13:13" ht="15.75" customHeight="1" x14ac:dyDescent="0.3">
      <c r="M692" s="2635"/>
    </row>
    <row r="693" spans="13:13" ht="15.75" customHeight="1" x14ac:dyDescent="0.3">
      <c r="M693" s="2635"/>
    </row>
    <row r="694" spans="13:13" ht="15.75" customHeight="1" x14ac:dyDescent="0.3">
      <c r="M694" s="2635"/>
    </row>
    <row r="695" spans="13:13" ht="15.75" customHeight="1" x14ac:dyDescent="0.3">
      <c r="M695" s="2635"/>
    </row>
    <row r="696" spans="13:13" ht="15.75" customHeight="1" x14ac:dyDescent="0.3">
      <c r="M696" s="2635"/>
    </row>
    <row r="697" spans="13:13" ht="15.75" customHeight="1" x14ac:dyDescent="0.3">
      <c r="M697" s="2635"/>
    </row>
    <row r="698" spans="13:13" ht="15.75" customHeight="1" x14ac:dyDescent="0.3">
      <c r="M698" s="2635"/>
    </row>
    <row r="699" spans="13:13" ht="15.75" customHeight="1" x14ac:dyDescent="0.3">
      <c r="M699" s="2635"/>
    </row>
    <row r="700" spans="13:13" ht="15.75" customHeight="1" x14ac:dyDescent="0.3">
      <c r="M700" s="2635"/>
    </row>
    <row r="701" spans="13:13" ht="15.75" customHeight="1" x14ac:dyDescent="0.3">
      <c r="M701" s="2635"/>
    </row>
    <row r="702" spans="13:13" ht="15.75" customHeight="1" x14ac:dyDescent="0.3">
      <c r="M702" s="2635"/>
    </row>
    <row r="703" spans="13:13" ht="15.75" customHeight="1" x14ac:dyDescent="0.3">
      <c r="M703" s="2635"/>
    </row>
    <row r="704" spans="13:13" ht="15.75" customHeight="1" x14ac:dyDescent="0.3">
      <c r="M704" s="2635"/>
    </row>
    <row r="705" spans="13:13" ht="15.75" customHeight="1" x14ac:dyDescent="0.3">
      <c r="M705" s="2635"/>
    </row>
    <row r="706" spans="13:13" ht="15.75" customHeight="1" x14ac:dyDescent="0.3">
      <c r="M706" s="2635"/>
    </row>
    <row r="707" spans="13:13" ht="15.75" customHeight="1" x14ac:dyDescent="0.3">
      <c r="M707" s="2635"/>
    </row>
    <row r="708" spans="13:13" ht="15.75" customHeight="1" x14ac:dyDescent="0.3">
      <c r="M708" s="2635"/>
    </row>
    <row r="709" spans="13:13" ht="15.75" customHeight="1" x14ac:dyDescent="0.3">
      <c r="M709" s="2635"/>
    </row>
    <row r="710" spans="13:13" ht="15.75" customHeight="1" x14ac:dyDescent="0.3">
      <c r="M710" s="2635"/>
    </row>
    <row r="711" spans="13:13" ht="15.75" customHeight="1" x14ac:dyDescent="0.3">
      <c r="M711" s="2635"/>
    </row>
    <row r="712" spans="13:13" ht="15.75" customHeight="1" x14ac:dyDescent="0.3">
      <c r="M712" s="2635"/>
    </row>
    <row r="713" spans="13:13" ht="15.75" customHeight="1" x14ac:dyDescent="0.3">
      <c r="M713" s="2635"/>
    </row>
    <row r="714" spans="13:13" ht="15.75" customHeight="1" x14ac:dyDescent="0.3">
      <c r="M714" s="2635"/>
    </row>
    <row r="715" spans="13:13" ht="15.75" customHeight="1" x14ac:dyDescent="0.3">
      <c r="M715" s="2635"/>
    </row>
    <row r="716" spans="13:13" ht="15.75" customHeight="1" x14ac:dyDescent="0.3">
      <c r="M716" s="2635"/>
    </row>
    <row r="717" spans="13:13" ht="15.75" customHeight="1" x14ac:dyDescent="0.3">
      <c r="M717" s="2635"/>
    </row>
    <row r="718" spans="13:13" ht="15.75" customHeight="1" x14ac:dyDescent="0.3">
      <c r="M718" s="2635"/>
    </row>
    <row r="719" spans="13:13" ht="15.75" customHeight="1" x14ac:dyDescent="0.3">
      <c r="M719" s="2635"/>
    </row>
    <row r="720" spans="13:13" ht="15.75" customHeight="1" x14ac:dyDescent="0.3">
      <c r="M720" s="2635"/>
    </row>
    <row r="721" spans="13:13" ht="15.75" customHeight="1" x14ac:dyDescent="0.3">
      <c r="M721" s="2635"/>
    </row>
    <row r="722" spans="13:13" ht="15.75" customHeight="1" x14ac:dyDescent="0.3">
      <c r="M722" s="2635"/>
    </row>
    <row r="723" spans="13:13" ht="15.75" customHeight="1" x14ac:dyDescent="0.3">
      <c r="M723" s="2635"/>
    </row>
    <row r="724" spans="13:13" ht="15.75" customHeight="1" x14ac:dyDescent="0.3">
      <c r="M724" s="2635"/>
    </row>
    <row r="725" spans="13:13" ht="15.75" customHeight="1" x14ac:dyDescent="0.3">
      <c r="M725" s="2635"/>
    </row>
    <row r="726" spans="13:13" ht="15.75" customHeight="1" x14ac:dyDescent="0.3">
      <c r="M726" s="2635"/>
    </row>
    <row r="727" spans="13:13" ht="15.75" customHeight="1" x14ac:dyDescent="0.3">
      <c r="M727" s="2635"/>
    </row>
    <row r="728" spans="13:13" ht="15.75" customHeight="1" x14ac:dyDescent="0.3">
      <c r="M728" s="2635"/>
    </row>
    <row r="729" spans="13:13" ht="15.75" customHeight="1" x14ac:dyDescent="0.3">
      <c r="M729" s="2635"/>
    </row>
    <row r="730" spans="13:13" ht="15.75" customHeight="1" x14ac:dyDescent="0.3">
      <c r="M730" s="2635"/>
    </row>
    <row r="731" spans="13:13" ht="15.75" customHeight="1" x14ac:dyDescent="0.3">
      <c r="M731" s="2635"/>
    </row>
    <row r="732" spans="13:13" ht="15.75" customHeight="1" x14ac:dyDescent="0.3">
      <c r="M732" s="2635"/>
    </row>
    <row r="733" spans="13:13" ht="15.75" customHeight="1" x14ac:dyDescent="0.3">
      <c r="M733" s="2635"/>
    </row>
    <row r="734" spans="13:13" ht="15.75" customHeight="1" x14ac:dyDescent="0.3">
      <c r="M734" s="2635"/>
    </row>
    <row r="735" spans="13:13" ht="15.75" customHeight="1" x14ac:dyDescent="0.3">
      <c r="M735" s="2635"/>
    </row>
    <row r="736" spans="13:13" ht="15.75" customHeight="1" x14ac:dyDescent="0.3">
      <c r="M736" s="2635"/>
    </row>
    <row r="737" spans="13:13" ht="15.75" customHeight="1" x14ac:dyDescent="0.3">
      <c r="M737" s="2635"/>
    </row>
    <row r="738" spans="13:13" ht="15.75" customHeight="1" x14ac:dyDescent="0.3">
      <c r="M738" s="2635"/>
    </row>
    <row r="739" spans="13:13" ht="15.75" customHeight="1" x14ac:dyDescent="0.3">
      <c r="M739" s="2635"/>
    </row>
    <row r="740" spans="13:13" ht="15.75" customHeight="1" x14ac:dyDescent="0.3">
      <c r="M740" s="2635"/>
    </row>
    <row r="741" spans="13:13" ht="15.75" customHeight="1" x14ac:dyDescent="0.3">
      <c r="M741" s="2635"/>
    </row>
    <row r="742" spans="13:13" ht="15.75" customHeight="1" x14ac:dyDescent="0.3">
      <c r="M742" s="2635"/>
    </row>
    <row r="743" spans="13:13" ht="15.75" customHeight="1" x14ac:dyDescent="0.3">
      <c r="M743" s="2635"/>
    </row>
    <row r="744" spans="13:13" ht="15.75" customHeight="1" x14ac:dyDescent="0.3">
      <c r="M744" s="2635"/>
    </row>
    <row r="745" spans="13:13" ht="15.75" customHeight="1" x14ac:dyDescent="0.3">
      <c r="M745" s="2635"/>
    </row>
    <row r="746" spans="13:13" ht="15.75" customHeight="1" x14ac:dyDescent="0.3">
      <c r="M746" s="2635"/>
    </row>
    <row r="747" spans="13:13" ht="15.75" customHeight="1" x14ac:dyDescent="0.3">
      <c r="M747" s="2635"/>
    </row>
    <row r="748" spans="13:13" ht="15.75" customHeight="1" x14ac:dyDescent="0.3">
      <c r="M748" s="2635"/>
    </row>
    <row r="749" spans="13:13" ht="15.75" customHeight="1" x14ac:dyDescent="0.3">
      <c r="M749" s="2635"/>
    </row>
    <row r="750" spans="13:13" ht="15.75" customHeight="1" x14ac:dyDescent="0.3">
      <c r="M750" s="2635"/>
    </row>
    <row r="751" spans="13:13" ht="15.75" customHeight="1" x14ac:dyDescent="0.3">
      <c r="M751" s="2635"/>
    </row>
    <row r="752" spans="13:13" ht="15.75" customHeight="1" x14ac:dyDescent="0.3">
      <c r="M752" s="2635"/>
    </row>
    <row r="753" spans="13:13" ht="15.75" customHeight="1" x14ac:dyDescent="0.3">
      <c r="M753" s="2635"/>
    </row>
    <row r="754" spans="13:13" ht="15.75" customHeight="1" x14ac:dyDescent="0.3">
      <c r="M754" s="2635"/>
    </row>
    <row r="755" spans="13:13" ht="15.75" customHeight="1" x14ac:dyDescent="0.3">
      <c r="M755" s="2635"/>
    </row>
    <row r="756" spans="13:13" ht="15.75" customHeight="1" x14ac:dyDescent="0.3">
      <c r="M756" s="2635"/>
    </row>
    <row r="757" spans="13:13" ht="15.75" customHeight="1" x14ac:dyDescent="0.3">
      <c r="M757" s="2635"/>
    </row>
    <row r="758" spans="13:13" ht="15.75" customHeight="1" x14ac:dyDescent="0.3">
      <c r="M758" s="2635"/>
    </row>
    <row r="759" spans="13:13" ht="15.75" customHeight="1" x14ac:dyDescent="0.3">
      <c r="M759" s="2635"/>
    </row>
    <row r="760" spans="13:13" ht="15.75" customHeight="1" x14ac:dyDescent="0.3">
      <c r="M760" s="2635"/>
    </row>
    <row r="761" spans="13:13" ht="15.75" customHeight="1" x14ac:dyDescent="0.3">
      <c r="M761" s="2635"/>
    </row>
    <row r="762" spans="13:13" ht="15.75" customHeight="1" x14ac:dyDescent="0.3">
      <c r="M762" s="2635"/>
    </row>
    <row r="763" spans="13:13" ht="15.75" customHeight="1" x14ac:dyDescent="0.3">
      <c r="M763" s="2635"/>
    </row>
    <row r="764" spans="13:13" ht="15.75" customHeight="1" x14ac:dyDescent="0.3">
      <c r="M764" s="2635"/>
    </row>
    <row r="765" spans="13:13" ht="15.75" customHeight="1" x14ac:dyDescent="0.3">
      <c r="M765" s="2635"/>
    </row>
    <row r="766" spans="13:13" ht="15.75" customHeight="1" x14ac:dyDescent="0.3">
      <c r="M766" s="2635"/>
    </row>
    <row r="767" spans="13:13" ht="15.75" customHeight="1" x14ac:dyDescent="0.3">
      <c r="M767" s="2635"/>
    </row>
    <row r="768" spans="13:13" ht="15.75" customHeight="1" x14ac:dyDescent="0.3">
      <c r="M768" s="2635"/>
    </row>
    <row r="769" spans="13:13" ht="15.75" customHeight="1" x14ac:dyDescent="0.3">
      <c r="M769" s="2635"/>
    </row>
    <row r="770" spans="13:13" ht="15.75" customHeight="1" x14ac:dyDescent="0.3">
      <c r="M770" s="2635"/>
    </row>
    <row r="771" spans="13:13" ht="15.75" customHeight="1" x14ac:dyDescent="0.3">
      <c r="M771" s="2635"/>
    </row>
    <row r="772" spans="13:13" ht="15.75" customHeight="1" x14ac:dyDescent="0.3">
      <c r="M772" s="2635"/>
    </row>
    <row r="773" spans="13:13" ht="15.75" customHeight="1" x14ac:dyDescent="0.3">
      <c r="M773" s="2635"/>
    </row>
    <row r="774" spans="13:13" ht="15.75" customHeight="1" x14ac:dyDescent="0.3">
      <c r="M774" s="2635"/>
    </row>
    <row r="775" spans="13:13" ht="15.75" customHeight="1" x14ac:dyDescent="0.3">
      <c r="M775" s="2635"/>
    </row>
    <row r="776" spans="13:13" ht="15.75" customHeight="1" x14ac:dyDescent="0.3">
      <c r="M776" s="2635"/>
    </row>
    <row r="777" spans="13:13" ht="15.75" customHeight="1" x14ac:dyDescent="0.3">
      <c r="M777" s="2635"/>
    </row>
    <row r="778" spans="13:13" ht="15.75" customHeight="1" x14ac:dyDescent="0.3">
      <c r="M778" s="2635"/>
    </row>
    <row r="779" spans="13:13" ht="15.75" customHeight="1" x14ac:dyDescent="0.3">
      <c r="M779" s="2635"/>
    </row>
    <row r="780" spans="13:13" ht="15.75" customHeight="1" x14ac:dyDescent="0.3">
      <c r="M780" s="2635"/>
    </row>
    <row r="781" spans="13:13" ht="15.75" customHeight="1" x14ac:dyDescent="0.3">
      <c r="M781" s="2635"/>
    </row>
    <row r="782" spans="13:13" ht="15.75" customHeight="1" x14ac:dyDescent="0.3">
      <c r="M782" s="2635"/>
    </row>
    <row r="783" spans="13:13" ht="15.75" customHeight="1" x14ac:dyDescent="0.3">
      <c r="M783" s="2635"/>
    </row>
    <row r="784" spans="13:13" ht="15.75" customHeight="1" x14ac:dyDescent="0.3">
      <c r="M784" s="2635"/>
    </row>
    <row r="785" spans="13:13" ht="15.75" customHeight="1" x14ac:dyDescent="0.3">
      <c r="M785" s="2635"/>
    </row>
    <row r="786" spans="13:13" ht="15.75" customHeight="1" x14ac:dyDescent="0.3">
      <c r="M786" s="2635"/>
    </row>
    <row r="787" spans="13:13" ht="15.75" customHeight="1" x14ac:dyDescent="0.3">
      <c r="M787" s="2635"/>
    </row>
    <row r="788" spans="13:13" ht="15.75" customHeight="1" x14ac:dyDescent="0.3">
      <c r="M788" s="2635"/>
    </row>
    <row r="789" spans="13:13" ht="15.75" customHeight="1" x14ac:dyDescent="0.3">
      <c r="M789" s="2635"/>
    </row>
    <row r="790" spans="13:13" ht="15.75" customHeight="1" x14ac:dyDescent="0.3">
      <c r="M790" s="2635"/>
    </row>
    <row r="791" spans="13:13" ht="15.75" customHeight="1" x14ac:dyDescent="0.3">
      <c r="M791" s="2635"/>
    </row>
    <row r="792" spans="13:13" ht="15.75" customHeight="1" x14ac:dyDescent="0.3">
      <c r="M792" s="2635"/>
    </row>
    <row r="793" spans="13:13" ht="15.75" customHeight="1" x14ac:dyDescent="0.3">
      <c r="M793" s="2635"/>
    </row>
    <row r="794" spans="13:13" ht="15.75" customHeight="1" x14ac:dyDescent="0.3">
      <c r="M794" s="2635"/>
    </row>
    <row r="795" spans="13:13" ht="15.75" customHeight="1" x14ac:dyDescent="0.3">
      <c r="M795" s="2635"/>
    </row>
    <row r="796" spans="13:13" ht="15.75" customHeight="1" x14ac:dyDescent="0.3">
      <c r="M796" s="2635"/>
    </row>
    <row r="797" spans="13:13" ht="15.75" customHeight="1" x14ac:dyDescent="0.3">
      <c r="M797" s="2635"/>
    </row>
    <row r="798" spans="13:13" ht="15.75" customHeight="1" x14ac:dyDescent="0.3">
      <c r="M798" s="2635"/>
    </row>
    <row r="799" spans="13:13" ht="15.75" customHeight="1" x14ac:dyDescent="0.3">
      <c r="M799" s="2635"/>
    </row>
    <row r="800" spans="13:13" ht="15.75" customHeight="1" x14ac:dyDescent="0.3">
      <c r="M800" s="2635"/>
    </row>
    <row r="801" spans="13:13" ht="15.75" customHeight="1" x14ac:dyDescent="0.3">
      <c r="M801" s="2635"/>
    </row>
    <row r="802" spans="13:13" ht="15.75" customHeight="1" x14ac:dyDescent="0.3">
      <c r="M802" s="2635"/>
    </row>
    <row r="803" spans="13:13" ht="15.75" customHeight="1" x14ac:dyDescent="0.3">
      <c r="M803" s="2635"/>
    </row>
    <row r="804" spans="13:13" ht="15.75" customHeight="1" x14ac:dyDescent="0.3">
      <c r="M804" s="2635"/>
    </row>
    <row r="805" spans="13:13" ht="15.75" customHeight="1" x14ac:dyDescent="0.3">
      <c r="M805" s="2635"/>
    </row>
    <row r="806" spans="13:13" ht="15.75" customHeight="1" x14ac:dyDescent="0.3">
      <c r="M806" s="2635"/>
    </row>
    <row r="807" spans="13:13" ht="15.75" customHeight="1" x14ac:dyDescent="0.3">
      <c r="M807" s="2635"/>
    </row>
    <row r="808" spans="13:13" ht="15.75" customHeight="1" x14ac:dyDescent="0.3">
      <c r="M808" s="2635"/>
    </row>
    <row r="809" spans="13:13" ht="15.75" customHeight="1" x14ac:dyDescent="0.3">
      <c r="M809" s="2635"/>
    </row>
    <row r="810" spans="13:13" ht="15.75" customHeight="1" x14ac:dyDescent="0.3">
      <c r="M810" s="2635"/>
    </row>
    <row r="811" spans="13:13" ht="15.75" customHeight="1" x14ac:dyDescent="0.3">
      <c r="M811" s="2635"/>
    </row>
    <row r="812" spans="13:13" ht="15.75" customHeight="1" x14ac:dyDescent="0.3">
      <c r="M812" s="2635"/>
    </row>
    <row r="813" spans="13:13" ht="15.75" customHeight="1" x14ac:dyDescent="0.3">
      <c r="M813" s="2635"/>
    </row>
    <row r="814" spans="13:13" ht="15.75" customHeight="1" x14ac:dyDescent="0.3">
      <c r="M814" s="2635"/>
    </row>
    <row r="815" spans="13:13" ht="15.75" customHeight="1" x14ac:dyDescent="0.3">
      <c r="M815" s="2635"/>
    </row>
    <row r="816" spans="13:13" ht="15.75" customHeight="1" x14ac:dyDescent="0.3">
      <c r="M816" s="2635"/>
    </row>
    <row r="817" spans="13:13" ht="15.75" customHeight="1" x14ac:dyDescent="0.3">
      <c r="M817" s="2635"/>
    </row>
    <row r="818" spans="13:13" ht="15.75" customHeight="1" x14ac:dyDescent="0.3">
      <c r="M818" s="2635"/>
    </row>
    <row r="819" spans="13:13" ht="15.75" customHeight="1" x14ac:dyDescent="0.3">
      <c r="M819" s="2635"/>
    </row>
    <row r="820" spans="13:13" ht="15.75" customHeight="1" x14ac:dyDescent="0.3">
      <c r="M820" s="2635"/>
    </row>
    <row r="821" spans="13:13" ht="15.75" customHeight="1" x14ac:dyDescent="0.3">
      <c r="M821" s="2635"/>
    </row>
    <row r="822" spans="13:13" ht="15.75" customHeight="1" x14ac:dyDescent="0.3">
      <c r="M822" s="2635"/>
    </row>
    <row r="823" spans="13:13" ht="15.75" customHeight="1" x14ac:dyDescent="0.3">
      <c r="M823" s="2635"/>
    </row>
    <row r="824" spans="13:13" ht="15.75" customHeight="1" x14ac:dyDescent="0.3">
      <c r="M824" s="2635"/>
    </row>
    <row r="825" spans="13:13" ht="15.75" customHeight="1" x14ac:dyDescent="0.3">
      <c r="M825" s="2635"/>
    </row>
    <row r="826" spans="13:13" ht="15.75" customHeight="1" x14ac:dyDescent="0.3">
      <c r="M826" s="2635"/>
    </row>
    <row r="827" spans="13:13" ht="15.75" customHeight="1" x14ac:dyDescent="0.3">
      <c r="M827" s="2635"/>
    </row>
    <row r="828" spans="13:13" ht="15.75" customHeight="1" x14ac:dyDescent="0.3">
      <c r="M828" s="2635"/>
    </row>
    <row r="829" spans="13:13" ht="15.75" customHeight="1" x14ac:dyDescent="0.3">
      <c r="M829" s="2635"/>
    </row>
    <row r="830" spans="13:13" ht="15.75" customHeight="1" x14ac:dyDescent="0.3">
      <c r="M830" s="2635"/>
    </row>
    <row r="831" spans="13:13" ht="15.75" customHeight="1" x14ac:dyDescent="0.3">
      <c r="M831" s="2635"/>
    </row>
    <row r="832" spans="13:13" ht="15.75" customHeight="1" x14ac:dyDescent="0.3">
      <c r="M832" s="2635"/>
    </row>
    <row r="833" spans="13:13" ht="15.75" customHeight="1" x14ac:dyDescent="0.3">
      <c r="M833" s="2635"/>
    </row>
    <row r="834" spans="13:13" ht="15.75" customHeight="1" x14ac:dyDescent="0.3">
      <c r="M834" s="2635"/>
    </row>
    <row r="835" spans="13:13" ht="15.75" customHeight="1" x14ac:dyDescent="0.3">
      <c r="M835" s="2635"/>
    </row>
    <row r="836" spans="13:13" ht="15.75" customHeight="1" x14ac:dyDescent="0.3">
      <c r="M836" s="2635"/>
    </row>
    <row r="837" spans="13:13" ht="15.75" customHeight="1" x14ac:dyDescent="0.3">
      <c r="M837" s="2635"/>
    </row>
    <row r="838" spans="13:13" ht="15.75" customHeight="1" x14ac:dyDescent="0.3">
      <c r="M838" s="2635"/>
    </row>
    <row r="839" spans="13:13" ht="15.75" customHeight="1" x14ac:dyDescent="0.3">
      <c r="M839" s="2635"/>
    </row>
    <row r="840" spans="13:13" ht="15.75" customHeight="1" x14ac:dyDescent="0.3">
      <c r="M840" s="2635"/>
    </row>
    <row r="841" spans="13:13" ht="15.75" customHeight="1" x14ac:dyDescent="0.3">
      <c r="M841" s="2635"/>
    </row>
    <row r="842" spans="13:13" ht="15.75" customHeight="1" x14ac:dyDescent="0.3">
      <c r="M842" s="2635"/>
    </row>
    <row r="843" spans="13:13" ht="15.75" customHeight="1" x14ac:dyDescent="0.3">
      <c r="M843" s="2635"/>
    </row>
    <row r="844" spans="13:13" ht="15.75" customHeight="1" x14ac:dyDescent="0.3">
      <c r="M844" s="2635"/>
    </row>
    <row r="845" spans="13:13" ht="15.75" customHeight="1" x14ac:dyDescent="0.3">
      <c r="M845" s="2635"/>
    </row>
    <row r="846" spans="13:13" ht="15.75" customHeight="1" x14ac:dyDescent="0.3">
      <c r="M846" s="2635"/>
    </row>
    <row r="847" spans="13:13" ht="15.75" customHeight="1" x14ac:dyDescent="0.3">
      <c r="M847" s="2635"/>
    </row>
    <row r="848" spans="13:13" ht="15.75" customHeight="1" x14ac:dyDescent="0.3">
      <c r="M848" s="2635"/>
    </row>
    <row r="849" spans="13:13" ht="15.75" customHeight="1" x14ac:dyDescent="0.3">
      <c r="M849" s="2635"/>
    </row>
    <row r="850" spans="13:13" ht="15.75" customHeight="1" x14ac:dyDescent="0.3">
      <c r="M850" s="2635"/>
    </row>
    <row r="851" spans="13:13" ht="15.75" customHeight="1" x14ac:dyDescent="0.3">
      <c r="M851" s="2635"/>
    </row>
    <row r="852" spans="13:13" ht="15.75" customHeight="1" x14ac:dyDescent="0.3">
      <c r="M852" s="2635"/>
    </row>
    <row r="853" spans="13:13" ht="15.75" customHeight="1" x14ac:dyDescent="0.3">
      <c r="M853" s="2635"/>
    </row>
    <row r="854" spans="13:13" ht="15.75" customHeight="1" x14ac:dyDescent="0.3">
      <c r="M854" s="2635"/>
    </row>
    <row r="855" spans="13:13" ht="15.75" customHeight="1" x14ac:dyDescent="0.3">
      <c r="M855" s="2635"/>
    </row>
    <row r="856" spans="13:13" ht="15.75" customHeight="1" x14ac:dyDescent="0.3">
      <c r="M856" s="2635"/>
    </row>
    <row r="857" spans="13:13" ht="15.75" customHeight="1" x14ac:dyDescent="0.3">
      <c r="M857" s="2635"/>
    </row>
    <row r="858" spans="13:13" ht="15.75" customHeight="1" x14ac:dyDescent="0.3">
      <c r="M858" s="2635"/>
    </row>
    <row r="859" spans="13:13" ht="15.75" customHeight="1" x14ac:dyDescent="0.3">
      <c r="M859" s="2635"/>
    </row>
    <row r="860" spans="13:13" ht="15.75" customHeight="1" x14ac:dyDescent="0.3">
      <c r="M860" s="2635"/>
    </row>
    <row r="861" spans="13:13" ht="15.75" customHeight="1" x14ac:dyDescent="0.3">
      <c r="M861" s="2635"/>
    </row>
    <row r="862" spans="13:13" ht="15.75" customHeight="1" x14ac:dyDescent="0.3">
      <c r="M862" s="2635"/>
    </row>
    <row r="863" spans="13:13" ht="15.75" customHeight="1" x14ac:dyDescent="0.3">
      <c r="M863" s="2635"/>
    </row>
    <row r="864" spans="13:13" ht="15.75" customHeight="1" x14ac:dyDescent="0.3">
      <c r="M864" s="2635"/>
    </row>
    <row r="865" spans="13:13" ht="15.75" customHeight="1" x14ac:dyDescent="0.3">
      <c r="M865" s="2635"/>
    </row>
    <row r="866" spans="13:13" ht="15.75" customHeight="1" x14ac:dyDescent="0.3">
      <c r="M866" s="2635"/>
    </row>
    <row r="867" spans="13:13" ht="15.75" customHeight="1" x14ac:dyDescent="0.3">
      <c r="M867" s="2635"/>
    </row>
    <row r="868" spans="13:13" ht="15.75" customHeight="1" x14ac:dyDescent="0.3">
      <c r="M868" s="2635"/>
    </row>
    <row r="869" spans="13:13" ht="15.75" customHeight="1" x14ac:dyDescent="0.3">
      <c r="M869" s="2635"/>
    </row>
    <row r="870" spans="13:13" ht="15.75" customHeight="1" x14ac:dyDescent="0.3">
      <c r="M870" s="2635"/>
    </row>
    <row r="871" spans="13:13" ht="15.75" customHeight="1" x14ac:dyDescent="0.3">
      <c r="M871" s="2635"/>
    </row>
    <row r="872" spans="13:13" ht="15.75" customHeight="1" x14ac:dyDescent="0.3">
      <c r="M872" s="2635"/>
    </row>
    <row r="873" spans="13:13" ht="15.75" customHeight="1" x14ac:dyDescent="0.3">
      <c r="M873" s="2635"/>
    </row>
    <row r="874" spans="13:13" ht="15.75" customHeight="1" x14ac:dyDescent="0.3">
      <c r="M874" s="2635"/>
    </row>
    <row r="875" spans="13:13" ht="15.75" customHeight="1" x14ac:dyDescent="0.3">
      <c r="M875" s="2635"/>
    </row>
    <row r="876" spans="13:13" ht="15.75" customHeight="1" x14ac:dyDescent="0.3">
      <c r="M876" s="2635"/>
    </row>
    <row r="877" spans="13:13" ht="15.75" customHeight="1" x14ac:dyDescent="0.3">
      <c r="M877" s="2635"/>
    </row>
    <row r="878" spans="13:13" ht="15.75" customHeight="1" x14ac:dyDescent="0.3">
      <c r="M878" s="2635"/>
    </row>
    <row r="879" spans="13:13" ht="15.75" customHeight="1" x14ac:dyDescent="0.3">
      <c r="M879" s="2635"/>
    </row>
    <row r="880" spans="13:13" ht="15.75" customHeight="1" x14ac:dyDescent="0.3">
      <c r="M880" s="2635"/>
    </row>
    <row r="881" spans="13:13" ht="15.75" customHeight="1" x14ac:dyDescent="0.3">
      <c r="M881" s="2635"/>
    </row>
    <row r="882" spans="13:13" ht="15.75" customHeight="1" x14ac:dyDescent="0.3">
      <c r="M882" s="2635"/>
    </row>
    <row r="883" spans="13:13" ht="15.75" customHeight="1" x14ac:dyDescent="0.3">
      <c r="M883" s="2635"/>
    </row>
    <row r="884" spans="13:13" ht="15.75" customHeight="1" x14ac:dyDescent="0.3">
      <c r="M884" s="2635"/>
    </row>
    <row r="885" spans="13:13" ht="15.75" customHeight="1" x14ac:dyDescent="0.3">
      <c r="M885" s="2635"/>
    </row>
    <row r="886" spans="13:13" ht="15.75" customHeight="1" x14ac:dyDescent="0.3">
      <c r="M886" s="2635"/>
    </row>
    <row r="887" spans="13:13" ht="15.75" customHeight="1" x14ac:dyDescent="0.3">
      <c r="M887" s="2635"/>
    </row>
    <row r="888" spans="13:13" ht="15.75" customHeight="1" x14ac:dyDescent="0.3">
      <c r="M888" s="2635"/>
    </row>
    <row r="889" spans="13:13" ht="15.75" customHeight="1" x14ac:dyDescent="0.3">
      <c r="M889" s="2635"/>
    </row>
    <row r="890" spans="13:13" ht="15.75" customHeight="1" x14ac:dyDescent="0.3">
      <c r="M890" s="2635"/>
    </row>
    <row r="891" spans="13:13" ht="15.75" customHeight="1" x14ac:dyDescent="0.3">
      <c r="M891" s="2635"/>
    </row>
    <row r="892" spans="13:13" ht="15.75" customHeight="1" x14ac:dyDescent="0.3">
      <c r="M892" s="2635"/>
    </row>
    <row r="893" spans="13:13" ht="15.75" customHeight="1" x14ac:dyDescent="0.3">
      <c r="M893" s="2635"/>
    </row>
    <row r="894" spans="13:13" ht="15.75" customHeight="1" x14ac:dyDescent="0.3">
      <c r="M894" s="2635"/>
    </row>
    <row r="895" spans="13:13" ht="15.75" customHeight="1" x14ac:dyDescent="0.3">
      <c r="M895" s="2635"/>
    </row>
    <row r="896" spans="13:13" ht="15.75" customHeight="1" x14ac:dyDescent="0.3">
      <c r="M896" s="2635"/>
    </row>
    <row r="897" spans="13:13" ht="15.75" customHeight="1" x14ac:dyDescent="0.3">
      <c r="M897" s="2635"/>
    </row>
    <row r="898" spans="13:13" ht="15.75" customHeight="1" x14ac:dyDescent="0.3">
      <c r="M898" s="2635"/>
    </row>
    <row r="899" spans="13:13" ht="15.75" customHeight="1" x14ac:dyDescent="0.3">
      <c r="M899" s="2635"/>
    </row>
    <row r="900" spans="13:13" ht="15.75" customHeight="1" x14ac:dyDescent="0.3">
      <c r="M900" s="2635"/>
    </row>
    <row r="901" spans="13:13" ht="15.75" customHeight="1" x14ac:dyDescent="0.3">
      <c r="M901" s="2635"/>
    </row>
    <row r="902" spans="13:13" ht="15.75" customHeight="1" x14ac:dyDescent="0.3">
      <c r="M902" s="2635"/>
    </row>
    <row r="903" spans="13:13" ht="15.75" customHeight="1" x14ac:dyDescent="0.3">
      <c r="M903" s="2635"/>
    </row>
    <row r="904" spans="13:13" ht="15.75" customHeight="1" x14ac:dyDescent="0.3">
      <c r="M904" s="2635"/>
    </row>
    <row r="905" spans="13:13" ht="15.75" customHeight="1" x14ac:dyDescent="0.3">
      <c r="M905" s="2635"/>
    </row>
    <row r="906" spans="13:13" ht="15.75" customHeight="1" x14ac:dyDescent="0.3">
      <c r="M906" s="2635"/>
    </row>
    <row r="907" spans="13:13" ht="15.75" customHeight="1" x14ac:dyDescent="0.3">
      <c r="M907" s="2635"/>
    </row>
    <row r="908" spans="13:13" ht="15.75" customHeight="1" x14ac:dyDescent="0.3">
      <c r="M908" s="2635"/>
    </row>
    <row r="909" spans="13:13" ht="15.75" customHeight="1" x14ac:dyDescent="0.3">
      <c r="M909" s="2635"/>
    </row>
    <row r="910" spans="13:13" ht="15.75" customHeight="1" x14ac:dyDescent="0.3">
      <c r="M910" s="2635"/>
    </row>
    <row r="911" spans="13:13" ht="15.75" customHeight="1" x14ac:dyDescent="0.3">
      <c r="M911" s="2635"/>
    </row>
    <row r="912" spans="13:13" ht="15.75" customHeight="1" x14ac:dyDescent="0.3">
      <c r="M912" s="2635"/>
    </row>
    <row r="913" spans="13:13" ht="15.75" customHeight="1" x14ac:dyDescent="0.3">
      <c r="M913" s="2635"/>
    </row>
    <row r="914" spans="13:13" ht="15.75" customHeight="1" x14ac:dyDescent="0.3">
      <c r="M914" s="2635"/>
    </row>
    <row r="915" spans="13:13" ht="15.75" customHeight="1" x14ac:dyDescent="0.3">
      <c r="M915" s="2635"/>
    </row>
    <row r="916" spans="13:13" ht="15.75" customHeight="1" x14ac:dyDescent="0.3">
      <c r="M916" s="2635"/>
    </row>
    <row r="917" spans="13:13" ht="15.75" customHeight="1" x14ac:dyDescent="0.3">
      <c r="M917" s="2635"/>
    </row>
    <row r="918" spans="13:13" ht="15.75" customHeight="1" x14ac:dyDescent="0.3">
      <c r="M918" s="2635"/>
    </row>
    <row r="919" spans="13:13" ht="15.75" customHeight="1" x14ac:dyDescent="0.3">
      <c r="M919" s="2635"/>
    </row>
    <row r="920" spans="13:13" ht="15.75" customHeight="1" x14ac:dyDescent="0.3">
      <c r="M920" s="2635"/>
    </row>
    <row r="921" spans="13:13" ht="15.75" customHeight="1" x14ac:dyDescent="0.3">
      <c r="M921" s="2635"/>
    </row>
    <row r="922" spans="13:13" ht="15.75" customHeight="1" x14ac:dyDescent="0.3">
      <c r="M922" s="2635"/>
    </row>
    <row r="923" spans="13:13" ht="15.75" customHeight="1" x14ac:dyDescent="0.3">
      <c r="M923" s="2635"/>
    </row>
    <row r="924" spans="13:13" ht="15.75" customHeight="1" x14ac:dyDescent="0.3">
      <c r="M924" s="2635"/>
    </row>
    <row r="925" spans="13:13" ht="15.75" customHeight="1" x14ac:dyDescent="0.3">
      <c r="M925" s="2635"/>
    </row>
    <row r="926" spans="13:13" ht="15.75" customHeight="1" x14ac:dyDescent="0.3">
      <c r="M926" s="2635"/>
    </row>
    <row r="927" spans="13:13" ht="15.75" customHeight="1" x14ac:dyDescent="0.3">
      <c r="M927" s="2635"/>
    </row>
    <row r="928" spans="13:13" ht="15.75" customHeight="1" x14ac:dyDescent="0.3">
      <c r="M928" s="2635"/>
    </row>
    <row r="929" spans="13:13" ht="15.75" customHeight="1" x14ac:dyDescent="0.3">
      <c r="M929" s="2635"/>
    </row>
    <row r="930" spans="13:13" ht="15.75" customHeight="1" x14ac:dyDescent="0.3">
      <c r="M930" s="2635"/>
    </row>
    <row r="931" spans="13:13" ht="15.75" customHeight="1" x14ac:dyDescent="0.3">
      <c r="M931" s="2635"/>
    </row>
    <row r="932" spans="13:13" ht="15.75" customHeight="1" x14ac:dyDescent="0.3">
      <c r="M932" s="2635"/>
    </row>
    <row r="933" spans="13:13" ht="15.75" customHeight="1" x14ac:dyDescent="0.3">
      <c r="M933" s="2635"/>
    </row>
    <row r="934" spans="13:13" ht="15.75" customHeight="1" x14ac:dyDescent="0.3">
      <c r="M934" s="2635"/>
    </row>
    <row r="935" spans="13:13" ht="15.75" customHeight="1" x14ac:dyDescent="0.3">
      <c r="M935" s="2635"/>
    </row>
    <row r="936" spans="13:13" ht="15.75" customHeight="1" x14ac:dyDescent="0.3">
      <c r="M936" s="2635"/>
    </row>
    <row r="937" spans="13:13" ht="15.75" customHeight="1" x14ac:dyDescent="0.3">
      <c r="M937" s="2635"/>
    </row>
    <row r="938" spans="13:13" ht="15.75" customHeight="1" x14ac:dyDescent="0.3">
      <c r="M938" s="2635"/>
    </row>
    <row r="939" spans="13:13" ht="15.75" customHeight="1" x14ac:dyDescent="0.3">
      <c r="M939" s="2635"/>
    </row>
    <row r="940" spans="13:13" ht="15.75" customHeight="1" x14ac:dyDescent="0.3">
      <c r="M940" s="2635"/>
    </row>
    <row r="941" spans="13:13" ht="15.75" customHeight="1" x14ac:dyDescent="0.3">
      <c r="M941" s="2635"/>
    </row>
    <row r="942" spans="13:13" ht="15.75" customHeight="1" x14ac:dyDescent="0.3">
      <c r="M942" s="2635"/>
    </row>
    <row r="943" spans="13:13" ht="15.75" customHeight="1" x14ac:dyDescent="0.3">
      <c r="M943" s="2635"/>
    </row>
    <row r="944" spans="13:13" ht="15.75" customHeight="1" x14ac:dyDescent="0.3">
      <c r="M944" s="2635"/>
    </row>
    <row r="945" spans="13:13" ht="15.75" customHeight="1" x14ac:dyDescent="0.3">
      <c r="M945" s="2635"/>
    </row>
    <row r="946" spans="13:13" ht="15.75" customHeight="1" x14ac:dyDescent="0.3">
      <c r="M946" s="2635"/>
    </row>
    <row r="947" spans="13:13" ht="15.75" customHeight="1" x14ac:dyDescent="0.3">
      <c r="M947" s="2635"/>
    </row>
    <row r="948" spans="13:13" ht="15.75" customHeight="1" x14ac:dyDescent="0.3">
      <c r="M948" s="2635"/>
    </row>
    <row r="949" spans="13:13" ht="15.75" customHeight="1" x14ac:dyDescent="0.3">
      <c r="M949" s="2635"/>
    </row>
    <row r="950" spans="13:13" ht="15.75" customHeight="1" x14ac:dyDescent="0.3">
      <c r="M950" s="2635"/>
    </row>
    <row r="951" spans="13:13" ht="15.75" customHeight="1" x14ac:dyDescent="0.3">
      <c r="M951" s="2635"/>
    </row>
    <row r="952" spans="13:13" ht="15.75" customHeight="1" x14ac:dyDescent="0.3">
      <c r="M952" s="2635"/>
    </row>
    <row r="953" spans="13:13" ht="15.75" customHeight="1" x14ac:dyDescent="0.3">
      <c r="M953" s="2635"/>
    </row>
    <row r="954" spans="13:13" ht="15.75" customHeight="1" x14ac:dyDescent="0.3">
      <c r="M954" s="2635"/>
    </row>
    <row r="955" spans="13:13" ht="15.75" customHeight="1" x14ac:dyDescent="0.3">
      <c r="M955" s="2635"/>
    </row>
    <row r="956" spans="13:13" ht="15.75" customHeight="1" x14ac:dyDescent="0.3">
      <c r="M956" s="2635"/>
    </row>
    <row r="957" spans="13:13" ht="15.75" customHeight="1" x14ac:dyDescent="0.3">
      <c r="M957" s="2635"/>
    </row>
    <row r="958" spans="13:13" ht="15.75" customHeight="1" x14ac:dyDescent="0.3">
      <c r="M958" s="2635"/>
    </row>
    <row r="959" spans="13:13" ht="15.75" customHeight="1" x14ac:dyDescent="0.3">
      <c r="M959" s="2635"/>
    </row>
    <row r="960" spans="13:13" ht="15.75" customHeight="1" x14ac:dyDescent="0.3">
      <c r="M960" s="2635"/>
    </row>
    <row r="961" spans="13:13" ht="15.75" customHeight="1" x14ac:dyDescent="0.3">
      <c r="M961" s="2635"/>
    </row>
    <row r="962" spans="13:13" ht="15.75" customHeight="1" x14ac:dyDescent="0.3">
      <c r="M962" s="2635"/>
    </row>
    <row r="963" spans="13:13" ht="15.75" customHeight="1" x14ac:dyDescent="0.3">
      <c r="M963" s="2635"/>
    </row>
    <row r="964" spans="13:13" ht="15.75" customHeight="1" x14ac:dyDescent="0.3">
      <c r="M964" s="2635"/>
    </row>
    <row r="965" spans="13:13" ht="15.75" customHeight="1" x14ac:dyDescent="0.3">
      <c r="M965" s="2635"/>
    </row>
    <row r="966" spans="13:13" ht="15.75" customHeight="1" x14ac:dyDescent="0.3">
      <c r="M966" s="2635"/>
    </row>
    <row r="967" spans="13:13" ht="15.75" customHeight="1" x14ac:dyDescent="0.3">
      <c r="M967" s="2635"/>
    </row>
    <row r="968" spans="13:13" ht="15.75" customHeight="1" x14ac:dyDescent="0.3">
      <c r="M968" s="2635"/>
    </row>
    <row r="969" spans="13:13" ht="15.75" customHeight="1" x14ac:dyDescent="0.3">
      <c r="M969" s="2635"/>
    </row>
    <row r="970" spans="13:13" ht="15.75" customHeight="1" x14ac:dyDescent="0.3">
      <c r="M970" s="2635"/>
    </row>
    <row r="971" spans="13:13" ht="15.75" customHeight="1" x14ac:dyDescent="0.3">
      <c r="M971" s="2635"/>
    </row>
    <row r="972" spans="13:13" ht="15.75" customHeight="1" x14ac:dyDescent="0.3">
      <c r="M972" s="2635"/>
    </row>
    <row r="973" spans="13:13" ht="15.75" customHeight="1" x14ac:dyDescent="0.3">
      <c r="M973" s="2635"/>
    </row>
    <row r="974" spans="13:13" ht="15.75" customHeight="1" x14ac:dyDescent="0.3">
      <c r="M974" s="2635"/>
    </row>
    <row r="975" spans="13:13" ht="15.75" customHeight="1" x14ac:dyDescent="0.3">
      <c r="M975" s="2635"/>
    </row>
    <row r="976" spans="13:13" ht="15.75" customHeight="1" x14ac:dyDescent="0.3">
      <c r="M976" s="2635"/>
    </row>
    <row r="977" spans="13:13" ht="15.75" customHeight="1" x14ac:dyDescent="0.3">
      <c r="M977" s="2635"/>
    </row>
    <row r="978" spans="13:13" ht="15.75" customHeight="1" x14ac:dyDescent="0.3">
      <c r="M978" s="2635"/>
    </row>
    <row r="979" spans="13:13" ht="15.75" customHeight="1" x14ac:dyDescent="0.3">
      <c r="M979" s="2635"/>
    </row>
    <row r="980" spans="13:13" ht="15.75" customHeight="1" x14ac:dyDescent="0.3">
      <c r="M980" s="2635"/>
    </row>
    <row r="981" spans="13:13" ht="15.75" customHeight="1" x14ac:dyDescent="0.3">
      <c r="M981" s="2635"/>
    </row>
    <row r="982" spans="13:13" ht="15.75" customHeight="1" x14ac:dyDescent="0.3">
      <c r="M982" s="2635"/>
    </row>
    <row r="983" spans="13:13" ht="15.75" customHeight="1" x14ac:dyDescent="0.3">
      <c r="M983" s="2635"/>
    </row>
    <row r="984" spans="13:13" ht="15.75" customHeight="1" x14ac:dyDescent="0.3">
      <c r="M984" s="2635"/>
    </row>
    <row r="985" spans="13:13" ht="15.75" customHeight="1" x14ac:dyDescent="0.3"/>
    <row r="986" spans="13:13" ht="15.75" customHeight="1" x14ac:dyDescent="0.3"/>
    <row r="987" spans="13:13" ht="15.75" customHeight="1" x14ac:dyDescent="0.3"/>
    <row r="988" spans="13:13" ht="15.75" customHeight="1" x14ac:dyDescent="0.3"/>
    <row r="989" spans="13:13" ht="15.75" customHeight="1" x14ac:dyDescent="0.3"/>
    <row r="990" spans="13:13" ht="15.75" customHeight="1" x14ac:dyDescent="0.3"/>
    <row r="991" spans="13:13" ht="15.75" customHeight="1" x14ac:dyDescent="0.3"/>
    <row r="992" spans="13:13"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sheetData>
  <autoFilter ref="B6:C43" xr:uid="{325984A1-2EE5-49A3-AEBD-062C3452BB73}"/>
  <mergeCells count="1">
    <mergeCell ref="H7:AF7"/>
  </mergeCells>
  <dataValidations count="1">
    <dataValidation type="list" allowBlank="1" showErrorMessage="1" sqref="B27" xr:uid="{EE45B832-7A02-489F-8E53-CCD7E1AA9FEE}">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E487-914C-42D1-91DC-DF5382432BBC}">
  <dimension ref="A1:BK971"/>
  <sheetViews>
    <sheetView topLeftCell="B1" zoomScale="82" workbookViewId="0">
      <selection activeCell="D23" sqref="D23"/>
    </sheetView>
  </sheetViews>
  <sheetFormatPr defaultColWidth="12.44140625" defaultRowHeight="15" customHeight="1" x14ac:dyDescent="0.3"/>
  <cols>
    <col min="1" max="1" width="2.6640625" style="1336" customWidth="1"/>
    <col min="2" max="2" width="6.88671875" style="1336" customWidth="1"/>
    <col min="3" max="3" width="36.6640625" style="1336" customWidth="1"/>
    <col min="4" max="4" width="46.109375" style="1336" customWidth="1"/>
    <col min="5" max="5" width="14.88671875" style="1336" customWidth="1"/>
    <col min="6" max="6" width="51.109375" style="1336" customWidth="1"/>
    <col min="7" max="7" width="12.77734375" style="1336" customWidth="1"/>
    <col min="8" max="8" width="12.77734375" style="1336" hidden="1" customWidth="1"/>
    <col min="9" max="9" width="17.88671875" style="1336" customWidth="1"/>
    <col min="10" max="12" width="12.77734375" style="1336" hidden="1" customWidth="1"/>
    <col min="13" max="13" width="12.88671875" style="1336" hidden="1" customWidth="1"/>
    <col min="14" max="26" width="11.5546875" style="1336" hidden="1" customWidth="1"/>
    <col min="27" max="30" width="11.6640625" style="1336" customWidth="1"/>
    <col min="31" max="16384" width="12.44140625" style="1336"/>
  </cols>
  <sheetData>
    <row r="1" spans="1:26" ht="21.75" customHeight="1" x14ac:dyDescent="0.35">
      <c r="A1" s="1334"/>
      <c r="B1" s="1335" t="s">
        <v>2382</v>
      </c>
    </row>
    <row r="2" spans="1:26" ht="13.5" customHeight="1" x14ac:dyDescent="0.3">
      <c r="A2" s="1334"/>
      <c r="B2" s="1337" t="s">
        <v>340</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row>
    <row r="3" spans="1:26" ht="13.5" customHeight="1" x14ac:dyDescent="0.3">
      <c r="A3" s="1344"/>
      <c r="B3" s="3339"/>
      <c r="C3" s="1344"/>
      <c r="D3" s="1344"/>
      <c r="E3" s="1344"/>
      <c r="F3" s="1344"/>
      <c r="G3" s="1344"/>
      <c r="H3" s="1344"/>
      <c r="I3" s="1344"/>
      <c r="J3" s="1344"/>
      <c r="K3" s="1344"/>
      <c r="L3" s="1344"/>
      <c r="M3" s="1344"/>
      <c r="N3" s="1344"/>
      <c r="O3" s="1344"/>
      <c r="P3" s="1344"/>
      <c r="Q3" s="1344"/>
      <c r="R3" s="1344"/>
      <c r="S3" s="1344"/>
      <c r="T3" s="1344"/>
      <c r="U3" s="1344"/>
      <c r="V3" s="1344"/>
      <c r="W3" s="1344"/>
      <c r="X3" s="1344"/>
      <c r="Y3" s="1344"/>
      <c r="Z3" s="1344"/>
    </row>
    <row r="4" spans="1:26" ht="16.8" customHeight="1" x14ac:dyDescent="0.3">
      <c r="A4" s="1344"/>
      <c r="B4" s="517" t="s">
        <v>1026</v>
      </c>
      <c r="C4" s="518"/>
      <c r="D4" s="518"/>
      <c r="E4" s="428"/>
      <c r="F4" s="428"/>
      <c r="G4" s="428"/>
      <c r="H4" s="428"/>
      <c r="I4" s="428"/>
      <c r="J4" s="428"/>
      <c r="K4" s="428"/>
      <c r="L4" s="428"/>
      <c r="M4" s="428"/>
      <c r="N4" s="428"/>
      <c r="O4" s="428"/>
      <c r="P4" s="428"/>
      <c r="Q4" s="428"/>
      <c r="R4" s="428"/>
      <c r="S4" s="428"/>
      <c r="T4" s="428"/>
      <c r="U4" s="428"/>
      <c r="V4" s="428"/>
      <c r="W4" s="428"/>
      <c r="X4" s="428"/>
      <c r="Y4" s="428"/>
      <c r="Z4" s="428"/>
    </row>
    <row r="5" spans="1:26" ht="16.8" customHeight="1" x14ac:dyDescent="0.3">
      <c r="A5" s="1344"/>
      <c r="B5" s="517" t="s">
        <v>341</v>
      </c>
      <c r="C5" s="518"/>
      <c r="D5" s="518"/>
      <c r="E5" s="428"/>
      <c r="F5" s="428"/>
      <c r="G5" s="428"/>
      <c r="H5" s="428"/>
      <c r="I5" s="428"/>
      <c r="J5" s="428"/>
      <c r="K5" s="428"/>
      <c r="L5" s="428"/>
      <c r="M5" s="428"/>
      <c r="N5" s="428"/>
      <c r="O5" s="428"/>
      <c r="P5" s="428"/>
      <c r="Q5" s="428"/>
      <c r="R5" s="428"/>
      <c r="S5" s="428"/>
      <c r="T5" s="428"/>
      <c r="U5" s="428"/>
      <c r="V5" s="428"/>
      <c r="W5" s="428"/>
      <c r="X5" s="428"/>
      <c r="Y5" s="428"/>
      <c r="Z5" s="428"/>
    </row>
    <row r="6" spans="1:26" ht="13.5" customHeight="1" x14ac:dyDescent="0.3">
      <c r="A6" s="1344"/>
      <c r="B6" s="516"/>
      <c r="C6" s="428"/>
      <c r="D6" s="428"/>
      <c r="E6" s="428"/>
      <c r="F6" s="428"/>
      <c r="G6" s="428"/>
      <c r="H6" s="428"/>
      <c r="I6" s="428"/>
      <c r="J6" s="428"/>
      <c r="K6" s="428"/>
      <c r="L6" s="428"/>
      <c r="M6" s="428"/>
      <c r="N6" s="428"/>
      <c r="O6" s="428"/>
      <c r="P6" s="428"/>
      <c r="Q6" s="428"/>
      <c r="R6" s="428"/>
      <c r="S6" s="428"/>
      <c r="T6" s="428"/>
      <c r="U6" s="428"/>
      <c r="V6" s="428"/>
      <c r="W6" s="428"/>
      <c r="X6" s="428"/>
      <c r="Y6" s="428"/>
      <c r="Z6" s="428"/>
    </row>
    <row r="7" spans="1:26" ht="21" customHeight="1" x14ac:dyDescent="0.3">
      <c r="A7" s="1344"/>
      <c r="B7" s="519" t="s">
        <v>342</v>
      </c>
      <c r="C7" s="428"/>
      <c r="D7" s="428"/>
      <c r="E7" s="428"/>
      <c r="F7" s="428"/>
      <c r="G7" s="428"/>
      <c r="H7" s="428"/>
      <c r="I7" s="428"/>
      <c r="J7" s="428"/>
      <c r="K7" s="428"/>
      <c r="L7" s="428"/>
      <c r="M7" s="428"/>
      <c r="N7" s="428"/>
      <c r="O7" s="428"/>
      <c r="P7" s="428"/>
      <c r="Q7" s="428"/>
      <c r="R7" s="428"/>
      <c r="S7" s="428"/>
      <c r="T7" s="428"/>
      <c r="U7" s="428"/>
      <c r="V7" s="428"/>
      <c r="W7" s="428"/>
      <c r="X7" s="428"/>
      <c r="Y7" s="428"/>
      <c r="Z7" s="428"/>
    </row>
    <row r="8" spans="1:26" ht="13.5" customHeight="1" x14ac:dyDescent="0.3">
      <c r="A8" s="1344"/>
      <c r="B8" s="520"/>
      <c r="C8" s="428"/>
      <c r="D8" s="428"/>
      <c r="E8" s="428"/>
      <c r="F8" s="428"/>
      <c r="G8" s="427"/>
      <c r="H8" s="427"/>
      <c r="I8" s="427"/>
      <c r="J8" s="427"/>
      <c r="K8" s="427"/>
      <c r="L8" s="427"/>
      <c r="M8" s="428"/>
      <c r="N8" s="428"/>
      <c r="O8" s="428"/>
      <c r="P8" s="428"/>
      <c r="Q8" s="428"/>
      <c r="R8" s="428"/>
      <c r="S8" s="428"/>
      <c r="T8" s="428"/>
      <c r="U8" s="428"/>
      <c r="V8" s="428"/>
      <c r="W8" s="428"/>
      <c r="X8" s="428"/>
      <c r="Y8" s="428"/>
      <c r="Z8" s="427"/>
    </row>
    <row r="9" spans="1:26" ht="15.75" customHeight="1" x14ac:dyDescent="0.3">
      <c r="A9" s="1344"/>
      <c r="B9" s="521" t="s">
        <v>301</v>
      </c>
      <c r="C9" s="522" t="s">
        <v>343</v>
      </c>
      <c r="D9" s="523" t="s">
        <v>344</v>
      </c>
      <c r="E9" s="523" t="s">
        <v>345</v>
      </c>
      <c r="F9" s="523" t="s">
        <v>346</v>
      </c>
      <c r="G9" s="524" t="s">
        <v>347</v>
      </c>
      <c r="H9" s="525">
        <v>2025</v>
      </c>
      <c r="I9" s="4274">
        <v>2024</v>
      </c>
      <c r="J9" s="526">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26" ht="23.4" customHeight="1" x14ac:dyDescent="0.3">
      <c r="A10" s="1344"/>
      <c r="B10" s="529">
        <v>0.5</v>
      </c>
      <c r="C10" s="530" t="s">
        <v>348</v>
      </c>
      <c r="D10" s="531" t="s">
        <v>1628</v>
      </c>
      <c r="E10" s="532" t="s">
        <v>385</v>
      </c>
      <c r="F10" s="533" t="s">
        <v>1629</v>
      </c>
      <c r="G10" s="534">
        <v>2023</v>
      </c>
      <c r="H10" s="4226"/>
      <c r="I10" s="4275">
        <f>5553*1000</f>
        <v>5553000</v>
      </c>
      <c r="J10" s="4271"/>
      <c r="K10" s="535"/>
      <c r="L10" s="535"/>
      <c r="M10" s="538"/>
      <c r="N10" s="535"/>
      <c r="O10" s="535"/>
      <c r="P10" s="535"/>
      <c r="Q10" s="535"/>
      <c r="R10" s="535"/>
      <c r="S10" s="535"/>
      <c r="T10" s="535"/>
      <c r="U10" s="542"/>
      <c r="V10" s="535"/>
      <c r="W10" s="542"/>
      <c r="X10" s="535"/>
      <c r="Y10" s="542"/>
      <c r="Z10" s="535"/>
    </row>
    <row r="11" spans="1:26" ht="23.4" customHeight="1" x14ac:dyDescent="0.3">
      <c r="A11" s="1344"/>
      <c r="B11" s="529"/>
      <c r="C11" s="453" t="s">
        <v>1630</v>
      </c>
      <c r="D11" s="3340" t="s">
        <v>1631</v>
      </c>
      <c r="E11" s="543" t="s">
        <v>443</v>
      </c>
      <c r="F11" s="506" t="s">
        <v>1632</v>
      </c>
      <c r="G11" s="496">
        <v>2023</v>
      </c>
      <c r="H11" s="4268"/>
      <c r="I11" s="4276">
        <v>106617600</v>
      </c>
      <c r="J11" s="1752"/>
      <c r="K11" s="544"/>
      <c r="L11" s="544"/>
      <c r="M11" s="544"/>
      <c r="N11" s="544"/>
      <c r="O11" s="544"/>
      <c r="P11" s="544"/>
      <c r="Q11" s="544"/>
      <c r="R11" s="544"/>
      <c r="S11" s="544"/>
      <c r="T11" s="544"/>
      <c r="U11" s="548"/>
      <c r="V11" s="544"/>
      <c r="W11" s="548"/>
      <c r="X11" s="544"/>
      <c r="Y11" s="548"/>
      <c r="Z11" s="544"/>
    </row>
    <row r="12" spans="1:26" ht="23.4" customHeight="1" x14ac:dyDescent="0.3">
      <c r="A12" s="1344"/>
      <c r="B12" s="529"/>
      <c r="C12" s="531" t="s">
        <v>1630</v>
      </c>
      <c r="D12" s="531" t="s">
        <v>1633</v>
      </c>
      <c r="E12" s="532" t="s">
        <v>350</v>
      </c>
      <c r="F12" s="533" t="s">
        <v>1634</v>
      </c>
      <c r="G12" s="549">
        <v>2023</v>
      </c>
      <c r="H12" s="4269"/>
      <c r="I12" s="4277">
        <v>2508649.411764706</v>
      </c>
      <c r="J12" s="4272"/>
      <c r="K12" s="550"/>
      <c r="L12" s="550"/>
      <c r="M12" s="550"/>
      <c r="N12" s="550"/>
      <c r="O12" s="550"/>
      <c r="P12" s="550"/>
      <c r="Q12" s="550"/>
      <c r="R12" s="550"/>
      <c r="S12" s="550"/>
      <c r="T12" s="550"/>
      <c r="U12" s="542"/>
      <c r="V12" s="550"/>
      <c r="W12" s="542"/>
      <c r="X12" s="550"/>
      <c r="Y12" s="542"/>
      <c r="Z12" s="550"/>
    </row>
    <row r="13" spans="1:26" ht="23.4" customHeight="1" x14ac:dyDescent="0.3">
      <c r="A13" s="1344"/>
      <c r="B13" s="529"/>
      <c r="C13" s="453"/>
      <c r="D13" s="453"/>
      <c r="E13" s="543"/>
      <c r="F13" s="506"/>
      <c r="G13" s="496"/>
      <c r="H13" s="4268"/>
      <c r="I13" s="4276"/>
      <c r="J13" s="1752"/>
      <c r="K13" s="544"/>
      <c r="L13" s="544"/>
      <c r="M13" s="544"/>
      <c r="N13" s="544"/>
      <c r="O13" s="544"/>
      <c r="P13" s="544"/>
      <c r="Q13" s="544"/>
      <c r="R13" s="544"/>
      <c r="S13" s="544"/>
      <c r="T13" s="544"/>
      <c r="U13" s="548"/>
      <c r="V13" s="544"/>
      <c r="W13" s="548"/>
      <c r="X13" s="544"/>
      <c r="Y13" s="548"/>
      <c r="Z13" s="544"/>
    </row>
    <row r="14" spans="1:26" ht="23.4" customHeight="1" x14ac:dyDescent="0.3">
      <c r="A14" s="1344"/>
      <c r="B14" s="529"/>
      <c r="C14" s="531"/>
      <c r="D14" s="531"/>
      <c r="E14" s="532"/>
      <c r="F14" s="533"/>
      <c r="G14" s="551"/>
      <c r="H14" s="4269"/>
      <c r="I14" s="4278"/>
      <c r="J14" s="4272"/>
      <c r="K14" s="550"/>
      <c r="L14" s="550"/>
      <c r="M14" s="550"/>
      <c r="N14" s="550"/>
      <c r="O14" s="550"/>
      <c r="P14" s="550"/>
      <c r="Q14" s="550"/>
      <c r="R14" s="550"/>
      <c r="S14" s="550"/>
      <c r="T14" s="550"/>
      <c r="U14" s="542"/>
      <c r="V14" s="550"/>
      <c r="W14" s="542"/>
      <c r="X14" s="550"/>
      <c r="Y14" s="542"/>
      <c r="Z14" s="550"/>
    </row>
    <row r="15" spans="1:26" ht="23.4" customHeight="1" x14ac:dyDescent="0.3">
      <c r="A15" s="1344"/>
      <c r="B15" s="552"/>
      <c r="C15" s="462"/>
      <c r="D15" s="462"/>
      <c r="E15" s="553"/>
      <c r="F15" s="554"/>
      <c r="G15" s="555"/>
      <c r="H15" s="4270"/>
      <c r="I15" s="4279"/>
      <c r="J15" s="4273"/>
      <c r="K15" s="556"/>
      <c r="L15" s="556"/>
      <c r="M15" s="556"/>
      <c r="N15" s="556"/>
      <c r="O15" s="556"/>
      <c r="P15" s="556"/>
      <c r="Q15" s="556"/>
      <c r="R15" s="556"/>
      <c r="S15" s="556"/>
      <c r="T15" s="556"/>
      <c r="U15" s="557"/>
      <c r="V15" s="556"/>
      <c r="W15" s="557"/>
      <c r="X15" s="556"/>
      <c r="Y15" s="557"/>
      <c r="Z15" s="556"/>
    </row>
    <row r="16" spans="1:26" ht="13.5" customHeight="1" x14ac:dyDescent="0.3">
      <c r="A16" s="1344"/>
      <c r="B16" s="558"/>
      <c r="C16" s="528"/>
      <c r="D16" s="528"/>
      <c r="E16" s="528"/>
      <c r="F16" s="528"/>
      <c r="G16" s="479"/>
      <c r="H16" s="479"/>
      <c r="I16" s="479"/>
      <c r="J16" s="479"/>
      <c r="K16" s="479"/>
      <c r="L16" s="479"/>
      <c r="M16" s="559"/>
      <c r="N16" s="559"/>
      <c r="O16" s="559"/>
      <c r="P16" s="559"/>
      <c r="Q16" s="559"/>
      <c r="R16" s="559"/>
      <c r="S16" s="559"/>
      <c r="T16" s="559"/>
      <c r="U16" s="559"/>
      <c r="V16" s="559"/>
      <c r="W16" s="559"/>
      <c r="X16" s="559"/>
      <c r="Y16" s="559"/>
      <c r="Z16" s="559"/>
    </row>
    <row r="17" spans="1:26" ht="13.5" customHeight="1" x14ac:dyDescent="0.3">
      <c r="A17" s="1344"/>
      <c r="B17" s="560" t="s">
        <v>355</v>
      </c>
      <c r="C17" s="561" t="s">
        <v>356</v>
      </c>
      <c r="D17" s="528"/>
      <c r="E17" s="528"/>
      <c r="F17" s="528"/>
      <c r="G17" s="479"/>
      <c r="H17" s="479"/>
      <c r="I17" s="479"/>
      <c r="J17" s="479"/>
      <c r="K17" s="479"/>
      <c r="L17" s="479"/>
      <c r="M17" s="559"/>
      <c r="N17" s="559"/>
      <c r="O17" s="559"/>
      <c r="P17" s="559"/>
      <c r="Q17" s="559"/>
      <c r="R17" s="559"/>
      <c r="S17" s="559"/>
      <c r="T17" s="559"/>
      <c r="U17" s="559"/>
      <c r="V17" s="559"/>
      <c r="W17" s="559"/>
      <c r="X17" s="559"/>
      <c r="Y17" s="559"/>
      <c r="Z17" s="559"/>
    </row>
    <row r="18" spans="1:26" ht="13.5" customHeight="1" x14ac:dyDescent="0.3">
      <c r="A18" s="1344"/>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row>
    <row r="19" spans="1:26" ht="13.5" customHeight="1" x14ac:dyDescent="0.3">
      <c r="A19" s="1344"/>
      <c r="B19" s="4383" t="s">
        <v>357</v>
      </c>
      <c r="C19" s="4383"/>
      <c r="D19" s="528"/>
      <c r="E19" s="528"/>
      <c r="F19" s="528"/>
      <c r="G19" s="479"/>
      <c r="H19" s="479"/>
      <c r="I19" s="479"/>
      <c r="J19" s="479"/>
      <c r="K19" s="479"/>
      <c r="L19" s="479"/>
      <c r="M19" s="559"/>
      <c r="N19" s="559"/>
      <c r="O19" s="559"/>
      <c r="P19" s="559"/>
      <c r="Q19" s="559"/>
      <c r="R19" s="559"/>
      <c r="S19" s="559"/>
      <c r="T19" s="559"/>
      <c r="U19" s="559"/>
      <c r="V19" s="559"/>
      <c r="W19" s="559"/>
      <c r="X19" s="559"/>
      <c r="Y19" s="559"/>
      <c r="Z19" s="559"/>
    </row>
    <row r="20" spans="1:26" ht="13.5" customHeight="1" x14ac:dyDescent="0.3">
      <c r="A20" s="1344"/>
      <c r="B20" s="562" t="s">
        <v>365</v>
      </c>
      <c r="C20" s="528" t="s">
        <v>1635</v>
      </c>
      <c r="D20" s="528"/>
      <c r="E20" s="528"/>
      <c r="F20" s="528"/>
      <c r="G20" s="479"/>
      <c r="H20" s="479"/>
      <c r="I20" s="479"/>
      <c r="J20" s="479"/>
      <c r="K20" s="479"/>
      <c r="L20" s="479"/>
      <c r="M20" s="559"/>
      <c r="N20" s="559"/>
      <c r="O20" s="559"/>
      <c r="P20" s="559"/>
      <c r="Q20" s="559"/>
      <c r="R20" s="559"/>
      <c r="S20" s="559"/>
      <c r="T20" s="559"/>
      <c r="U20" s="559"/>
      <c r="V20" s="559"/>
      <c r="W20" s="559"/>
      <c r="X20" s="559"/>
      <c r="Y20" s="559"/>
      <c r="Z20" s="559"/>
    </row>
    <row r="21" spans="1:26" ht="13.5" customHeight="1" x14ac:dyDescent="0.3">
      <c r="A21" s="1344"/>
      <c r="B21" s="562" t="s">
        <v>301</v>
      </c>
      <c r="C21" s="528"/>
      <c r="D21" s="528"/>
      <c r="E21" s="528"/>
      <c r="F21" s="528"/>
      <c r="G21" s="479"/>
      <c r="H21" s="479"/>
      <c r="I21" s="479"/>
      <c r="J21" s="479"/>
      <c r="K21" s="479"/>
      <c r="L21" s="479"/>
      <c r="M21" s="559"/>
      <c r="N21" s="559"/>
      <c r="O21" s="559"/>
      <c r="P21" s="559"/>
      <c r="Q21" s="559"/>
      <c r="R21" s="559"/>
      <c r="S21" s="559"/>
      <c r="T21" s="559"/>
      <c r="U21" s="559"/>
      <c r="V21" s="559"/>
      <c r="W21" s="559"/>
      <c r="X21" s="559"/>
      <c r="Y21" s="559"/>
      <c r="Z21" s="559"/>
    </row>
    <row r="22" spans="1:26" ht="13.5" customHeight="1" x14ac:dyDescent="0.3">
      <c r="A22" s="1344"/>
      <c r="B22" s="3339"/>
      <c r="C22" s="1344"/>
      <c r="D22" s="1344"/>
      <c r="E22" s="1344"/>
      <c r="F22" s="1344"/>
      <c r="G22" s="1344"/>
      <c r="H22" s="1344"/>
      <c r="I22" s="1344"/>
      <c r="J22" s="1344"/>
      <c r="K22" s="1344"/>
      <c r="L22" s="1344"/>
      <c r="M22" s="1344"/>
      <c r="N22" s="1344"/>
      <c r="O22" s="1344"/>
      <c r="P22" s="1344"/>
      <c r="Q22" s="1344"/>
      <c r="R22" s="1344"/>
      <c r="S22" s="1344"/>
      <c r="T22" s="1344"/>
      <c r="U22" s="1344"/>
      <c r="V22" s="1344"/>
      <c r="W22" s="1344"/>
      <c r="X22" s="1344"/>
      <c r="Y22" s="1344"/>
      <c r="Z22" s="1344"/>
    </row>
    <row r="23" spans="1:26" ht="13.5" customHeight="1" x14ac:dyDescent="0.3">
      <c r="A23" s="1344"/>
      <c r="B23" s="3339"/>
      <c r="C23" s="1344"/>
      <c r="D23" s="1344"/>
      <c r="E23" s="1344"/>
      <c r="F23" s="1344"/>
      <c r="G23" s="1344"/>
      <c r="H23" s="1344"/>
      <c r="I23" s="1344"/>
      <c r="J23" s="1344"/>
      <c r="K23" s="1344"/>
      <c r="L23" s="1344"/>
      <c r="M23" s="1344"/>
      <c r="N23" s="1344"/>
      <c r="O23" s="1344"/>
      <c r="P23" s="1344"/>
      <c r="Q23" s="1344"/>
      <c r="R23" s="1344"/>
      <c r="S23" s="1344"/>
      <c r="T23" s="1344"/>
      <c r="U23" s="1344"/>
      <c r="V23" s="1344"/>
      <c r="W23" s="1344"/>
      <c r="X23" s="1344"/>
      <c r="Y23" s="1344"/>
      <c r="Z23" s="1344"/>
    </row>
    <row r="24" spans="1:26" ht="15.75" customHeight="1" x14ac:dyDescent="0.3"/>
    <row r="25" spans="1:26" ht="21" customHeight="1" x14ac:dyDescent="0.3">
      <c r="B25" s="1342" t="s">
        <v>409</v>
      </c>
    </row>
    <row r="26" spans="1:26" ht="9" customHeight="1" x14ac:dyDescent="0.3">
      <c r="B26" s="1342"/>
    </row>
    <row r="27" spans="1:26" ht="21" customHeight="1" x14ac:dyDescent="0.3">
      <c r="B27" s="1340" t="s">
        <v>410</v>
      </c>
      <c r="C27" s="1341"/>
      <c r="D27" s="1341"/>
    </row>
    <row r="28" spans="1:26" ht="12" customHeight="1" x14ac:dyDescent="0.3"/>
    <row r="29" spans="1:26" ht="15.75" customHeight="1" x14ac:dyDescent="0.3">
      <c r="B29" s="3341" t="s">
        <v>301</v>
      </c>
      <c r="C29" s="3342" t="s">
        <v>343</v>
      </c>
      <c r="D29" s="3343" t="s">
        <v>344</v>
      </c>
      <c r="E29" s="3343" t="s">
        <v>345</v>
      </c>
      <c r="F29" s="3343" t="s">
        <v>346</v>
      </c>
      <c r="G29" s="3344" t="s">
        <v>347</v>
      </c>
      <c r="H29" s="1349">
        <v>2025</v>
      </c>
      <c r="I29" s="3345">
        <v>2024</v>
      </c>
      <c r="J29" s="1349">
        <v>2023</v>
      </c>
      <c r="K29" s="1349">
        <v>2022</v>
      </c>
      <c r="L29" s="1349">
        <v>2021</v>
      </c>
      <c r="M29" s="1349">
        <v>2020</v>
      </c>
      <c r="N29" s="1349">
        <v>2019</v>
      </c>
      <c r="O29" s="1350">
        <v>2018</v>
      </c>
      <c r="P29" s="1350">
        <v>2017</v>
      </c>
      <c r="Q29" s="1350">
        <v>2016</v>
      </c>
      <c r="R29" s="1350">
        <v>2015</v>
      </c>
      <c r="S29" s="1350">
        <v>2014</v>
      </c>
      <c r="T29" s="1350">
        <v>2013</v>
      </c>
      <c r="U29" s="1350">
        <v>2012</v>
      </c>
      <c r="V29" s="1350">
        <v>2011</v>
      </c>
      <c r="W29" s="1350">
        <v>2010</v>
      </c>
      <c r="X29" s="1350">
        <v>2009</v>
      </c>
      <c r="Y29" s="1350">
        <v>2008</v>
      </c>
      <c r="Z29" s="1351" t="s">
        <v>332</v>
      </c>
    </row>
    <row r="30" spans="1:26" ht="24" customHeight="1" x14ac:dyDescent="0.3">
      <c r="B30" s="3346">
        <v>1</v>
      </c>
      <c r="C30" s="3347" t="s">
        <v>348</v>
      </c>
      <c r="D30" s="4252" t="s">
        <v>1636</v>
      </c>
      <c r="E30" s="4252" t="s">
        <v>1637</v>
      </c>
      <c r="F30" s="4252" t="s">
        <v>2068</v>
      </c>
      <c r="G30" s="4245">
        <v>2023</v>
      </c>
      <c r="H30" s="3348"/>
      <c r="I30" s="4227">
        <v>3518</v>
      </c>
      <c r="J30" s="4206">
        <v>2858</v>
      </c>
      <c r="K30" s="4207">
        <v>0</v>
      </c>
      <c r="L30" s="4207">
        <v>0</v>
      </c>
      <c r="M30" s="4207">
        <v>0</v>
      </c>
      <c r="N30" s="4207">
        <v>0</v>
      </c>
      <c r="O30" s="3349"/>
      <c r="P30" s="3350"/>
      <c r="Q30" s="3350"/>
      <c r="R30" s="3350"/>
      <c r="S30" s="3350"/>
      <c r="T30" s="3350"/>
      <c r="U30" s="3351"/>
      <c r="V30" s="3350"/>
      <c r="W30" s="3351"/>
      <c r="X30" s="3350"/>
      <c r="Y30" s="3351"/>
      <c r="Z30" s="3350"/>
    </row>
    <row r="31" spans="1:26" ht="24" customHeight="1" x14ac:dyDescent="0.3">
      <c r="B31" s="3352">
        <v>2</v>
      </c>
      <c r="C31" s="3353" t="s">
        <v>348</v>
      </c>
      <c r="D31" s="4253" t="s">
        <v>1636</v>
      </c>
      <c r="E31" s="4253" t="s">
        <v>1637</v>
      </c>
      <c r="F31" s="4253" t="s">
        <v>2069</v>
      </c>
      <c r="G31" s="4246">
        <v>2019</v>
      </c>
      <c r="H31" s="1935"/>
      <c r="I31" s="4228">
        <v>0</v>
      </c>
      <c r="J31" s="3378">
        <v>0</v>
      </c>
      <c r="K31" s="3379">
        <v>0</v>
      </c>
      <c r="L31" s="3379">
        <v>0</v>
      </c>
      <c r="M31" s="3379">
        <v>0</v>
      </c>
      <c r="N31" s="4208">
        <v>186</v>
      </c>
      <c r="O31" s="1967"/>
      <c r="P31" s="1444"/>
      <c r="Q31" s="1444"/>
      <c r="R31" s="1444"/>
      <c r="S31" s="1444"/>
      <c r="T31" s="1444"/>
      <c r="U31" s="1935"/>
      <c r="V31" s="1444"/>
      <c r="W31" s="1935"/>
      <c r="X31" s="1444"/>
      <c r="Y31" s="1935"/>
      <c r="Z31" s="1444"/>
    </row>
    <row r="32" spans="1:26" ht="24" customHeight="1" x14ac:dyDescent="0.3">
      <c r="B32" s="3352">
        <v>3</v>
      </c>
      <c r="C32" s="3354" t="s">
        <v>348</v>
      </c>
      <c r="D32" s="4254" t="s">
        <v>1636</v>
      </c>
      <c r="E32" s="4254" t="s">
        <v>1637</v>
      </c>
      <c r="F32" s="4254" t="s">
        <v>2070</v>
      </c>
      <c r="G32" s="4419">
        <v>2019</v>
      </c>
      <c r="H32" s="1420"/>
      <c r="I32" s="4229">
        <v>8887</v>
      </c>
      <c r="J32" s="4209">
        <v>8371</v>
      </c>
      <c r="K32" s="4210">
        <v>6904</v>
      </c>
      <c r="L32" s="4210">
        <v>6846</v>
      </c>
      <c r="M32" s="4210">
        <v>6574</v>
      </c>
      <c r="N32" s="4210">
        <v>6430</v>
      </c>
      <c r="O32" s="1965"/>
      <c r="P32" s="1438"/>
      <c r="Q32" s="1438"/>
      <c r="R32" s="1438"/>
      <c r="S32" s="1438"/>
      <c r="T32" s="1438"/>
      <c r="U32" s="1420"/>
      <c r="V32" s="1438"/>
      <c r="W32" s="1420"/>
      <c r="X32" s="1438"/>
      <c r="Y32" s="1420"/>
      <c r="Z32" s="1438"/>
    </row>
    <row r="33" spans="2:26" ht="24" customHeight="1" x14ac:dyDescent="0.3">
      <c r="B33" s="3352"/>
      <c r="C33" s="3354" t="s">
        <v>1638</v>
      </c>
      <c r="D33" s="4254" t="s">
        <v>1636</v>
      </c>
      <c r="E33" s="4254" t="s">
        <v>1637</v>
      </c>
      <c r="F33" s="4254" t="s">
        <v>2071</v>
      </c>
      <c r="G33" s="4419"/>
      <c r="H33" s="1420"/>
      <c r="I33" s="4230">
        <v>6162.0416676723462</v>
      </c>
      <c r="J33" s="4211">
        <v>6162.0416676723462</v>
      </c>
      <c r="K33" s="4212"/>
      <c r="L33" s="4212"/>
      <c r="M33" s="4212"/>
      <c r="N33" s="4212"/>
      <c r="O33" s="1965"/>
      <c r="P33" s="1438"/>
      <c r="Q33" s="1438"/>
      <c r="R33" s="1438"/>
      <c r="S33" s="1438"/>
      <c r="T33" s="1438"/>
      <c r="U33" s="1420"/>
      <c r="V33" s="1438"/>
      <c r="W33" s="1420"/>
      <c r="X33" s="1438"/>
      <c r="Y33" s="1420"/>
      <c r="Z33" s="1438"/>
    </row>
    <row r="34" spans="2:26" s="3400" customFormat="1" ht="24" customHeight="1" x14ac:dyDescent="0.3">
      <c r="B34" s="3395"/>
      <c r="C34" s="3355" t="s">
        <v>348</v>
      </c>
      <c r="D34" s="4255" t="s">
        <v>1636</v>
      </c>
      <c r="E34" s="4255" t="s">
        <v>1637</v>
      </c>
      <c r="F34" s="4255" t="s">
        <v>2067</v>
      </c>
      <c r="G34" s="4247">
        <v>2023</v>
      </c>
      <c r="H34" s="3396"/>
      <c r="I34" s="4231">
        <v>686</v>
      </c>
      <c r="J34" s="3397">
        <v>1616</v>
      </c>
      <c r="K34" s="3379">
        <v>0</v>
      </c>
      <c r="L34" s="3379">
        <v>0</v>
      </c>
      <c r="M34" s="3379">
        <v>0</v>
      </c>
      <c r="N34" s="3379">
        <v>0</v>
      </c>
      <c r="O34" s="3398">
        <v>0</v>
      </c>
      <c r="P34" s="3399">
        <v>0</v>
      </c>
      <c r="Q34" s="3399">
        <v>0</v>
      </c>
      <c r="R34" s="3399">
        <v>0</v>
      </c>
      <c r="S34" s="3399">
        <v>0</v>
      </c>
      <c r="T34" s="3399">
        <v>0</v>
      </c>
      <c r="U34" s="3399">
        <v>0</v>
      </c>
      <c r="V34" s="3399">
        <v>0</v>
      </c>
      <c r="W34" s="3399">
        <v>0</v>
      </c>
      <c r="X34" s="3399">
        <v>0</v>
      </c>
      <c r="Y34" s="3399">
        <v>0</v>
      </c>
      <c r="Z34" s="3399">
        <v>0</v>
      </c>
    </row>
    <row r="35" spans="2:26" ht="24" customHeight="1" x14ac:dyDescent="0.3">
      <c r="B35" s="3352">
        <v>4</v>
      </c>
      <c r="C35" s="3354" t="s">
        <v>348</v>
      </c>
      <c r="D35" s="4254" t="s">
        <v>1636</v>
      </c>
      <c r="E35" s="4254" t="s">
        <v>1637</v>
      </c>
      <c r="F35" s="4254" t="s">
        <v>2072</v>
      </c>
      <c r="G35" s="4419">
        <v>2023</v>
      </c>
      <c r="H35" s="1420"/>
      <c r="I35" s="4232">
        <f>G107</f>
        <v>6162.0416676723462</v>
      </c>
      <c r="J35" s="4213">
        <v>6373</v>
      </c>
      <c r="K35" s="4207">
        <v>0</v>
      </c>
      <c r="L35" s="4207">
        <v>0</v>
      </c>
      <c r="M35" s="4207">
        <v>0</v>
      </c>
      <c r="N35" s="4207">
        <v>0</v>
      </c>
      <c r="O35" s="3356">
        <v>0</v>
      </c>
      <c r="P35" s="3356">
        <v>0</v>
      </c>
      <c r="Q35" s="3356">
        <v>0</v>
      </c>
      <c r="R35" s="3356">
        <v>0</v>
      </c>
      <c r="S35" s="3356">
        <v>0</v>
      </c>
      <c r="T35" s="3356">
        <v>0</v>
      </c>
      <c r="U35" s="3356">
        <v>0</v>
      </c>
      <c r="V35" s="3356">
        <v>0</v>
      </c>
      <c r="W35" s="3356">
        <v>0</v>
      </c>
      <c r="X35" s="3356">
        <v>0</v>
      </c>
      <c r="Y35" s="3356">
        <v>0</v>
      </c>
      <c r="Z35" s="3356">
        <v>0</v>
      </c>
    </row>
    <row r="36" spans="2:26" ht="24" customHeight="1" x14ac:dyDescent="0.3">
      <c r="B36" s="3352"/>
      <c r="C36" s="3354" t="s">
        <v>1638</v>
      </c>
      <c r="D36" s="4254" t="s">
        <v>1636</v>
      </c>
      <c r="E36" s="4254" t="s">
        <v>1637</v>
      </c>
      <c r="F36" s="4254" t="s">
        <v>2073</v>
      </c>
      <c r="G36" s="4419"/>
      <c r="H36" s="1420"/>
      <c r="I36" s="4233">
        <v>0</v>
      </c>
      <c r="J36" s="4214">
        <v>6162.0416676723462</v>
      </c>
      <c r="K36" s="4207">
        <v>0</v>
      </c>
      <c r="L36" s="4207">
        <v>0</v>
      </c>
      <c r="M36" s="4207">
        <v>0</v>
      </c>
      <c r="N36" s="4207">
        <v>0</v>
      </c>
      <c r="O36" s="3356">
        <v>0</v>
      </c>
      <c r="P36" s="3356">
        <v>0</v>
      </c>
      <c r="Q36" s="3356">
        <v>0</v>
      </c>
      <c r="R36" s="3356">
        <v>0</v>
      </c>
      <c r="S36" s="3356">
        <v>0</v>
      </c>
      <c r="T36" s="3356">
        <v>0</v>
      </c>
      <c r="U36" s="3356">
        <v>0</v>
      </c>
      <c r="V36" s="3356">
        <v>0</v>
      </c>
      <c r="W36" s="3356">
        <v>0</v>
      </c>
      <c r="X36" s="3356">
        <v>0</v>
      </c>
      <c r="Y36" s="3356">
        <v>0</v>
      </c>
      <c r="Z36" s="3356">
        <v>0</v>
      </c>
    </row>
    <row r="37" spans="2:26" ht="24" customHeight="1" x14ac:dyDescent="0.3">
      <c r="B37" s="3352">
        <v>5</v>
      </c>
      <c r="C37" s="3353" t="s">
        <v>348</v>
      </c>
      <c r="D37" s="4253" t="s">
        <v>1636</v>
      </c>
      <c r="E37" s="4253" t="s">
        <v>1637</v>
      </c>
      <c r="F37" s="4253" t="s">
        <v>2074</v>
      </c>
      <c r="G37" s="4420">
        <v>2023</v>
      </c>
      <c r="H37" s="1935"/>
      <c r="I37" s="4228">
        <v>11413</v>
      </c>
      <c r="J37" s="4215">
        <v>7655</v>
      </c>
      <c r="K37" s="3379">
        <v>0</v>
      </c>
      <c r="L37" s="3379">
        <v>0</v>
      </c>
      <c r="M37" s="3379">
        <v>0</v>
      </c>
      <c r="N37" s="3379">
        <v>0</v>
      </c>
      <c r="O37" s="1444">
        <v>0</v>
      </c>
      <c r="P37" s="3356">
        <v>0</v>
      </c>
      <c r="Q37" s="3356">
        <v>0</v>
      </c>
      <c r="R37" s="3356">
        <v>0</v>
      </c>
      <c r="S37" s="3356">
        <v>0</v>
      </c>
      <c r="T37" s="3356">
        <v>0</v>
      </c>
      <c r="U37" s="3356">
        <v>0</v>
      </c>
      <c r="V37" s="3356">
        <v>0</v>
      </c>
      <c r="W37" s="3356">
        <v>0</v>
      </c>
      <c r="X37" s="3356">
        <v>0</v>
      </c>
      <c r="Y37" s="3356">
        <v>0</v>
      </c>
      <c r="Z37" s="3356">
        <v>0</v>
      </c>
    </row>
    <row r="38" spans="2:26" ht="24" customHeight="1" x14ac:dyDescent="0.3">
      <c r="B38" s="3352"/>
      <c r="C38" s="3353" t="s">
        <v>1638</v>
      </c>
      <c r="D38" s="4253" t="s">
        <v>1636</v>
      </c>
      <c r="E38" s="4253" t="s">
        <v>1637</v>
      </c>
      <c r="F38" s="4253" t="s">
        <v>2075</v>
      </c>
      <c r="G38" s="4420"/>
      <c r="H38" s="1935"/>
      <c r="I38" s="4234">
        <v>6162.0416676723462</v>
      </c>
      <c r="J38" s="4216">
        <v>6162.0416676723462</v>
      </c>
      <c r="K38" s="3379">
        <v>0</v>
      </c>
      <c r="L38" s="3379">
        <v>0</v>
      </c>
      <c r="M38" s="3379">
        <v>0</v>
      </c>
      <c r="N38" s="3379">
        <v>0</v>
      </c>
      <c r="O38" s="1444">
        <v>0</v>
      </c>
      <c r="P38" s="3356">
        <v>0</v>
      </c>
      <c r="Q38" s="3356">
        <v>0</v>
      </c>
      <c r="R38" s="3356">
        <v>0</v>
      </c>
      <c r="S38" s="3356">
        <v>0</v>
      </c>
      <c r="T38" s="3356">
        <v>0</v>
      </c>
      <c r="U38" s="3356">
        <v>0</v>
      </c>
      <c r="V38" s="3356">
        <v>0</v>
      </c>
      <c r="W38" s="3356">
        <v>0</v>
      </c>
      <c r="X38" s="3356">
        <v>0</v>
      </c>
      <c r="Y38" s="3356">
        <v>0</v>
      </c>
      <c r="Z38" s="3356">
        <v>0</v>
      </c>
    </row>
    <row r="39" spans="2:26" ht="24" customHeight="1" x14ac:dyDescent="0.3">
      <c r="B39" s="3352">
        <v>6</v>
      </c>
      <c r="C39" s="3357" t="s">
        <v>348</v>
      </c>
      <c r="D39" s="4256" t="s">
        <v>1636</v>
      </c>
      <c r="E39" s="4256" t="s">
        <v>1637</v>
      </c>
      <c r="F39" s="4256" t="s">
        <v>2076</v>
      </c>
      <c r="G39" s="4248">
        <v>2019</v>
      </c>
      <c r="H39" s="3358"/>
      <c r="I39" s="4235">
        <v>0</v>
      </c>
      <c r="J39" s="4217">
        <v>0</v>
      </c>
      <c r="K39" s="4207">
        <v>0</v>
      </c>
      <c r="L39" s="4207">
        <v>0</v>
      </c>
      <c r="M39" s="4207">
        <v>0</v>
      </c>
      <c r="N39" s="4218">
        <v>1806</v>
      </c>
      <c r="O39" s="1445"/>
      <c r="P39" s="1445"/>
      <c r="Q39" s="1445"/>
      <c r="R39" s="1445"/>
      <c r="S39" s="1446"/>
      <c r="T39" s="1446"/>
      <c r="U39" s="1447"/>
      <c r="V39" s="1446"/>
      <c r="W39" s="1447"/>
      <c r="X39" s="1446"/>
      <c r="Y39" s="1447"/>
      <c r="Z39" s="1444"/>
    </row>
    <row r="40" spans="2:26" ht="24" customHeight="1" x14ac:dyDescent="0.3">
      <c r="B40" s="3352">
        <v>7</v>
      </c>
      <c r="C40" s="3353" t="s">
        <v>348</v>
      </c>
      <c r="D40" s="4253" t="s">
        <v>1636</v>
      </c>
      <c r="E40" s="4253" t="s">
        <v>1637</v>
      </c>
      <c r="F40" s="4253" t="s">
        <v>2077</v>
      </c>
      <c r="G40" s="4420">
        <v>2019</v>
      </c>
      <c r="H40" s="1935"/>
      <c r="I40" s="4228">
        <v>12996</v>
      </c>
      <c r="J40" s="4215">
        <v>12717</v>
      </c>
      <c r="K40" s="4208">
        <v>13414</v>
      </c>
      <c r="L40" s="4208">
        <v>15960</v>
      </c>
      <c r="M40" s="4208">
        <v>13267</v>
      </c>
      <c r="N40" s="4208">
        <v>15391</v>
      </c>
      <c r="O40" s="1445"/>
      <c r="P40" s="1445"/>
      <c r="Q40" s="1445"/>
      <c r="R40" s="1445"/>
      <c r="S40" s="1446"/>
      <c r="T40" s="1446"/>
      <c r="U40" s="1447"/>
      <c r="V40" s="1446"/>
      <c r="W40" s="1447"/>
      <c r="X40" s="1446"/>
      <c r="Y40" s="1447"/>
      <c r="Z40" s="1444"/>
    </row>
    <row r="41" spans="2:26" ht="24" customHeight="1" x14ac:dyDescent="0.3">
      <c r="B41" s="3352"/>
      <c r="C41" s="3353" t="s">
        <v>1638</v>
      </c>
      <c r="D41" s="4253" t="s">
        <v>1636</v>
      </c>
      <c r="E41" s="4253" t="s">
        <v>1637</v>
      </c>
      <c r="F41" s="4253" t="s">
        <v>2078</v>
      </c>
      <c r="G41" s="4420"/>
      <c r="H41" s="1935"/>
      <c r="I41" s="4234">
        <v>6162.0416676723462</v>
      </c>
      <c r="J41" s="4216">
        <v>6162.0416676723462</v>
      </c>
      <c r="K41" s="4208"/>
      <c r="L41" s="4208"/>
      <c r="M41" s="4208"/>
      <c r="N41" s="4208"/>
      <c r="O41" s="1445"/>
      <c r="P41" s="1445"/>
      <c r="Q41" s="1445"/>
      <c r="R41" s="1445"/>
      <c r="S41" s="1446"/>
      <c r="T41" s="1446"/>
      <c r="U41" s="1447"/>
      <c r="V41" s="1446"/>
      <c r="W41" s="1447"/>
      <c r="X41" s="1446"/>
      <c r="Y41" s="1447"/>
      <c r="Z41" s="1444"/>
    </row>
    <row r="42" spans="2:26" ht="24" customHeight="1" x14ac:dyDescent="0.3">
      <c r="B42" s="3352">
        <v>8</v>
      </c>
      <c r="C42" s="3357" t="s">
        <v>348</v>
      </c>
      <c r="D42" s="4256" t="s">
        <v>1636</v>
      </c>
      <c r="E42" s="4256" t="s">
        <v>1637</v>
      </c>
      <c r="F42" s="4256" t="s">
        <v>2079</v>
      </c>
      <c r="G42" s="4421">
        <v>2023</v>
      </c>
      <c r="H42" s="3358"/>
      <c r="I42" s="4236">
        <v>4081</v>
      </c>
      <c r="J42" s="4219">
        <v>9659</v>
      </c>
      <c r="K42" s="4207">
        <v>0</v>
      </c>
      <c r="L42" s="4207">
        <v>0</v>
      </c>
      <c r="M42" s="4207">
        <v>0</v>
      </c>
      <c r="N42" s="4207">
        <v>0</v>
      </c>
      <c r="O42" s="3356">
        <v>0</v>
      </c>
      <c r="P42" s="3356">
        <v>0</v>
      </c>
      <c r="Q42" s="3356">
        <v>0</v>
      </c>
      <c r="R42" s="3356">
        <v>0</v>
      </c>
      <c r="S42" s="3356">
        <v>0</v>
      </c>
      <c r="T42" s="3356">
        <v>0</v>
      </c>
      <c r="U42" s="3356">
        <v>0</v>
      </c>
      <c r="V42" s="3356">
        <v>0</v>
      </c>
      <c r="W42" s="3356">
        <v>0</v>
      </c>
      <c r="X42" s="3356">
        <v>0</v>
      </c>
      <c r="Y42" s="3356">
        <v>0</v>
      </c>
      <c r="Z42" s="3356">
        <v>0</v>
      </c>
    </row>
    <row r="43" spans="2:26" ht="24" customHeight="1" x14ac:dyDescent="0.3">
      <c r="B43" s="3352"/>
      <c r="C43" s="3354" t="s">
        <v>1638</v>
      </c>
      <c r="D43" s="4256" t="s">
        <v>1636</v>
      </c>
      <c r="E43" s="4256" t="s">
        <v>1637</v>
      </c>
      <c r="F43" s="4256" t="s">
        <v>2080</v>
      </c>
      <c r="G43" s="4421"/>
      <c r="H43" s="3358"/>
      <c r="I43" s="4235">
        <v>0</v>
      </c>
      <c r="J43" s="4220">
        <v>6162.0416676723462</v>
      </c>
      <c r="K43" s="4207">
        <v>0</v>
      </c>
      <c r="L43" s="4207">
        <v>0</v>
      </c>
      <c r="M43" s="4207">
        <v>0</v>
      </c>
      <c r="N43" s="4207">
        <v>0</v>
      </c>
      <c r="O43" s="3356">
        <v>0</v>
      </c>
      <c r="P43" s="3356">
        <v>0</v>
      </c>
      <c r="Q43" s="3356">
        <v>0</v>
      </c>
      <c r="R43" s="3356">
        <v>0</v>
      </c>
      <c r="S43" s="3356">
        <v>0</v>
      </c>
      <c r="T43" s="3356">
        <v>0</v>
      </c>
      <c r="U43" s="3356">
        <v>0</v>
      </c>
      <c r="V43" s="3356">
        <v>0</v>
      </c>
      <c r="W43" s="3356">
        <v>0</v>
      </c>
      <c r="X43" s="3356">
        <v>0</v>
      </c>
      <c r="Y43" s="3356">
        <v>0</v>
      </c>
      <c r="Z43" s="3356">
        <v>0</v>
      </c>
    </row>
    <row r="44" spans="2:26" ht="24" customHeight="1" x14ac:dyDescent="0.3">
      <c r="B44" s="3352">
        <v>9</v>
      </c>
      <c r="C44" s="3353" t="s">
        <v>348</v>
      </c>
      <c r="D44" s="4253" t="s">
        <v>1636</v>
      </c>
      <c r="E44" s="4253" t="s">
        <v>1637</v>
      </c>
      <c r="F44" s="4253" t="s">
        <v>2081</v>
      </c>
      <c r="G44" s="4246">
        <v>2023</v>
      </c>
      <c r="H44" s="1935"/>
      <c r="I44" s="4234">
        <v>2167</v>
      </c>
      <c r="J44" s="4216">
        <v>2946</v>
      </c>
      <c r="K44" s="3379">
        <v>0</v>
      </c>
      <c r="L44" s="3379">
        <v>0</v>
      </c>
      <c r="M44" s="3379">
        <v>0</v>
      </c>
      <c r="N44" s="3379">
        <v>0</v>
      </c>
      <c r="O44" s="1445"/>
      <c r="P44" s="1445"/>
      <c r="Q44" s="1445"/>
      <c r="R44" s="1445"/>
      <c r="S44" s="1446"/>
      <c r="T44" s="1446"/>
      <c r="U44" s="1447"/>
      <c r="V44" s="1446"/>
      <c r="W44" s="1447"/>
      <c r="X44" s="1446"/>
      <c r="Y44" s="1447"/>
      <c r="Z44" s="1444"/>
    </row>
    <row r="45" spans="2:26" ht="24" customHeight="1" x14ac:dyDescent="0.3">
      <c r="B45" s="3352">
        <v>10</v>
      </c>
      <c r="C45" s="3354" t="s">
        <v>348</v>
      </c>
      <c r="D45" s="4254" t="s">
        <v>1636</v>
      </c>
      <c r="E45" s="4254" t="s">
        <v>1637</v>
      </c>
      <c r="F45" s="4254" t="s">
        <v>2085</v>
      </c>
      <c r="G45" s="4419">
        <v>2019</v>
      </c>
      <c r="H45" s="1420"/>
      <c r="I45" s="4233">
        <v>56154</v>
      </c>
      <c r="J45" s="4213">
        <v>52099</v>
      </c>
      <c r="K45" s="4210">
        <v>50886</v>
      </c>
      <c r="L45" s="4210">
        <v>56226</v>
      </c>
      <c r="M45" s="4210">
        <v>49568</v>
      </c>
      <c r="N45" s="4210">
        <v>47379</v>
      </c>
      <c r="O45" s="1965"/>
      <c r="P45" s="1438"/>
      <c r="Q45" s="1438"/>
      <c r="R45" s="1438"/>
      <c r="S45" s="1438"/>
      <c r="T45" s="1438"/>
      <c r="U45" s="1420"/>
      <c r="V45" s="1438"/>
      <c r="W45" s="1420"/>
      <c r="X45" s="1438"/>
      <c r="Y45" s="1420"/>
      <c r="Z45" s="1438"/>
    </row>
    <row r="46" spans="2:26" ht="24" customHeight="1" x14ac:dyDescent="0.3">
      <c r="B46" s="3352"/>
      <c r="C46" s="3354" t="s">
        <v>1638</v>
      </c>
      <c r="D46" s="4254" t="s">
        <v>1636</v>
      </c>
      <c r="E46" s="4254" t="s">
        <v>1637</v>
      </c>
      <c r="F46" s="4254" t="s">
        <v>2086</v>
      </c>
      <c r="G46" s="4419"/>
      <c r="H46" s="1420"/>
      <c r="I46" s="4232">
        <v>6162.0416676723462</v>
      </c>
      <c r="J46" s="4214">
        <v>6162.0416676723462</v>
      </c>
      <c r="K46" s="4210"/>
      <c r="L46" s="4210"/>
      <c r="M46" s="4210"/>
      <c r="N46" s="4210"/>
      <c r="O46" s="1965"/>
      <c r="P46" s="1438"/>
      <c r="Q46" s="1438"/>
      <c r="R46" s="1438"/>
      <c r="S46" s="1438"/>
      <c r="T46" s="1438"/>
      <c r="U46" s="1420"/>
      <c r="V46" s="1438"/>
      <c r="W46" s="1420"/>
      <c r="X46" s="1438"/>
      <c r="Y46" s="1420"/>
      <c r="Z46" s="1438"/>
    </row>
    <row r="47" spans="2:26" ht="24" customHeight="1" x14ac:dyDescent="0.3">
      <c r="B47" s="3352">
        <v>11</v>
      </c>
      <c r="C47" s="3353" t="s">
        <v>348</v>
      </c>
      <c r="D47" s="4253" t="s">
        <v>1636</v>
      </c>
      <c r="E47" s="4253" t="s">
        <v>1637</v>
      </c>
      <c r="F47" s="4253" t="s">
        <v>2087</v>
      </c>
      <c r="G47" s="4246">
        <v>2019</v>
      </c>
      <c r="H47" s="1935"/>
      <c r="I47" s="4237">
        <v>0</v>
      </c>
      <c r="J47" s="4215">
        <v>0</v>
      </c>
      <c r="K47" s="4208">
        <v>783</v>
      </c>
      <c r="L47" s="4208">
        <v>0</v>
      </c>
      <c r="M47" s="4208">
        <v>1651</v>
      </c>
      <c r="N47" s="4208">
        <v>327</v>
      </c>
      <c r="O47" s="1967"/>
      <c r="P47" s="1444"/>
      <c r="Q47" s="1444"/>
      <c r="R47" s="1444"/>
      <c r="S47" s="1444"/>
      <c r="T47" s="1444"/>
      <c r="U47" s="1935"/>
      <c r="V47" s="1444"/>
      <c r="W47" s="1935"/>
      <c r="X47" s="1444"/>
      <c r="Y47" s="1935"/>
      <c r="Z47" s="1444"/>
    </row>
    <row r="48" spans="2:26" ht="24" customHeight="1" x14ac:dyDescent="0.3">
      <c r="B48" s="3352">
        <v>12</v>
      </c>
      <c r="C48" s="3354" t="s">
        <v>348</v>
      </c>
      <c r="D48" s="4254" t="s">
        <v>1639</v>
      </c>
      <c r="E48" s="4254" t="s">
        <v>1640</v>
      </c>
      <c r="F48" s="4257" t="s">
        <v>2088</v>
      </c>
      <c r="G48" s="4419">
        <v>2019</v>
      </c>
      <c r="H48" s="1420"/>
      <c r="I48" s="4233">
        <v>109452</v>
      </c>
      <c r="J48" s="4221">
        <v>141241</v>
      </c>
      <c r="K48" s="4222">
        <v>135627</v>
      </c>
      <c r="L48" s="4222">
        <v>149702</v>
      </c>
      <c r="M48" s="4222">
        <v>155242</v>
      </c>
      <c r="N48" s="4222">
        <v>152049</v>
      </c>
      <c r="O48" s="1965"/>
      <c r="P48" s="1438"/>
      <c r="Q48" s="1438"/>
      <c r="R48" s="1438"/>
      <c r="S48" s="1438"/>
      <c r="T48" s="1438"/>
      <c r="U48" s="1420"/>
      <c r="V48" s="1438"/>
      <c r="W48" s="1420"/>
      <c r="X48" s="1438"/>
      <c r="Y48" s="1420"/>
      <c r="Z48" s="1438"/>
    </row>
    <row r="49" spans="1:63" ht="24" customHeight="1" x14ac:dyDescent="0.3">
      <c r="B49" s="3352"/>
      <c r="C49" s="3354" t="s">
        <v>1638</v>
      </c>
      <c r="D49" s="4254" t="s">
        <v>1641</v>
      </c>
      <c r="E49" s="4254" t="s">
        <v>1637</v>
      </c>
      <c r="F49" s="4257" t="s">
        <v>2089</v>
      </c>
      <c r="G49" s="4419"/>
      <c r="H49" s="1420"/>
      <c r="I49" s="4233">
        <f>I48*E111</f>
        <v>49800.66</v>
      </c>
      <c r="J49" s="4213">
        <v>64264.654999999999</v>
      </c>
      <c r="K49" s="4210">
        <v>61710.285000000003</v>
      </c>
      <c r="L49" s="4210">
        <v>68114.41</v>
      </c>
      <c r="M49" s="4210">
        <v>70635.11</v>
      </c>
      <c r="N49" s="4210">
        <v>69182.294999999998</v>
      </c>
      <c r="O49" s="1965"/>
      <c r="P49" s="1438"/>
      <c r="Q49" s="1438"/>
      <c r="R49" s="1438"/>
      <c r="S49" s="1438"/>
      <c r="T49" s="1438"/>
      <c r="U49" s="1420"/>
      <c r="V49" s="1438"/>
      <c r="W49" s="1420"/>
      <c r="X49" s="1438"/>
      <c r="Y49" s="1420"/>
      <c r="Z49" s="1438"/>
    </row>
    <row r="50" spans="1:63" ht="24" customHeight="1" x14ac:dyDescent="0.3">
      <c r="B50" s="3352"/>
      <c r="C50" s="3354" t="s">
        <v>1638</v>
      </c>
      <c r="D50" s="4254" t="s">
        <v>1641</v>
      </c>
      <c r="E50" s="4254" t="s">
        <v>1637</v>
      </c>
      <c r="F50" s="4257" t="s">
        <v>2090</v>
      </c>
      <c r="G50" s="4419"/>
      <c r="H50" s="1420"/>
      <c r="I50" s="4232">
        <v>6162.0416676723462</v>
      </c>
      <c r="J50" s="4214">
        <v>6162.0416676723462</v>
      </c>
      <c r="K50" s="4210"/>
      <c r="L50" s="4210"/>
      <c r="M50" s="4210"/>
      <c r="N50" s="4210"/>
      <c r="O50" s="1965"/>
      <c r="P50" s="1438"/>
      <c r="Q50" s="1438"/>
      <c r="R50" s="1438"/>
      <c r="S50" s="1438"/>
      <c r="T50" s="1438"/>
      <c r="U50" s="1420"/>
      <c r="V50" s="1438"/>
      <c r="W50" s="1420"/>
      <c r="X50" s="1438"/>
      <c r="Y50" s="1420"/>
      <c r="Z50" s="1438"/>
    </row>
    <row r="51" spans="1:63" ht="24" customHeight="1" x14ac:dyDescent="0.3">
      <c r="B51" s="3352">
        <v>13</v>
      </c>
      <c r="C51" s="3353" t="s">
        <v>348</v>
      </c>
      <c r="D51" s="4253" t="s">
        <v>1639</v>
      </c>
      <c r="E51" s="4253" t="s">
        <v>1640</v>
      </c>
      <c r="F51" s="4258" t="s">
        <v>2092</v>
      </c>
      <c r="G51" s="4246">
        <v>2019</v>
      </c>
      <c r="H51" s="1935"/>
      <c r="I51" s="4228">
        <v>3761</v>
      </c>
      <c r="J51" s="4215">
        <v>4222</v>
      </c>
      <c r="K51" s="4208">
        <v>4541</v>
      </c>
      <c r="L51" s="4208">
        <v>3815</v>
      </c>
      <c r="M51" s="4208">
        <v>3856</v>
      </c>
      <c r="N51" s="4208">
        <v>3673</v>
      </c>
      <c r="O51" s="1967"/>
      <c r="P51" s="1444"/>
      <c r="Q51" s="1444"/>
      <c r="R51" s="1444"/>
      <c r="S51" s="1444"/>
      <c r="T51" s="1444"/>
      <c r="U51" s="1935"/>
      <c r="V51" s="1444"/>
      <c r="W51" s="1935"/>
      <c r="X51" s="1444"/>
      <c r="Y51" s="1935"/>
      <c r="Z51" s="1444"/>
    </row>
    <row r="52" spans="1:63" ht="24" customHeight="1" x14ac:dyDescent="0.3">
      <c r="B52" s="3352"/>
      <c r="C52" s="3353" t="s">
        <v>1638</v>
      </c>
      <c r="D52" s="4253" t="s">
        <v>1641</v>
      </c>
      <c r="E52" s="4253" t="s">
        <v>1637</v>
      </c>
      <c r="F52" s="4258" t="s">
        <v>2093</v>
      </c>
      <c r="G52" s="4246"/>
      <c r="H52" s="1935"/>
      <c r="I52" s="4234">
        <f>I51*E111</f>
        <v>1711.2550000000001</v>
      </c>
      <c r="J52" s="4216">
        <v>1921.01</v>
      </c>
      <c r="K52" s="4208">
        <v>2066.1550000000002</v>
      </c>
      <c r="L52" s="4208">
        <v>1735.825</v>
      </c>
      <c r="M52" s="4208">
        <v>1754.48</v>
      </c>
      <c r="N52" s="4208">
        <v>1671.2150000000001</v>
      </c>
      <c r="O52" s="1967"/>
      <c r="P52" s="1444"/>
      <c r="Q52" s="1444"/>
      <c r="R52" s="1444"/>
      <c r="S52" s="1444"/>
      <c r="T52" s="1444"/>
      <c r="U52" s="1935"/>
      <c r="V52" s="1444"/>
      <c r="W52" s="1935"/>
      <c r="X52" s="1444"/>
      <c r="Y52" s="1935"/>
      <c r="Z52" s="1444"/>
    </row>
    <row r="53" spans="1:63" ht="24" customHeight="1" x14ac:dyDescent="0.3">
      <c r="B53" s="3352">
        <v>14</v>
      </c>
      <c r="C53" s="3354" t="s">
        <v>348</v>
      </c>
      <c r="D53" s="4254" t="s">
        <v>1639</v>
      </c>
      <c r="E53" s="4254" t="s">
        <v>1640</v>
      </c>
      <c r="F53" s="4257" t="s">
        <v>2094</v>
      </c>
      <c r="G53" s="4419">
        <v>2019</v>
      </c>
      <c r="H53" s="1420"/>
      <c r="I53" s="4233">
        <v>0</v>
      </c>
      <c r="J53" s="3377">
        <v>0</v>
      </c>
      <c r="K53" s="1442">
        <v>0</v>
      </c>
      <c r="L53" s="1442">
        <v>0</v>
      </c>
      <c r="M53" s="1442">
        <v>0</v>
      </c>
      <c r="N53" s="4222">
        <v>16739</v>
      </c>
      <c r="O53" s="1965"/>
      <c r="P53" s="1438"/>
      <c r="Q53" s="1438"/>
      <c r="R53" s="1438"/>
      <c r="S53" s="1438"/>
      <c r="T53" s="1438"/>
      <c r="U53" s="1420"/>
      <c r="V53" s="1438"/>
      <c r="W53" s="1420"/>
      <c r="X53" s="1438"/>
      <c r="Y53" s="1420"/>
      <c r="Z53" s="1438"/>
    </row>
    <row r="54" spans="1:63" ht="24" customHeight="1" x14ac:dyDescent="0.3">
      <c r="B54" s="3352"/>
      <c r="C54" s="3354" t="s">
        <v>1638</v>
      </c>
      <c r="D54" s="4254" t="s">
        <v>1641</v>
      </c>
      <c r="E54" s="4254" t="s">
        <v>1637</v>
      </c>
      <c r="F54" s="4257" t="s">
        <v>2095</v>
      </c>
      <c r="G54" s="4419"/>
      <c r="H54" s="1420"/>
      <c r="I54" s="4233">
        <v>0</v>
      </c>
      <c r="J54" s="3377">
        <v>0</v>
      </c>
      <c r="K54" s="1442">
        <v>0</v>
      </c>
      <c r="L54" s="1442">
        <v>0</v>
      </c>
      <c r="M54" s="1442">
        <v>0</v>
      </c>
      <c r="N54" s="4210">
        <v>16739</v>
      </c>
      <c r="O54" s="1965"/>
      <c r="P54" s="1438"/>
      <c r="Q54" s="1438"/>
      <c r="R54" s="1438"/>
      <c r="S54" s="1438"/>
      <c r="T54" s="1438"/>
      <c r="U54" s="1420"/>
      <c r="V54" s="1438"/>
      <c r="W54" s="1420"/>
      <c r="X54" s="1438"/>
      <c r="Y54" s="1420"/>
      <c r="Z54" s="1438"/>
    </row>
    <row r="55" spans="1:63" ht="24" customHeight="1" x14ac:dyDescent="0.3">
      <c r="B55" s="3352">
        <v>15</v>
      </c>
      <c r="C55" s="3353" t="s">
        <v>348</v>
      </c>
      <c r="D55" s="4253" t="s">
        <v>1639</v>
      </c>
      <c r="E55" s="4253" t="s">
        <v>1640</v>
      </c>
      <c r="F55" s="4258" t="s">
        <v>2096</v>
      </c>
      <c r="G55" s="4420">
        <v>2023</v>
      </c>
      <c r="H55" s="1935"/>
      <c r="I55" s="4228">
        <v>0</v>
      </c>
      <c r="J55" s="4215">
        <v>655</v>
      </c>
      <c r="K55" s="3379">
        <v>0</v>
      </c>
      <c r="L55" s="3379">
        <v>0</v>
      </c>
      <c r="M55" s="3379">
        <v>0</v>
      </c>
      <c r="N55" s="3379">
        <v>0</v>
      </c>
      <c r="O55" s="1444">
        <v>0</v>
      </c>
      <c r="P55" s="1444"/>
      <c r="Q55" s="1444"/>
      <c r="R55" s="1444"/>
      <c r="S55" s="1444"/>
      <c r="T55" s="1444"/>
      <c r="U55" s="1935"/>
      <c r="V55" s="1444"/>
      <c r="W55" s="1935"/>
      <c r="X55" s="1444"/>
      <c r="Y55" s="1935"/>
      <c r="Z55" s="1444"/>
    </row>
    <row r="56" spans="1:63" ht="24" customHeight="1" x14ac:dyDescent="0.3">
      <c r="B56" s="3352"/>
      <c r="C56" s="3353" t="s">
        <v>1638</v>
      </c>
      <c r="D56" s="4253" t="s">
        <v>1641</v>
      </c>
      <c r="E56" s="4253" t="s">
        <v>1637</v>
      </c>
      <c r="F56" s="4258" t="s">
        <v>2097</v>
      </c>
      <c r="G56" s="4420"/>
      <c r="H56" s="1935"/>
      <c r="I56" s="4228">
        <v>0</v>
      </c>
      <c r="J56" s="4216">
        <v>298.02500000000003</v>
      </c>
      <c r="K56" s="3379">
        <v>0</v>
      </c>
      <c r="L56" s="3379">
        <v>0</v>
      </c>
      <c r="M56" s="3379">
        <v>0</v>
      </c>
      <c r="N56" s="3379">
        <v>0</v>
      </c>
      <c r="O56" s="1444">
        <v>0</v>
      </c>
      <c r="P56" s="1444"/>
      <c r="Q56" s="1444"/>
      <c r="R56" s="1444"/>
      <c r="S56" s="1444"/>
      <c r="T56" s="1444"/>
      <c r="U56" s="1935"/>
      <c r="V56" s="1444"/>
      <c r="W56" s="1935"/>
      <c r="X56" s="1444"/>
      <c r="Y56" s="1935"/>
      <c r="Z56" s="1444"/>
    </row>
    <row r="57" spans="1:63" ht="24" customHeight="1" x14ac:dyDescent="0.3">
      <c r="B57" s="3352">
        <v>16</v>
      </c>
      <c r="C57" s="3354" t="s">
        <v>348</v>
      </c>
      <c r="D57" s="4254" t="s">
        <v>1639</v>
      </c>
      <c r="E57" s="4254" t="s">
        <v>1640</v>
      </c>
      <c r="F57" s="4257" t="s">
        <v>2098</v>
      </c>
      <c r="G57" s="4419">
        <v>2020</v>
      </c>
      <c r="H57" s="1420"/>
      <c r="I57" s="4233">
        <v>0</v>
      </c>
      <c r="J57" s="3377">
        <v>0</v>
      </c>
      <c r="K57" s="1442">
        <v>0</v>
      </c>
      <c r="L57" s="1442">
        <v>0</v>
      </c>
      <c r="M57" s="4222">
        <v>259</v>
      </c>
      <c r="N57" s="1442">
        <v>0</v>
      </c>
      <c r="O57" s="1965"/>
      <c r="P57" s="1438"/>
      <c r="Q57" s="1438"/>
      <c r="R57" s="1438"/>
      <c r="S57" s="1438"/>
      <c r="T57" s="1438"/>
      <c r="U57" s="1420"/>
      <c r="V57" s="1438"/>
      <c r="W57" s="1420"/>
      <c r="X57" s="1438"/>
      <c r="Y57" s="1420"/>
      <c r="Z57" s="1438"/>
    </row>
    <row r="58" spans="1:63" ht="24" customHeight="1" x14ac:dyDescent="0.3">
      <c r="B58" s="3352"/>
      <c r="C58" s="3354" t="s">
        <v>1638</v>
      </c>
      <c r="D58" s="4254" t="s">
        <v>1641</v>
      </c>
      <c r="E58" s="4254" t="s">
        <v>1637</v>
      </c>
      <c r="F58" s="4257" t="s">
        <v>2099</v>
      </c>
      <c r="G58" s="4419"/>
      <c r="H58" s="1420"/>
      <c r="I58" s="4233">
        <v>0</v>
      </c>
      <c r="J58" s="3377">
        <v>0</v>
      </c>
      <c r="K58" s="1442">
        <v>0</v>
      </c>
      <c r="L58" s="1442">
        <v>0</v>
      </c>
      <c r="M58" s="4222">
        <v>117.845</v>
      </c>
      <c r="N58" s="1442">
        <v>0</v>
      </c>
      <c r="O58" s="1965"/>
      <c r="P58" s="1438"/>
      <c r="Q58" s="1438"/>
      <c r="R58" s="1438"/>
      <c r="S58" s="1438"/>
      <c r="T58" s="1438"/>
      <c r="U58" s="1420"/>
      <c r="V58" s="1438"/>
      <c r="W58" s="1420"/>
      <c r="X58" s="1438"/>
      <c r="Y58" s="1420"/>
      <c r="Z58" s="1438"/>
    </row>
    <row r="59" spans="1:63" s="3363" customFormat="1" ht="24" customHeight="1" x14ac:dyDescent="0.3">
      <c r="A59" s="1336"/>
      <c r="B59" s="3352">
        <v>17</v>
      </c>
      <c r="C59" s="3353" t="s">
        <v>348</v>
      </c>
      <c r="D59" s="4253" t="s">
        <v>1639</v>
      </c>
      <c r="E59" s="4253" t="s">
        <v>1640</v>
      </c>
      <c r="F59" s="4258" t="s">
        <v>2100</v>
      </c>
      <c r="G59" s="4420">
        <v>2023</v>
      </c>
      <c r="H59" s="1935"/>
      <c r="I59" s="4228">
        <v>5696</v>
      </c>
      <c r="J59" s="4215">
        <v>21308</v>
      </c>
      <c r="K59" s="3379">
        <v>0</v>
      </c>
      <c r="L59" s="3379">
        <v>0</v>
      </c>
      <c r="M59" s="3379">
        <v>0</v>
      </c>
      <c r="N59" s="3379">
        <v>0</v>
      </c>
      <c r="O59" s="3360"/>
      <c r="P59" s="3361"/>
      <c r="Q59" s="3361"/>
      <c r="R59" s="3361"/>
      <c r="S59" s="3361"/>
      <c r="T59" s="3361"/>
      <c r="U59" s="3362"/>
      <c r="V59" s="3361"/>
      <c r="W59" s="3362"/>
      <c r="X59" s="3361"/>
      <c r="Y59" s="3362"/>
      <c r="Z59" s="3361"/>
      <c r="AA59" s="1336"/>
      <c r="AB59" s="1336"/>
      <c r="AC59" s="1336"/>
      <c r="AD59" s="1336"/>
      <c r="AE59" s="1336"/>
      <c r="AF59" s="1336"/>
      <c r="AG59" s="1336"/>
      <c r="AH59" s="1336"/>
      <c r="AI59" s="1336"/>
      <c r="AJ59" s="1336"/>
      <c r="AK59" s="1336"/>
      <c r="AL59" s="1336"/>
      <c r="AM59" s="1336"/>
      <c r="AN59" s="1336"/>
      <c r="AO59" s="1336"/>
      <c r="AP59" s="1336"/>
      <c r="AQ59" s="1336"/>
      <c r="AR59" s="1336"/>
      <c r="AS59" s="1336"/>
      <c r="AT59" s="1336"/>
      <c r="AU59" s="1336"/>
      <c r="AV59" s="1336"/>
      <c r="AW59" s="1336"/>
      <c r="AX59" s="1336"/>
      <c r="AY59" s="1336"/>
      <c r="AZ59" s="1336"/>
      <c r="BA59" s="1336"/>
      <c r="BB59" s="1336"/>
      <c r="BC59" s="1336"/>
      <c r="BD59" s="1336"/>
      <c r="BE59" s="1336"/>
      <c r="BF59" s="1336"/>
      <c r="BG59" s="1336"/>
      <c r="BH59" s="1336"/>
      <c r="BI59" s="1336"/>
      <c r="BJ59" s="1336"/>
      <c r="BK59" s="1336"/>
    </row>
    <row r="60" spans="1:63" s="3363" customFormat="1" ht="24" customHeight="1" x14ac:dyDescent="0.3">
      <c r="A60" s="1336"/>
      <c r="B60" s="3352"/>
      <c r="C60" s="3353" t="s">
        <v>1638</v>
      </c>
      <c r="D60" s="4253" t="s">
        <v>1641</v>
      </c>
      <c r="E60" s="4253" t="s">
        <v>1637</v>
      </c>
      <c r="F60" s="4258" t="s">
        <v>2101</v>
      </c>
      <c r="G60" s="4420"/>
      <c r="H60" s="1935"/>
      <c r="I60" s="4238">
        <f>I59*E111</f>
        <v>2591.6800000000003</v>
      </c>
      <c r="J60" s="4215">
        <v>9695.1400000000012</v>
      </c>
      <c r="K60" s="3379">
        <v>0</v>
      </c>
      <c r="L60" s="3379">
        <v>0</v>
      </c>
      <c r="M60" s="3379">
        <v>0</v>
      </c>
      <c r="N60" s="3379">
        <v>0</v>
      </c>
      <c r="O60" s="3360"/>
      <c r="P60" s="3361"/>
      <c r="Q60" s="3361"/>
      <c r="R60" s="3361"/>
      <c r="S60" s="3361"/>
      <c r="T60" s="3361"/>
      <c r="U60" s="3362"/>
      <c r="V60" s="3361"/>
      <c r="W60" s="3362"/>
      <c r="X60" s="3361"/>
      <c r="Y60" s="3362"/>
      <c r="Z60" s="3361"/>
      <c r="AA60" s="1336"/>
      <c r="AB60" s="1336"/>
      <c r="AC60" s="1336"/>
      <c r="AD60" s="1336"/>
      <c r="AE60" s="1336"/>
      <c r="AF60" s="1336"/>
      <c r="AG60" s="1336"/>
      <c r="AH60" s="1336"/>
      <c r="AI60" s="1336"/>
      <c r="AJ60" s="1336"/>
      <c r="AK60" s="1336"/>
      <c r="AL60" s="1336"/>
      <c r="AM60" s="1336"/>
      <c r="AN60" s="1336"/>
      <c r="AO60" s="1336"/>
      <c r="AP60" s="1336"/>
      <c r="AQ60" s="1336"/>
      <c r="AR60" s="1336"/>
      <c r="AS60" s="1336"/>
      <c r="AT60" s="1336"/>
      <c r="AU60" s="1336"/>
      <c r="AV60" s="1336"/>
      <c r="AW60" s="1336"/>
      <c r="AX60" s="1336"/>
      <c r="AY60" s="1336"/>
      <c r="AZ60" s="1336"/>
      <c r="BA60" s="1336"/>
      <c r="BB60" s="1336"/>
      <c r="BC60" s="1336"/>
      <c r="BD60" s="1336"/>
      <c r="BE60" s="1336"/>
      <c r="BF60" s="1336"/>
      <c r="BG60" s="1336"/>
      <c r="BH60" s="1336"/>
      <c r="BI60" s="1336"/>
      <c r="BJ60" s="1336"/>
      <c r="BK60" s="1336"/>
    </row>
    <row r="61" spans="1:63" s="3363" customFormat="1" ht="24" customHeight="1" x14ac:dyDescent="0.3">
      <c r="A61" s="1336"/>
      <c r="B61" s="3352"/>
      <c r="C61" s="3353" t="s">
        <v>1638</v>
      </c>
      <c r="D61" s="4253" t="s">
        <v>1641</v>
      </c>
      <c r="E61" s="4253" t="s">
        <v>1637</v>
      </c>
      <c r="F61" s="4258" t="s">
        <v>2102</v>
      </c>
      <c r="G61" s="4420"/>
      <c r="H61" s="1935"/>
      <c r="I61" s="4228">
        <v>0</v>
      </c>
      <c r="J61" s="4216">
        <v>6162.0416676723462</v>
      </c>
      <c r="K61" s="3379">
        <v>0</v>
      </c>
      <c r="L61" s="3379">
        <v>0</v>
      </c>
      <c r="M61" s="3379">
        <v>0</v>
      </c>
      <c r="N61" s="3379">
        <v>0</v>
      </c>
      <c r="O61" s="3360"/>
      <c r="P61" s="3361"/>
      <c r="Q61" s="3361"/>
      <c r="R61" s="3361"/>
      <c r="S61" s="3361"/>
      <c r="T61" s="3361"/>
      <c r="U61" s="3362"/>
      <c r="V61" s="3361"/>
      <c r="W61" s="3362"/>
      <c r="X61" s="3361"/>
      <c r="Y61" s="3362"/>
      <c r="Z61" s="3361"/>
      <c r="AA61" s="1336"/>
      <c r="AB61" s="1336"/>
      <c r="AC61" s="1336"/>
      <c r="AD61" s="1336"/>
      <c r="AE61" s="1336"/>
      <c r="AF61" s="1336"/>
      <c r="AG61" s="1336"/>
      <c r="AH61" s="1336"/>
      <c r="AI61" s="1336"/>
      <c r="AJ61" s="1336"/>
      <c r="AK61" s="1336"/>
      <c r="AL61" s="1336"/>
      <c r="AM61" s="1336"/>
      <c r="AN61" s="1336"/>
      <c r="AO61" s="1336"/>
      <c r="AP61" s="1336"/>
      <c r="AQ61" s="1336"/>
      <c r="AR61" s="1336"/>
      <c r="AS61" s="1336"/>
      <c r="AT61" s="1336"/>
      <c r="AU61" s="1336"/>
      <c r="AV61" s="1336"/>
      <c r="AW61" s="1336"/>
      <c r="AX61" s="1336"/>
      <c r="AY61" s="1336"/>
      <c r="AZ61" s="1336"/>
      <c r="BA61" s="1336"/>
      <c r="BB61" s="1336"/>
      <c r="BC61" s="1336"/>
      <c r="BD61" s="1336"/>
      <c r="BE61" s="1336"/>
      <c r="BF61" s="1336"/>
      <c r="BG61" s="1336"/>
      <c r="BH61" s="1336"/>
      <c r="BI61" s="1336"/>
      <c r="BJ61" s="1336"/>
      <c r="BK61" s="1336"/>
    </row>
    <row r="62" spans="1:63" s="3363" customFormat="1" ht="24" customHeight="1" x14ac:dyDescent="0.3">
      <c r="A62" s="1336"/>
      <c r="B62" s="3352">
        <v>18</v>
      </c>
      <c r="C62" s="3354" t="s">
        <v>348</v>
      </c>
      <c r="D62" s="4254" t="s">
        <v>1639</v>
      </c>
      <c r="E62" s="4254" t="s">
        <v>1640</v>
      </c>
      <c r="F62" s="4257" t="s">
        <v>2103</v>
      </c>
      <c r="G62" s="4419">
        <v>2022</v>
      </c>
      <c r="H62" s="1420"/>
      <c r="I62" s="4233">
        <f>4922+3576</f>
        <v>8498</v>
      </c>
      <c r="J62" s="4221">
        <v>3484</v>
      </c>
      <c r="K62" s="4222">
        <v>3172</v>
      </c>
      <c r="L62" s="1442">
        <v>0</v>
      </c>
      <c r="M62" s="1442">
        <v>0</v>
      </c>
      <c r="N62" s="1442">
        <v>0</v>
      </c>
      <c r="O62" s="3366"/>
      <c r="P62" s="3367"/>
      <c r="Q62" s="3367"/>
      <c r="R62" s="3367"/>
      <c r="S62" s="3367"/>
      <c r="T62" s="3367"/>
      <c r="U62" s="3365"/>
      <c r="V62" s="3367"/>
      <c r="W62" s="3365"/>
      <c r="X62" s="3367"/>
      <c r="Y62" s="3365"/>
      <c r="Z62" s="3367"/>
      <c r="AA62" s="1336"/>
      <c r="AB62" s="1336"/>
      <c r="AC62" s="1336"/>
      <c r="AD62" s="1336"/>
      <c r="AE62" s="1336"/>
      <c r="AF62" s="1336"/>
      <c r="AG62" s="1336"/>
      <c r="AH62" s="1336"/>
      <c r="AI62" s="1336"/>
      <c r="AJ62" s="1336"/>
      <c r="AK62" s="1336"/>
      <c r="AL62" s="1336"/>
      <c r="AM62" s="1336"/>
      <c r="AN62" s="1336"/>
      <c r="AO62" s="1336"/>
      <c r="AP62" s="1336"/>
      <c r="AQ62" s="1336"/>
      <c r="AR62" s="1336"/>
      <c r="AS62" s="1336"/>
      <c r="AT62" s="1336"/>
      <c r="AU62" s="1336"/>
      <c r="AV62" s="1336"/>
      <c r="AW62" s="1336"/>
      <c r="AX62" s="1336"/>
      <c r="AY62" s="1336"/>
      <c r="AZ62" s="1336"/>
      <c r="BA62" s="1336"/>
      <c r="BB62" s="1336"/>
      <c r="BC62" s="1336"/>
      <c r="BD62" s="1336"/>
      <c r="BE62" s="1336"/>
      <c r="BF62" s="1336"/>
      <c r="BG62" s="1336"/>
      <c r="BH62" s="1336"/>
      <c r="BI62" s="1336"/>
      <c r="BJ62" s="1336"/>
      <c r="BK62" s="1336"/>
    </row>
    <row r="63" spans="1:63" s="3363" customFormat="1" ht="24" customHeight="1" x14ac:dyDescent="0.3">
      <c r="A63" s="1336"/>
      <c r="B63" s="3352"/>
      <c r="C63" s="3354" t="s">
        <v>1638</v>
      </c>
      <c r="D63" s="4254" t="s">
        <v>1641</v>
      </c>
      <c r="E63" s="4254" t="s">
        <v>1637</v>
      </c>
      <c r="F63" s="4257" t="s">
        <v>2104</v>
      </c>
      <c r="G63" s="4419"/>
      <c r="H63" s="1420"/>
      <c r="I63" s="4239">
        <f>I62*E111</f>
        <v>3866.59</v>
      </c>
      <c r="J63" s="4211">
        <v>1585.22</v>
      </c>
      <c r="K63" s="4222">
        <v>1443.26</v>
      </c>
      <c r="L63" s="1442">
        <v>0</v>
      </c>
      <c r="M63" s="1442">
        <v>0</v>
      </c>
      <c r="N63" s="1442">
        <v>0</v>
      </c>
      <c r="O63" s="3366"/>
      <c r="P63" s="3367"/>
      <c r="Q63" s="3367"/>
      <c r="R63" s="3367"/>
      <c r="S63" s="3367"/>
      <c r="T63" s="3367"/>
      <c r="U63" s="3365"/>
      <c r="V63" s="3367"/>
      <c r="W63" s="3365"/>
      <c r="X63" s="3367"/>
      <c r="Y63" s="3365"/>
      <c r="Z63" s="3367"/>
      <c r="AA63" s="1336"/>
      <c r="AB63" s="1336"/>
      <c r="AC63" s="1336"/>
      <c r="AD63" s="1336"/>
      <c r="AE63" s="1336"/>
      <c r="AF63" s="1336"/>
      <c r="AG63" s="1336"/>
      <c r="AH63" s="1336"/>
      <c r="AI63" s="1336"/>
      <c r="AJ63" s="1336"/>
      <c r="AK63" s="1336"/>
      <c r="AL63" s="1336"/>
      <c r="AM63" s="1336"/>
      <c r="AN63" s="1336"/>
      <c r="AO63" s="1336"/>
      <c r="AP63" s="1336"/>
      <c r="AQ63" s="1336"/>
      <c r="AR63" s="1336"/>
      <c r="AS63" s="1336"/>
      <c r="AT63" s="1336"/>
      <c r="AU63" s="1336"/>
      <c r="AV63" s="1336"/>
      <c r="AW63" s="1336"/>
      <c r="AX63" s="1336"/>
      <c r="AY63" s="1336"/>
      <c r="AZ63" s="1336"/>
      <c r="BA63" s="1336"/>
      <c r="BB63" s="1336"/>
      <c r="BC63" s="1336"/>
      <c r="BD63" s="1336"/>
      <c r="BE63" s="1336"/>
      <c r="BF63" s="1336"/>
      <c r="BG63" s="1336"/>
      <c r="BH63" s="1336"/>
      <c r="BI63" s="1336"/>
      <c r="BJ63" s="1336"/>
      <c r="BK63" s="1336"/>
    </row>
    <row r="64" spans="1:63" s="3363" customFormat="1" ht="24" hidden="1" customHeight="1" x14ac:dyDescent="0.3">
      <c r="A64" s="1336"/>
      <c r="B64" s="3352"/>
      <c r="C64" s="3364" t="s">
        <v>1638</v>
      </c>
      <c r="D64" s="4266" t="s">
        <v>1641</v>
      </c>
      <c r="E64" s="4266" t="s">
        <v>1637</v>
      </c>
      <c r="F64" s="4259" t="s">
        <v>1642</v>
      </c>
      <c r="G64" s="4249"/>
      <c r="H64" s="3365"/>
      <c r="I64" s="4233">
        <v>0</v>
      </c>
      <c r="J64" s="4223">
        <v>0</v>
      </c>
      <c r="K64" s="3377">
        <v>0</v>
      </c>
      <c r="L64" s="1442">
        <v>0</v>
      </c>
      <c r="M64" s="1442">
        <v>0</v>
      </c>
      <c r="N64" s="4224">
        <v>0</v>
      </c>
      <c r="O64" s="3366"/>
      <c r="P64" s="3367"/>
      <c r="Q64" s="3367"/>
      <c r="R64" s="3367"/>
      <c r="S64" s="3367"/>
      <c r="T64" s="3367"/>
      <c r="U64" s="3365"/>
      <c r="V64" s="3367"/>
      <c r="W64" s="3365"/>
      <c r="X64" s="3367"/>
      <c r="Y64" s="3365"/>
      <c r="Z64" s="3367"/>
      <c r="AA64" s="1336"/>
      <c r="AB64" s="1336"/>
      <c r="AC64" s="1336"/>
      <c r="AD64" s="1336"/>
      <c r="AE64" s="1336"/>
      <c r="AF64" s="1336"/>
      <c r="AG64" s="1336"/>
      <c r="AH64" s="1336"/>
      <c r="AI64" s="1336"/>
      <c r="AJ64" s="1336"/>
      <c r="AK64" s="1336"/>
      <c r="AL64" s="1336"/>
      <c r="AM64" s="1336"/>
      <c r="AN64" s="1336"/>
      <c r="AO64" s="1336"/>
      <c r="AP64" s="1336"/>
      <c r="AQ64" s="1336"/>
      <c r="AR64" s="1336"/>
      <c r="AS64" s="1336"/>
      <c r="AT64" s="1336"/>
      <c r="AU64" s="1336"/>
      <c r="AV64" s="1336"/>
      <c r="AW64" s="1336"/>
      <c r="AX64" s="1336"/>
      <c r="AY64" s="1336"/>
      <c r="AZ64" s="1336"/>
      <c r="BA64" s="1336"/>
      <c r="BB64" s="1336"/>
      <c r="BC64" s="1336"/>
      <c r="BD64" s="1336"/>
      <c r="BE64" s="1336"/>
      <c r="BF64" s="1336"/>
      <c r="BG64" s="1336"/>
      <c r="BH64" s="1336"/>
      <c r="BI64" s="1336"/>
      <c r="BJ64" s="1336"/>
      <c r="BK64" s="1336"/>
    </row>
    <row r="65" spans="1:63" s="3363" customFormat="1" ht="24" customHeight="1" x14ac:dyDescent="0.3">
      <c r="A65" s="1336"/>
      <c r="B65" s="3352">
        <v>19</v>
      </c>
      <c r="C65" s="3353" t="s">
        <v>348</v>
      </c>
      <c r="D65" s="4253" t="s">
        <v>1639</v>
      </c>
      <c r="E65" s="4253" t="s">
        <v>1640</v>
      </c>
      <c r="F65" s="4258" t="s">
        <v>2105</v>
      </c>
      <c r="G65" s="4420">
        <v>2023</v>
      </c>
      <c r="H65" s="1935"/>
      <c r="I65" s="4228">
        <v>5127</v>
      </c>
      <c r="J65" s="4215">
        <v>10633</v>
      </c>
      <c r="K65" s="3379">
        <v>0</v>
      </c>
      <c r="L65" s="3379">
        <v>0</v>
      </c>
      <c r="M65" s="3379">
        <v>0</v>
      </c>
      <c r="N65" s="3379">
        <v>0</v>
      </c>
      <c r="O65" s="3360"/>
      <c r="P65" s="3361"/>
      <c r="Q65" s="3361"/>
      <c r="R65" s="3361"/>
      <c r="S65" s="3361"/>
      <c r="T65" s="3361"/>
      <c r="U65" s="3362"/>
      <c r="V65" s="3361"/>
      <c r="W65" s="3362"/>
      <c r="X65" s="3361"/>
      <c r="Y65" s="3362"/>
      <c r="Z65" s="3361"/>
      <c r="AA65" s="1336"/>
      <c r="AB65" s="1336"/>
      <c r="AC65" s="1336"/>
      <c r="AD65" s="1336"/>
      <c r="AE65" s="1336"/>
      <c r="AF65" s="1336"/>
      <c r="AG65" s="1336"/>
      <c r="AH65" s="1336"/>
      <c r="AI65" s="1336"/>
      <c r="AJ65" s="1336"/>
      <c r="AK65" s="1336"/>
      <c r="AL65" s="1336"/>
      <c r="AM65" s="1336"/>
      <c r="AN65" s="1336"/>
      <c r="AO65" s="1336"/>
      <c r="AP65" s="1336"/>
      <c r="AQ65" s="1336"/>
      <c r="AR65" s="1336"/>
      <c r="AS65" s="1336"/>
      <c r="AT65" s="1336"/>
      <c r="AU65" s="1336"/>
      <c r="AV65" s="1336"/>
      <c r="AW65" s="1336"/>
      <c r="AX65" s="1336"/>
      <c r="AY65" s="1336"/>
      <c r="AZ65" s="1336"/>
      <c r="BA65" s="1336"/>
      <c r="BB65" s="1336"/>
      <c r="BC65" s="1336"/>
      <c r="BD65" s="1336"/>
      <c r="BE65" s="1336"/>
      <c r="BF65" s="1336"/>
      <c r="BG65" s="1336"/>
      <c r="BH65" s="1336"/>
      <c r="BI65" s="1336"/>
      <c r="BJ65" s="1336"/>
      <c r="BK65" s="1336"/>
    </row>
    <row r="66" spans="1:63" s="3363" customFormat="1" ht="24" customHeight="1" x14ac:dyDescent="0.3">
      <c r="A66" s="1336"/>
      <c r="B66" s="3352"/>
      <c r="C66" s="3353" t="s">
        <v>1638</v>
      </c>
      <c r="D66" s="4253" t="s">
        <v>1641</v>
      </c>
      <c r="E66" s="4253" t="s">
        <v>1637</v>
      </c>
      <c r="F66" s="4258" t="s">
        <v>2106</v>
      </c>
      <c r="G66" s="4420"/>
      <c r="H66" s="1935"/>
      <c r="I66" s="4238">
        <f>I65*E111</f>
        <v>2332.7849999999999</v>
      </c>
      <c r="J66" s="4216">
        <v>4838.0150000000003</v>
      </c>
      <c r="K66" s="3379">
        <v>0</v>
      </c>
      <c r="L66" s="3379">
        <v>0</v>
      </c>
      <c r="M66" s="3379">
        <v>0</v>
      </c>
      <c r="N66" s="3379">
        <v>0</v>
      </c>
      <c r="O66" s="3360"/>
      <c r="P66" s="3361"/>
      <c r="Q66" s="3361"/>
      <c r="R66" s="3361"/>
      <c r="S66" s="3361"/>
      <c r="T66" s="3361"/>
      <c r="U66" s="3362"/>
      <c r="V66" s="3361"/>
      <c r="W66" s="3362"/>
      <c r="X66" s="3361"/>
      <c r="Y66" s="3362"/>
      <c r="Z66" s="3361"/>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AV66" s="1336"/>
      <c r="AW66" s="1336"/>
      <c r="AX66" s="1336"/>
      <c r="AY66" s="1336"/>
      <c r="AZ66" s="1336"/>
      <c r="BA66" s="1336"/>
      <c r="BB66" s="1336"/>
      <c r="BC66" s="1336"/>
      <c r="BD66" s="1336"/>
      <c r="BE66" s="1336"/>
      <c r="BF66" s="1336"/>
      <c r="BG66" s="1336"/>
      <c r="BH66" s="1336"/>
      <c r="BI66" s="1336"/>
      <c r="BJ66" s="1336"/>
      <c r="BK66" s="1336"/>
    </row>
    <row r="67" spans="1:63" s="3363" customFormat="1" ht="24" hidden="1" customHeight="1" x14ac:dyDescent="0.3">
      <c r="B67" s="3359"/>
      <c r="C67" s="3353" t="s">
        <v>1638</v>
      </c>
      <c r="D67" s="4253" t="s">
        <v>1641</v>
      </c>
      <c r="E67" s="4253" t="s">
        <v>1637</v>
      </c>
      <c r="F67" s="4258" t="s">
        <v>1643</v>
      </c>
      <c r="G67" s="4246"/>
      <c r="H67" s="1935"/>
      <c r="I67" s="4228">
        <v>0</v>
      </c>
      <c r="J67" s="3378">
        <v>0</v>
      </c>
      <c r="K67" s="3379">
        <v>0</v>
      </c>
      <c r="L67" s="3379">
        <v>0</v>
      </c>
      <c r="M67" s="3379">
        <v>0</v>
      </c>
      <c r="N67" s="3379">
        <v>0</v>
      </c>
      <c r="O67" s="3360"/>
      <c r="P67" s="3361"/>
      <c r="Q67" s="3361"/>
      <c r="R67" s="3361"/>
      <c r="S67" s="3361"/>
      <c r="T67" s="3361"/>
      <c r="U67" s="3362"/>
      <c r="V67" s="3361"/>
      <c r="W67" s="3362"/>
      <c r="X67" s="3361"/>
      <c r="Y67" s="3362"/>
      <c r="Z67" s="3361"/>
      <c r="AA67" s="1336"/>
      <c r="AB67" s="1336"/>
      <c r="AC67" s="1336"/>
      <c r="AD67" s="1336"/>
      <c r="AE67" s="1336"/>
      <c r="AF67" s="1336"/>
      <c r="AG67" s="1336"/>
      <c r="AH67" s="1336"/>
      <c r="AI67" s="1336"/>
      <c r="AJ67" s="1336"/>
      <c r="AK67" s="1336"/>
      <c r="AL67" s="1336"/>
      <c r="AM67" s="1336"/>
      <c r="AN67" s="1336"/>
      <c r="AO67" s="1336"/>
      <c r="AP67" s="1336"/>
      <c r="AQ67" s="1336"/>
      <c r="AR67" s="1336"/>
      <c r="AS67" s="1336"/>
      <c r="AT67" s="1336"/>
      <c r="AU67" s="1336"/>
      <c r="AV67" s="1336"/>
      <c r="AW67" s="1336"/>
      <c r="AX67" s="1336"/>
      <c r="AY67" s="1336"/>
      <c r="AZ67" s="1336"/>
      <c r="BA67" s="1336"/>
      <c r="BB67" s="1336"/>
      <c r="BC67" s="1336"/>
      <c r="BD67" s="1336"/>
      <c r="BE67" s="1336"/>
      <c r="BF67" s="1336"/>
      <c r="BG67" s="1336"/>
      <c r="BH67" s="1336"/>
      <c r="BI67" s="1336"/>
      <c r="BJ67" s="1336"/>
      <c r="BK67" s="1336"/>
    </row>
    <row r="68" spans="1:63" ht="24" customHeight="1" x14ac:dyDescent="0.3">
      <c r="B68" s="3352">
        <v>20</v>
      </c>
      <c r="C68" s="3354" t="s">
        <v>348</v>
      </c>
      <c r="D68" s="4254" t="s">
        <v>1639</v>
      </c>
      <c r="E68" s="4254" t="s">
        <v>1640</v>
      </c>
      <c r="F68" s="4257" t="s">
        <v>2107</v>
      </c>
      <c r="G68" s="4419">
        <v>2019</v>
      </c>
      <c r="H68" s="1420"/>
      <c r="I68" s="4233">
        <v>0</v>
      </c>
      <c r="J68" s="3377">
        <v>0</v>
      </c>
      <c r="K68" s="4222">
        <v>80</v>
      </c>
      <c r="L68" s="4222">
        <v>12014</v>
      </c>
      <c r="M68" s="4222">
        <v>85905</v>
      </c>
      <c r="N68" s="4222">
        <v>71257</v>
      </c>
      <c r="O68" s="1965"/>
      <c r="P68" s="1438"/>
      <c r="Q68" s="1438"/>
      <c r="R68" s="1438"/>
      <c r="S68" s="1438"/>
      <c r="T68" s="1438"/>
      <c r="U68" s="1420"/>
      <c r="V68" s="1438"/>
      <c r="W68" s="1420"/>
      <c r="X68" s="1438"/>
      <c r="Y68" s="1420"/>
      <c r="Z68" s="1438"/>
    </row>
    <row r="69" spans="1:63" ht="24" customHeight="1" x14ac:dyDescent="0.3">
      <c r="B69" s="3352"/>
      <c r="C69" s="3354" t="s">
        <v>1638</v>
      </c>
      <c r="D69" s="4254" t="s">
        <v>1641</v>
      </c>
      <c r="E69" s="4254" t="s">
        <v>1637</v>
      </c>
      <c r="F69" s="4257" t="s">
        <v>2108</v>
      </c>
      <c r="G69" s="4419"/>
      <c r="H69" s="1420"/>
      <c r="I69" s="4233">
        <v>0</v>
      </c>
      <c r="J69" s="3377">
        <v>0</v>
      </c>
      <c r="K69" s="4222">
        <v>36.4</v>
      </c>
      <c r="L69" s="4222">
        <v>5466.37</v>
      </c>
      <c r="M69" s="4225">
        <v>39086.775000000001</v>
      </c>
      <c r="N69" s="4210">
        <v>32421.935000000001</v>
      </c>
      <c r="O69" s="1965"/>
      <c r="P69" s="1438"/>
      <c r="Q69" s="1438"/>
      <c r="R69" s="1438"/>
      <c r="S69" s="1438"/>
      <c r="T69" s="1438"/>
      <c r="U69" s="1420"/>
      <c r="V69" s="1438"/>
      <c r="W69" s="1420"/>
      <c r="X69" s="1438"/>
      <c r="Y69" s="1420"/>
      <c r="Z69" s="1438"/>
    </row>
    <row r="70" spans="1:63" ht="24" customHeight="1" x14ac:dyDescent="0.3">
      <c r="B70" s="3352">
        <v>21</v>
      </c>
      <c r="C70" s="3353" t="s">
        <v>348</v>
      </c>
      <c r="D70" s="4253" t="s">
        <v>1644</v>
      </c>
      <c r="E70" s="4253" t="s">
        <v>1640</v>
      </c>
      <c r="F70" s="4258" t="s">
        <v>2109</v>
      </c>
      <c r="G70" s="4420">
        <v>2019</v>
      </c>
      <c r="H70" s="1935"/>
      <c r="I70" s="4228">
        <v>0</v>
      </c>
      <c r="J70" s="4215">
        <v>6226</v>
      </c>
      <c r="K70" s="4208">
        <v>9991</v>
      </c>
      <c r="L70" s="4208">
        <v>991</v>
      </c>
      <c r="M70" s="4208">
        <v>966</v>
      </c>
      <c r="N70" s="4208">
        <v>3444</v>
      </c>
      <c r="O70" s="1967"/>
      <c r="P70" s="1444"/>
      <c r="Q70" s="1444"/>
      <c r="R70" s="1444"/>
      <c r="S70" s="1444"/>
      <c r="T70" s="1444"/>
      <c r="U70" s="1935"/>
      <c r="V70" s="1444"/>
      <c r="W70" s="1935"/>
      <c r="X70" s="1444"/>
      <c r="Y70" s="1935"/>
      <c r="Z70" s="1444"/>
    </row>
    <row r="71" spans="1:63" ht="24" customHeight="1" x14ac:dyDescent="0.3">
      <c r="B71" s="3352"/>
      <c r="C71" s="3353" t="s">
        <v>1638</v>
      </c>
      <c r="D71" s="4253" t="s">
        <v>1645</v>
      </c>
      <c r="E71" s="4253" t="s">
        <v>1637</v>
      </c>
      <c r="F71" s="4258" t="s">
        <v>2110</v>
      </c>
      <c r="G71" s="4420"/>
      <c r="H71" s="1935"/>
      <c r="I71" s="4228">
        <v>0</v>
      </c>
      <c r="J71" s="4216">
        <v>2832.83</v>
      </c>
      <c r="K71" s="4208">
        <v>4545.9049999999997</v>
      </c>
      <c r="L71" s="4208">
        <v>450.90500000000003</v>
      </c>
      <c r="M71" s="4208">
        <v>439.53000000000003</v>
      </c>
      <c r="N71" s="4208">
        <v>1567.02</v>
      </c>
      <c r="O71" s="1967"/>
      <c r="P71" s="1444"/>
      <c r="Q71" s="1444"/>
      <c r="R71" s="1444"/>
      <c r="S71" s="1444"/>
      <c r="T71" s="1444"/>
      <c r="U71" s="1935"/>
      <c r="V71" s="1444"/>
      <c r="W71" s="1935"/>
      <c r="X71" s="1444"/>
      <c r="Y71" s="1935"/>
      <c r="Z71" s="1444"/>
    </row>
    <row r="72" spans="1:63" ht="24" customHeight="1" x14ac:dyDescent="0.3">
      <c r="B72" s="3352">
        <v>22</v>
      </c>
      <c r="C72" s="3354" t="s">
        <v>348</v>
      </c>
      <c r="D72" s="4254" t="s">
        <v>1644</v>
      </c>
      <c r="E72" s="4254" t="s">
        <v>1640</v>
      </c>
      <c r="F72" s="4260" t="s">
        <v>2112</v>
      </c>
      <c r="G72" s="4419">
        <v>2021</v>
      </c>
      <c r="H72" s="1420"/>
      <c r="I72" s="4233">
        <v>67</v>
      </c>
      <c r="J72" s="4221">
        <v>78496</v>
      </c>
      <c r="K72" s="4222">
        <v>78269</v>
      </c>
      <c r="L72" s="4222">
        <v>69951</v>
      </c>
      <c r="M72" s="4210">
        <v>0</v>
      </c>
      <c r="N72" s="4210">
        <v>0</v>
      </c>
      <c r="O72" s="1965"/>
      <c r="P72" s="1438"/>
      <c r="Q72" s="1438"/>
      <c r="R72" s="1438"/>
      <c r="S72" s="1438"/>
      <c r="T72" s="1438"/>
      <c r="U72" s="1420"/>
      <c r="V72" s="1438"/>
      <c r="W72" s="1420"/>
      <c r="X72" s="1438"/>
      <c r="Y72" s="1420"/>
      <c r="Z72" s="1438"/>
    </row>
    <row r="73" spans="1:63" ht="24" customHeight="1" x14ac:dyDescent="0.3">
      <c r="B73" s="3352"/>
      <c r="C73" s="3354" t="s">
        <v>1638</v>
      </c>
      <c r="D73" s="4254" t="s">
        <v>1645</v>
      </c>
      <c r="E73" s="4254" t="s">
        <v>1637</v>
      </c>
      <c r="F73" s="4260" t="s">
        <v>2113</v>
      </c>
      <c r="G73" s="4419"/>
      <c r="H73" s="1420"/>
      <c r="I73" s="4239">
        <f>I72*E111</f>
        <v>30.484999999999999</v>
      </c>
      <c r="J73" s="4213">
        <v>78496</v>
      </c>
      <c r="K73" s="4210">
        <v>35612.395000000004</v>
      </c>
      <c r="L73" s="4210">
        <v>31827.705000000002</v>
      </c>
      <c r="M73" s="4210">
        <v>0</v>
      </c>
      <c r="N73" s="4210">
        <v>0</v>
      </c>
      <c r="O73" s="1965"/>
      <c r="P73" s="1438"/>
      <c r="Q73" s="1438"/>
      <c r="R73" s="1438"/>
      <c r="S73" s="1438"/>
      <c r="T73" s="1438"/>
      <c r="U73" s="1420"/>
      <c r="V73" s="1438"/>
      <c r="W73" s="1420"/>
      <c r="X73" s="1438"/>
      <c r="Y73" s="1420"/>
      <c r="Z73" s="1438"/>
    </row>
    <row r="74" spans="1:63" ht="24" customHeight="1" x14ac:dyDescent="0.3">
      <c r="B74" s="3352"/>
      <c r="C74" s="3354" t="s">
        <v>1638</v>
      </c>
      <c r="D74" s="4254" t="s">
        <v>1645</v>
      </c>
      <c r="E74" s="4254" t="s">
        <v>1637</v>
      </c>
      <c r="F74" s="4260" t="s">
        <v>2114</v>
      </c>
      <c r="G74" s="4419"/>
      <c r="H74" s="1420"/>
      <c r="I74" s="4233">
        <v>0</v>
      </c>
      <c r="J74" s="4214">
        <v>6162.0416676723462</v>
      </c>
      <c r="K74" s="4210">
        <v>0</v>
      </c>
      <c r="L74" s="4210">
        <v>0</v>
      </c>
      <c r="M74" s="4210">
        <v>0</v>
      </c>
      <c r="N74" s="4210">
        <v>0</v>
      </c>
      <c r="O74" s="1965"/>
      <c r="P74" s="1438"/>
      <c r="Q74" s="1438"/>
      <c r="R74" s="1438"/>
      <c r="S74" s="1438"/>
      <c r="T74" s="1438"/>
      <c r="U74" s="1420"/>
      <c r="V74" s="1438"/>
      <c r="W74" s="1420"/>
      <c r="X74" s="1438"/>
      <c r="Y74" s="1420"/>
      <c r="Z74" s="1438"/>
    </row>
    <row r="75" spans="1:63" ht="24" customHeight="1" x14ac:dyDescent="0.3">
      <c r="B75" s="3352">
        <v>23</v>
      </c>
      <c r="C75" s="3353" t="s">
        <v>348</v>
      </c>
      <c r="D75" s="4253" t="s">
        <v>1644</v>
      </c>
      <c r="E75" s="4253" t="s">
        <v>1640</v>
      </c>
      <c r="F75" s="4258" t="s">
        <v>2115</v>
      </c>
      <c r="G75" s="4420">
        <v>2023</v>
      </c>
      <c r="H75" s="1935"/>
      <c r="I75" s="4228">
        <v>49269</v>
      </c>
      <c r="J75" s="4215">
        <v>26635</v>
      </c>
      <c r="K75" s="3379">
        <v>0</v>
      </c>
      <c r="L75" s="3379">
        <v>0</v>
      </c>
      <c r="M75" s="3379">
        <v>0</v>
      </c>
      <c r="N75" s="3379">
        <v>0</v>
      </c>
      <c r="O75" s="3368"/>
      <c r="P75" s="3368"/>
      <c r="Q75" s="3368"/>
      <c r="R75" s="3368"/>
      <c r="S75" s="3369"/>
      <c r="T75" s="3369"/>
      <c r="U75" s="3370"/>
      <c r="V75" s="3369"/>
      <c r="W75" s="3370"/>
      <c r="X75" s="3369"/>
      <c r="Y75" s="3370"/>
      <c r="Z75" s="3371"/>
    </row>
    <row r="76" spans="1:63" ht="24" customHeight="1" x14ac:dyDescent="0.3">
      <c r="B76" s="3352"/>
      <c r="C76" s="3353" t="s">
        <v>1638</v>
      </c>
      <c r="D76" s="4253" t="s">
        <v>1645</v>
      </c>
      <c r="E76" s="4253" t="s">
        <v>1637</v>
      </c>
      <c r="F76" s="4258" t="s">
        <v>2116</v>
      </c>
      <c r="G76" s="4420"/>
      <c r="H76" s="1935"/>
      <c r="I76" s="4228">
        <f>I75*E111+217</f>
        <v>22634.395</v>
      </c>
      <c r="J76" s="4215">
        <v>12118.925000000001</v>
      </c>
      <c r="K76" s="3379">
        <v>0</v>
      </c>
      <c r="L76" s="3379">
        <v>0</v>
      </c>
      <c r="M76" s="3379">
        <v>0</v>
      </c>
      <c r="N76" s="3379">
        <v>0</v>
      </c>
      <c r="O76" s="3372"/>
      <c r="P76" s="3372"/>
      <c r="Q76" s="3372"/>
      <c r="R76" s="3372"/>
      <c r="S76" s="1447"/>
      <c r="T76" s="1447"/>
      <c r="U76" s="1447"/>
      <c r="V76" s="1447"/>
      <c r="W76" s="1447"/>
      <c r="X76" s="1447"/>
      <c r="Y76" s="1447"/>
      <c r="Z76" s="1935"/>
    </row>
    <row r="77" spans="1:63" ht="24" customHeight="1" x14ac:dyDescent="0.3">
      <c r="B77" s="3352"/>
      <c r="C77" s="3353" t="s">
        <v>1638</v>
      </c>
      <c r="D77" s="4253" t="s">
        <v>1645</v>
      </c>
      <c r="E77" s="4253" t="s">
        <v>1637</v>
      </c>
      <c r="F77" s="4258" t="s">
        <v>2117</v>
      </c>
      <c r="G77" s="4420"/>
      <c r="H77" s="1935"/>
      <c r="I77" s="4234">
        <v>6162.0416676723462</v>
      </c>
      <c r="J77" s="4216">
        <v>6162.0416676723462</v>
      </c>
      <c r="K77" s="3379">
        <v>0</v>
      </c>
      <c r="L77" s="3379">
        <v>0</v>
      </c>
      <c r="M77" s="3379">
        <v>0</v>
      </c>
      <c r="N77" s="3379">
        <v>0</v>
      </c>
      <c r="O77" s="3372"/>
      <c r="P77" s="3372"/>
      <c r="Q77" s="3372"/>
      <c r="R77" s="3372"/>
      <c r="S77" s="1447"/>
      <c r="T77" s="1447"/>
      <c r="U77" s="1447"/>
      <c r="V77" s="1447"/>
      <c r="W77" s="1447"/>
      <c r="X77" s="1447"/>
      <c r="Y77" s="1447"/>
      <c r="Z77" s="1935"/>
    </row>
    <row r="78" spans="1:63" s="3363" customFormat="1" ht="24" customHeight="1" x14ac:dyDescent="0.3">
      <c r="A78" s="1336"/>
      <c r="B78" s="3352">
        <v>24</v>
      </c>
      <c r="C78" s="3354" t="s">
        <v>348</v>
      </c>
      <c r="D78" s="4254" t="s">
        <v>1639</v>
      </c>
      <c r="E78" s="4254" t="s">
        <v>1640</v>
      </c>
      <c r="F78" s="4257" t="s">
        <v>2118</v>
      </c>
      <c r="G78" s="4419">
        <v>2023</v>
      </c>
      <c r="H78" s="1420"/>
      <c r="I78" s="4233">
        <v>240</v>
      </c>
      <c r="J78" s="4221">
        <v>1890</v>
      </c>
      <c r="K78" s="1442">
        <v>0</v>
      </c>
      <c r="L78" s="1442">
        <v>0</v>
      </c>
      <c r="M78" s="1442">
        <v>0</v>
      </c>
      <c r="N78" s="1442">
        <v>0</v>
      </c>
      <c r="O78" s="3373"/>
      <c r="P78" s="3373"/>
      <c r="Q78" s="3373"/>
      <c r="R78" s="3373"/>
      <c r="S78" s="3374"/>
      <c r="T78" s="3374"/>
      <c r="U78" s="3374"/>
      <c r="V78" s="3374"/>
      <c r="W78" s="3374"/>
      <c r="X78" s="3374"/>
      <c r="Y78" s="3374"/>
      <c r="Z78" s="3362"/>
      <c r="AA78" s="1336"/>
      <c r="AB78" s="1336"/>
      <c r="AC78" s="1336"/>
      <c r="AD78" s="1336"/>
      <c r="AE78" s="1336"/>
      <c r="AF78" s="1336"/>
      <c r="AG78" s="1336"/>
      <c r="AH78" s="1336"/>
      <c r="AI78" s="1336"/>
      <c r="AJ78" s="1336"/>
      <c r="AK78" s="1336"/>
      <c r="AL78" s="1336"/>
      <c r="AM78" s="1336"/>
      <c r="AN78" s="1336"/>
      <c r="AO78" s="1336"/>
      <c r="AP78" s="1336"/>
      <c r="AQ78" s="1336"/>
      <c r="AR78" s="1336"/>
      <c r="AS78" s="1336"/>
      <c r="AT78" s="1336"/>
      <c r="AU78" s="1336"/>
      <c r="AV78" s="1336"/>
      <c r="AW78" s="1336"/>
      <c r="AX78" s="1336"/>
      <c r="AY78" s="1336"/>
      <c r="AZ78" s="1336"/>
      <c r="BA78" s="1336"/>
      <c r="BB78" s="1336"/>
      <c r="BC78" s="1336"/>
      <c r="BD78" s="1336"/>
      <c r="BE78" s="1336"/>
      <c r="BF78" s="1336"/>
      <c r="BG78" s="1336"/>
      <c r="BH78" s="1336"/>
      <c r="BI78" s="1336"/>
      <c r="BJ78" s="1336"/>
      <c r="BK78" s="1336"/>
    </row>
    <row r="79" spans="1:63" s="3363" customFormat="1" ht="24" customHeight="1" x14ac:dyDescent="0.3">
      <c r="A79" s="1336"/>
      <c r="B79" s="3352"/>
      <c r="C79" s="3354" t="s">
        <v>1638</v>
      </c>
      <c r="D79" s="4254" t="s">
        <v>1641</v>
      </c>
      <c r="E79" s="4254" t="s">
        <v>1637</v>
      </c>
      <c r="F79" s="4257" t="s">
        <v>2119</v>
      </c>
      <c r="G79" s="4419"/>
      <c r="H79" s="3404"/>
      <c r="I79" s="4232">
        <f>I78*E111</f>
        <v>109.2</v>
      </c>
      <c r="J79" s="4211">
        <v>859.95</v>
      </c>
      <c r="K79" s="1442">
        <v>0</v>
      </c>
      <c r="L79" s="1442">
        <v>0</v>
      </c>
      <c r="M79" s="1442">
        <v>0</v>
      </c>
      <c r="N79" s="1442">
        <v>0</v>
      </c>
      <c r="O79" s="3373"/>
      <c r="P79" s="3373"/>
      <c r="Q79" s="3373"/>
      <c r="R79" s="3373"/>
      <c r="S79" s="3374"/>
      <c r="T79" s="3374"/>
      <c r="U79" s="3374"/>
      <c r="V79" s="3374"/>
      <c r="W79" s="3374"/>
      <c r="X79" s="3374"/>
      <c r="Y79" s="3374"/>
      <c r="Z79" s="3362"/>
      <c r="AA79" s="1336"/>
      <c r="AB79" s="1336"/>
      <c r="AC79" s="1336"/>
      <c r="AD79" s="1336"/>
      <c r="AE79" s="1336"/>
      <c r="AF79" s="1336"/>
      <c r="AG79" s="1336"/>
      <c r="AH79" s="1336"/>
      <c r="AI79" s="1336"/>
      <c r="AJ79" s="1336"/>
      <c r="AK79" s="1336"/>
      <c r="AL79" s="1336"/>
      <c r="AM79" s="1336"/>
      <c r="AN79" s="1336"/>
      <c r="AO79" s="1336"/>
      <c r="AP79" s="1336"/>
      <c r="AQ79" s="1336"/>
      <c r="AR79" s="1336"/>
      <c r="AS79" s="1336"/>
      <c r="AT79" s="1336"/>
      <c r="AU79" s="1336"/>
      <c r="AV79" s="1336"/>
      <c r="AW79" s="1336"/>
      <c r="AX79" s="1336"/>
      <c r="AY79" s="1336"/>
      <c r="AZ79" s="1336"/>
      <c r="BA79" s="1336"/>
      <c r="BB79" s="1336"/>
      <c r="BC79" s="1336"/>
      <c r="BD79" s="1336"/>
      <c r="BE79" s="1336"/>
      <c r="BF79" s="1336"/>
      <c r="BG79" s="1336"/>
      <c r="BH79" s="1336"/>
      <c r="BI79" s="1336"/>
      <c r="BJ79" s="1336"/>
      <c r="BK79" s="1336"/>
    </row>
    <row r="80" spans="1:63" s="3363" customFormat="1" ht="24" hidden="1" customHeight="1" x14ac:dyDescent="0.3">
      <c r="A80" s="1336"/>
      <c r="B80" s="3401">
        <v>28</v>
      </c>
      <c r="C80" s="3353" t="s">
        <v>348</v>
      </c>
      <c r="D80" s="4253" t="s">
        <v>1636</v>
      </c>
      <c r="E80" s="4253" t="s">
        <v>1637</v>
      </c>
      <c r="F80" s="4253" t="s">
        <v>1646</v>
      </c>
      <c r="G80" s="4246">
        <v>2024</v>
      </c>
      <c r="H80" s="3375"/>
      <c r="I80" s="4240">
        <v>31</v>
      </c>
      <c r="J80" s="3378">
        <v>0</v>
      </c>
      <c r="K80" s="3379">
        <v>0</v>
      </c>
      <c r="L80" s="3379">
        <v>0</v>
      </c>
      <c r="M80" s="3379">
        <v>0</v>
      </c>
      <c r="N80" s="3379">
        <v>0</v>
      </c>
      <c r="O80" s="3373"/>
      <c r="P80" s="3373"/>
      <c r="Q80" s="3373"/>
      <c r="R80" s="3373"/>
      <c r="S80" s="3374"/>
      <c r="T80" s="3374"/>
      <c r="U80" s="3374"/>
      <c r="V80" s="3374"/>
      <c r="W80" s="3374"/>
      <c r="X80" s="3374"/>
      <c r="Y80" s="3374"/>
      <c r="Z80" s="3362"/>
      <c r="AA80" s="1336"/>
      <c r="AB80" s="1336"/>
      <c r="AC80" s="1336"/>
      <c r="AD80" s="1336"/>
      <c r="AE80" s="1336"/>
      <c r="AF80" s="1336"/>
      <c r="AG80" s="1336"/>
      <c r="AH80" s="1336"/>
      <c r="AI80" s="1336"/>
      <c r="AJ80" s="1336"/>
      <c r="AK80" s="1336"/>
      <c r="AL80" s="1336"/>
      <c r="AM80" s="1336"/>
      <c r="AN80" s="1336"/>
      <c r="AO80" s="1336"/>
      <c r="AP80" s="1336"/>
      <c r="AQ80" s="1336"/>
      <c r="AR80" s="1336"/>
      <c r="AS80" s="1336"/>
      <c r="AT80" s="1336"/>
      <c r="AU80" s="1336"/>
      <c r="AV80" s="1336"/>
      <c r="AW80" s="1336"/>
      <c r="AX80" s="1336"/>
      <c r="AY80" s="1336"/>
      <c r="AZ80" s="1336"/>
      <c r="BA80" s="1336"/>
      <c r="BB80" s="1336"/>
      <c r="BC80" s="1336"/>
      <c r="BD80" s="1336"/>
      <c r="BE80" s="1336"/>
      <c r="BF80" s="1336"/>
      <c r="BG80" s="1336"/>
      <c r="BH80" s="1336"/>
      <c r="BI80" s="1336"/>
      <c r="BJ80" s="1336"/>
      <c r="BK80" s="1336"/>
    </row>
    <row r="81" spans="1:63" s="3363" customFormat="1" ht="24" hidden="1" customHeight="1" x14ac:dyDescent="0.3">
      <c r="A81" s="1336"/>
      <c r="B81" s="3401">
        <v>29</v>
      </c>
      <c r="C81" s="3364" t="s">
        <v>348</v>
      </c>
      <c r="D81" s="4256" t="s">
        <v>1636</v>
      </c>
      <c r="E81" s="4266" t="s">
        <v>1637</v>
      </c>
      <c r="F81" s="4261" t="s">
        <v>1647</v>
      </c>
      <c r="G81" s="4250">
        <v>2024</v>
      </c>
      <c r="H81" s="3375"/>
      <c r="I81" s="4241">
        <v>469</v>
      </c>
      <c r="J81" s="3377">
        <v>0</v>
      </c>
      <c r="K81" s="1442">
        <v>0</v>
      </c>
      <c r="L81" s="1442">
        <v>0</v>
      </c>
      <c r="M81" s="1442">
        <v>0</v>
      </c>
      <c r="N81" s="1442">
        <v>0</v>
      </c>
      <c r="O81" s="1438">
        <v>0</v>
      </c>
      <c r="P81" s="1438">
        <v>0</v>
      </c>
      <c r="Q81" s="1438">
        <v>0</v>
      </c>
      <c r="R81" s="1438">
        <v>0</v>
      </c>
      <c r="S81" s="1438">
        <v>0</v>
      </c>
      <c r="T81" s="1438">
        <v>0</v>
      </c>
      <c r="U81" s="1438">
        <v>0</v>
      </c>
      <c r="V81" s="1438">
        <v>0</v>
      </c>
      <c r="W81" s="1438">
        <v>0</v>
      </c>
      <c r="X81" s="1438">
        <v>0</v>
      </c>
      <c r="Y81" s="1438">
        <v>0</v>
      </c>
      <c r="Z81" s="1438">
        <v>0</v>
      </c>
      <c r="AA81" s="1336"/>
      <c r="AB81" s="1336"/>
      <c r="AC81" s="1336"/>
      <c r="AD81" s="1336"/>
      <c r="AE81" s="1336"/>
      <c r="AF81" s="1336"/>
      <c r="AG81" s="1336"/>
      <c r="AH81" s="1336"/>
      <c r="AI81" s="1336"/>
      <c r="AJ81" s="1336"/>
      <c r="AK81" s="1336"/>
      <c r="AL81" s="1336"/>
      <c r="AM81" s="1336"/>
      <c r="AN81" s="1336"/>
      <c r="AO81" s="1336"/>
      <c r="AP81" s="1336"/>
      <c r="AQ81" s="1336"/>
      <c r="AR81" s="1336"/>
      <c r="AS81" s="1336"/>
      <c r="AT81" s="1336"/>
      <c r="AU81" s="1336"/>
      <c r="AV81" s="1336"/>
      <c r="AW81" s="1336"/>
      <c r="AX81" s="1336"/>
      <c r="AY81" s="1336"/>
      <c r="AZ81" s="1336"/>
      <c r="BA81" s="1336"/>
      <c r="BB81" s="1336"/>
      <c r="BC81" s="1336"/>
      <c r="BD81" s="1336"/>
      <c r="BE81" s="1336"/>
      <c r="BF81" s="1336"/>
      <c r="BG81" s="1336"/>
      <c r="BH81" s="1336"/>
      <c r="BI81" s="1336"/>
      <c r="BJ81" s="1336"/>
      <c r="BK81" s="1336"/>
    </row>
    <row r="82" spans="1:63" s="3363" customFormat="1" ht="24" hidden="1" customHeight="1" x14ac:dyDescent="0.3">
      <c r="A82" s="1336"/>
      <c r="B82" s="3401">
        <v>30</v>
      </c>
      <c r="C82" s="3353" t="s">
        <v>348</v>
      </c>
      <c r="D82" s="4253" t="s">
        <v>1636</v>
      </c>
      <c r="E82" s="4253" t="s">
        <v>1637</v>
      </c>
      <c r="F82" s="4253" t="s">
        <v>1648</v>
      </c>
      <c r="G82" s="4246">
        <v>2024</v>
      </c>
      <c r="H82" s="3375"/>
      <c r="I82" s="4240">
        <v>41</v>
      </c>
      <c r="J82" s="3378">
        <v>0</v>
      </c>
      <c r="K82" s="3379">
        <v>0</v>
      </c>
      <c r="L82" s="3379">
        <v>0</v>
      </c>
      <c r="M82" s="3379">
        <v>0</v>
      </c>
      <c r="N82" s="3379">
        <v>0</v>
      </c>
      <c r="O82" s="3373"/>
      <c r="P82" s="3373"/>
      <c r="Q82" s="3373"/>
      <c r="R82" s="3373"/>
      <c r="S82" s="3374"/>
      <c r="T82" s="3374"/>
      <c r="U82" s="3374"/>
      <c r="V82" s="3374"/>
      <c r="W82" s="3374"/>
      <c r="X82" s="3374"/>
      <c r="Y82" s="3374"/>
      <c r="Z82" s="3362"/>
      <c r="AA82" s="1336"/>
      <c r="AB82" s="1336"/>
      <c r="AC82" s="1336"/>
      <c r="AD82" s="1336"/>
      <c r="AE82" s="1336"/>
      <c r="AF82" s="1336"/>
      <c r="AG82" s="1336"/>
      <c r="AH82" s="1336"/>
      <c r="AI82" s="1336"/>
      <c r="AJ82" s="1336"/>
      <c r="AK82" s="1336"/>
      <c r="AL82" s="1336"/>
      <c r="AM82" s="1336"/>
      <c r="AN82" s="1336"/>
      <c r="AO82" s="1336"/>
      <c r="AP82" s="1336"/>
      <c r="AQ82" s="1336"/>
      <c r="AR82" s="1336"/>
      <c r="AS82" s="1336"/>
      <c r="AT82" s="1336"/>
      <c r="AU82" s="1336"/>
      <c r="AV82" s="1336"/>
      <c r="AW82" s="1336"/>
      <c r="AX82" s="1336"/>
      <c r="AY82" s="1336"/>
      <c r="AZ82" s="1336"/>
      <c r="BA82" s="1336"/>
      <c r="BB82" s="1336"/>
      <c r="BC82" s="1336"/>
      <c r="BD82" s="1336"/>
      <c r="BE82" s="1336"/>
      <c r="BF82" s="1336"/>
      <c r="BG82" s="1336"/>
      <c r="BH82" s="1336"/>
      <c r="BI82" s="1336"/>
      <c r="BJ82" s="1336"/>
      <c r="BK82" s="1336"/>
    </row>
    <row r="83" spans="1:63" s="3363" customFormat="1" ht="24" hidden="1" customHeight="1" x14ac:dyDescent="0.3">
      <c r="A83" s="1336"/>
      <c r="B83" s="3401">
        <v>31</v>
      </c>
      <c r="C83" s="3364" t="s">
        <v>348</v>
      </c>
      <c r="D83" s="4256" t="s">
        <v>1649</v>
      </c>
      <c r="E83" s="4266" t="s">
        <v>1637</v>
      </c>
      <c r="F83" s="4261" t="s">
        <v>1650</v>
      </c>
      <c r="G83" s="4250">
        <v>2024</v>
      </c>
      <c r="H83" s="3375"/>
      <c r="I83" s="4241">
        <f>140+(50*E111)</f>
        <v>162.75</v>
      </c>
      <c r="J83" s="3377">
        <v>0</v>
      </c>
      <c r="K83" s="1442">
        <v>0</v>
      </c>
      <c r="L83" s="1442">
        <v>0</v>
      </c>
      <c r="M83" s="1442">
        <v>0</v>
      </c>
      <c r="N83" s="1442">
        <v>0</v>
      </c>
      <c r="O83" s="3373"/>
      <c r="P83" s="3373"/>
      <c r="Q83" s="3373"/>
      <c r="R83" s="3373"/>
      <c r="S83" s="3374"/>
      <c r="T83" s="3374"/>
      <c r="U83" s="3374"/>
      <c r="V83" s="3374"/>
      <c r="W83" s="3374"/>
      <c r="X83" s="3374"/>
      <c r="Y83" s="3374"/>
      <c r="Z83" s="3362"/>
      <c r="AA83" s="1336"/>
      <c r="AB83" s="1336"/>
      <c r="AC83" s="1336"/>
      <c r="AD83" s="1336"/>
      <c r="AE83" s="1336"/>
      <c r="AF83" s="1336"/>
      <c r="AG83" s="1336"/>
      <c r="AH83" s="1336"/>
      <c r="AI83" s="1336"/>
      <c r="AJ83" s="1336"/>
      <c r="AK83" s="1336"/>
      <c r="AL83" s="1336"/>
      <c r="AM83" s="1336"/>
      <c r="AN83" s="1336"/>
      <c r="AO83" s="1336"/>
      <c r="AP83" s="1336"/>
      <c r="AQ83" s="1336"/>
      <c r="AR83" s="1336"/>
      <c r="AS83" s="1336"/>
      <c r="AT83" s="1336"/>
      <c r="AU83" s="1336"/>
      <c r="AV83" s="1336"/>
      <c r="AW83" s="1336"/>
      <c r="AX83" s="1336"/>
      <c r="AY83" s="1336"/>
      <c r="AZ83" s="1336"/>
      <c r="BA83" s="1336"/>
      <c r="BB83" s="1336"/>
      <c r="BC83" s="1336"/>
      <c r="BD83" s="1336"/>
      <c r="BE83" s="1336"/>
      <c r="BF83" s="1336"/>
      <c r="BG83" s="1336"/>
      <c r="BH83" s="1336"/>
      <c r="BI83" s="1336"/>
      <c r="BJ83" s="1336"/>
      <c r="BK83" s="1336"/>
    </row>
    <row r="84" spans="1:63" s="3363" customFormat="1" ht="24" hidden="1" customHeight="1" x14ac:dyDescent="0.3">
      <c r="A84" s="1336"/>
      <c r="B84" s="3401">
        <v>32</v>
      </c>
      <c r="C84" s="3353" t="s">
        <v>348</v>
      </c>
      <c r="D84" s="4253" t="s">
        <v>1636</v>
      </c>
      <c r="E84" s="4253" t="s">
        <v>1637</v>
      </c>
      <c r="F84" s="4253" t="s">
        <v>1651</v>
      </c>
      <c r="G84" s="4246">
        <v>2024</v>
      </c>
      <c r="H84" s="3375"/>
      <c r="I84" s="4240">
        <v>7</v>
      </c>
      <c r="J84" s="3378">
        <v>0</v>
      </c>
      <c r="K84" s="3379">
        <v>0</v>
      </c>
      <c r="L84" s="3379">
        <v>0</v>
      </c>
      <c r="M84" s="3379">
        <v>0</v>
      </c>
      <c r="N84" s="3379">
        <v>0</v>
      </c>
      <c r="O84" s="3373"/>
      <c r="P84" s="3373"/>
      <c r="Q84" s="3373"/>
      <c r="R84" s="3373"/>
      <c r="S84" s="3374"/>
      <c r="T84" s="3374"/>
      <c r="U84" s="3374"/>
      <c r="V84" s="3374"/>
      <c r="W84" s="3374"/>
      <c r="X84" s="3374"/>
      <c r="Y84" s="3374"/>
      <c r="Z84" s="3362"/>
      <c r="AA84" s="1336"/>
      <c r="AB84" s="1336"/>
      <c r="AC84" s="1336"/>
      <c r="AD84" s="1336"/>
      <c r="AE84" s="1336"/>
      <c r="AF84" s="1336"/>
      <c r="AG84" s="1336"/>
      <c r="AH84" s="1336"/>
      <c r="AI84" s="1336"/>
      <c r="AJ84" s="1336"/>
      <c r="AK84" s="1336"/>
      <c r="AL84" s="1336"/>
      <c r="AM84" s="1336"/>
      <c r="AN84" s="1336"/>
      <c r="AO84" s="1336"/>
      <c r="AP84" s="1336"/>
      <c r="AQ84" s="1336"/>
      <c r="AR84" s="1336"/>
      <c r="AS84" s="1336"/>
      <c r="AT84" s="1336"/>
      <c r="AU84" s="1336"/>
      <c r="AV84" s="1336"/>
      <c r="AW84" s="1336"/>
      <c r="AX84" s="1336"/>
      <c r="AY84" s="1336"/>
      <c r="AZ84" s="1336"/>
      <c r="BA84" s="1336"/>
      <c r="BB84" s="1336"/>
      <c r="BC84" s="1336"/>
      <c r="BD84" s="1336"/>
      <c r="BE84" s="1336"/>
      <c r="BF84" s="1336"/>
      <c r="BG84" s="1336"/>
      <c r="BH84" s="1336"/>
      <c r="BI84" s="1336"/>
      <c r="BJ84" s="1336"/>
      <c r="BK84" s="1336"/>
    </row>
    <row r="85" spans="1:63" s="3363" customFormat="1" ht="24" hidden="1" customHeight="1" x14ac:dyDescent="0.3">
      <c r="A85" s="1336"/>
      <c r="B85" s="3401">
        <v>33</v>
      </c>
      <c r="C85" s="3364" t="s">
        <v>348</v>
      </c>
      <c r="D85" s="4256" t="s">
        <v>1636</v>
      </c>
      <c r="E85" s="4266" t="s">
        <v>1637</v>
      </c>
      <c r="F85" s="4262" t="s">
        <v>1652</v>
      </c>
      <c r="G85" s="4250">
        <v>2024</v>
      </c>
      <c r="H85" s="3375"/>
      <c r="I85" s="4241">
        <v>171</v>
      </c>
      <c r="J85" s="3377">
        <v>0</v>
      </c>
      <c r="K85" s="1442">
        <v>0</v>
      </c>
      <c r="L85" s="1442">
        <v>0</v>
      </c>
      <c r="M85" s="1442">
        <v>0</v>
      </c>
      <c r="N85" s="1442">
        <v>0</v>
      </c>
      <c r="O85" s="3373"/>
      <c r="P85" s="3373"/>
      <c r="Q85" s="3373"/>
      <c r="R85" s="3373"/>
      <c r="S85" s="3374"/>
      <c r="T85" s="3374"/>
      <c r="U85" s="3374"/>
      <c r="V85" s="3374"/>
      <c r="W85" s="3374"/>
      <c r="X85" s="3374"/>
      <c r="Y85" s="3374"/>
      <c r="Z85" s="3362"/>
      <c r="AA85" s="1336"/>
      <c r="AB85" s="1336"/>
      <c r="AC85" s="1336"/>
      <c r="AD85" s="1336"/>
      <c r="AE85" s="1336"/>
      <c r="AF85" s="1336"/>
      <c r="AG85" s="1336"/>
      <c r="AH85" s="1336"/>
      <c r="AI85" s="1336"/>
      <c r="AJ85" s="1336"/>
      <c r="AK85" s="1336"/>
      <c r="AL85" s="1336"/>
      <c r="AM85" s="1336"/>
      <c r="AN85" s="1336"/>
      <c r="AO85" s="1336"/>
      <c r="AP85" s="1336"/>
      <c r="AQ85" s="1336"/>
      <c r="AR85" s="1336"/>
      <c r="AS85" s="1336"/>
      <c r="AT85" s="1336"/>
      <c r="AU85" s="1336"/>
      <c r="AV85" s="1336"/>
      <c r="AW85" s="1336"/>
      <c r="AX85" s="1336"/>
      <c r="AY85" s="1336"/>
      <c r="AZ85" s="1336"/>
      <c r="BA85" s="1336"/>
      <c r="BB85" s="1336"/>
      <c r="BC85" s="1336"/>
      <c r="BD85" s="1336"/>
      <c r="BE85" s="1336"/>
      <c r="BF85" s="1336"/>
      <c r="BG85" s="1336"/>
      <c r="BH85" s="1336"/>
      <c r="BI85" s="1336"/>
      <c r="BJ85" s="1336"/>
      <c r="BK85" s="1336"/>
    </row>
    <row r="86" spans="1:63" s="3363" customFormat="1" ht="24" hidden="1" customHeight="1" x14ac:dyDescent="0.3">
      <c r="A86" s="1336"/>
      <c r="B86" s="3401">
        <v>34</v>
      </c>
      <c r="C86" s="3353" t="s">
        <v>348</v>
      </c>
      <c r="D86" s="4253" t="s">
        <v>1636</v>
      </c>
      <c r="E86" s="4253" t="s">
        <v>1637</v>
      </c>
      <c r="F86" s="4253" t="s">
        <v>1653</v>
      </c>
      <c r="G86" s="4246">
        <v>2024</v>
      </c>
      <c r="H86" s="3375"/>
      <c r="I86" s="4240">
        <v>852</v>
      </c>
      <c r="J86" s="3378">
        <v>0</v>
      </c>
      <c r="K86" s="3379">
        <v>0</v>
      </c>
      <c r="L86" s="3379">
        <v>0</v>
      </c>
      <c r="M86" s="3379">
        <v>0</v>
      </c>
      <c r="N86" s="3379">
        <v>0</v>
      </c>
      <c r="O86" s="3373"/>
      <c r="P86" s="3373"/>
      <c r="Q86" s="3373"/>
      <c r="R86" s="3373"/>
      <c r="S86" s="3374"/>
      <c r="T86" s="3374"/>
      <c r="U86" s="3374"/>
      <c r="V86" s="3374"/>
      <c r="W86" s="3374"/>
      <c r="X86" s="3374"/>
      <c r="Y86" s="3374"/>
      <c r="Z86" s="3362"/>
      <c r="AA86" s="1336"/>
      <c r="AB86" s="1336"/>
      <c r="AC86" s="1336"/>
      <c r="AD86" s="1336"/>
      <c r="AE86" s="1336"/>
      <c r="AF86" s="1336"/>
      <c r="AG86" s="1336"/>
      <c r="AH86" s="1336"/>
      <c r="AI86" s="1336"/>
      <c r="AJ86" s="1336"/>
      <c r="AK86" s="1336"/>
      <c r="AL86" s="1336"/>
      <c r="AM86" s="1336"/>
      <c r="AN86" s="1336"/>
      <c r="AO86" s="1336"/>
      <c r="AP86" s="1336"/>
      <c r="AQ86" s="1336"/>
      <c r="AR86" s="1336"/>
      <c r="AS86" s="1336"/>
      <c r="AT86" s="1336"/>
      <c r="AU86" s="1336"/>
      <c r="AV86" s="1336"/>
      <c r="AW86" s="1336"/>
      <c r="AX86" s="1336"/>
      <c r="AY86" s="1336"/>
      <c r="AZ86" s="1336"/>
      <c r="BA86" s="1336"/>
      <c r="BB86" s="1336"/>
      <c r="BC86" s="1336"/>
      <c r="BD86" s="1336"/>
      <c r="BE86" s="1336"/>
      <c r="BF86" s="1336"/>
      <c r="BG86" s="1336"/>
      <c r="BH86" s="1336"/>
      <c r="BI86" s="1336"/>
      <c r="BJ86" s="1336"/>
      <c r="BK86" s="1336"/>
    </row>
    <row r="87" spans="1:63" s="3363" customFormat="1" ht="24" hidden="1" customHeight="1" x14ac:dyDescent="0.3">
      <c r="A87" s="1336"/>
      <c r="B87" s="3401">
        <v>35</v>
      </c>
      <c r="C87" s="3364" t="s">
        <v>348</v>
      </c>
      <c r="D87" s="4256" t="s">
        <v>1636</v>
      </c>
      <c r="E87" s="4266" t="s">
        <v>1637</v>
      </c>
      <c r="F87" s="4263" t="s">
        <v>1654</v>
      </c>
      <c r="G87" s="4250">
        <v>2024</v>
      </c>
      <c r="H87" s="3375"/>
      <c r="I87" s="4241">
        <v>38</v>
      </c>
      <c r="J87" s="3377">
        <v>0</v>
      </c>
      <c r="K87" s="1442">
        <v>0</v>
      </c>
      <c r="L87" s="1442">
        <v>0</v>
      </c>
      <c r="M87" s="1442">
        <v>0</v>
      </c>
      <c r="N87" s="1442">
        <v>0</v>
      </c>
      <c r="O87" s="3373"/>
      <c r="P87" s="3373"/>
      <c r="Q87" s="3373"/>
      <c r="R87" s="3373"/>
      <c r="S87" s="3374"/>
      <c r="T87" s="3374"/>
      <c r="U87" s="3374"/>
      <c r="V87" s="3374"/>
      <c r="W87" s="3374"/>
      <c r="X87" s="3374"/>
      <c r="Y87" s="3374"/>
      <c r="Z87" s="3362"/>
      <c r="AA87" s="1336"/>
      <c r="AB87" s="1336"/>
      <c r="AC87" s="1336"/>
      <c r="AD87" s="1336"/>
      <c r="AE87" s="1336"/>
      <c r="AF87" s="1336"/>
      <c r="AG87" s="1336"/>
      <c r="AH87" s="1336"/>
      <c r="AI87" s="1336"/>
      <c r="AJ87" s="1336"/>
      <c r="AK87" s="1336"/>
      <c r="AL87" s="1336"/>
      <c r="AM87" s="1336"/>
      <c r="AN87" s="1336"/>
      <c r="AO87" s="1336"/>
      <c r="AP87" s="1336"/>
      <c r="AQ87" s="1336"/>
      <c r="AR87" s="1336"/>
      <c r="AS87" s="1336"/>
      <c r="AT87" s="1336"/>
      <c r="AU87" s="1336"/>
      <c r="AV87" s="1336"/>
      <c r="AW87" s="1336"/>
      <c r="AX87" s="1336"/>
      <c r="AY87" s="1336"/>
      <c r="AZ87" s="1336"/>
      <c r="BA87" s="1336"/>
      <c r="BB87" s="1336"/>
      <c r="BC87" s="1336"/>
      <c r="BD87" s="1336"/>
      <c r="BE87" s="1336"/>
      <c r="BF87" s="1336"/>
      <c r="BG87" s="1336"/>
      <c r="BH87" s="1336"/>
      <c r="BI87" s="1336"/>
      <c r="BJ87" s="1336"/>
      <c r="BK87" s="1336"/>
    </row>
    <row r="88" spans="1:63" s="3363" customFormat="1" ht="24" hidden="1" customHeight="1" x14ac:dyDescent="0.3">
      <c r="A88" s="1336"/>
      <c r="B88" s="3401">
        <v>36</v>
      </c>
      <c r="C88" s="3353" t="s">
        <v>348</v>
      </c>
      <c r="D88" s="4253" t="s">
        <v>1636</v>
      </c>
      <c r="E88" s="4253" t="s">
        <v>1637</v>
      </c>
      <c r="F88" s="4253" t="s">
        <v>1655</v>
      </c>
      <c r="G88" s="4246">
        <v>2024</v>
      </c>
      <c r="H88" s="3375"/>
      <c r="I88" s="4240">
        <v>118</v>
      </c>
      <c r="J88" s="3378">
        <v>0</v>
      </c>
      <c r="K88" s="3379">
        <v>0</v>
      </c>
      <c r="L88" s="3379">
        <v>0</v>
      </c>
      <c r="M88" s="3379">
        <v>0</v>
      </c>
      <c r="N88" s="3379">
        <v>0</v>
      </c>
      <c r="O88" s="3373"/>
      <c r="P88" s="3373"/>
      <c r="Q88" s="3373"/>
      <c r="R88" s="3373"/>
      <c r="S88" s="3374"/>
      <c r="T88" s="3374"/>
      <c r="U88" s="3374"/>
      <c r="V88" s="3374"/>
      <c r="W88" s="3374"/>
      <c r="X88" s="3374"/>
      <c r="Y88" s="3374"/>
      <c r="Z88" s="3362"/>
      <c r="AA88" s="1336"/>
      <c r="AB88" s="1336"/>
      <c r="AC88" s="1336"/>
      <c r="AD88" s="1336"/>
      <c r="AE88" s="1336"/>
      <c r="AF88" s="1336"/>
      <c r="AG88" s="1336"/>
      <c r="AH88" s="1336"/>
      <c r="AI88" s="1336"/>
      <c r="AJ88" s="1336"/>
      <c r="AK88" s="1336"/>
      <c r="AL88" s="1336"/>
      <c r="AM88" s="1336"/>
      <c r="AN88" s="1336"/>
      <c r="AO88" s="1336"/>
      <c r="AP88" s="1336"/>
      <c r="AQ88" s="1336"/>
      <c r="AR88" s="1336"/>
      <c r="AS88" s="1336"/>
      <c r="AT88" s="1336"/>
      <c r="AU88" s="1336"/>
      <c r="AV88" s="1336"/>
      <c r="AW88" s="1336"/>
      <c r="AX88" s="1336"/>
      <c r="AY88" s="1336"/>
      <c r="AZ88" s="1336"/>
      <c r="BA88" s="1336"/>
      <c r="BB88" s="1336"/>
      <c r="BC88" s="1336"/>
      <c r="BD88" s="1336"/>
      <c r="BE88" s="1336"/>
      <c r="BF88" s="1336"/>
      <c r="BG88" s="1336"/>
      <c r="BH88" s="1336"/>
      <c r="BI88" s="1336"/>
      <c r="BJ88" s="1336"/>
      <c r="BK88" s="1336"/>
    </row>
    <row r="89" spans="1:63" s="3363" customFormat="1" ht="24" hidden="1" customHeight="1" x14ac:dyDescent="0.3">
      <c r="A89" s="1336"/>
      <c r="B89" s="3401"/>
      <c r="C89" s="3364" t="s">
        <v>348</v>
      </c>
      <c r="D89" s="4256" t="s">
        <v>1636</v>
      </c>
      <c r="E89" s="4266" t="s">
        <v>1637</v>
      </c>
      <c r="F89" s="4263" t="s">
        <v>1656</v>
      </c>
      <c r="G89" s="4250">
        <v>2024</v>
      </c>
      <c r="H89" s="3375"/>
      <c r="I89" s="4242">
        <v>621</v>
      </c>
      <c r="J89" s="3377">
        <v>0</v>
      </c>
      <c r="K89" s="1442">
        <v>0</v>
      </c>
      <c r="L89" s="1442">
        <v>0</v>
      </c>
      <c r="M89" s="1442">
        <v>0</v>
      </c>
      <c r="N89" s="1442">
        <v>0</v>
      </c>
      <c r="O89" s="3373"/>
      <c r="P89" s="3373"/>
      <c r="Q89" s="3373"/>
      <c r="R89" s="3373"/>
      <c r="S89" s="3374"/>
      <c r="T89" s="3374"/>
      <c r="U89" s="3374"/>
      <c r="V89" s="3374"/>
      <c r="W89" s="3374"/>
      <c r="X89" s="3374"/>
      <c r="Y89" s="3374"/>
      <c r="Z89" s="3362"/>
      <c r="AA89" s="1336"/>
      <c r="AB89" s="1336"/>
      <c r="AC89" s="1336"/>
      <c r="AD89" s="1336"/>
      <c r="AE89" s="1336"/>
      <c r="AF89" s="1336"/>
      <c r="AG89" s="1336"/>
      <c r="AH89" s="1336"/>
      <c r="AI89" s="1336"/>
      <c r="AJ89" s="1336"/>
      <c r="AK89" s="1336"/>
      <c r="AL89" s="1336"/>
      <c r="AM89" s="1336"/>
      <c r="AN89" s="1336"/>
      <c r="AO89" s="1336"/>
      <c r="AP89" s="1336"/>
      <c r="AQ89" s="1336"/>
      <c r="AR89" s="1336"/>
      <c r="AS89" s="1336"/>
      <c r="AT89" s="1336"/>
      <c r="AU89" s="1336"/>
      <c r="AV89" s="1336"/>
      <c r="AW89" s="1336"/>
      <c r="AX89" s="1336"/>
      <c r="AY89" s="1336"/>
      <c r="AZ89" s="1336"/>
      <c r="BA89" s="1336"/>
      <c r="BB89" s="1336"/>
      <c r="BC89" s="1336"/>
      <c r="BD89" s="1336"/>
      <c r="BE89" s="1336"/>
      <c r="BF89" s="1336"/>
      <c r="BG89" s="1336"/>
      <c r="BH89" s="1336"/>
      <c r="BI89" s="1336"/>
      <c r="BJ89" s="1336"/>
      <c r="BK89" s="1336"/>
    </row>
    <row r="90" spans="1:63" s="3363" customFormat="1" ht="24" hidden="1" customHeight="1" x14ac:dyDescent="0.3">
      <c r="A90" s="1336"/>
      <c r="B90" s="3401">
        <v>37</v>
      </c>
      <c r="C90" s="3353" t="s">
        <v>348</v>
      </c>
      <c r="D90" s="4253" t="s">
        <v>1636</v>
      </c>
      <c r="E90" s="4253" t="s">
        <v>1637</v>
      </c>
      <c r="F90" s="4253" t="s">
        <v>1657</v>
      </c>
      <c r="G90" s="4246">
        <v>2024</v>
      </c>
      <c r="H90" s="3375"/>
      <c r="I90" s="4240">
        <v>2</v>
      </c>
      <c r="J90" s="3378">
        <v>0</v>
      </c>
      <c r="K90" s="3379">
        <v>0</v>
      </c>
      <c r="L90" s="3379">
        <v>0</v>
      </c>
      <c r="M90" s="3379">
        <v>0</v>
      </c>
      <c r="N90" s="3379">
        <v>0</v>
      </c>
      <c r="O90" s="3373"/>
      <c r="P90" s="3373"/>
      <c r="Q90" s="3373"/>
      <c r="R90" s="3373"/>
      <c r="S90" s="3374"/>
      <c r="T90" s="3374"/>
      <c r="U90" s="3374"/>
      <c r="V90" s="3374"/>
      <c r="W90" s="3374"/>
      <c r="X90" s="3374"/>
      <c r="Y90" s="3374"/>
      <c r="Z90" s="3362"/>
      <c r="AA90" s="1336"/>
      <c r="AB90" s="1336"/>
      <c r="AC90" s="1336"/>
      <c r="AD90" s="1336"/>
      <c r="AE90" s="1336"/>
      <c r="AF90" s="1336"/>
      <c r="AG90" s="1336"/>
      <c r="AH90" s="1336"/>
      <c r="AI90" s="1336"/>
      <c r="AJ90" s="1336"/>
      <c r="AK90" s="1336"/>
      <c r="AL90" s="1336"/>
      <c r="AM90" s="1336"/>
      <c r="AN90" s="1336"/>
      <c r="AO90" s="1336"/>
      <c r="AP90" s="1336"/>
      <c r="AQ90" s="1336"/>
      <c r="AR90" s="1336"/>
      <c r="AS90" s="1336"/>
      <c r="AT90" s="1336"/>
      <c r="AU90" s="1336"/>
      <c r="AV90" s="1336"/>
      <c r="AW90" s="1336"/>
      <c r="AX90" s="1336"/>
      <c r="AY90" s="1336"/>
      <c r="AZ90" s="1336"/>
      <c r="BA90" s="1336"/>
      <c r="BB90" s="1336"/>
      <c r="BC90" s="1336"/>
      <c r="BD90" s="1336"/>
      <c r="BE90" s="1336"/>
      <c r="BF90" s="1336"/>
      <c r="BG90" s="1336"/>
      <c r="BH90" s="1336"/>
      <c r="BI90" s="1336"/>
      <c r="BJ90" s="1336"/>
      <c r="BK90" s="1336"/>
    </row>
    <row r="91" spans="1:63" s="3363" customFormat="1" ht="24" hidden="1" customHeight="1" x14ac:dyDescent="0.3">
      <c r="A91" s="1336"/>
      <c r="B91" s="3401">
        <v>38</v>
      </c>
      <c r="C91" s="3364" t="s">
        <v>348</v>
      </c>
      <c r="D91" s="4256" t="s">
        <v>1636</v>
      </c>
      <c r="E91" s="4266" t="s">
        <v>1637</v>
      </c>
      <c r="F91" s="4261" t="s">
        <v>1658</v>
      </c>
      <c r="G91" s="4250">
        <v>2024</v>
      </c>
      <c r="H91" s="3375"/>
      <c r="I91" s="4241">
        <v>45</v>
      </c>
      <c r="J91" s="3377">
        <v>0</v>
      </c>
      <c r="K91" s="1442">
        <v>0</v>
      </c>
      <c r="L91" s="1442">
        <v>0</v>
      </c>
      <c r="M91" s="1442">
        <v>0</v>
      </c>
      <c r="N91" s="1442">
        <v>0</v>
      </c>
      <c r="O91" s="3373"/>
      <c r="P91" s="3373"/>
      <c r="Q91" s="3373"/>
      <c r="R91" s="3373"/>
      <c r="S91" s="3374"/>
      <c r="T91" s="3374"/>
      <c r="U91" s="3374"/>
      <c r="V91" s="3374"/>
      <c r="W91" s="3374"/>
      <c r="X91" s="3374"/>
      <c r="Y91" s="3374"/>
      <c r="Z91" s="3362"/>
      <c r="AA91" s="1336"/>
      <c r="AB91" s="1336"/>
      <c r="AC91" s="1336"/>
      <c r="AD91" s="1336"/>
      <c r="AE91" s="1336"/>
      <c r="AF91" s="1336"/>
      <c r="AG91" s="1336"/>
      <c r="AH91" s="1336"/>
      <c r="AI91" s="1336"/>
      <c r="AJ91" s="1336"/>
      <c r="AK91" s="1336"/>
      <c r="AL91" s="1336"/>
      <c r="AM91" s="1336"/>
      <c r="AN91" s="1336"/>
      <c r="AO91" s="1336"/>
      <c r="AP91" s="1336"/>
      <c r="AQ91" s="1336"/>
      <c r="AR91" s="1336"/>
      <c r="AS91" s="1336"/>
      <c r="AT91" s="1336"/>
      <c r="AU91" s="1336"/>
      <c r="AV91" s="1336"/>
      <c r="AW91" s="1336"/>
      <c r="AX91" s="1336"/>
      <c r="AY91" s="1336"/>
      <c r="AZ91" s="1336"/>
      <c r="BA91" s="1336"/>
      <c r="BB91" s="1336"/>
      <c r="BC91" s="1336"/>
      <c r="BD91" s="1336"/>
      <c r="BE91" s="1336"/>
      <c r="BF91" s="1336"/>
      <c r="BG91" s="1336"/>
      <c r="BH91" s="1336"/>
      <c r="BI91" s="1336"/>
      <c r="BJ91" s="1336"/>
      <c r="BK91" s="1336"/>
    </row>
    <row r="92" spans="1:63" s="3363" customFormat="1" ht="24" hidden="1" customHeight="1" x14ac:dyDescent="0.3">
      <c r="A92" s="1336"/>
      <c r="B92" s="3401">
        <v>39</v>
      </c>
      <c r="C92" s="3353" t="s">
        <v>348</v>
      </c>
      <c r="D92" s="4253" t="s">
        <v>1636</v>
      </c>
      <c r="E92" s="4253" t="s">
        <v>1637</v>
      </c>
      <c r="F92" s="4253" t="s">
        <v>1659</v>
      </c>
      <c r="G92" s="4246">
        <v>2024</v>
      </c>
      <c r="H92" s="3375"/>
      <c r="I92" s="4240">
        <v>5</v>
      </c>
      <c r="J92" s="3378">
        <v>0</v>
      </c>
      <c r="K92" s="3379">
        <v>0</v>
      </c>
      <c r="L92" s="3379">
        <v>0</v>
      </c>
      <c r="M92" s="3379">
        <v>0</v>
      </c>
      <c r="N92" s="3379">
        <v>0</v>
      </c>
      <c r="O92" s="3373"/>
      <c r="P92" s="3373"/>
      <c r="Q92" s="3373"/>
      <c r="R92" s="3373"/>
      <c r="S92" s="3374"/>
      <c r="T92" s="3374"/>
      <c r="U92" s="3374"/>
      <c r="V92" s="3374"/>
      <c r="W92" s="3374"/>
      <c r="X92" s="3374"/>
      <c r="Y92" s="3374"/>
      <c r="Z92" s="3362"/>
      <c r="AA92" s="1336"/>
      <c r="AB92" s="1336"/>
      <c r="AC92" s="1336"/>
      <c r="AD92" s="1336"/>
      <c r="AE92" s="1336"/>
      <c r="AF92" s="1336"/>
      <c r="AG92" s="1336"/>
      <c r="AH92" s="1336"/>
      <c r="AI92" s="1336"/>
      <c r="AJ92" s="1336"/>
      <c r="AK92" s="1336"/>
      <c r="AL92" s="1336"/>
      <c r="AM92" s="1336"/>
      <c r="AN92" s="1336"/>
      <c r="AO92" s="1336"/>
      <c r="AP92" s="1336"/>
      <c r="AQ92" s="1336"/>
      <c r="AR92" s="1336"/>
      <c r="AS92" s="1336"/>
      <c r="AT92" s="1336"/>
      <c r="AU92" s="1336"/>
      <c r="AV92" s="1336"/>
      <c r="AW92" s="1336"/>
      <c r="AX92" s="1336"/>
      <c r="AY92" s="1336"/>
      <c r="AZ92" s="1336"/>
      <c r="BA92" s="1336"/>
      <c r="BB92" s="1336"/>
      <c r="BC92" s="1336"/>
      <c r="BD92" s="1336"/>
      <c r="BE92" s="1336"/>
      <c r="BF92" s="1336"/>
      <c r="BG92" s="1336"/>
      <c r="BH92" s="1336"/>
      <c r="BI92" s="1336"/>
      <c r="BJ92" s="1336"/>
      <c r="BK92" s="1336"/>
    </row>
    <row r="93" spans="1:63" s="3363" customFormat="1" ht="24" hidden="1" customHeight="1" x14ac:dyDescent="0.3">
      <c r="A93" s="1336"/>
      <c r="B93" s="3401">
        <v>40</v>
      </c>
      <c r="C93" s="3364" t="s">
        <v>348</v>
      </c>
      <c r="D93" s="4256" t="s">
        <v>1636</v>
      </c>
      <c r="E93" s="4266" t="s">
        <v>1637</v>
      </c>
      <c r="F93" s="4261" t="s">
        <v>1660</v>
      </c>
      <c r="G93" s="4250">
        <v>2024</v>
      </c>
      <c r="H93" s="3375"/>
      <c r="I93" s="4241">
        <v>30</v>
      </c>
      <c r="J93" s="3377">
        <v>0</v>
      </c>
      <c r="K93" s="1442">
        <v>0</v>
      </c>
      <c r="L93" s="1442">
        <v>0</v>
      </c>
      <c r="M93" s="1442">
        <v>0</v>
      </c>
      <c r="N93" s="1442">
        <v>0</v>
      </c>
      <c r="O93" s="3373"/>
      <c r="P93" s="3373"/>
      <c r="Q93" s="3373"/>
      <c r="R93" s="3373"/>
      <c r="S93" s="3374"/>
      <c r="T93" s="3374"/>
      <c r="U93" s="3374"/>
      <c r="V93" s="3374"/>
      <c r="W93" s="3374"/>
      <c r="X93" s="3374"/>
      <c r="Y93" s="3374"/>
      <c r="Z93" s="3362"/>
      <c r="AA93" s="1336"/>
      <c r="AB93" s="1336"/>
      <c r="AC93" s="1336"/>
      <c r="AD93" s="1336"/>
      <c r="AE93" s="1336"/>
      <c r="AF93" s="1336"/>
      <c r="AG93" s="1336"/>
      <c r="AH93" s="1336"/>
      <c r="AI93" s="1336"/>
      <c r="AJ93" s="1336"/>
      <c r="AK93" s="1336"/>
      <c r="AL93" s="1336"/>
      <c r="AM93" s="1336"/>
      <c r="AN93" s="1336"/>
      <c r="AO93" s="1336"/>
      <c r="AP93" s="1336"/>
      <c r="AQ93" s="1336"/>
      <c r="AR93" s="1336"/>
      <c r="AS93" s="1336"/>
      <c r="AT93" s="1336"/>
      <c r="AU93" s="1336"/>
      <c r="AV93" s="1336"/>
      <c r="AW93" s="1336"/>
      <c r="AX93" s="1336"/>
      <c r="AY93" s="1336"/>
      <c r="AZ93" s="1336"/>
      <c r="BA93" s="1336"/>
      <c r="BB93" s="1336"/>
      <c r="BC93" s="1336"/>
      <c r="BD93" s="1336"/>
      <c r="BE93" s="1336"/>
      <c r="BF93" s="1336"/>
      <c r="BG93" s="1336"/>
      <c r="BH93" s="1336"/>
      <c r="BI93" s="1336"/>
      <c r="BJ93" s="1336"/>
      <c r="BK93" s="1336"/>
    </row>
    <row r="94" spans="1:63" s="3363" customFormat="1" ht="24" hidden="1" customHeight="1" x14ac:dyDescent="0.3">
      <c r="A94" s="1336"/>
      <c r="B94" s="3401">
        <v>41</v>
      </c>
      <c r="C94" s="3353" t="s">
        <v>348</v>
      </c>
      <c r="D94" s="4253" t="s">
        <v>1649</v>
      </c>
      <c r="E94" s="4253" t="s">
        <v>1637</v>
      </c>
      <c r="F94" s="4253" t="s">
        <v>1661</v>
      </c>
      <c r="G94" s="4246">
        <v>2024</v>
      </c>
      <c r="H94" s="3375"/>
      <c r="I94" s="4240">
        <f>62+(45*E111)</f>
        <v>82.474999999999994</v>
      </c>
      <c r="J94" s="3378">
        <v>0</v>
      </c>
      <c r="K94" s="3379">
        <v>0</v>
      </c>
      <c r="L94" s="3379">
        <v>0</v>
      </c>
      <c r="M94" s="3379">
        <v>0</v>
      </c>
      <c r="N94" s="3379">
        <v>0</v>
      </c>
      <c r="O94" s="3373"/>
      <c r="P94" s="3373"/>
      <c r="Q94" s="3373"/>
      <c r="R94" s="3373"/>
      <c r="S94" s="3374"/>
      <c r="T94" s="3374"/>
      <c r="U94" s="3374"/>
      <c r="V94" s="3374"/>
      <c r="W94" s="3374"/>
      <c r="X94" s="3374"/>
      <c r="Y94" s="3374"/>
      <c r="Z94" s="3362"/>
      <c r="AA94" s="1336"/>
      <c r="AB94" s="1336"/>
      <c r="AC94" s="1336"/>
      <c r="AD94" s="1336"/>
      <c r="AE94" s="1336"/>
      <c r="AF94" s="1336"/>
      <c r="AG94" s="1336"/>
      <c r="AH94" s="1336"/>
      <c r="AI94" s="1336"/>
      <c r="AJ94" s="1336"/>
      <c r="AK94" s="1336"/>
      <c r="AL94" s="1336"/>
      <c r="AM94" s="1336"/>
      <c r="AN94" s="1336"/>
      <c r="AO94" s="1336"/>
      <c r="AP94" s="1336"/>
      <c r="AQ94" s="1336"/>
      <c r="AR94" s="1336"/>
      <c r="AS94" s="1336"/>
      <c r="AT94" s="1336"/>
      <c r="AU94" s="1336"/>
      <c r="AV94" s="1336"/>
      <c r="AW94" s="1336"/>
      <c r="AX94" s="1336"/>
      <c r="AY94" s="1336"/>
      <c r="AZ94" s="1336"/>
      <c r="BA94" s="1336"/>
      <c r="BB94" s="1336"/>
      <c r="BC94" s="1336"/>
      <c r="BD94" s="1336"/>
      <c r="BE94" s="1336"/>
      <c r="BF94" s="1336"/>
      <c r="BG94" s="1336"/>
      <c r="BH94" s="1336"/>
      <c r="BI94" s="1336"/>
      <c r="BJ94" s="1336"/>
      <c r="BK94" s="1336"/>
    </row>
    <row r="95" spans="1:63" s="3363" customFormat="1" ht="24" hidden="1" customHeight="1" x14ac:dyDescent="0.3">
      <c r="A95" s="1336"/>
      <c r="B95" s="3401">
        <v>42</v>
      </c>
      <c r="C95" s="3364" t="s">
        <v>348</v>
      </c>
      <c r="D95" s="4256" t="s">
        <v>1636</v>
      </c>
      <c r="E95" s="4266" t="s">
        <v>1637</v>
      </c>
      <c r="F95" s="4261" t="s">
        <v>1662</v>
      </c>
      <c r="G95" s="4250">
        <v>2024</v>
      </c>
      <c r="H95" s="3375"/>
      <c r="I95" s="4241">
        <v>446</v>
      </c>
      <c r="J95" s="3377">
        <v>0</v>
      </c>
      <c r="K95" s="1442">
        <v>0</v>
      </c>
      <c r="L95" s="1442">
        <v>0</v>
      </c>
      <c r="M95" s="1442">
        <v>0</v>
      </c>
      <c r="N95" s="1442">
        <v>0</v>
      </c>
      <c r="O95" s="3373"/>
      <c r="P95" s="3373"/>
      <c r="Q95" s="3373"/>
      <c r="R95" s="3373"/>
      <c r="S95" s="3374"/>
      <c r="T95" s="3374"/>
      <c r="U95" s="3374"/>
      <c r="V95" s="3374"/>
      <c r="W95" s="3374"/>
      <c r="X95" s="3374"/>
      <c r="Y95" s="3374"/>
      <c r="Z95" s="3362"/>
      <c r="AA95" s="1336"/>
      <c r="AB95" s="1336"/>
      <c r="AC95" s="1336"/>
      <c r="AD95" s="1336"/>
      <c r="AE95" s="1336"/>
      <c r="AF95" s="1336"/>
      <c r="AG95" s="1336"/>
      <c r="AH95" s="1336"/>
      <c r="AI95" s="1336"/>
      <c r="AJ95" s="1336"/>
      <c r="AK95" s="1336"/>
      <c r="AL95" s="1336"/>
      <c r="AM95" s="1336"/>
      <c r="AN95" s="1336"/>
      <c r="AO95" s="1336"/>
      <c r="AP95" s="1336"/>
      <c r="AQ95" s="1336"/>
      <c r="AR95" s="1336"/>
      <c r="AS95" s="1336"/>
      <c r="AT95" s="1336"/>
      <c r="AU95" s="1336"/>
      <c r="AV95" s="1336"/>
      <c r="AW95" s="1336"/>
      <c r="AX95" s="1336"/>
      <c r="AY95" s="1336"/>
      <c r="AZ95" s="1336"/>
      <c r="BA95" s="1336"/>
      <c r="BB95" s="1336"/>
      <c r="BC95" s="1336"/>
      <c r="BD95" s="1336"/>
      <c r="BE95" s="1336"/>
      <c r="BF95" s="1336"/>
      <c r="BG95" s="1336"/>
      <c r="BH95" s="1336"/>
      <c r="BI95" s="1336"/>
      <c r="BJ95" s="1336"/>
      <c r="BK95" s="1336"/>
    </row>
    <row r="96" spans="1:63" s="3363" customFormat="1" ht="24" customHeight="1" x14ac:dyDescent="0.3">
      <c r="A96" s="1336"/>
      <c r="B96" s="3402"/>
      <c r="C96" s="3405" t="s">
        <v>348</v>
      </c>
      <c r="D96" s="4264" t="s">
        <v>1636</v>
      </c>
      <c r="E96" s="4264" t="s">
        <v>1637</v>
      </c>
      <c r="F96" s="4264" t="s">
        <v>2061</v>
      </c>
      <c r="G96" s="4251">
        <v>2024</v>
      </c>
      <c r="H96" s="3406"/>
      <c r="I96" s="4243">
        <v>785</v>
      </c>
      <c r="J96" s="3377">
        <v>0</v>
      </c>
      <c r="K96" s="1442">
        <v>0</v>
      </c>
      <c r="L96" s="1442">
        <v>0</v>
      </c>
      <c r="M96" s="1442">
        <v>0</v>
      </c>
      <c r="N96" s="1442">
        <v>0</v>
      </c>
      <c r="O96" s="3373"/>
      <c r="P96" s="3373"/>
      <c r="Q96" s="3373"/>
      <c r="R96" s="3373"/>
      <c r="S96" s="3374"/>
      <c r="T96" s="3374"/>
      <c r="U96" s="3374"/>
      <c r="V96" s="3374"/>
      <c r="W96" s="3374"/>
      <c r="X96" s="3374"/>
      <c r="Y96" s="3374"/>
      <c r="Z96" s="3362"/>
      <c r="AA96" s="1336"/>
      <c r="AB96" s="1336"/>
      <c r="AC96" s="1336"/>
      <c r="AD96" s="1336"/>
      <c r="AE96" s="1336"/>
      <c r="AF96" s="1336"/>
      <c r="AG96" s="1336"/>
      <c r="AH96" s="1336"/>
      <c r="AI96" s="1336"/>
      <c r="AJ96" s="1336"/>
      <c r="AK96" s="1336"/>
      <c r="AL96" s="1336"/>
      <c r="AM96" s="1336"/>
      <c r="AN96" s="1336"/>
      <c r="AO96" s="1336"/>
      <c r="AP96" s="1336"/>
      <c r="AQ96" s="1336"/>
      <c r="AR96" s="1336"/>
      <c r="AS96" s="1336"/>
      <c r="AT96" s="1336"/>
      <c r="AU96" s="1336"/>
      <c r="AV96" s="1336"/>
      <c r="AW96" s="1336"/>
      <c r="AX96" s="1336"/>
      <c r="AY96" s="1336"/>
      <c r="AZ96" s="1336"/>
      <c r="BA96" s="1336"/>
      <c r="BB96" s="1336"/>
      <c r="BC96" s="1336"/>
      <c r="BD96" s="1336"/>
      <c r="BE96" s="1336"/>
      <c r="BF96" s="1336"/>
      <c r="BG96" s="1336"/>
      <c r="BH96" s="1336"/>
      <c r="BI96" s="1336"/>
      <c r="BJ96" s="1336"/>
      <c r="BK96" s="1336"/>
    </row>
    <row r="97" spans="1:63" s="3363" customFormat="1" ht="24" customHeight="1" x14ac:dyDescent="0.3">
      <c r="A97" s="1336"/>
      <c r="B97" s="3402"/>
      <c r="C97" s="3355" t="s">
        <v>348</v>
      </c>
      <c r="D97" s="4255" t="s">
        <v>1636</v>
      </c>
      <c r="E97" s="4255" t="s">
        <v>1637</v>
      </c>
      <c r="F97" s="4255" t="s">
        <v>2062</v>
      </c>
      <c r="G97" s="4247">
        <v>2024</v>
      </c>
      <c r="H97" s="3376"/>
      <c r="I97" s="4231">
        <v>1046</v>
      </c>
      <c r="J97" s="3378">
        <v>0</v>
      </c>
      <c r="K97" s="3379">
        <v>0</v>
      </c>
      <c r="L97" s="3379">
        <v>0</v>
      </c>
      <c r="M97" s="3379">
        <v>0</v>
      </c>
      <c r="N97" s="3379">
        <v>0</v>
      </c>
      <c r="O97" s="3373"/>
      <c r="P97" s="3373"/>
      <c r="Q97" s="3373"/>
      <c r="R97" s="3373"/>
      <c r="S97" s="3374"/>
      <c r="T97" s="3374"/>
      <c r="U97" s="3374"/>
      <c r="V97" s="3374"/>
      <c r="W97" s="3374"/>
      <c r="X97" s="3374"/>
      <c r="Y97" s="3374"/>
      <c r="Z97" s="3362"/>
      <c r="AA97" s="1336"/>
      <c r="AB97" s="1336"/>
      <c r="AC97" s="1336"/>
      <c r="AD97" s="1336"/>
      <c r="AE97" s="1336"/>
      <c r="AF97" s="1336"/>
      <c r="AG97" s="1336"/>
      <c r="AH97" s="1336"/>
      <c r="AI97" s="1336"/>
      <c r="AJ97" s="1336"/>
      <c r="AK97" s="1336"/>
      <c r="AL97" s="1336"/>
      <c r="AM97" s="1336"/>
      <c r="AN97" s="1336"/>
      <c r="AO97" s="1336"/>
      <c r="AP97" s="1336"/>
      <c r="AQ97" s="1336"/>
      <c r="AR97" s="1336"/>
      <c r="AS97" s="1336"/>
      <c r="AT97" s="1336"/>
      <c r="AU97" s="1336"/>
      <c r="AV97" s="1336"/>
      <c r="AW97" s="1336"/>
      <c r="AX97" s="1336"/>
      <c r="AY97" s="1336"/>
      <c r="AZ97" s="1336"/>
      <c r="BA97" s="1336"/>
      <c r="BB97" s="1336"/>
      <c r="BC97" s="1336"/>
      <c r="BD97" s="1336"/>
      <c r="BE97" s="1336"/>
      <c r="BF97" s="1336"/>
      <c r="BG97" s="1336"/>
      <c r="BH97" s="1336"/>
      <c r="BI97" s="1336"/>
      <c r="BJ97" s="1336"/>
      <c r="BK97" s="1336"/>
    </row>
    <row r="98" spans="1:63" s="3363" customFormat="1" ht="24" customHeight="1" x14ac:dyDescent="0.3">
      <c r="A98" s="1336"/>
      <c r="B98" s="3402"/>
      <c r="C98" s="3405" t="s">
        <v>348</v>
      </c>
      <c r="D98" s="4264" t="s">
        <v>1636</v>
      </c>
      <c r="E98" s="4264" t="s">
        <v>1637</v>
      </c>
      <c r="F98" s="4264" t="s">
        <v>2063</v>
      </c>
      <c r="G98" s="4251">
        <v>2024</v>
      </c>
      <c r="H98" s="3406"/>
      <c r="I98" s="4243">
        <v>56</v>
      </c>
      <c r="J98" s="3377">
        <v>0</v>
      </c>
      <c r="K98" s="1442">
        <v>0</v>
      </c>
      <c r="L98" s="1442">
        <v>0</v>
      </c>
      <c r="M98" s="1442">
        <v>0</v>
      </c>
      <c r="N98" s="1442">
        <v>0</v>
      </c>
      <c r="O98" s="3373"/>
      <c r="P98" s="3373"/>
      <c r="Q98" s="3373"/>
      <c r="R98" s="3373"/>
      <c r="S98" s="3374"/>
      <c r="T98" s="3374"/>
      <c r="U98" s="3374"/>
      <c r="V98" s="3374"/>
      <c r="W98" s="3374"/>
      <c r="X98" s="3374"/>
      <c r="Y98" s="3374"/>
      <c r="Z98" s="3362"/>
      <c r="AA98" s="1336"/>
      <c r="AB98" s="1336"/>
      <c r="AC98" s="1336"/>
      <c r="AD98" s="1336"/>
      <c r="AE98" s="1336"/>
      <c r="AF98" s="1336"/>
      <c r="AG98" s="1336"/>
      <c r="AH98" s="1336"/>
      <c r="AI98" s="1336"/>
      <c r="AJ98" s="1336"/>
      <c r="AK98" s="1336"/>
      <c r="AL98" s="1336"/>
      <c r="AM98" s="1336"/>
      <c r="AN98" s="1336"/>
      <c r="AO98" s="1336"/>
      <c r="AP98" s="1336"/>
      <c r="AQ98" s="1336"/>
      <c r="AR98" s="1336"/>
      <c r="AS98" s="1336"/>
      <c r="AT98" s="1336"/>
      <c r="AU98" s="1336"/>
      <c r="AV98" s="1336"/>
      <c r="AW98" s="1336"/>
      <c r="AX98" s="1336"/>
      <c r="AY98" s="1336"/>
      <c r="AZ98" s="1336"/>
      <c r="BA98" s="1336"/>
      <c r="BB98" s="1336"/>
      <c r="BC98" s="1336"/>
      <c r="BD98" s="1336"/>
      <c r="BE98" s="1336"/>
      <c r="BF98" s="1336"/>
      <c r="BG98" s="1336"/>
      <c r="BH98" s="1336"/>
      <c r="BI98" s="1336"/>
      <c r="BJ98" s="1336"/>
      <c r="BK98" s="1336"/>
    </row>
    <row r="99" spans="1:63" s="3363" customFormat="1" ht="24" customHeight="1" x14ac:dyDescent="0.3">
      <c r="A99" s="1336"/>
      <c r="B99" s="3402">
        <v>25</v>
      </c>
      <c r="C99" s="3380" t="s">
        <v>348</v>
      </c>
      <c r="D99" s="4267" t="s">
        <v>1663</v>
      </c>
      <c r="E99" s="4267" t="s">
        <v>1637</v>
      </c>
      <c r="F99" s="4265" t="s">
        <v>1664</v>
      </c>
      <c r="G99" s="4019">
        <v>2023</v>
      </c>
      <c r="H99" s="3381"/>
      <c r="I99" s="4244">
        <f>I10/1000</f>
        <v>5553</v>
      </c>
      <c r="J99" s="3378">
        <v>0</v>
      </c>
      <c r="K99" s="3379">
        <v>0</v>
      </c>
      <c r="L99" s="3379">
        <v>0</v>
      </c>
      <c r="M99" s="3379">
        <v>0</v>
      </c>
      <c r="N99" s="3379">
        <v>0</v>
      </c>
      <c r="O99" s="3373"/>
      <c r="P99" s="3373"/>
      <c r="Q99" s="3373"/>
      <c r="R99" s="3373"/>
      <c r="S99" s="3374"/>
      <c r="T99" s="3374"/>
      <c r="U99" s="3374"/>
      <c r="V99" s="3374"/>
      <c r="W99" s="3374"/>
      <c r="X99" s="3374"/>
      <c r="Y99" s="3374"/>
      <c r="Z99" s="3362"/>
      <c r="AA99" s="1336"/>
      <c r="AB99" s="1336"/>
      <c r="AC99" s="1336"/>
      <c r="AD99" s="1336"/>
      <c r="AE99" s="1336"/>
      <c r="AF99" s="1336"/>
      <c r="AG99" s="1336"/>
      <c r="AH99" s="1336"/>
      <c r="AI99" s="1336"/>
      <c r="AJ99" s="1336"/>
      <c r="AK99" s="1336"/>
      <c r="AL99" s="1336"/>
      <c r="AM99" s="1336"/>
      <c r="AN99" s="1336"/>
      <c r="AO99" s="1336"/>
      <c r="AP99" s="1336"/>
      <c r="AQ99" s="1336"/>
      <c r="AR99" s="1336"/>
      <c r="AS99" s="1336"/>
      <c r="AT99" s="1336"/>
      <c r="AU99" s="1336"/>
      <c r="AV99" s="1336"/>
      <c r="AW99" s="1336"/>
      <c r="AX99" s="1336"/>
      <c r="AY99" s="1336"/>
      <c r="AZ99" s="1336"/>
      <c r="BA99" s="1336"/>
      <c r="BB99" s="1336"/>
      <c r="BC99" s="1336"/>
      <c r="BD99" s="1336"/>
      <c r="BE99" s="1336"/>
      <c r="BF99" s="1336"/>
      <c r="BG99" s="1336"/>
      <c r="BH99" s="1336"/>
      <c r="BI99" s="1336"/>
      <c r="BJ99" s="1336"/>
      <c r="BK99" s="1336"/>
    </row>
    <row r="100" spans="1:63" s="3363" customFormat="1" ht="24" customHeight="1" x14ac:dyDescent="0.3">
      <c r="A100" s="1336"/>
      <c r="B100" s="3403"/>
      <c r="C100" s="3382"/>
      <c r="D100" s="4038"/>
      <c r="E100" s="4038"/>
      <c r="F100" s="4040"/>
      <c r="G100" s="4041"/>
      <c r="H100" s="542"/>
      <c r="I100" s="4042">
        <v>0</v>
      </c>
      <c r="J100" s="3378">
        <v>0</v>
      </c>
      <c r="K100" s="3379">
        <v>0</v>
      </c>
      <c r="L100" s="3379">
        <v>0</v>
      </c>
      <c r="M100" s="3379">
        <v>0</v>
      </c>
      <c r="N100" s="3379">
        <v>0</v>
      </c>
      <c r="O100" s="3373"/>
      <c r="P100" s="3373"/>
      <c r="Q100" s="3373"/>
      <c r="R100" s="3373"/>
      <c r="S100" s="3374"/>
      <c r="T100" s="3374"/>
      <c r="U100" s="3374"/>
      <c r="V100" s="3374"/>
      <c r="W100" s="3374"/>
      <c r="X100" s="3374"/>
      <c r="Y100" s="3374"/>
      <c r="Z100" s="3362"/>
      <c r="AA100" s="1336"/>
      <c r="AB100" s="1336"/>
      <c r="AC100" s="1336"/>
      <c r="AD100" s="1336"/>
      <c r="AE100" s="1336"/>
      <c r="AF100" s="1336"/>
      <c r="AG100" s="1336"/>
      <c r="AH100" s="1336"/>
      <c r="AI100" s="1336"/>
      <c r="AJ100" s="1336"/>
      <c r="AK100" s="1336"/>
      <c r="AL100" s="1336"/>
      <c r="AM100" s="1336"/>
      <c r="AN100" s="1336"/>
      <c r="AO100" s="1336"/>
      <c r="AP100" s="1336"/>
      <c r="AQ100" s="1336"/>
      <c r="AR100" s="1336"/>
      <c r="AS100" s="1336"/>
      <c r="AT100" s="1336"/>
      <c r="AU100" s="1336"/>
      <c r="AV100" s="1336"/>
      <c r="AW100" s="1336"/>
      <c r="AX100" s="1336"/>
      <c r="AY100" s="1336"/>
      <c r="AZ100" s="1336"/>
      <c r="BA100" s="1336"/>
      <c r="BB100" s="1336"/>
      <c r="BC100" s="1336"/>
      <c r="BD100" s="1336"/>
      <c r="BE100" s="1336"/>
      <c r="BF100" s="1336"/>
      <c r="BG100" s="1336"/>
      <c r="BH100" s="1336"/>
      <c r="BI100" s="1336"/>
      <c r="BJ100" s="1336"/>
      <c r="BK100" s="1336"/>
    </row>
    <row r="101" spans="1:63" ht="15.75" customHeight="1" x14ac:dyDescent="0.3"/>
    <row r="102" spans="1:63" ht="15.75" customHeight="1" x14ac:dyDescent="0.3">
      <c r="B102" s="1421" t="s">
        <v>355</v>
      </c>
      <c r="C102" s="1422" t="s">
        <v>356</v>
      </c>
    </row>
    <row r="103" spans="1:63" ht="15.75" customHeight="1" x14ac:dyDescent="0.3"/>
    <row r="104" spans="1:63" ht="15.75" customHeight="1" x14ac:dyDescent="0.3">
      <c r="B104" s="4402" t="s">
        <v>357</v>
      </c>
      <c r="C104" s="4402"/>
    </row>
    <row r="105" spans="1:63" ht="15.75" customHeight="1" x14ac:dyDescent="0.3">
      <c r="B105" s="2968"/>
    </row>
    <row r="106" spans="1:63" ht="15.75" customHeight="1" x14ac:dyDescent="0.3">
      <c r="B106" s="3383" t="s">
        <v>1665</v>
      </c>
    </row>
    <row r="107" spans="1:63" ht="15.75" customHeight="1" x14ac:dyDescent="0.3">
      <c r="B107" s="3383"/>
      <c r="C107" s="1336" t="s">
        <v>1666</v>
      </c>
      <c r="G107" s="3384">
        <v>6162.0416676723462</v>
      </c>
      <c r="J107" s="1336" t="s">
        <v>1667</v>
      </c>
    </row>
    <row r="108" spans="1:63" ht="15.75" customHeight="1" x14ac:dyDescent="0.3">
      <c r="B108" s="3383"/>
      <c r="G108" s="3384"/>
    </row>
    <row r="109" spans="1:63" ht="15.75" customHeight="1" x14ac:dyDescent="0.3">
      <c r="B109" s="3385" t="s">
        <v>1668</v>
      </c>
    </row>
    <row r="110" spans="1:63" ht="15.75" customHeight="1" x14ac:dyDescent="0.3">
      <c r="B110" s="1425"/>
      <c r="C110" s="1336" t="s">
        <v>2065</v>
      </c>
    </row>
    <row r="111" spans="1:63" ht="15.75" customHeight="1" x14ac:dyDescent="0.3">
      <c r="C111" s="1452" t="s">
        <v>1669</v>
      </c>
      <c r="D111" s="1452"/>
      <c r="E111" s="3386">
        <f>0.455</f>
        <v>0.45500000000000002</v>
      </c>
    </row>
    <row r="112" spans="1:63" ht="15.75" customHeight="1" x14ac:dyDescent="0.3">
      <c r="C112" s="1942" t="s">
        <v>1670</v>
      </c>
      <c r="D112" s="1942"/>
    </row>
    <row r="113" spans="2:5" ht="15.75" customHeight="1" x14ac:dyDescent="0.3">
      <c r="C113" s="1942"/>
      <c r="D113" s="1942"/>
    </row>
    <row r="114" spans="2:5" ht="15.75" customHeight="1" x14ac:dyDescent="0.3">
      <c r="B114" s="3383" t="s">
        <v>1665</v>
      </c>
    </row>
    <row r="115" spans="2:5" ht="15.75" customHeight="1" x14ac:dyDescent="0.3">
      <c r="C115" s="1336" t="s">
        <v>1671</v>
      </c>
    </row>
    <row r="116" spans="2:5" ht="15.75" customHeight="1" x14ac:dyDescent="0.3">
      <c r="C116" s="3387" t="str">
        <f>F32</f>
        <v>Supplier 2 (facility 3)</v>
      </c>
      <c r="D116" s="3388">
        <f>ROUNDDOWN((I32*'CF-1002|2024'!H18)-(I32*'CF-1002|2024'!H23)-4999,0)</f>
        <v>2210</v>
      </c>
      <c r="E116" s="3389"/>
    </row>
    <row r="117" spans="2:5" ht="15.75" customHeight="1" x14ac:dyDescent="0.3">
      <c r="C117" s="3387" t="s">
        <v>2084</v>
      </c>
      <c r="D117" s="3388">
        <f>ROUNDDOWN((I37*'CF-1002|2024'!H18)-(I37*'CF-1002|2024'!H23)-4999,0)</f>
        <v>4259</v>
      </c>
    </row>
    <row r="118" spans="2:5" ht="15.75" customHeight="1" x14ac:dyDescent="0.3">
      <c r="C118" s="3387" t="s">
        <v>2083</v>
      </c>
      <c r="D118" s="3388">
        <f>ROUNDDOWN((I40*'CF-1002|2024'!H18)-(I40*'CF-1002|2024'!H23)-4999,0)</f>
        <v>5544</v>
      </c>
    </row>
    <row r="119" spans="2:5" ht="15.75" customHeight="1" x14ac:dyDescent="0.3">
      <c r="C119" s="3390" t="s">
        <v>2082</v>
      </c>
      <c r="D119" s="3388">
        <f>ROUNDDOWN((I45*'CF-1002|2024'!H18)-(I45*'CF-1002|2024'!H23)-4999,0)</f>
        <v>40556</v>
      </c>
    </row>
    <row r="120" spans="2:5" ht="15.75" customHeight="1" x14ac:dyDescent="0.3">
      <c r="C120" s="3391" t="s">
        <v>2091</v>
      </c>
      <c r="D120" s="3388">
        <f>ROUNDDOWN((I49*'CF-1002|2024'!H18)-(I49*'CF-1002|2024'!H23)-4999,0)</f>
        <v>35402</v>
      </c>
    </row>
    <row r="121" spans="2:5" ht="15.75" customHeight="1" x14ac:dyDescent="0.3">
      <c r="C121" s="3387" t="s">
        <v>2111</v>
      </c>
      <c r="D121" s="3388">
        <f>ROUNDDOWN((I76*'CF-1002|2024'!H18)-(I76*'CF-1002|2024'!H23)-4999,0)</f>
        <v>13363</v>
      </c>
    </row>
    <row r="122" spans="2:5" ht="15.75" customHeight="1" x14ac:dyDescent="0.3">
      <c r="C122" s="3387"/>
      <c r="D122" s="3392"/>
    </row>
    <row r="123" spans="2:5" ht="15.75" customHeight="1" x14ac:dyDescent="0.3">
      <c r="B123" s="3393" t="s">
        <v>1672</v>
      </c>
      <c r="C123" s="1336" t="s">
        <v>2064</v>
      </c>
      <c r="D123" s="3388"/>
    </row>
    <row r="124" spans="2:5" ht="15.75" customHeight="1" x14ac:dyDescent="0.3">
      <c r="C124" s="3394"/>
      <c r="D124" s="3388"/>
    </row>
    <row r="125" spans="2:5" ht="15.75" customHeight="1" x14ac:dyDescent="0.3">
      <c r="D125" s="3388"/>
    </row>
    <row r="126" spans="2:5" ht="15.75" customHeight="1" x14ac:dyDescent="0.3">
      <c r="C126" s="428"/>
      <c r="D126" s="3388"/>
    </row>
    <row r="127" spans="2:5" ht="15.75" customHeight="1" x14ac:dyDescent="0.3">
      <c r="C127" s="428"/>
      <c r="D127" s="3388"/>
    </row>
    <row r="128" spans="2:5" ht="15.75" customHeight="1" x14ac:dyDescent="0.3">
      <c r="D128" s="3388"/>
    </row>
    <row r="129" spans="4:4" ht="15.75" customHeight="1" x14ac:dyDescent="0.3">
      <c r="D129" s="3388"/>
    </row>
    <row r="130" spans="4:4" ht="15.75" customHeight="1" x14ac:dyDescent="0.3">
      <c r="D130" s="3388"/>
    </row>
    <row r="131" spans="4:4" ht="15.75" customHeight="1" x14ac:dyDescent="0.3">
      <c r="D131" s="3388"/>
    </row>
    <row r="132" spans="4:4" ht="15.75" customHeight="1" x14ac:dyDescent="0.3">
      <c r="D132" s="3388"/>
    </row>
    <row r="133" spans="4:4" ht="15.75" customHeight="1" x14ac:dyDescent="0.3">
      <c r="D133" s="3388"/>
    </row>
    <row r="134" spans="4:4" ht="15.75" customHeight="1" x14ac:dyDescent="0.3">
      <c r="D134" s="3388"/>
    </row>
    <row r="135" spans="4:4" ht="15.75" customHeight="1" x14ac:dyDescent="0.3"/>
    <row r="136" spans="4:4" ht="15.75" customHeight="1" x14ac:dyDescent="0.3"/>
    <row r="137" spans="4:4" ht="15.75" customHeight="1" x14ac:dyDescent="0.3"/>
    <row r="138" spans="4:4" ht="15.75" customHeight="1" x14ac:dyDescent="0.3"/>
    <row r="139" spans="4:4" ht="15.75" customHeight="1" x14ac:dyDescent="0.3"/>
    <row r="140" spans="4:4" ht="15.75" customHeight="1" x14ac:dyDescent="0.3"/>
    <row r="141" spans="4:4" ht="15.75" customHeight="1" x14ac:dyDescent="0.3"/>
    <row r="142" spans="4:4" ht="15.75" customHeight="1" x14ac:dyDescent="0.3"/>
    <row r="143" spans="4:4" ht="15.75" customHeight="1" x14ac:dyDescent="0.3"/>
    <row r="144" spans="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sheetData>
  <mergeCells count="20">
    <mergeCell ref="G59:G61"/>
    <mergeCell ref="B19:C19"/>
    <mergeCell ref="G32:G33"/>
    <mergeCell ref="G35:G36"/>
    <mergeCell ref="G37:G38"/>
    <mergeCell ref="G40:G41"/>
    <mergeCell ref="G42:G43"/>
    <mergeCell ref="G45:G46"/>
    <mergeCell ref="G48:G50"/>
    <mergeCell ref="G53:G54"/>
    <mergeCell ref="G55:G56"/>
    <mergeCell ref="G57:G58"/>
    <mergeCell ref="G78:G79"/>
    <mergeCell ref="B104:C104"/>
    <mergeCell ref="G62:G63"/>
    <mergeCell ref="G65:G66"/>
    <mergeCell ref="G68:G69"/>
    <mergeCell ref="G70:G71"/>
    <mergeCell ref="G72:G74"/>
    <mergeCell ref="G75:G77"/>
  </mergeCells>
  <pageMargins left="0.70866141732283472" right="0.70866141732283472" top="0.74803149606299213" bottom="0.74803149606299213" header="0" footer="0"/>
  <pageSetup scale="75" orientation="landscape" r:id="rId1"/>
  <headerFooter>
    <oddHeader>&amp;R00-049CONFIDENTIAL</oddHeader>
    <oddFooter>&amp;L00-049v6 - May 2019 Property of Will Solutions Inc.</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28985-BEE0-40A2-93D7-C48B22B87145}">
  <dimension ref="A1:M986"/>
  <sheetViews>
    <sheetView topLeftCell="A17" workbookViewId="0">
      <selection activeCell="J29" sqref="J29"/>
    </sheetView>
  </sheetViews>
  <sheetFormatPr defaultColWidth="12.44140625" defaultRowHeight="15" customHeight="1" x14ac:dyDescent="0.3"/>
  <cols>
    <col min="1" max="1" width="2.6640625" style="428" customWidth="1"/>
    <col min="2" max="2" width="35.109375" style="428" customWidth="1"/>
    <col min="3" max="3" width="21.21875" style="428" customWidth="1"/>
    <col min="4" max="4" width="20" style="428" customWidth="1"/>
    <col min="5" max="5" width="19.109375" style="428" customWidth="1"/>
    <col min="6" max="6" width="1.5546875" style="428" customWidth="1"/>
    <col min="7" max="7" width="14.6640625" style="428" customWidth="1"/>
    <col min="8" max="8" width="7.33203125" style="428" customWidth="1"/>
    <col min="9" max="9" width="34" style="428" customWidth="1"/>
    <col min="10" max="10" width="21.33203125" style="428" customWidth="1"/>
    <col min="11" max="11" width="1.5546875" style="428" customWidth="1"/>
    <col min="12" max="12" width="15.21875" style="428" customWidth="1"/>
    <col min="13" max="13" width="11.6640625" style="428" customWidth="1"/>
    <col min="14" max="16384" width="12.44140625" style="428"/>
  </cols>
  <sheetData>
    <row r="1" spans="1:13" ht="21.75" customHeight="1" x14ac:dyDescent="0.35">
      <c r="A1" s="424"/>
      <c r="B1" s="425" t="s">
        <v>549</v>
      </c>
      <c r="C1" s="426"/>
      <c r="F1" s="427"/>
      <c r="H1" s="427"/>
      <c r="K1" s="427"/>
    </row>
    <row r="2" spans="1:13" ht="15.75" customHeight="1" x14ac:dyDescent="0.3">
      <c r="A2" s="424"/>
      <c r="B2" s="429" t="s">
        <v>299</v>
      </c>
      <c r="C2" s="430"/>
      <c r="D2" s="430"/>
      <c r="E2" s="430"/>
      <c r="F2" s="430"/>
      <c r="G2" s="430"/>
      <c r="H2" s="430"/>
      <c r="I2" s="430"/>
      <c r="J2" s="430"/>
      <c r="K2" s="430"/>
      <c r="L2" s="430"/>
    </row>
    <row r="3" spans="1:13" ht="9.75" customHeight="1" x14ac:dyDescent="0.3">
      <c r="A3" s="427"/>
      <c r="B3" s="431"/>
      <c r="F3" s="427"/>
      <c r="H3" s="427"/>
      <c r="K3" s="427"/>
    </row>
    <row r="4" spans="1:13" ht="6" customHeight="1" x14ac:dyDescent="0.3">
      <c r="B4" s="427"/>
      <c r="F4" s="427"/>
      <c r="H4" s="427"/>
      <c r="K4" s="427"/>
    </row>
    <row r="5" spans="1:13" ht="6" customHeight="1" x14ac:dyDescent="0.3">
      <c r="A5" s="431"/>
      <c r="F5" s="427"/>
      <c r="H5" s="427"/>
      <c r="K5" s="427"/>
    </row>
    <row r="6" spans="1:13" ht="15.75" customHeight="1" x14ac:dyDescent="0.3">
      <c r="C6" s="428">
        <v>1000000</v>
      </c>
      <c r="F6" s="427"/>
      <c r="G6" s="427"/>
      <c r="H6" s="427"/>
      <c r="K6" s="427"/>
    </row>
    <row r="7" spans="1:13" ht="37.200000000000003" customHeight="1" x14ac:dyDescent="0.3">
      <c r="A7" s="432"/>
      <c r="B7" s="433">
        <v>2024</v>
      </c>
      <c r="C7" s="4385" t="s">
        <v>22</v>
      </c>
      <c r="D7" s="4386"/>
      <c r="E7" s="4387"/>
      <c r="F7" s="432"/>
      <c r="G7" s="435" t="s">
        <v>300</v>
      </c>
      <c r="H7" s="432"/>
      <c r="I7" s="433">
        <v>2024</v>
      </c>
      <c r="J7" s="1598" t="s">
        <v>23</v>
      </c>
      <c r="K7" s="609"/>
      <c r="L7" s="435" t="s">
        <v>300</v>
      </c>
      <c r="M7" s="432"/>
    </row>
    <row r="8" spans="1:13" ht="18" customHeight="1" x14ac:dyDescent="0.35">
      <c r="B8" s="436" t="s">
        <v>301</v>
      </c>
      <c r="C8" s="648">
        <v>1</v>
      </c>
      <c r="D8" s="572">
        <v>2</v>
      </c>
      <c r="E8" s="572">
        <v>3</v>
      </c>
      <c r="F8" s="427"/>
      <c r="G8" s="438"/>
      <c r="H8" s="427"/>
      <c r="I8" s="436" t="s">
        <v>301</v>
      </c>
      <c r="J8" s="572">
        <v>1</v>
      </c>
      <c r="K8" s="610"/>
      <c r="L8" s="438"/>
    </row>
    <row r="9" spans="1:13" ht="46.5" customHeight="1" x14ac:dyDescent="0.3">
      <c r="B9" s="439" t="s">
        <v>302</v>
      </c>
      <c r="C9" s="573" t="s">
        <v>913</v>
      </c>
      <c r="D9" s="573" t="s">
        <v>914</v>
      </c>
      <c r="E9" s="573" t="s">
        <v>915</v>
      </c>
      <c r="F9" s="574"/>
      <c r="G9" s="442"/>
      <c r="H9" s="443"/>
      <c r="I9" s="439" t="s">
        <v>302</v>
      </c>
      <c r="J9" s="1599" t="s">
        <v>916</v>
      </c>
      <c r="K9" s="611"/>
      <c r="L9" s="442"/>
    </row>
    <row r="10" spans="1:13" ht="46.5" customHeight="1" x14ac:dyDescent="0.3">
      <c r="B10" s="444" t="s">
        <v>304</v>
      </c>
      <c r="C10" s="445" t="s">
        <v>917</v>
      </c>
      <c r="D10" s="445" t="s">
        <v>918</v>
      </c>
      <c r="E10" s="445" t="s">
        <v>919</v>
      </c>
      <c r="F10" s="574"/>
      <c r="G10" s="446"/>
      <c r="H10" s="443"/>
      <c r="I10" s="444" t="s">
        <v>304</v>
      </c>
      <c r="J10" s="1600" t="s">
        <v>920</v>
      </c>
      <c r="K10" s="612"/>
      <c r="L10" s="446"/>
    </row>
    <row r="11" spans="1:13" ht="18.75" customHeight="1" x14ac:dyDescent="0.3">
      <c r="A11" s="447"/>
      <c r="B11" s="448" t="s">
        <v>306</v>
      </c>
      <c r="C11" s="575">
        <f>(C17*C18)</f>
        <v>109.89293149643706</v>
      </c>
      <c r="D11" s="575">
        <f>(D17*D18)</f>
        <v>26.929913539999998</v>
      </c>
      <c r="E11" s="575">
        <f>(E17*E18)</f>
        <v>16.281409293118596</v>
      </c>
      <c r="F11" s="576"/>
      <c r="G11" s="451">
        <f>SUM(C11:E11)</f>
        <v>153.10425432955566</v>
      </c>
      <c r="H11" s="452"/>
      <c r="I11" s="448" t="s">
        <v>306</v>
      </c>
      <c r="J11" s="613">
        <f>(J17*J18)</f>
        <v>2506.7844122246784</v>
      </c>
      <c r="K11" s="614"/>
      <c r="L11" s="451">
        <f>SUM(J11:J11)</f>
        <v>2506.7844122246784</v>
      </c>
      <c r="M11" s="447"/>
    </row>
    <row r="12" spans="1:13" ht="18.75" customHeight="1" x14ac:dyDescent="0.3">
      <c r="A12" s="447"/>
      <c r="B12" s="453" t="s">
        <v>307</v>
      </c>
      <c r="C12" s="577">
        <f>(C22*C23)</f>
        <v>4.0916960000000007</v>
      </c>
      <c r="D12" s="577">
        <f t="shared" ref="D12:E12" si="0">(D22*D23)</f>
        <v>0</v>
      </c>
      <c r="E12" s="577">
        <f t="shared" si="0"/>
        <v>0</v>
      </c>
      <c r="F12" s="455"/>
      <c r="G12" s="456">
        <f>SUM(C12:E12)</f>
        <v>4.0916960000000007</v>
      </c>
      <c r="H12" s="457"/>
      <c r="I12" s="453" t="s">
        <v>307</v>
      </c>
      <c r="J12" s="577">
        <f>(J22*J23)</f>
        <v>0</v>
      </c>
      <c r="K12" s="614"/>
      <c r="L12" s="456">
        <f>SUM(J12:J12)</f>
        <v>0</v>
      </c>
      <c r="M12" s="447"/>
    </row>
    <row r="13" spans="1:13" ht="18.75" customHeight="1" x14ac:dyDescent="0.3">
      <c r="A13" s="447"/>
      <c r="B13" s="448" t="s">
        <v>308</v>
      </c>
      <c r="C13" s="654" t="s">
        <v>8</v>
      </c>
      <c r="D13" s="578" t="s">
        <v>8</v>
      </c>
      <c r="E13" s="578" t="s">
        <v>8</v>
      </c>
      <c r="F13" s="459"/>
      <c r="G13" s="460"/>
      <c r="H13" s="461"/>
      <c r="I13" s="448" t="s">
        <v>308</v>
      </c>
      <c r="J13" s="578" t="s">
        <v>8</v>
      </c>
      <c r="K13" s="615"/>
      <c r="L13" s="460"/>
      <c r="M13" s="447"/>
    </row>
    <row r="14" spans="1:13" ht="18.75" customHeight="1" x14ac:dyDescent="0.3">
      <c r="A14" s="447"/>
      <c r="B14" s="462" t="s">
        <v>309</v>
      </c>
      <c r="C14" s="655">
        <f t="shared" ref="C14:E14" si="1">C11-C12</f>
        <v>105.80123549643706</v>
      </c>
      <c r="D14" s="579">
        <f t="shared" si="1"/>
        <v>26.929913539999998</v>
      </c>
      <c r="E14" s="579">
        <f t="shared" si="1"/>
        <v>16.281409293118596</v>
      </c>
      <c r="F14" s="455"/>
      <c r="G14" s="464">
        <f>SUM(C14:E14)</f>
        <v>149.01255832955565</v>
      </c>
      <c r="H14" s="457"/>
      <c r="I14" s="462" t="s">
        <v>309</v>
      </c>
      <c r="J14" s="579">
        <f t="shared" ref="J14" si="2">J11-J12</f>
        <v>2506.7844122246784</v>
      </c>
      <c r="K14" s="614"/>
      <c r="L14" s="464">
        <f>SUM(J14:J14)</f>
        <v>2506.7844122246784</v>
      </c>
      <c r="M14" s="447"/>
    </row>
    <row r="15" spans="1:13" ht="19.5" customHeight="1" x14ac:dyDescent="0.4">
      <c r="B15" s="465" t="s">
        <v>310</v>
      </c>
      <c r="C15" s="656"/>
      <c r="D15" s="657"/>
      <c r="E15" s="580"/>
      <c r="F15" s="467"/>
      <c r="G15" s="468"/>
      <c r="H15" s="467"/>
      <c r="I15" s="616" t="s">
        <v>395</v>
      </c>
      <c r="J15" s="617"/>
      <c r="K15" s="618"/>
      <c r="L15" s="468"/>
      <c r="M15" s="427"/>
    </row>
    <row r="16" spans="1:13" ht="35.4" customHeight="1" x14ac:dyDescent="0.3">
      <c r="A16" s="447"/>
      <c r="B16" s="469" t="s">
        <v>311</v>
      </c>
      <c r="C16" s="601" t="s">
        <v>921</v>
      </c>
      <c r="D16" s="601" t="s">
        <v>922</v>
      </c>
      <c r="E16" s="601" t="s">
        <v>923</v>
      </c>
      <c r="F16" s="581"/>
      <c r="G16" s="471"/>
      <c r="H16" s="457"/>
      <c r="I16" s="469" t="s">
        <v>311</v>
      </c>
      <c r="J16" s="1601" t="s">
        <v>781</v>
      </c>
      <c r="K16" s="619"/>
      <c r="L16" s="620"/>
      <c r="M16" s="447"/>
    </row>
    <row r="17" spans="1:13" ht="21" customHeight="1" x14ac:dyDescent="0.3">
      <c r="A17" s="447"/>
      <c r="B17" s="472" t="s">
        <v>2342</v>
      </c>
      <c r="C17" s="582">
        <f>'CF-1201|GDS'!H14</f>
        <v>56753.760886777505</v>
      </c>
      <c r="D17" s="660">
        <f>'CF-1201|GDS'!Q15</f>
        <v>17495</v>
      </c>
      <c r="E17" s="1602">
        <f>'CF-1201|GDS'!H19</f>
        <v>9577299.5841874089</v>
      </c>
      <c r="F17" s="583"/>
      <c r="H17" s="475"/>
      <c r="I17" s="472" t="s">
        <v>398</v>
      </c>
      <c r="J17" s="621">
        <f>'CF-1201|GDS'!H49</f>
        <v>3090</v>
      </c>
      <c r="K17" s="622"/>
      <c r="L17" s="623"/>
      <c r="M17" s="447"/>
    </row>
    <row r="18" spans="1:13" ht="18.75" customHeight="1" x14ac:dyDescent="0.3">
      <c r="A18" s="447"/>
      <c r="B18" s="476" t="s">
        <v>314</v>
      </c>
      <c r="C18" s="584">
        <v>1.9363110000000002E-3</v>
      </c>
      <c r="D18" s="584">
        <v>1.5392919999999998E-3</v>
      </c>
      <c r="E18" s="584">
        <v>1.7E-6</v>
      </c>
      <c r="F18" s="478"/>
      <c r="H18" s="479"/>
      <c r="I18" s="476" t="s">
        <v>314</v>
      </c>
      <c r="J18" s="584">
        <v>0.81125709133484736</v>
      </c>
      <c r="K18" s="614"/>
      <c r="L18" s="491"/>
      <c r="M18" s="447"/>
    </row>
    <row r="19" spans="1:13" ht="19.5" customHeight="1" x14ac:dyDescent="0.3">
      <c r="A19" s="447"/>
      <c r="B19" s="480" t="s">
        <v>315</v>
      </c>
      <c r="C19" s="663">
        <f>C17*C18</f>
        <v>109.89293149643706</v>
      </c>
      <c r="D19" s="664">
        <f>D17*D18</f>
        <v>26.929913539999998</v>
      </c>
      <c r="E19" s="585">
        <f>E17*E18</f>
        <v>16.281409293118596</v>
      </c>
      <c r="F19" s="586"/>
      <c r="H19" s="479"/>
      <c r="I19" s="480" t="s">
        <v>315</v>
      </c>
      <c r="J19" s="585">
        <f>J17*J18</f>
        <v>2506.7844122246784</v>
      </c>
      <c r="K19" s="614"/>
      <c r="L19" s="494"/>
      <c r="M19" s="647"/>
    </row>
    <row r="20" spans="1:13" ht="21" customHeight="1" x14ac:dyDescent="0.4">
      <c r="B20" s="465" t="s">
        <v>316</v>
      </c>
      <c r="C20" s="665"/>
      <c r="D20" s="587"/>
      <c r="E20" s="587"/>
      <c r="F20" s="483"/>
      <c r="G20" s="484"/>
      <c r="H20" s="483"/>
      <c r="I20" s="465" t="s">
        <v>316</v>
      </c>
      <c r="J20" s="587"/>
      <c r="K20" s="618"/>
      <c r="L20" s="495"/>
    </row>
    <row r="21" spans="1:13" ht="32.4" customHeight="1" x14ac:dyDescent="0.3">
      <c r="A21" s="447"/>
      <c r="B21" s="469" t="s">
        <v>183</v>
      </c>
      <c r="C21" s="601" t="s">
        <v>405</v>
      </c>
      <c r="D21" s="601" t="s">
        <v>728</v>
      </c>
      <c r="E21" s="601" t="s">
        <v>915</v>
      </c>
      <c r="F21" s="588"/>
      <c r="G21" s="485"/>
      <c r="H21" s="479"/>
      <c r="I21" s="469" t="s">
        <v>183</v>
      </c>
      <c r="J21" s="1601" t="s">
        <v>976</v>
      </c>
      <c r="K21" s="614"/>
      <c r="L21" s="496"/>
      <c r="M21" s="447"/>
    </row>
    <row r="22" spans="1:13" ht="21" customHeight="1" x14ac:dyDescent="0.3">
      <c r="A22" s="447"/>
      <c r="B22" s="486" t="s">
        <v>2342</v>
      </c>
      <c r="C22" s="666">
        <f>'CF-1201|GDS'!H12</f>
        <v>112000</v>
      </c>
      <c r="D22" s="589">
        <v>0</v>
      </c>
      <c r="E22" s="589">
        <v>0</v>
      </c>
      <c r="F22" s="479"/>
      <c r="G22" s="488"/>
      <c r="H22" s="479"/>
      <c r="I22" s="486" t="s">
        <v>398</v>
      </c>
      <c r="J22" s="589">
        <f>J17</f>
        <v>3090</v>
      </c>
      <c r="K22" s="622"/>
      <c r="L22" s="623"/>
      <c r="M22" s="447"/>
    </row>
    <row r="23" spans="1:13" ht="21" customHeight="1" x14ac:dyDescent="0.3">
      <c r="A23" s="447"/>
      <c r="B23" s="489" t="s">
        <v>314</v>
      </c>
      <c r="C23" s="590">
        <v>3.6533000000000004E-5</v>
      </c>
      <c r="D23" s="590">
        <v>1.7E-6</v>
      </c>
      <c r="E23" s="590">
        <v>0</v>
      </c>
      <c r="F23" s="588"/>
      <c r="G23" s="491"/>
      <c r="H23" s="479"/>
      <c r="I23" s="489" t="s">
        <v>314</v>
      </c>
      <c r="J23" s="590">
        <v>0</v>
      </c>
      <c r="K23" s="614"/>
      <c r="L23" s="491"/>
      <c r="M23" s="447"/>
    </row>
    <row r="24" spans="1:13" ht="21" customHeight="1" x14ac:dyDescent="0.3">
      <c r="A24" s="447"/>
      <c r="B24" s="492" t="s">
        <v>315</v>
      </c>
      <c r="C24" s="668">
        <f t="shared" ref="C24:E24" si="3">C22*C23</f>
        <v>4.0916960000000007</v>
      </c>
      <c r="D24" s="668">
        <f t="shared" si="3"/>
        <v>0</v>
      </c>
      <c r="E24" s="591">
        <f t="shared" si="3"/>
        <v>0</v>
      </c>
      <c r="F24" s="588"/>
      <c r="G24" s="494"/>
      <c r="H24" s="479"/>
      <c r="I24" s="492" t="s">
        <v>315</v>
      </c>
      <c r="J24" s="624">
        <f t="shared" ref="J24" si="4">J22*J23</f>
        <v>0</v>
      </c>
      <c r="K24" s="614"/>
      <c r="L24" s="494"/>
      <c r="M24" s="447"/>
    </row>
    <row r="25" spans="1:13" ht="28.5" customHeight="1" x14ac:dyDescent="0.3">
      <c r="A25" s="447"/>
      <c r="B25" s="498" t="s">
        <v>320</v>
      </c>
      <c r="C25" s="592" t="s">
        <v>639</v>
      </c>
      <c r="D25" s="592" t="s">
        <v>321</v>
      </c>
      <c r="E25" s="592" t="s">
        <v>924</v>
      </c>
      <c r="F25" s="593"/>
      <c r="G25" s="501"/>
      <c r="H25" s="500"/>
      <c r="I25" s="498" t="s">
        <v>320</v>
      </c>
      <c r="J25" s="626" t="s">
        <v>401</v>
      </c>
      <c r="K25" s="614"/>
      <c r="L25" s="496"/>
      <c r="M25" s="447"/>
    </row>
    <row r="26" spans="1:13" ht="24" customHeight="1" x14ac:dyDescent="0.3">
      <c r="B26" s="502" t="s">
        <v>322</v>
      </c>
      <c r="C26" s="673">
        <v>3</v>
      </c>
      <c r="D26" s="594">
        <v>3</v>
      </c>
      <c r="E26" s="594">
        <v>3</v>
      </c>
      <c r="F26" s="504"/>
      <c r="G26" s="505"/>
      <c r="H26" s="504"/>
      <c r="I26" s="502" t="s">
        <v>322</v>
      </c>
      <c r="J26" s="596">
        <v>13</v>
      </c>
      <c r="K26" s="618"/>
      <c r="L26" s="495"/>
    </row>
    <row r="27" spans="1:13" ht="33" customHeight="1" x14ac:dyDescent="0.3">
      <c r="A27" s="447"/>
      <c r="B27" s="506" t="s">
        <v>323</v>
      </c>
      <c r="C27" s="496" t="s">
        <v>324</v>
      </c>
      <c r="D27" s="595" t="s">
        <v>324</v>
      </c>
      <c r="E27" s="595" t="s">
        <v>324</v>
      </c>
      <c r="F27" s="479"/>
      <c r="G27" s="496"/>
      <c r="H27" s="479"/>
      <c r="I27" s="506" t="s">
        <v>323</v>
      </c>
      <c r="J27" s="595" t="s">
        <v>324</v>
      </c>
      <c r="K27" s="614"/>
      <c r="L27" s="496"/>
      <c r="M27" s="447"/>
    </row>
    <row r="28" spans="1:13" ht="33" customHeight="1" x14ac:dyDescent="0.3">
      <c r="A28" s="447"/>
      <c r="B28" s="508" t="s">
        <v>325</v>
      </c>
      <c r="C28" s="674" t="s">
        <v>326</v>
      </c>
      <c r="D28" s="596" t="s">
        <v>326</v>
      </c>
      <c r="E28" s="596" t="s">
        <v>326</v>
      </c>
      <c r="F28" s="479"/>
      <c r="G28" s="496"/>
      <c r="H28" s="479"/>
      <c r="I28" s="508" t="s">
        <v>325</v>
      </c>
      <c r="J28" s="627" t="s">
        <v>326</v>
      </c>
      <c r="K28" s="614"/>
      <c r="L28" s="496"/>
      <c r="M28" s="447"/>
    </row>
    <row r="29" spans="1:13" ht="33" customHeight="1" x14ac:dyDescent="0.3">
      <c r="A29" s="447"/>
      <c r="B29" s="506" t="s">
        <v>327</v>
      </c>
      <c r="C29" s="595" t="s">
        <v>729</v>
      </c>
      <c r="D29" s="595" t="s">
        <v>433</v>
      </c>
      <c r="E29" s="595" t="s">
        <v>925</v>
      </c>
      <c r="F29" s="479"/>
      <c r="G29" s="496"/>
      <c r="H29" s="479"/>
      <c r="I29" s="506" t="s">
        <v>327</v>
      </c>
      <c r="J29" s="595" t="s">
        <v>402</v>
      </c>
      <c r="K29" s="614"/>
      <c r="L29" s="496"/>
      <c r="M29" s="447"/>
    </row>
    <row r="30" spans="1:13" ht="21" customHeight="1" x14ac:dyDescent="0.3">
      <c r="B30" s="510" t="s">
        <v>329</v>
      </c>
      <c r="C30" s="596">
        <v>9</v>
      </c>
      <c r="D30" s="596">
        <v>1</v>
      </c>
      <c r="E30" s="596">
        <v>1</v>
      </c>
      <c r="F30" s="467"/>
      <c r="G30" s="467"/>
      <c r="H30" s="467"/>
      <c r="I30" s="510" t="s">
        <v>329</v>
      </c>
      <c r="J30" s="596">
        <v>5</v>
      </c>
      <c r="K30" s="618"/>
      <c r="L30" s="467"/>
    </row>
    <row r="31" spans="1:13" ht="21" customHeight="1" x14ac:dyDescent="0.3">
      <c r="B31" s="453" t="s">
        <v>330</v>
      </c>
      <c r="C31" s="496" t="s">
        <v>324</v>
      </c>
      <c r="D31" s="595" t="s">
        <v>324</v>
      </c>
      <c r="E31" s="595" t="s">
        <v>324</v>
      </c>
      <c r="F31" s="483"/>
      <c r="G31" s="495"/>
      <c r="H31" s="483"/>
      <c r="I31" s="453" t="s">
        <v>330</v>
      </c>
      <c r="J31" s="595" t="s">
        <v>324</v>
      </c>
      <c r="K31" s="618"/>
      <c r="L31" s="495"/>
    </row>
    <row r="32" spans="1:13" ht="21" customHeight="1" x14ac:dyDescent="0.3">
      <c r="B32" s="510" t="s">
        <v>331</v>
      </c>
      <c r="C32" s="674" t="s">
        <v>324</v>
      </c>
      <c r="D32" s="596" t="s">
        <v>324</v>
      </c>
      <c r="E32" s="596" t="s">
        <v>324</v>
      </c>
      <c r="F32" s="483"/>
      <c r="G32" s="495"/>
      <c r="H32" s="483"/>
      <c r="I32" s="510" t="s">
        <v>331</v>
      </c>
      <c r="J32" s="596" t="s">
        <v>324</v>
      </c>
      <c r="K32" s="618"/>
      <c r="L32" s="495"/>
    </row>
    <row r="33" spans="2:12" ht="21" customHeight="1" x14ac:dyDescent="0.3">
      <c r="B33" s="462" t="s">
        <v>332</v>
      </c>
      <c r="C33" s="675" t="s">
        <v>333</v>
      </c>
      <c r="D33" s="555" t="s">
        <v>333</v>
      </c>
      <c r="E33" s="555" t="s">
        <v>333</v>
      </c>
      <c r="F33" s="483"/>
      <c r="G33" s="495"/>
      <c r="H33" s="483"/>
      <c r="I33" s="462" t="s">
        <v>332</v>
      </c>
      <c r="J33" s="555" t="s">
        <v>333</v>
      </c>
      <c r="K33" s="618"/>
      <c r="L33" s="495"/>
    </row>
    <row r="34" spans="2:12" ht="15.75" customHeight="1" x14ac:dyDescent="0.3">
      <c r="B34" s="427"/>
      <c r="C34" s="427"/>
      <c r="D34" s="427"/>
      <c r="E34" s="427"/>
      <c r="F34" s="483"/>
      <c r="G34" s="483"/>
      <c r="H34" s="483"/>
      <c r="I34" s="427"/>
      <c r="K34" s="427"/>
      <c r="L34" s="427"/>
    </row>
    <row r="35" spans="2:12" ht="15.75" customHeight="1" x14ac:dyDescent="0.3">
      <c r="B35" s="512" t="s">
        <v>334</v>
      </c>
      <c r="C35" s="427"/>
      <c r="D35" s="427"/>
      <c r="E35" s="427"/>
      <c r="F35" s="483"/>
      <c r="G35" s="483"/>
      <c r="H35" s="483"/>
      <c r="K35" s="427"/>
      <c r="L35" s="427"/>
    </row>
    <row r="36" spans="2:12" ht="15.75" customHeight="1" x14ac:dyDescent="0.3">
      <c r="B36" s="512" t="s">
        <v>335</v>
      </c>
      <c r="C36" s="427"/>
      <c r="D36" s="427"/>
      <c r="E36" s="427"/>
      <c r="F36" s="483"/>
      <c r="G36" s="483"/>
      <c r="H36" s="483"/>
      <c r="K36" s="427"/>
      <c r="L36" s="427"/>
    </row>
    <row r="37" spans="2:12" ht="15.75" customHeight="1" x14ac:dyDescent="0.3">
      <c r="B37" s="512" t="s">
        <v>336</v>
      </c>
      <c r="C37" s="427"/>
      <c r="D37" s="427"/>
      <c r="E37" s="427"/>
      <c r="F37" s="483"/>
      <c r="G37" s="483"/>
      <c r="H37" s="483"/>
      <c r="K37" s="427"/>
      <c r="L37" s="427"/>
    </row>
    <row r="38" spans="2:12" ht="15.75" customHeight="1" x14ac:dyDescent="0.3">
      <c r="B38" s="512" t="s">
        <v>337</v>
      </c>
      <c r="C38" s="427"/>
      <c r="D38" s="427"/>
      <c r="E38" s="427"/>
      <c r="F38" s="483"/>
      <c r="G38" s="483"/>
      <c r="H38" s="483"/>
      <c r="K38" s="427"/>
      <c r="L38" s="427"/>
    </row>
    <row r="39" spans="2:12" ht="15.75" customHeight="1" x14ac:dyDescent="0.3">
      <c r="B39" s="512" t="s">
        <v>338</v>
      </c>
      <c r="F39" s="427"/>
      <c r="H39" s="427"/>
      <c r="K39" s="427"/>
      <c r="L39" s="427"/>
    </row>
    <row r="40" spans="2:12" ht="15.75" customHeight="1" x14ac:dyDescent="0.3">
      <c r="B40" s="512" t="s">
        <v>339</v>
      </c>
      <c r="F40" s="427"/>
      <c r="H40" s="427"/>
      <c r="K40" s="427"/>
      <c r="L40" s="427"/>
    </row>
    <row r="41" spans="2:12" ht="15.75" customHeight="1" x14ac:dyDescent="0.3">
      <c r="F41" s="427"/>
      <c r="H41" s="427"/>
      <c r="K41" s="427"/>
      <c r="L41" s="427"/>
    </row>
    <row r="42" spans="2:12" ht="15.75" customHeight="1" x14ac:dyDescent="0.3">
      <c r="F42" s="427"/>
      <c r="H42" s="427"/>
      <c r="K42" s="427"/>
      <c r="L42" s="427"/>
    </row>
    <row r="43" spans="2:12" ht="15.75" customHeight="1" x14ac:dyDescent="0.3">
      <c r="F43" s="427"/>
      <c r="H43" s="427"/>
      <c r="K43" s="427"/>
      <c r="L43" s="427"/>
    </row>
    <row r="44" spans="2:12" ht="15.75" customHeight="1" x14ac:dyDescent="0.3">
      <c r="F44" s="427"/>
      <c r="H44" s="427"/>
      <c r="K44" s="427"/>
    </row>
    <row r="45" spans="2:12" ht="15.75" customHeight="1" x14ac:dyDescent="0.3">
      <c r="F45" s="427"/>
      <c r="H45" s="427"/>
      <c r="K45" s="427"/>
    </row>
    <row r="46" spans="2:12" ht="15.75" customHeight="1" x14ac:dyDescent="0.3">
      <c r="F46" s="427"/>
      <c r="H46" s="427"/>
      <c r="K46" s="427"/>
    </row>
    <row r="47" spans="2:12" ht="15.75" customHeight="1" x14ac:dyDescent="0.3">
      <c r="F47" s="427"/>
      <c r="H47" s="427"/>
      <c r="K47" s="427"/>
    </row>
    <row r="48" spans="2:12" ht="15.75" customHeight="1" x14ac:dyDescent="0.3">
      <c r="F48" s="427"/>
      <c r="H48" s="427"/>
      <c r="K48" s="427"/>
    </row>
    <row r="49" spans="6:11" ht="15.75" customHeight="1" x14ac:dyDescent="0.3">
      <c r="F49" s="427"/>
      <c r="H49" s="427"/>
      <c r="K49" s="427"/>
    </row>
    <row r="50" spans="6:11" ht="15.75" customHeight="1" x14ac:dyDescent="0.3">
      <c r="F50" s="427"/>
      <c r="H50" s="427"/>
      <c r="K50" s="427"/>
    </row>
    <row r="51" spans="6:11" ht="15.75" customHeight="1" x14ac:dyDescent="0.3">
      <c r="F51" s="427"/>
      <c r="H51" s="427"/>
      <c r="K51" s="427"/>
    </row>
    <row r="52" spans="6:11" ht="15.75" customHeight="1" x14ac:dyDescent="0.3">
      <c r="F52" s="427"/>
      <c r="H52" s="427"/>
      <c r="K52" s="427"/>
    </row>
    <row r="53" spans="6:11" ht="15.75" customHeight="1" x14ac:dyDescent="0.3">
      <c r="F53" s="427"/>
      <c r="H53" s="427"/>
      <c r="K53" s="427"/>
    </row>
    <row r="54" spans="6:11" ht="15.75" customHeight="1" x14ac:dyDescent="0.3">
      <c r="F54" s="427"/>
      <c r="H54" s="427"/>
      <c r="K54" s="427"/>
    </row>
    <row r="55" spans="6:11" ht="15.75" customHeight="1" x14ac:dyDescent="0.3">
      <c r="F55" s="427"/>
      <c r="H55" s="427"/>
      <c r="K55" s="427"/>
    </row>
    <row r="56" spans="6:11" ht="15.75" customHeight="1" x14ac:dyDescent="0.3">
      <c r="F56" s="427"/>
      <c r="H56" s="427"/>
      <c r="K56" s="427"/>
    </row>
    <row r="57" spans="6:11" ht="15.75" customHeight="1" x14ac:dyDescent="0.3">
      <c r="F57" s="427"/>
      <c r="H57" s="427"/>
      <c r="K57" s="427"/>
    </row>
    <row r="58" spans="6:11" ht="15.75" customHeight="1" x14ac:dyDescent="0.3">
      <c r="F58" s="427"/>
      <c r="H58" s="427"/>
      <c r="K58" s="427"/>
    </row>
    <row r="59" spans="6:11" ht="15.75" customHeight="1" x14ac:dyDescent="0.3">
      <c r="F59" s="427"/>
      <c r="H59" s="427"/>
      <c r="K59" s="427"/>
    </row>
    <row r="60" spans="6:11" ht="15.75" customHeight="1" x14ac:dyDescent="0.3">
      <c r="F60" s="427"/>
      <c r="H60" s="427"/>
      <c r="K60" s="427"/>
    </row>
    <row r="61" spans="6:11" ht="15.75" customHeight="1" x14ac:dyDescent="0.3">
      <c r="F61" s="427"/>
      <c r="H61" s="427"/>
      <c r="K61" s="427"/>
    </row>
    <row r="62" spans="6:11" ht="15.75" customHeight="1" x14ac:dyDescent="0.3">
      <c r="F62" s="427"/>
      <c r="H62" s="427"/>
      <c r="K62" s="427"/>
    </row>
    <row r="63" spans="6:11" ht="15.75" customHeight="1" x14ac:dyDescent="0.3">
      <c r="F63" s="427"/>
      <c r="H63" s="427"/>
      <c r="K63" s="427"/>
    </row>
    <row r="64" spans="6:11" ht="15.75" customHeight="1" x14ac:dyDescent="0.3">
      <c r="F64" s="427"/>
      <c r="H64" s="427"/>
      <c r="K64" s="427"/>
    </row>
    <row r="65" spans="6:11" ht="15.75" customHeight="1" x14ac:dyDescent="0.3">
      <c r="F65" s="427"/>
      <c r="H65" s="427"/>
      <c r="K65" s="427"/>
    </row>
    <row r="66" spans="6:11" ht="15.75" customHeight="1" x14ac:dyDescent="0.3">
      <c r="F66" s="427"/>
      <c r="H66" s="427"/>
      <c r="K66" s="427"/>
    </row>
    <row r="67" spans="6:11" ht="15.75" customHeight="1" x14ac:dyDescent="0.3">
      <c r="F67" s="427"/>
      <c r="H67" s="427"/>
      <c r="K67" s="427"/>
    </row>
    <row r="68" spans="6:11" ht="15.75" customHeight="1" x14ac:dyDescent="0.3">
      <c r="F68" s="427"/>
      <c r="H68" s="427"/>
      <c r="K68" s="427"/>
    </row>
    <row r="69" spans="6:11" ht="15.75" customHeight="1" x14ac:dyDescent="0.3">
      <c r="F69" s="427"/>
      <c r="H69" s="427"/>
      <c r="K69" s="427"/>
    </row>
    <row r="70" spans="6:11" ht="15.75" customHeight="1" x14ac:dyDescent="0.3">
      <c r="F70" s="427"/>
      <c r="H70" s="427"/>
      <c r="K70" s="427"/>
    </row>
    <row r="71" spans="6:11" ht="15.75" customHeight="1" x14ac:dyDescent="0.3">
      <c r="F71" s="427"/>
      <c r="H71" s="427"/>
      <c r="K71" s="427"/>
    </row>
    <row r="72" spans="6:11" ht="15.75" customHeight="1" x14ac:dyDescent="0.3">
      <c r="F72" s="427"/>
      <c r="H72" s="427"/>
      <c r="K72" s="427"/>
    </row>
    <row r="73" spans="6:11" ht="15.75" customHeight="1" x14ac:dyDescent="0.3">
      <c r="F73" s="427"/>
      <c r="H73" s="427"/>
      <c r="K73" s="427"/>
    </row>
    <row r="74" spans="6:11" ht="15.75" customHeight="1" x14ac:dyDescent="0.3">
      <c r="F74" s="427"/>
      <c r="H74" s="427"/>
      <c r="K74" s="427"/>
    </row>
    <row r="75" spans="6:11" ht="15.75" customHeight="1" x14ac:dyDescent="0.3">
      <c r="F75" s="427"/>
      <c r="H75" s="427"/>
      <c r="K75" s="427"/>
    </row>
    <row r="76" spans="6:11" ht="15.75" customHeight="1" x14ac:dyDescent="0.3">
      <c r="F76" s="427"/>
      <c r="H76" s="427"/>
      <c r="K76" s="427"/>
    </row>
    <row r="77" spans="6:11" ht="15.75" customHeight="1" x14ac:dyDescent="0.3">
      <c r="F77" s="427"/>
      <c r="H77" s="427"/>
      <c r="K77" s="427"/>
    </row>
    <row r="78" spans="6:11" ht="15.75" customHeight="1" x14ac:dyDescent="0.3">
      <c r="F78" s="427"/>
      <c r="H78" s="427"/>
      <c r="K78" s="427"/>
    </row>
    <row r="79" spans="6:11" ht="15.75" customHeight="1" x14ac:dyDescent="0.3">
      <c r="F79" s="427"/>
      <c r="H79" s="427"/>
      <c r="K79" s="427"/>
    </row>
    <row r="80" spans="6:11" ht="15.75" customHeight="1" x14ac:dyDescent="0.3">
      <c r="F80" s="427"/>
      <c r="H80" s="427"/>
      <c r="K80" s="427"/>
    </row>
    <row r="81" spans="6:11" ht="15.75" customHeight="1" x14ac:dyDescent="0.3">
      <c r="F81" s="427"/>
      <c r="H81" s="427"/>
      <c r="K81" s="427"/>
    </row>
    <row r="82" spans="6:11" ht="15.75" customHeight="1" x14ac:dyDescent="0.3">
      <c r="F82" s="427"/>
      <c r="H82" s="427"/>
      <c r="K82" s="427"/>
    </row>
    <row r="83" spans="6:11" ht="15.75" customHeight="1" x14ac:dyDescent="0.3">
      <c r="F83" s="427"/>
      <c r="H83" s="427"/>
      <c r="K83" s="427"/>
    </row>
    <row r="84" spans="6:11" ht="15.75" customHeight="1" x14ac:dyDescent="0.3">
      <c r="F84" s="427"/>
      <c r="H84" s="427"/>
      <c r="K84" s="427"/>
    </row>
    <row r="85" spans="6:11" ht="15.75" customHeight="1" x14ac:dyDescent="0.3">
      <c r="F85" s="427"/>
      <c r="H85" s="427"/>
      <c r="K85" s="427"/>
    </row>
    <row r="86" spans="6:11" ht="15.75" customHeight="1" x14ac:dyDescent="0.3">
      <c r="F86" s="427"/>
      <c r="H86" s="427"/>
      <c r="K86" s="427"/>
    </row>
    <row r="87" spans="6:11" ht="15.75" customHeight="1" x14ac:dyDescent="0.3">
      <c r="F87" s="427"/>
      <c r="H87" s="427"/>
      <c r="K87" s="427"/>
    </row>
    <row r="88" spans="6:11" ht="15.75" customHeight="1" x14ac:dyDescent="0.3">
      <c r="F88" s="427"/>
      <c r="H88" s="427"/>
      <c r="K88" s="427"/>
    </row>
    <row r="89" spans="6:11" ht="15.75" customHeight="1" x14ac:dyDescent="0.3">
      <c r="F89" s="427"/>
      <c r="H89" s="427"/>
      <c r="K89" s="427"/>
    </row>
    <row r="90" spans="6:11" ht="15.75" customHeight="1" x14ac:dyDescent="0.3">
      <c r="F90" s="427"/>
      <c r="H90" s="427"/>
      <c r="K90" s="427"/>
    </row>
    <row r="91" spans="6:11" ht="15.75" customHeight="1" x14ac:dyDescent="0.3">
      <c r="F91" s="427"/>
      <c r="H91" s="427"/>
      <c r="K91" s="427"/>
    </row>
    <row r="92" spans="6:11" ht="15.75" customHeight="1" x14ac:dyDescent="0.3">
      <c r="F92" s="427"/>
      <c r="H92" s="427"/>
      <c r="K92" s="427"/>
    </row>
    <row r="93" spans="6:11" ht="15.75" customHeight="1" x14ac:dyDescent="0.3">
      <c r="F93" s="427"/>
      <c r="H93" s="427"/>
      <c r="K93" s="427"/>
    </row>
    <row r="94" spans="6:11" ht="15.75" customHeight="1" x14ac:dyDescent="0.3">
      <c r="F94" s="427"/>
      <c r="H94" s="427"/>
      <c r="K94" s="427"/>
    </row>
    <row r="95" spans="6:11" ht="15.75" customHeight="1" x14ac:dyDescent="0.3">
      <c r="F95" s="427"/>
      <c r="H95" s="427"/>
      <c r="K95" s="427"/>
    </row>
    <row r="96" spans="6:11" ht="15.75" customHeight="1" x14ac:dyDescent="0.3">
      <c r="F96" s="427"/>
      <c r="H96" s="427"/>
      <c r="K96" s="427"/>
    </row>
    <row r="97" spans="6:11" ht="15.75" customHeight="1" x14ac:dyDescent="0.3">
      <c r="F97" s="427"/>
      <c r="H97" s="427"/>
      <c r="K97" s="427"/>
    </row>
    <row r="98" spans="6:11" ht="15.75" customHeight="1" x14ac:dyDescent="0.3">
      <c r="F98" s="427"/>
      <c r="H98" s="427"/>
      <c r="K98" s="427"/>
    </row>
    <row r="99" spans="6:11" ht="15.75" customHeight="1" x14ac:dyDescent="0.3">
      <c r="F99" s="427"/>
      <c r="H99" s="427"/>
      <c r="K99" s="427"/>
    </row>
    <row r="100" spans="6:11" ht="15.75" customHeight="1" x14ac:dyDescent="0.3">
      <c r="F100" s="427"/>
      <c r="H100" s="427"/>
      <c r="K100" s="427"/>
    </row>
    <row r="101" spans="6:11" ht="15.75" customHeight="1" x14ac:dyDescent="0.3">
      <c r="F101" s="427"/>
      <c r="H101" s="427"/>
      <c r="K101" s="427"/>
    </row>
    <row r="102" spans="6:11" ht="15.75" customHeight="1" x14ac:dyDescent="0.3">
      <c r="F102" s="427"/>
      <c r="H102" s="427"/>
      <c r="K102" s="427"/>
    </row>
    <row r="103" spans="6:11" ht="15.75" customHeight="1" x14ac:dyDescent="0.3">
      <c r="F103" s="427"/>
      <c r="H103" s="427"/>
      <c r="K103" s="427"/>
    </row>
    <row r="104" spans="6:11" ht="15.75" customHeight="1" x14ac:dyDescent="0.3">
      <c r="F104" s="427"/>
      <c r="H104" s="427"/>
      <c r="K104" s="427"/>
    </row>
    <row r="105" spans="6:11" ht="15.75" customHeight="1" x14ac:dyDescent="0.3">
      <c r="F105" s="427"/>
      <c r="H105" s="427"/>
      <c r="K105" s="427"/>
    </row>
    <row r="106" spans="6:11" ht="15.75" customHeight="1" x14ac:dyDescent="0.3">
      <c r="F106" s="427"/>
      <c r="H106" s="427"/>
      <c r="K106" s="427"/>
    </row>
    <row r="107" spans="6:11" ht="15.75" customHeight="1" x14ac:dyDescent="0.3">
      <c r="F107" s="427"/>
      <c r="H107" s="427"/>
      <c r="K107" s="427"/>
    </row>
    <row r="108" spans="6:11" ht="15.75" customHeight="1" x14ac:dyDescent="0.3">
      <c r="F108" s="427"/>
      <c r="H108" s="427"/>
      <c r="K108" s="427"/>
    </row>
    <row r="109" spans="6:11" ht="15.75" customHeight="1" x14ac:dyDescent="0.3">
      <c r="F109" s="427"/>
      <c r="H109" s="427"/>
      <c r="K109" s="427"/>
    </row>
    <row r="110" spans="6:11" ht="15.75" customHeight="1" x14ac:dyDescent="0.3">
      <c r="F110" s="427"/>
      <c r="H110" s="427"/>
      <c r="K110" s="427"/>
    </row>
    <row r="111" spans="6:11" ht="15.75" customHeight="1" x14ac:dyDescent="0.3">
      <c r="F111" s="427"/>
      <c r="H111" s="427"/>
      <c r="K111" s="427"/>
    </row>
    <row r="112" spans="6:11" ht="15.75" customHeight="1" x14ac:dyDescent="0.3">
      <c r="F112" s="427"/>
      <c r="H112" s="427"/>
      <c r="K112" s="427"/>
    </row>
    <row r="113" spans="6:11" ht="15.75" customHeight="1" x14ac:dyDescent="0.3">
      <c r="F113" s="427"/>
      <c r="H113" s="427"/>
      <c r="K113" s="427"/>
    </row>
    <row r="114" spans="6:11" ht="15.75" customHeight="1" x14ac:dyDescent="0.3">
      <c r="F114" s="427"/>
      <c r="H114" s="427"/>
      <c r="K114" s="427"/>
    </row>
    <row r="115" spans="6:11" ht="15.75" customHeight="1" x14ac:dyDescent="0.3">
      <c r="F115" s="427"/>
      <c r="H115" s="427"/>
      <c r="K115" s="427"/>
    </row>
    <row r="116" spans="6:11" ht="15.75" customHeight="1" x14ac:dyDescent="0.3">
      <c r="F116" s="427"/>
      <c r="H116" s="427"/>
      <c r="K116" s="427"/>
    </row>
    <row r="117" spans="6:11" ht="15.75" customHeight="1" x14ac:dyDescent="0.3">
      <c r="F117" s="427"/>
      <c r="H117" s="427"/>
      <c r="K117" s="427"/>
    </row>
    <row r="118" spans="6:11" ht="15.75" customHeight="1" x14ac:dyDescent="0.3">
      <c r="F118" s="427"/>
      <c r="H118" s="427"/>
      <c r="K118" s="427"/>
    </row>
    <row r="119" spans="6:11" ht="15.75" customHeight="1" x14ac:dyDescent="0.3">
      <c r="F119" s="427"/>
      <c r="H119" s="427"/>
      <c r="K119" s="427"/>
    </row>
    <row r="120" spans="6:11" ht="15.75" customHeight="1" x14ac:dyDescent="0.3">
      <c r="F120" s="427"/>
      <c r="H120" s="427"/>
      <c r="K120" s="427"/>
    </row>
    <row r="121" spans="6:11" ht="15.75" customHeight="1" x14ac:dyDescent="0.3">
      <c r="F121" s="427"/>
      <c r="H121" s="427"/>
      <c r="K121" s="427"/>
    </row>
    <row r="122" spans="6:11" ht="15.75" customHeight="1" x14ac:dyDescent="0.3">
      <c r="F122" s="427"/>
      <c r="H122" s="427"/>
      <c r="K122" s="427"/>
    </row>
    <row r="123" spans="6:11" ht="15.75" customHeight="1" x14ac:dyDescent="0.3">
      <c r="F123" s="427"/>
      <c r="H123" s="427"/>
      <c r="K123" s="427"/>
    </row>
    <row r="124" spans="6:11" ht="15.75" customHeight="1" x14ac:dyDescent="0.3">
      <c r="F124" s="427"/>
      <c r="H124" s="427"/>
      <c r="K124" s="427"/>
    </row>
    <row r="125" spans="6:11" ht="15.75" customHeight="1" x14ac:dyDescent="0.3">
      <c r="F125" s="427"/>
      <c r="H125" s="427"/>
      <c r="K125" s="427"/>
    </row>
    <row r="126" spans="6:11" ht="15.75" customHeight="1" x14ac:dyDescent="0.3">
      <c r="F126" s="427"/>
      <c r="H126" s="427"/>
      <c r="K126" s="427"/>
    </row>
    <row r="127" spans="6:11" ht="15.75" customHeight="1" x14ac:dyDescent="0.3">
      <c r="F127" s="427"/>
      <c r="H127" s="427"/>
      <c r="K127" s="427"/>
    </row>
    <row r="128" spans="6:11" ht="15.75" customHeight="1" x14ac:dyDescent="0.3">
      <c r="F128" s="427"/>
      <c r="H128" s="427"/>
      <c r="K128" s="427"/>
    </row>
    <row r="129" spans="6:11" ht="15.75" customHeight="1" x14ac:dyDescent="0.3">
      <c r="F129" s="427"/>
      <c r="H129" s="427"/>
      <c r="K129" s="427"/>
    </row>
    <row r="130" spans="6:11" ht="15.75" customHeight="1" x14ac:dyDescent="0.3">
      <c r="F130" s="427"/>
      <c r="H130" s="427"/>
      <c r="K130" s="427"/>
    </row>
    <row r="131" spans="6:11" ht="15.75" customHeight="1" x14ac:dyDescent="0.3">
      <c r="F131" s="427"/>
      <c r="H131" s="427"/>
      <c r="K131" s="427"/>
    </row>
    <row r="132" spans="6:11" ht="15.75" customHeight="1" x14ac:dyDescent="0.3">
      <c r="F132" s="427"/>
      <c r="H132" s="427"/>
      <c r="K132" s="427"/>
    </row>
    <row r="133" spans="6:11" ht="15.75" customHeight="1" x14ac:dyDescent="0.3">
      <c r="F133" s="427"/>
      <c r="H133" s="427"/>
      <c r="K133" s="427"/>
    </row>
    <row r="134" spans="6:11" ht="15.75" customHeight="1" x14ac:dyDescent="0.3">
      <c r="F134" s="427"/>
      <c r="H134" s="427"/>
      <c r="K134" s="427"/>
    </row>
    <row r="135" spans="6:11" ht="15.75" customHeight="1" x14ac:dyDescent="0.3">
      <c r="F135" s="427"/>
      <c r="H135" s="427"/>
      <c r="K135" s="427"/>
    </row>
    <row r="136" spans="6:11" ht="15.75" customHeight="1" x14ac:dyDescent="0.3">
      <c r="F136" s="427"/>
      <c r="H136" s="427"/>
      <c r="K136" s="427"/>
    </row>
    <row r="137" spans="6:11" ht="15.75" customHeight="1" x14ac:dyDescent="0.3">
      <c r="F137" s="427"/>
      <c r="H137" s="427"/>
      <c r="K137" s="427"/>
    </row>
    <row r="138" spans="6:11" ht="15.75" customHeight="1" x14ac:dyDescent="0.3">
      <c r="F138" s="427"/>
      <c r="H138" s="427"/>
      <c r="K138" s="427"/>
    </row>
    <row r="139" spans="6:11" ht="15.75" customHeight="1" x14ac:dyDescent="0.3">
      <c r="F139" s="427"/>
      <c r="H139" s="427"/>
      <c r="K139" s="427"/>
    </row>
    <row r="140" spans="6:11" ht="15.75" customHeight="1" x14ac:dyDescent="0.3">
      <c r="F140" s="427"/>
      <c r="H140" s="427"/>
      <c r="K140" s="427"/>
    </row>
    <row r="141" spans="6:11" ht="15.75" customHeight="1" x14ac:dyDescent="0.3">
      <c r="F141" s="427"/>
      <c r="H141" s="427"/>
      <c r="K141" s="427"/>
    </row>
    <row r="142" spans="6:11" ht="15.75" customHeight="1" x14ac:dyDescent="0.3">
      <c r="F142" s="427"/>
      <c r="H142" s="427"/>
      <c r="K142" s="427"/>
    </row>
    <row r="143" spans="6:11" ht="15.75" customHeight="1" x14ac:dyDescent="0.3">
      <c r="F143" s="427"/>
      <c r="H143" s="427"/>
      <c r="K143" s="427"/>
    </row>
    <row r="144" spans="6:11" ht="15.75" customHeight="1" x14ac:dyDescent="0.3">
      <c r="F144" s="427"/>
      <c r="H144" s="427"/>
      <c r="K144" s="427"/>
    </row>
    <row r="145" spans="6:11" ht="15.75" customHeight="1" x14ac:dyDescent="0.3">
      <c r="F145" s="427"/>
      <c r="H145" s="427"/>
      <c r="K145" s="427"/>
    </row>
    <row r="146" spans="6:11" ht="15.75" customHeight="1" x14ac:dyDescent="0.3">
      <c r="F146" s="427"/>
      <c r="H146" s="427"/>
      <c r="K146" s="427"/>
    </row>
    <row r="147" spans="6:11" ht="15.75" customHeight="1" x14ac:dyDescent="0.3">
      <c r="F147" s="427"/>
      <c r="H147" s="427"/>
      <c r="K147" s="427"/>
    </row>
    <row r="148" spans="6:11" ht="15.75" customHeight="1" x14ac:dyDescent="0.3">
      <c r="F148" s="427"/>
      <c r="H148" s="427"/>
      <c r="K148" s="427"/>
    </row>
    <row r="149" spans="6:11" ht="15.75" customHeight="1" x14ac:dyDescent="0.3">
      <c r="F149" s="427"/>
      <c r="H149" s="427"/>
      <c r="K149" s="427"/>
    </row>
    <row r="150" spans="6:11" ht="15.75" customHeight="1" x14ac:dyDescent="0.3">
      <c r="F150" s="427"/>
      <c r="H150" s="427"/>
      <c r="K150" s="427"/>
    </row>
    <row r="151" spans="6:11" ht="15.75" customHeight="1" x14ac:dyDescent="0.3">
      <c r="F151" s="427"/>
      <c r="H151" s="427"/>
      <c r="K151" s="427"/>
    </row>
    <row r="152" spans="6:11" ht="15.75" customHeight="1" x14ac:dyDescent="0.3">
      <c r="F152" s="427"/>
      <c r="H152" s="427"/>
      <c r="K152" s="427"/>
    </row>
    <row r="153" spans="6:11" ht="15.75" customHeight="1" x14ac:dyDescent="0.3">
      <c r="F153" s="427"/>
      <c r="H153" s="427"/>
      <c r="K153" s="427"/>
    </row>
    <row r="154" spans="6:11" ht="15.75" customHeight="1" x14ac:dyDescent="0.3">
      <c r="F154" s="427"/>
      <c r="H154" s="427"/>
      <c r="K154" s="427"/>
    </row>
    <row r="155" spans="6:11" ht="15.75" customHeight="1" x14ac:dyDescent="0.3">
      <c r="F155" s="427"/>
      <c r="H155" s="427"/>
      <c r="K155" s="427"/>
    </row>
    <row r="156" spans="6:11" ht="15.75" customHeight="1" x14ac:dyDescent="0.3">
      <c r="F156" s="427"/>
      <c r="H156" s="427"/>
      <c r="K156" s="427"/>
    </row>
    <row r="157" spans="6:11" ht="15.75" customHeight="1" x14ac:dyDescent="0.3">
      <c r="F157" s="427"/>
      <c r="H157" s="427"/>
      <c r="K157" s="427"/>
    </row>
    <row r="158" spans="6:11" ht="15.75" customHeight="1" x14ac:dyDescent="0.3">
      <c r="F158" s="427"/>
      <c r="H158" s="427"/>
      <c r="K158" s="427"/>
    </row>
    <row r="159" spans="6:11" ht="15.75" customHeight="1" x14ac:dyDescent="0.3">
      <c r="F159" s="427"/>
      <c r="H159" s="427"/>
      <c r="K159" s="427"/>
    </row>
    <row r="160" spans="6:11" ht="15.75" customHeight="1" x14ac:dyDescent="0.3">
      <c r="F160" s="427"/>
      <c r="H160" s="427"/>
      <c r="K160" s="427"/>
    </row>
    <row r="161" spans="6:11" ht="15.75" customHeight="1" x14ac:dyDescent="0.3">
      <c r="F161" s="427"/>
      <c r="H161" s="427"/>
      <c r="K161" s="427"/>
    </row>
    <row r="162" spans="6:11" ht="15.75" customHeight="1" x14ac:dyDescent="0.3">
      <c r="F162" s="427"/>
      <c r="H162" s="427"/>
      <c r="K162" s="427"/>
    </row>
    <row r="163" spans="6:11" ht="15.75" customHeight="1" x14ac:dyDescent="0.3">
      <c r="F163" s="427"/>
      <c r="H163" s="427"/>
      <c r="K163" s="427"/>
    </row>
    <row r="164" spans="6:11" ht="15.75" customHeight="1" x14ac:dyDescent="0.3">
      <c r="F164" s="427"/>
      <c r="H164" s="427"/>
      <c r="K164" s="427"/>
    </row>
    <row r="165" spans="6:11" ht="15.75" customHeight="1" x14ac:dyDescent="0.3">
      <c r="F165" s="427"/>
      <c r="H165" s="427"/>
      <c r="K165" s="427"/>
    </row>
    <row r="166" spans="6:11" ht="15.75" customHeight="1" x14ac:dyDescent="0.3">
      <c r="F166" s="427"/>
      <c r="H166" s="427"/>
      <c r="K166" s="427"/>
    </row>
    <row r="167" spans="6:11" ht="15.75" customHeight="1" x14ac:dyDescent="0.3">
      <c r="F167" s="427"/>
      <c r="H167" s="427"/>
      <c r="K167" s="427"/>
    </row>
    <row r="168" spans="6:11" ht="15.75" customHeight="1" x14ac:dyDescent="0.3">
      <c r="F168" s="427"/>
      <c r="H168" s="427"/>
      <c r="K168" s="427"/>
    </row>
    <row r="169" spans="6:11" ht="15.75" customHeight="1" x14ac:dyDescent="0.3">
      <c r="F169" s="427"/>
      <c r="H169" s="427"/>
      <c r="K169" s="427"/>
    </row>
    <row r="170" spans="6:11" ht="15.75" customHeight="1" x14ac:dyDescent="0.3">
      <c r="F170" s="427"/>
      <c r="H170" s="427"/>
      <c r="K170" s="427"/>
    </row>
    <row r="171" spans="6:11" ht="15.75" customHeight="1" x14ac:dyDescent="0.3">
      <c r="F171" s="427"/>
      <c r="H171" s="427"/>
      <c r="K171" s="427"/>
    </row>
    <row r="172" spans="6:11" ht="15.75" customHeight="1" x14ac:dyDescent="0.3">
      <c r="F172" s="427"/>
      <c r="H172" s="427"/>
      <c r="K172" s="427"/>
    </row>
    <row r="173" spans="6:11" ht="15.75" customHeight="1" x14ac:dyDescent="0.3">
      <c r="F173" s="427"/>
      <c r="H173" s="427"/>
      <c r="K173" s="427"/>
    </row>
    <row r="174" spans="6:11" ht="15.75" customHeight="1" x14ac:dyDescent="0.3">
      <c r="F174" s="427"/>
      <c r="H174" s="427"/>
      <c r="K174" s="427"/>
    </row>
    <row r="175" spans="6:11" ht="15.75" customHeight="1" x14ac:dyDescent="0.3">
      <c r="F175" s="427"/>
      <c r="H175" s="427"/>
      <c r="K175" s="427"/>
    </row>
    <row r="176" spans="6:11" ht="15.75" customHeight="1" x14ac:dyDescent="0.3">
      <c r="F176" s="427"/>
      <c r="H176" s="427"/>
      <c r="K176" s="427"/>
    </row>
    <row r="177" spans="6:11" ht="15.75" customHeight="1" x14ac:dyDescent="0.3">
      <c r="F177" s="427"/>
      <c r="H177" s="427"/>
      <c r="K177" s="427"/>
    </row>
    <row r="178" spans="6:11" ht="15.75" customHeight="1" x14ac:dyDescent="0.3">
      <c r="F178" s="427"/>
      <c r="H178" s="427"/>
      <c r="K178" s="427"/>
    </row>
    <row r="179" spans="6:11" ht="15.75" customHeight="1" x14ac:dyDescent="0.3">
      <c r="F179" s="427"/>
      <c r="H179" s="427"/>
      <c r="K179" s="427"/>
    </row>
    <row r="180" spans="6:11" ht="15.75" customHeight="1" x14ac:dyDescent="0.3">
      <c r="F180" s="427"/>
      <c r="H180" s="427"/>
      <c r="K180" s="427"/>
    </row>
    <row r="181" spans="6:11" ht="15.75" customHeight="1" x14ac:dyDescent="0.3">
      <c r="F181" s="427"/>
      <c r="H181" s="427"/>
      <c r="K181" s="427"/>
    </row>
    <row r="182" spans="6:11" ht="15.75" customHeight="1" x14ac:dyDescent="0.3">
      <c r="F182" s="427"/>
      <c r="H182" s="427"/>
      <c r="K182" s="427"/>
    </row>
    <row r="183" spans="6:11" ht="15.75" customHeight="1" x14ac:dyDescent="0.3">
      <c r="F183" s="427"/>
      <c r="H183" s="427"/>
      <c r="K183" s="427"/>
    </row>
    <row r="184" spans="6:11" ht="15.75" customHeight="1" x14ac:dyDescent="0.3">
      <c r="F184" s="427"/>
      <c r="H184" s="427"/>
      <c r="K184" s="427"/>
    </row>
    <row r="185" spans="6:11" ht="15.75" customHeight="1" x14ac:dyDescent="0.3">
      <c r="F185" s="427"/>
      <c r="H185" s="427"/>
      <c r="K185" s="427"/>
    </row>
    <row r="186" spans="6:11" ht="15.75" customHeight="1" x14ac:dyDescent="0.3">
      <c r="F186" s="427"/>
      <c r="H186" s="427"/>
      <c r="K186" s="427"/>
    </row>
    <row r="187" spans="6:11" ht="15.75" customHeight="1" x14ac:dyDescent="0.3">
      <c r="F187" s="427"/>
      <c r="H187" s="427"/>
      <c r="K187" s="427"/>
    </row>
    <row r="188" spans="6:11" ht="15.75" customHeight="1" x14ac:dyDescent="0.3">
      <c r="F188" s="427"/>
      <c r="H188" s="427"/>
      <c r="K188" s="427"/>
    </row>
    <row r="189" spans="6:11" ht="15.75" customHeight="1" x14ac:dyDescent="0.3">
      <c r="F189" s="427"/>
      <c r="H189" s="427"/>
      <c r="K189" s="427"/>
    </row>
    <row r="190" spans="6:11" ht="15.75" customHeight="1" x14ac:dyDescent="0.3">
      <c r="F190" s="427"/>
      <c r="H190" s="427"/>
      <c r="K190" s="427"/>
    </row>
    <row r="191" spans="6:11" ht="15.75" customHeight="1" x14ac:dyDescent="0.3">
      <c r="F191" s="427"/>
      <c r="H191" s="427"/>
      <c r="K191" s="427"/>
    </row>
    <row r="192" spans="6:11" ht="15.75" customHeight="1" x14ac:dyDescent="0.3">
      <c r="F192" s="427"/>
      <c r="H192" s="427"/>
      <c r="K192" s="427"/>
    </row>
    <row r="193" spans="6:11" ht="15.75" customHeight="1" x14ac:dyDescent="0.3">
      <c r="F193" s="427"/>
      <c r="H193" s="427"/>
      <c r="K193" s="427"/>
    </row>
    <row r="194" spans="6:11" ht="15.75" customHeight="1" x14ac:dyDescent="0.3">
      <c r="F194" s="427"/>
      <c r="H194" s="427"/>
      <c r="K194" s="427"/>
    </row>
    <row r="195" spans="6:11" ht="15.75" customHeight="1" x14ac:dyDescent="0.3">
      <c r="F195" s="427"/>
      <c r="H195" s="427"/>
      <c r="K195" s="427"/>
    </row>
    <row r="196" spans="6:11" ht="15.75" customHeight="1" x14ac:dyDescent="0.3">
      <c r="F196" s="427"/>
      <c r="H196" s="427"/>
      <c r="K196" s="427"/>
    </row>
    <row r="197" spans="6:11" ht="15.75" customHeight="1" x14ac:dyDescent="0.3">
      <c r="F197" s="427"/>
      <c r="H197" s="427"/>
      <c r="K197" s="427"/>
    </row>
    <row r="198" spans="6:11" ht="15.75" customHeight="1" x14ac:dyDescent="0.3">
      <c r="F198" s="427"/>
      <c r="H198" s="427"/>
      <c r="K198" s="427"/>
    </row>
    <row r="199" spans="6:11" ht="15.75" customHeight="1" x14ac:dyDescent="0.3">
      <c r="F199" s="427"/>
      <c r="H199" s="427"/>
      <c r="K199" s="427"/>
    </row>
    <row r="200" spans="6:11" ht="15.75" customHeight="1" x14ac:dyDescent="0.3">
      <c r="F200" s="427"/>
      <c r="H200" s="427"/>
      <c r="K200" s="427"/>
    </row>
    <row r="201" spans="6:11" ht="15.75" customHeight="1" x14ac:dyDescent="0.3">
      <c r="F201" s="427"/>
      <c r="H201" s="427"/>
      <c r="K201" s="427"/>
    </row>
    <row r="202" spans="6:11" ht="15.75" customHeight="1" x14ac:dyDescent="0.3">
      <c r="F202" s="427"/>
      <c r="H202" s="427"/>
      <c r="K202" s="427"/>
    </row>
    <row r="203" spans="6:11" ht="15.75" customHeight="1" x14ac:dyDescent="0.3">
      <c r="F203" s="427"/>
      <c r="H203" s="427"/>
      <c r="K203" s="427"/>
    </row>
    <row r="204" spans="6:11" ht="15.75" customHeight="1" x14ac:dyDescent="0.3">
      <c r="F204" s="427"/>
      <c r="H204" s="427"/>
      <c r="K204" s="427"/>
    </row>
    <row r="205" spans="6:11" ht="15.75" customHeight="1" x14ac:dyDescent="0.3">
      <c r="F205" s="427"/>
      <c r="H205" s="427"/>
      <c r="K205" s="427"/>
    </row>
    <row r="206" spans="6:11" ht="15.75" customHeight="1" x14ac:dyDescent="0.3">
      <c r="F206" s="427"/>
      <c r="H206" s="427"/>
      <c r="K206" s="427"/>
    </row>
    <row r="207" spans="6:11" ht="15.75" customHeight="1" x14ac:dyDescent="0.3">
      <c r="F207" s="427"/>
      <c r="H207" s="427"/>
      <c r="K207" s="427"/>
    </row>
    <row r="208" spans="6:11" ht="15.75" customHeight="1" x14ac:dyDescent="0.3">
      <c r="F208" s="427"/>
      <c r="H208" s="427"/>
      <c r="K208" s="427"/>
    </row>
    <row r="209" spans="6:11" ht="15.75" customHeight="1" x14ac:dyDescent="0.3">
      <c r="F209" s="427"/>
      <c r="H209" s="427"/>
      <c r="K209" s="427"/>
    </row>
    <row r="210" spans="6:11" ht="15.75" customHeight="1" x14ac:dyDescent="0.3">
      <c r="F210" s="427"/>
      <c r="H210" s="427"/>
      <c r="K210" s="427"/>
    </row>
    <row r="211" spans="6:11" ht="15.75" customHeight="1" x14ac:dyDescent="0.3">
      <c r="F211" s="427"/>
      <c r="H211" s="427"/>
      <c r="K211" s="427"/>
    </row>
    <row r="212" spans="6:11" ht="15.75" customHeight="1" x14ac:dyDescent="0.3">
      <c r="F212" s="427"/>
      <c r="H212" s="427"/>
      <c r="K212" s="427"/>
    </row>
    <row r="213" spans="6:11" ht="15.75" customHeight="1" x14ac:dyDescent="0.3">
      <c r="F213" s="427"/>
      <c r="H213" s="427"/>
      <c r="K213" s="427"/>
    </row>
    <row r="214" spans="6:11" ht="15.75" customHeight="1" x14ac:dyDescent="0.3">
      <c r="F214" s="427"/>
      <c r="H214" s="427"/>
      <c r="K214" s="427"/>
    </row>
    <row r="215" spans="6:11" ht="15.75" customHeight="1" x14ac:dyDescent="0.3">
      <c r="F215" s="427"/>
      <c r="H215" s="427"/>
      <c r="K215" s="427"/>
    </row>
    <row r="216" spans="6:11" ht="15.75" customHeight="1" x14ac:dyDescent="0.3">
      <c r="F216" s="427"/>
      <c r="H216" s="427"/>
      <c r="K216" s="427"/>
    </row>
    <row r="217" spans="6:11" ht="15.75" customHeight="1" x14ac:dyDescent="0.3">
      <c r="F217" s="427"/>
      <c r="H217" s="427"/>
      <c r="K217" s="427"/>
    </row>
    <row r="218" spans="6:11" ht="15.75" customHeight="1" x14ac:dyDescent="0.3">
      <c r="F218" s="427"/>
      <c r="H218" s="427"/>
      <c r="K218" s="427"/>
    </row>
    <row r="219" spans="6:11" ht="15.75" customHeight="1" x14ac:dyDescent="0.3">
      <c r="F219" s="427"/>
      <c r="H219" s="427"/>
      <c r="K219" s="427"/>
    </row>
    <row r="220" spans="6:11" ht="15.75" customHeight="1" x14ac:dyDescent="0.3">
      <c r="F220" s="427"/>
      <c r="H220" s="427"/>
      <c r="K220" s="427"/>
    </row>
    <row r="221" spans="6:11" ht="15.75" customHeight="1" x14ac:dyDescent="0.3">
      <c r="F221" s="427"/>
      <c r="H221" s="427"/>
      <c r="K221" s="427"/>
    </row>
    <row r="222" spans="6:11" ht="15.75" customHeight="1" x14ac:dyDescent="0.3">
      <c r="F222" s="427"/>
      <c r="H222" s="427"/>
      <c r="K222" s="427"/>
    </row>
    <row r="223" spans="6:11" ht="15.75" customHeight="1" x14ac:dyDescent="0.3">
      <c r="F223" s="427"/>
      <c r="H223" s="427"/>
      <c r="K223" s="427"/>
    </row>
    <row r="224" spans="6:11" ht="15.75" customHeight="1" x14ac:dyDescent="0.3">
      <c r="F224" s="427"/>
      <c r="H224" s="427"/>
      <c r="K224" s="427"/>
    </row>
    <row r="225" spans="6:11" ht="15.75" customHeight="1" x14ac:dyDescent="0.3">
      <c r="F225" s="427"/>
      <c r="H225" s="427"/>
      <c r="K225" s="427"/>
    </row>
    <row r="226" spans="6:11" ht="15.75" customHeight="1" x14ac:dyDescent="0.3">
      <c r="F226" s="427"/>
      <c r="H226" s="427"/>
      <c r="K226" s="427"/>
    </row>
    <row r="227" spans="6:11" ht="15.75" customHeight="1" x14ac:dyDescent="0.3">
      <c r="F227" s="427"/>
      <c r="H227" s="427"/>
      <c r="K227" s="427"/>
    </row>
    <row r="228" spans="6:11" ht="15.75" customHeight="1" x14ac:dyDescent="0.3">
      <c r="F228" s="427"/>
      <c r="H228" s="427"/>
      <c r="K228" s="427"/>
    </row>
    <row r="229" spans="6:11" ht="15.75" customHeight="1" x14ac:dyDescent="0.3">
      <c r="F229" s="427"/>
      <c r="H229" s="427"/>
      <c r="K229" s="427"/>
    </row>
    <row r="230" spans="6:11" ht="15.75" customHeight="1" x14ac:dyDescent="0.3">
      <c r="F230" s="427"/>
      <c r="H230" s="427"/>
      <c r="K230" s="427"/>
    </row>
    <row r="231" spans="6:11" ht="15.75" customHeight="1" x14ac:dyDescent="0.3">
      <c r="F231" s="427"/>
      <c r="H231" s="427"/>
      <c r="K231" s="427"/>
    </row>
    <row r="232" spans="6:11" ht="15.75" customHeight="1" x14ac:dyDescent="0.3">
      <c r="F232" s="427"/>
      <c r="H232" s="427"/>
      <c r="K232" s="427"/>
    </row>
    <row r="233" spans="6:11" ht="15.75" customHeight="1" x14ac:dyDescent="0.3">
      <c r="F233" s="427"/>
      <c r="H233" s="427"/>
      <c r="K233" s="427"/>
    </row>
    <row r="234" spans="6:11" ht="15.75" customHeight="1" x14ac:dyDescent="0.3">
      <c r="F234" s="427"/>
      <c r="H234" s="427"/>
      <c r="K234" s="427"/>
    </row>
    <row r="235" spans="6:11" ht="15.75" customHeight="1" x14ac:dyDescent="0.3">
      <c r="F235" s="427"/>
      <c r="H235" s="427"/>
      <c r="K235" s="427"/>
    </row>
    <row r="236" spans="6:11" ht="15.75" customHeight="1" x14ac:dyDescent="0.3">
      <c r="F236" s="427"/>
      <c r="H236" s="427"/>
      <c r="K236" s="427"/>
    </row>
    <row r="237" spans="6:11" ht="15.75" customHeight="1" x14ac:dyDescent="0.3">
      <c r="F237" s="427"/>
      <c r="H237" s="427"/>
      <c r="K237" s="427"/>
    </row>
    <row r="238" spans="6:11" ht="15.75" customHeight="1" x14ac:dyDescent="0.3">
      <c r="F238" s="427"/>
      <c r="H238" s="427"/>
      <c r="K238" s="427"/>
    </row>
    <row r="239" spans="6:11" ht="15.75" customHeight="1" x14ac:dyDescent="0.3">
      <c r="F239" s="427"/>
      <c r="H239" s="427"/>
      <c r="K239" s="427"/>
    </row>
    <row r="240" spans="6:11" ht="15.75" customHeight="1" x14ac:dyDescent="0.3">
      <c r="F240" s="427"/>
      <c r="H240" s="427"/>
      <c r="K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C7:E7"/>
  </mergeCells>
  <dataValidations count="1">
    <dataValidation type="list" allowBlank="1" showErrorMessage="1" sqref="B17 B22" xr:uid="{0E5F6DF0-F951-4E6B-9AEA-445926066D99}">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A4877-8353-4919-8675-2B9EB6E26611}">
  <dimension ref="A1:AC926"/>
  <sheetViews>
    <sheetView topLeftCell="A37" zoomScale="85" zoomScaleNormal="117" workbookViewId="0">
      <selection activeCell="H49" sqref="H49"/>
    </sheetView>
  </sheetViews>
  <sheetFormatPr defaultColWidth="12.44140625" defaultRowHeight="15" customHeight="1" x14ac:dyDescent="0.3"/>
  <cols>
    <col min="1" max="1" width="2.6640625" style="428" customWidth="1"/>
    <col min="2" max="2" width="5.109375" style="428" customWidth="1"/>
    <col min="3" max="3" width="32.44140625" style="428" customWidth="1"/>
    <col min="4" max="4" width="34" style="428" customWidth="1"/>
    <col min="5" max="5" width="8.88671875" style="428" customWidth="1"/>
    <col min="6" max="6" width="32.44140625" style="428" customWidth="1"/>
    <col min="7" max="8" width="12.77734375" style="428" customWidth="1"/>
    <col min="9" max="11" width="12.77734375" style="428" hidden="1" customWidth="1"/>
    <col min="12" max="16" width="11.5546875" style="428" hidden="1" customWidth="1"/>
    <col min="17" max="17" width="11.5546875" style="428" customWidth="1"/>
    <col min="18" max="24" width="11.5546875" style="428" hidden="1" customWidth="1"/>
    <col min="25" max="25" width="11.5546875" style="428" customWidth="1"/>
    <col min="26" max="29" width="11.6640625" style="428" customWidth="1"/>
    <col min="30" max="16384" width="12.44140625" style="428"/>
  </cols>
  <sheetData>
    <row r="1" spans="1:29" ht="23.25" customHeight="1" x14ac:dyDescent="0.35">
      <c r="A1" s="513"/>
      <c r="B1" s="514" t="s">
        <v>2383</v>
      </c>
    </row>
    <row r="2" spans="1:29"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row>
    <row r="3" spans="1:29" ht="15.75" customHeight="1" x14ac:dyDescent="0.3">
      <c r="B3" s="516"/>
    </row>
    <row r="4" spans="1:29" ht="19.2" customHeight="1" x14ac:dyDescent="0.3">
      <c r="B4" s="517" t="s">
        <v>899</v>
      </c>
      <c r="C4" s="518"/>
      <c r="D4" s="518"/>
    </row>
    <row r="5" spans="1:29" ht="19.2" customHeight="1" x14ac:dyDescent="0.3">
      <c r="B5" s="517" t="s">
        <v>341</v>
      </c>
      <c r="C5" s="518"/>
      <c r="D5" s="518"/>
    </row>
    <row r="6" spans="1:29" ht="15.75" customHeight="1" x14ac:dyDescent="0.3">
      <c r="B6" s="516"/>
    </row>
    <row r="7" spans="1:29" ht="15.75" customHeight="1" x14ac:dyDescent="0.3">
      <c r="B7" s="519" t="s">
        <v>342</v>
      </c>
    </row>
    <row r="8" spans="1:29" ht="9" customHeight="1" x14ac:dyDescent="0.3">
      <c r="B8" s="520"/>
      <c r="G8" s="427"/>
      <c r="H8" s="427"/>
      <c r="I8" s="427"/>
      <c r="J8" s="427"/>
      <c r="K8" s="427"/>
      <c r="Y8" s="427"/>
    </row>
    <row r="9" spans="1:29" ht="15.75" customHeight="1" x14ac:dyDescent="0.3">
      <c r="B9" s="521" t="s">
        <v>301</v>
      </c>
      <c r="C9" s="522" t="s">
        <v>343</v>
      </c>
      <c r="D9" s="523" t="s">
        <v>344</v>
      </c>
      <c r="E9" s="523" t="s">
        <v>345</v>
      </c>
      <c r="F9" s="523" t="s">
        <v>346</v>
      </c>
      <c r="G9" s="524" t="s">
        <v>347</v>
      </c>
      <c r="H9" s="525">
        <v>2024</v>
      </c>
      <c r="I9" s="525">
        <v>2023</v>
      </c>
      <c r="J9" s="525">
        <v>2022</v>
      </c>
      <c r="K9" s="525">
        <v>2021</v>
      </c>
      <c r="L9" s="525">
        <v>2020</v>
      </c>
      <c r="M9" s="525">
        <v>2019</v>
      </c>
      <c r="N9" s="526">
        <v>2018</v>
      </c>
      <c r="O9" s="526">
        <v>2017</v>
      </c>
      <c r="P9" s="526">
        <v>2016</v>
      </c>
      <c r="Q9" s="526">
        <v>2015</v>
      </c>
      <c r="R9" s="526">
        <v>2014</v>
      </c>
      <c r="S9" s="526">
        <v>2013</v>
      </c>
      <c r="T9" s="526">
        <v>2012</v>
      </c>
      <c r="U9" s="526">
        <v>2011</v>
      </c>
      <c r="V9" s="526">
        <v>2010</v>
      </c>
      <c r="W9" s="526">
        <v>2009</v>
      </c>
      <c r="X9" s="526">
        <v>2008</v>
      </c>
      <c r="Y9" s="527" t="s">
        <v>332</v>
      </c>
    </row>
    <row r="10" spans="1:29" ht="24" customHeight="1" x14ac:dyDescent="0.3">
      <c r="A10" s="528"/>
      <c r="B10" s="529">
        <v>1</v>
      </c>
      <c r="C10" s="530" t="s">
        <v>474</v>
      </c>
      <c r="D10" s="531" t="s">
        <v>926</v>
      </c>
      <c r="E10" s="532" t="s">
        <v>927</v>
      </c>
      <c r="F10" s="533"/>
      <c r="G10" s="534"/>
      <c r="H10" s="535">
        <f>4098798/1000</f>
        <v>4098.7979999999998</v>
      </c>
      <c r="I10" s="597">
        <v>4618.3879999999999</v>
      </c>
      <c r="J10" s="597">
        <v>7800.5150000000003</v>
      </c>
      <c r="K10" s="597">
        <v>7888.1229999999996</v>
      </c>
      <c r="L10" s="597">
        <v>7867.6670000000004</v>
      </c>
      <c r="M10" s="597">
        <v>7040.1580000000004</v>
      </c>
      <c r="N10" s="597">
        <v>7358.77</v>
      </c>
      <c r="O10" s="597">
        <v>8041.84</v>
      </c>
      <c r="P10" s="597">
        <v>8826</v>
      </c>
      <c r="Q10" s="597">
        <v>7296</v>
      </c>
      <c r="R10" s="597">
        <v>7758</v>
      </c>
      <c r="S10" s="598">
        <v>6778</v>
      </c>
      <c r="T10" s="597">
        <v>5894</v>
      </c>
      <c r="U10" s="598">
        <v>5444</v>
      </c>
      <c r="V10" s="597">
        <v>2382</v>
      </c>
      <c r="W10" s="1603">
        <v>3465</v>
      </c>
      <c r="X10" s="1604"/>
      <c r="Y10" s="535"/>
      <c r="Z10" s="528"/>
      <c r="AA10" s="528"/>
      <c r="AB10" s="528"/>
      <c r="AC10" s="528"/>
    </row>
    <row r="11" spans="1:29" ht="24" customHeight="1" x14ac:dyDescent="0.3">
      <c r="A11" s="528"/>
      <c r="B11" s="529"/>
      <c r="C11" s="453" t="s">
        <v>374</v>
      </c>
      <c r="D11" s="453" t="s">
        <v>928</v>
      </c>
      <c r="E11" s="543" t="s">
        <v>453</v>
      </c>
      <c r="F11" s="506"/>
      <c r="G11" s="496"/>
      <c r="H11" s="1241">
        <f>H10/S10</f>
        <v>0.60472086161109473</v>
      </c>
      <c r="I11" s="1050">
        <v>0.68137916789613451</v>
      </c>
      <c r="J11" s="1050">
        <v>1.1508579226910594</v>
      </c>
      <c r="K11" s="1050">
        <v>1.1637832694010033</v>
      </c>
      <c r="L11" s="1050">
        <v>1.1607652699911479</v>
      </c>
      <c r="M11" s="1050">
        <v>1.0386777810563588</v>
      </c>
      <c r="N11" s="1050">
        <v>1.0856845677190912</v>
      </c>
      <c r="O11" s="1050">
        <v>1.1864620832103865</v>
      </c>
      <c r="P11" s="1050">
        <v>1.3021540277367956</v>
      </c>
      <c r="Q11" s="1050">
        <v>1.076423723812334</v>
      </c>
      <c r="R11" s="1050">
        <v>1.14458542342874</v>
      </c>
      <c r="S11" s="1605">
        <v>1</v>
      </c>
      <c r="T11" s="1050">
        <v>0.86957804662142224</v>
      </c>
      <c r="U11" s="1605">
        <v>0.80318678076128647</v>
      </c>
      <c r="V11" s="1050">
        <v>0.35143110061965183</v>
      </c>
      <c r="W11" s="1606"/>
      <c r="Y11" s="544"/>
      <c r="Z11" s="528"/>
      <c r="AA11" s="528"/>
      <c r="AB11" s="528"/>
      <c r="AC11" s="1352"/>
    </row>
    <row r="12" spans="1:29" ht="30" customHeight="1" x14ac:dyDescent="0.3">
      <c r="A12" s="528"/>
      <c r="B12" s="529"/>
      <c r="C12" s="531" t="s">
        <v>474</v>
      </c>
      <c r="D12" s="531" t="s">
        <v>361</v>
      </c>
      <c r="E12" s="532" t="s">
        <v>385</v>
      </c>
      <c r="F12" s="533" t="s">
        <v>929</v>
      </c>
      <c r="G12" s="549">
        <v>2013</v>
      </c>
      <c r="H12" s="1607">
        <f>112*1000</f>
        <v>112000</v>
      </c>
      <c r="I12" s="603">
        <v>1703447.9197403362</v>
      </c>
      <c r="J12" s="603">
        <v>2877144.8067276482</v>
      </c>
      <c r="K12" s="603">
        <v>2909458.1735025081</v>
      </c>
      <c r="L12" s="603">
        <v>2901913.1749778697</v>
      </c>
      <c r="M12" s="603">
        <v>2596694.4526408971</v>
      </c>
      <c r="N12" s="603">
        <v>2714211.4192977278</v>
      </c>
      <c r="O12" s="603">
        <v>2966155.2080259663</v>
      </c>
      <c r="P12" s="603">
        <v>3255385.0693419888</v>
      </c>
      <c r="Q12" s="603">
        <v>2691059.3095308351</v>
      </c>
      <c r="R12" s="603">
        <v>2861463.5585718499</v>
      </c>
      <c r="S12" s="598">
        <v>2500000</v>
      </c>
      <c r="T12" s="603">
        <v>2173945.1165535557</v>
      </c>
      <c r="U12" s="598">
        <v>2007966.9519032161</v>
      </c>
      <c r="V12" s="603">
        <v>878577.75154912961</v>
      </c>
      <c r="W12" s="1608"/>
      <c r="X12" s="598"/>
      <c r="Y12" s="550">
        <v>2500000</v>
      </c>
      <c r="Z12" s="528" t="s">
        <v>930</v>
      </c>
      <c r="AB12" s="528"/>
      <c r="AC12" s="1352"/>
    </row>
    <row r="13" spans="1:29" ht="30" customHeight="1" x14ac:dyDescent="0.3">
      <c r="A13" s="528"/>
      <c r="B13" s="529"/>
      <c r="C13" s="453" t="s">
        <v>374</v>
      </c>
      <c r="D13" s="453" t="s">
        <v>931</v>
      </c>
      <c r="E13" s="543" t="s">
        <v>353</v>
      </c>
      <c r="F13" s="506"/>
      <c r="G13" s="496"/>
      <c r="H13" s="544">
        <v>597333.33381119987</v>
      </c>
      <c r="I13" s="599">
        <v>9079377.4122159928</v>
      </c>
      <c r="J13" s="599">
        <v>15335181.819858365</v>
      </c>
      <c r="K13" s="599">
        <v>15507412.064768368</v>
      </c>
      <c r="L13" s="599">
        <v>15467197.222632045</v>
      </c>
      <c r="M13" s="599">
        <v>13840381.432575982</v>
      </c>
      <c r="N13" s="599">
        <v>14466746.864856889</v>
      </c>
      <c r="O13" s="599">
        <v>15809607.258778401</v>
      </c>
      <c r="P13" s="599">
        <v>17351202.419592801</v>
      </c>
      <c r="Q13" s="599">
        <v>14343346.119799351</v>
      </c>
      <c r="R13" s="599">
        <v>15251600.76718796</v>
      </c>
      <c r="S13" s="600">
        <v>13325000</v>
      </c>
      <c r="T13" s="599">
        <v>11587127.471230453</v>
      </c>
      <c r="U13" s="600">
        <v>10702463.853644142</v>
      </c>
      <c r="V13" s="599">
        <v>4682819.4157568607</v>
      </c>
      <c r="W13" s="1609"/>
      <c r="X13" s="600"/>
      <c r="Y13" s="544"/>
      <c r="Z13" s="528"/>
      <c r="AA13" s="528"/>
      <c r="AB13" s="528"/>
      <c r="AC13" s="1610"/>
    </row>
    <row r="14" spans="1:29" ht="30" customHeight="1" x14ac:dyDescent="0.3">
      <c r="A14" s="528"/>
      <c r="B14" s="529"/>
      <c r="C14" s="531" t="s">
        <v>374</v>
      </c>
      <c r="D14" s="531" t="s">
        <v>932</v>
      </c>
      <c r="E14" s="532" t="s">
        <v>653</v>
      </c>
      <c r="F14" s="533" t="s">
        <v>933</v>
      </c>
      <c r="G14" s="549">
        <v>2013</v>
      </c>
      <c r="H14" s="678">
        <v>56753.760886777505</v>
      </c>
      <c r="I14" s="603">
        <v>862239.07048584928</v>
      </c>
      <c r="J14" s="603">
        <v>1456332.5564917726</v>
      </c>
      <c r="K14" s="603">
        <v>1472688.7051062079</v>
      </c>
      <c r="L14" s="603">
        <v>1468869.6317789217</v>
      </c>
      <c r="M14" s="603">
        <v>1314376.2044231703</v>
      </c>
      <c r="N14" s="603">
        <v>1373860.1011260105</v>
      </c>
      <c r="O14" s="603">
        <v>1501387.2040625263</v>
      </c>
      <c r="P14" s="603">
        <v>1647787.5042348341</v>
      </c>
      <c r="Q14" s="603">
        <v>1362141.1319847438</v>
      </c>
      <c r="R14" s="603">
        <v>1448395.1345857512</v>
      </c>
      <c r="S14" s="598">
        <v>1265432.0987654321</v>
      </c>
      <c r="T14" s="603">
        <v>1100391.9725764913</v>
      </c>
      <c r="U14" s="598">
        <v>1016378.3336794057</v>
      </c>
      <c r="V14" s="603">
        <v>444712.19522857177</v>
      </c>
      <c r="W14" s="1608"/>
      <c r="X14" s="683"/>
      <c r="Y14" s="550">
        <v>10.53</v>
      </c>
      <c r="Z14" s="528" t="s">
        <v>934</v>
      </c>
      <c r="AA14" s="528"/>
      <c r="AB14" s="528"/>
      <c r="AC14" s="1610" t="s">
        <v>935</v>
      </c>
    </row>
    <row r="15" spans="1:29" ht="30" customHeight="1" x14ac:dyDescent="0.3">
      <c r="A15" s="528"/>
      <c r="B15" s="529">
        <v>2</v>
      </c>
      <c r="C15" s="453" t="s">
        <v>474</v>
      </c>
      <c r="D15" s="453" t="s">
        <v>936</v>
      </c>
      <c r="E15" s="543" t="s">
        <v>350</v>
      </c>
      <c r="F15" s="506" t="s">
        <v>937</v>
      </c>
      <c r="G15" s="496"/>
      <c r="H15" s="1611">
        <f>Q15</f>
        <v>17495</v>
      </c>
      <c r="I15" s="599">
        <v>11896.599999999999</v>
      </c>
      <c r="J15" s="599"/>
      <c r="K15" s="599"/>
      <c r="L15" s="599"/>
      <c r="M15" s="599"/>
      <c r="N15" s="599" t="s">
        <v>20</v>
      </c>
      <c r="O15" s="599" t="s">
        <v>20</v>
      </c>
      <c r="P15" s="599">
        <v>8747</v>
      </c>
      <c r="Q15" s="1612">
        <v>17495</v>
      </c>
      <c r="R15" s="599"/>
      <c r="S15" s="599"/>
      <c r="T15" s="600"/>
      <c r="U15" s="599"/>
      <c r="V15" s="600"/>
      <c r="W15" s="599"/>
      <c r="X15" s="600"/>
      <c r="Y15" s="544"/>
      <c r="Z15" s="528"/>
      <c r="AA15" s="528"/>
      <c r="AB15" s="528"/>
      <c r="AC15" s="528"/>
    </row>
    <row r="16" spans="1:29" ht="30" customHeight="1" x14ac:dyDescent="0.3">
      <c r="A16" s="528"/>
      <c r="B16" s="529">
        <v>3</v>
      </c>
      <c r="C16" s="531" t="s">
        <v>474</v>
      </c>
      <c r="D16" s="531" t="s">
        <v>938</v>
      </c>
      <c r="E16" s="532" t="s">
        <v>939</v>
      </c>
      <c r="F16" s="533" t="s">
        <v>940</v>
      </c>
      <c r="G16" s="549">
        <v>2016</v>
      </c>
      <c r="H16" s="550">
        <v>93000</v>
      </c>
      <c r="I16" s="603">
        <v>20400</v>
      </c>
      <c r="J16" s="603">
        <v>30000</v>
      </c>
      <c r="K16" s="603">
        <v>30000</v>
      </c>
      <c r="L16" s="603">
        <v>30000</v>
      </c>
      <c r="M16" s="603">
        <v>30000</v>
      </c>
      <c r="N16" s="603">
        <v>30000</v>
      </c>
      <c r="O16" s="603">
        <v>30000</v>
      </c>
      <c r="P16" s="603">
        <v>45000</v>
      </c>
      <c r="Q16" s="603"/>
      <c r="R16" s="603"/>
      <c r="S16" s="603"/>
      <c r="T16" s="598"/>
      <c r="U16" s="603"/>
      <c r="V16" s="598"/>
      <c r="W16" s="603"/>
      <c r="X16" s="598"/>
      <c r="Y16" s="550"/>
      <c r="Z16" s="528"/>
      <c r="AA16" s="528"/>
      <c r="AB16" s="528"/>
      <c r="AC16" s="528"/>
    </row>
    <row r="17" spans="1:29" ht="30" customHeight="1" x14ac:dyDescent="0.3">
      <c r="A17" s="528"/>
      <c r="B17" s="529"/>
      <c r="C17" s="453" t="s">
        <v>374</v>
      </c>
      <c r="D17" s="453" t="s">
        <v>941</v>
      </c>
      <c r="E17" s="543" t="s">
        <v>942</v>
      </c>
      <c r="F17" s="506"/>
      <c r="G17" s="496"/>
      <c r="H17" s="544">
        <f>H16*G34*E40</f>
        <v>6428160</v>
      </c>
      <c r="I17" s="599">
        <v>1411353.5999999999</v>
      </c>
      <c r="J17" s="599">
        <v>2075520</v>
      </c>
      <c r="K17" s="599">
        <v>2075520</v>
      </c>
      <c r="L17" s="599">
        <v>2075520</v>
      </c>
      <c r="M17" s="599">
        <v>2075520</v>
      </c>
      <c r="N17" s="599">
        <v>2075520</v>
      </c>
      <c r="O17" s="599">
        <v>2075520</v>
      </c>
      <c r="P17" s="599">
        <v>3113280</v>
      </c>
      <c r="Q17" s="599"/>
      <c r="R17" s="599"/>
      <c r="S17" s="599"/>
      <c r="T17" s="600"/>
      <c r="U17" s="599"/>
      <c r="V17" s="600"/>
      <c r="W17" s="599"/>
      <c r="X17" s="600"/>
      <c r="Y17" s="544"/>
      <c r="Z17" s="528"/>
      <c r="AA17" s="528"/>
      <c r="AB17" s="528"/>
      <c r="AC17" s="528"/>
    </row>
    <row r="18" spans="1:29" ht="24" customHeight="1" x14ac:dyDescent="0.3">
      <c r="A18" s="528"/>
      <c r="B18" s="529"/>
      <c r="C18" s="531" t="s">
        <v>374</v>
      </c>
      <c r="D18" s="531" t="s">
        <v>943</v>
      </c>
      <c r="E18" s="532" t="s">
        <v>944</v>
      </c>
      <c r="F18" s="533"/>
      <c r="G18" s="549"/>
      <c r="H18" s="550">
        <f>H17/E35</f>
        <v>1882.3308931185945</v>
      </c>
      <c r="I18" s="603">
        <v>413.28070278184475</v>
      </c>
      <c r="J18" s="603">
        <v>607.7657393850659</v>
      </c>
      <c r="K18" s="603">
        <v>607.7657393850659</v>
      </c>
      <c r="L18" s="603">
        <v>607.7657393850659</v>
      </c>
      <c r="M18" s="603">
        <v>607.7657393850659</v>
      </c>
      <c r="N18" s="603">
        <v>607.7657393850659</v>
      </c>
      <c r="O18" s="603">
        <v>607.7657393850659</v>
      </c>
      <c r="P18" s="603">
        <v>911.64860907759885</v>
      </c>
      <c r="Q18" s="603"/>
      <c r="R18" s="603"/>
      <c r="S18" s="603"/>
      <c r="T18" s="598"/>
      <c r="U18" s="603"/>
      <c r="V18" s="598"/>
      <c r="W18" s="603"/>
      <c r="X18" s="598"/>
      <c r="Y18" s="550"/>
      <c r="Z18" s="528"/>
      <c r="AA18" s="528"/>
      <c r="AB18" s="528"/>
      <c r="AC18" s="528"/>
    </row>
    <row r="19" spans="1:29" ht="24" customHeight="1" x14ac:dyDescent="0.3">
      <c r="A19" s="528"/>
      <c r="B19" s="529"/>
      <c r="C19" s="453" t="s">
        <v>374</v>
      </c>
      <c r="D19" s="453" t="s">
        <v>945</v>
      </c>
      <c r="E19" s="543" t="s">
        <v>353</v>
      </c>
      <c r="F19" s="506"/>
      <c r="G19" s="496"/>
      <c r="H19" s="1611">
        <f>H18*J36</f>
        <v>9577299.5841874089</v>
      </c>
      <c r="I19" s="599">
        <v>2102772.2157540261</v>
      </c>
      <c r="J19" s="599">
        <v>3092312.0819912152</v>
      </c>
      <c r="K19" s="599">
        <v>3092312.0819912152</v>
      </c>
      <c r="L19" s="599">
        <v>3092312.0819912152</v>
      </c>
      <c r="M19" s="599">
        <v>3092312.0819912152</v>
      </c>
      <c r="N19" s="599">
        <v>3092312.0819912152</v>
      </c>
      <c r="O19" s="599">
        <v>3092312.0819912152</v>
      </c>
      <c r="P19" s="599">
        <v>4638468.1229868233</v>
      </c>
      <c r="Q19" s="599"/>
      <c r="R19" s="599"/>
      <c r="S19" s="599"/>
      <c r="T19" s="600"/>
      <c r="U19" s="599"/>
      <c r="V19" s="600"/>
      <c r="W19" s="599"/>
      <c r="X19" s="600"/>
      <c r="Y19" s="544"/>
      <c r="Z19" s="528"/>
      <c r="AA19" s="528"/>
      <c r="AB19" s="528"/>
      <c r="AC19" s="528"/>
    </row>
    <row r="20" spans="1:29" ht="24" customHeight="1" x14ac:dyDescent="0.3">
      <c r="A20" s="528"/>
      <c r="B20" s="529"/>
      <c r="C20" s="531"/>
      <c r="D20" s="531"/>
      <c r="E20" s="532"/>
      <c r="F20" s="533"/>
      <c r="G20" s="551"/>
      <c r="H20" s="550"/>
      <c r="I20" s="550"/>
      <c r="J20" s="550"/>
      <c r="K20" s="550"/>
      <c r="L20" s="550"/>
      <c r="M20" s="550"/>
      <c r="N20" s="550"/>
      <c r="O20" s="550"/>
      <c r="P20" s="550"/>
      <c r="Q20" s="550"/>
      <c r="R20" s="550"/>
      <c r="S20" s="550"/>
      <c r="T20" s="542"/>
      <c r="U20" s="550"/>
      <c r="V20" s="542"/>
      <c r="W20" s="550"/>
      <c r="X20" s="542"/>
      <c r="Y20" s="550"/>
      <c r="Z20" s="528"/>
      <c r="AA20" s="528"/>
      <c r="AB20" s="528"/>
      <c r="AC20" s="528"/>
    </row>
    <row r="21" spans="1:29" ht="24" customHeight="1" x14ac:dyDescent="0.3">
      <c r="A21" s="528"/>
      <c r="B21" s="552"/>
      <c r="C21" s="462"/>
      <c r="D21" s="462"/>
      <c r="E21" s="553"/>
      <c r="F21" s="554"/>
      <c r="G21" s="555"/>
      <c r="H21" s="556"/>
      <c r="I21" s="556"/>
      <c r="J21" s="556"/>
      <c r="K21" s="556"/>
      <c r="L21" s="556"/>
      <c r="M21" s="556"/>
      <c r="N21" s="556"/>
      <c r="O21" s="556"/>
      <c r="P21" s="556"/>
      <c r="Q21" s="556"/>
      <c r="R21" s="556"/>
      <c r="S21" s="556"/>
      <c r="T21" s="557"/>
      <c r="U21" s="556"/>
      <c r="V21" s="557"/>
      <c r="W21" s="556"/>
      <c r="X21" s="557"/>
      <c r="Y21" s="556"/>
      <c r="Z21" s="528"/>
      <c r="AA21" s="528"/>
      <c r="AB21" s="528"/>
      <c r="AC21" s="528"/>
    </row>
    <row r="22" spans="1:29" ht="15.75" customHeight="1" x14ac:dyDescent="0.3">
      <c r="A22" s="528"/>
      <c r="B22" s="558"/>
      <c r="C22" s="528"/>
      <c r="D22" s="528"/>
      <c r="E22" s="528"/>
      <c r="F22" s="528"/>
      <c r="G22" s="479"/>
      <c r="H22" s="479"/>
      <c r="I22" s="479"/>
      <c r="J22" s="479"/>
      <c r="K22" s="479"/>
      <c r="L22" s="559"/>
      <c r="M22" s="559"/>
      <c r="N22" s="559"/>
      <c r="O22" s="559"/>
      <c r="P22" s="559"/>
      <c r="Q22" s="559"/>
      <c r="R22" s="559"/>
      <c r="S22" s="559"/>
      <c r="T22" s="559"/>
      <c r="U22" s="559"/>
      <c r="V22" s="559"/>
      <c r="W22" s="559"/>
      <c r="X22" s="559"/>
      <c r="Y22" s="559"/>
      <c r="Z22" s="528"/>
      <c r="AA22" s="528"/>
      <c r="AB22" s="528"/>
      <c r="AC22" s="528"/>
    </row>
    <row r="23" spans="1:29" ht="15.75" customHeight="1" x14ac:dyDescent="0.3">
      <c r="A23" s="528"/>
      <c r="B23" s="560" t="s">
        <v>355</v>
      </c>
      <c r="C23" s="561" t="s">
        <v>356</v>
      </c>
      <c r="D23" s="528"/>
      <c r="E23" s="528"/>
      <c r="F23" s="528"/>
      <c r="G23" s="479"/>
      <c r="H23" s="479"/>
      <c r="I23" s="479"/>
      <c r="J23" s="479"/>
      <c r="K23" s="479"/>
      <c r="L23" s="559"/>
      <c r="M23" s="559"/>
      <c r="N23" s="559"/>
      <c r="O23" s="559"/>
      <c r="P23" s="559"/>
      <c r="Q23" s="559"/>
      <c r="R23" s="559"/>
      <c r="S23" s="559"/>
      <c r="T23" s="559"/>
      <c r="U23" s="559"/>
      <c r="V23" s="559"/>
      <c r="W23" s="559"/>
      <c r="X23" s="559"/>
      <c r="Y23" s="559"/>
      <c r="Z23" s="528"/>
      <c r="AA23" s="528"/>
      <c r="AB23" s="528"/>
      <c r="AC23" s="528"/>
    </row>
    <row r="24" spans="1:29" ht="15.75" customHeight="1" x14ac:dyDescent="0.3">
      <c r="A24" s="528"/>
      <c r="B24" s="558"/>
      <c r="C24" s="528"/>
      <c r="D24" s="528"/>
      <c r="E24" s="528"/>
      <c r="F24" s="528"/>
      <c r="G24" s="479"/>
      <c r="H24" s="479"/>
      <c r="I24" s="479"/>
      <c r="J24" s="479"/>
      <c r="K24" s="479"/>
      <c r="L24" s="559"/>
      <c r="M24" s="559"/>
      <c r="N24" s="559"/>
      <c r="O24" s="559"/>
      <c r="P24" s="559"/>
      <c r="Q24" s="559"/>
      <c r="R24" s="559"/>
      <c r="S24" s="559"/>
      <c r="T24" s="559"/>
      <c r="U24" s="559"/>
      <c r="V24" s="559"/>
      <c r="W24" s="559"/>
      <c r="X24" s="559"/>
      <c r="Y24" s="559"/>
      <c r="Z24" s="528"/>
      <c r="AA24" s="528"/>
      <c r="AB24" s="528"/>
      <c r="AC24" s="528"/>
    </row>
    <row r="25" spans="1:29" ht="15.75" customHeight="1" x14ac:dyDescent="0.3">
      <c r="A25" s="528"/>
      <c r="B25" s="4383" t="s">
        <v>357</v>
      </c>
      <c r="C25" s="4384"/>
      <c r="D25" s="528"/>
      <c r="E25" s="528"/>
      <c r="F25" s="528"/>
      <c r="G25" s="479"/>
      <c r="H25" s="479"/>
      <c r="I25" s="479"/>
      <c r="J25" s="479"/>
      <c r="K25" s="479"/>
      <c r="L25" s="559"/>
      <c r="M25" s="559"/>
      <c r="N25" s="559"/>
      <c r="O25" s="559"/>
      <c r="P25" s="559"/>
      <c r="Q25" s="559"/>
      <c r="R25" s="559"/>
      <c r="S25" s="559"/>
      <c r="T25" s="559"/>
      <c r="U25" s="559"/>
      <c r="V25" s="559"/>
      <c r="W25" s="559"/>
      <c r="X25" s="559"/>
      <c r="Y25" s="559"/>
      <c r="Z25" s="528"/>
      <c r="AA25" s="528"/>
      <c r="AB25" s="528"/>
      <c r="AC25" s="528"/>
    </row>
    <row r="26" spans="1:29" ht="15.75" customHeight="1" x14ac:dyDescent="0.3">
      <c r="A26" s="528"/>
      <c r="B26" s="562" t="s">
        <v>365</v>
      </c>
      <c r="C26" s="528" t="s">
        <v>2120</v>
      </c>
      <c r="D26" s="528"/>
      <c r="E26" s="528"/>
      <c r="F26" s="528"/>
      <c r="G26" s="479"/>
      <c r="H26" s="479"/>
      <c r="I26" s="479"/>
      <c r="J26" s="479"/>
      <c r="K26" s="479"/>
      <c r="L26" s="559"/>
      <c r="M26" s="559"/>
      <c r="N26" s="559"/>
      <c r="O26" s="559"/>
      <c r="P26" s="559"/>
      <c r="Q26" s="559"/>
      <c r="R26" s="559"/>
      <c r="S26" s="559"/>
      <c r="T26" s="559"/>
      <c r="U26" s="559"/>
      <c r="V26" s="559"/>
      <c r="W26" s="559"/>
      <c r="X26" s="559"/>
      <c r="Y26" s="559"/>
      <c r="Z26" s="528"/>
      <c r="AA26" s="528"/>
      <c r="AB26" s="528"/>
      <c r="AC26" s="528"/>
    </row>
    <row r="27" spans="1:29" ht="15.75" customHeight="1" x14ac:dyDescent="0.3">
      <c r="A27" s="528"/>
      <c r="B27" s="562"/>
      <c r="C27" s="528" t="s">
        <v>2121</v>
      </c>
      <c r="D27" s="528"/>
      <c r="E27" s="528"/>
      <c r="F27" s="528"/>
      <c r="G27" s="479"/>
      <c r="H27" s="479"/>
      <c r="I27" s="479"/>
      <c r="J27" s="479"/>
      <c r="K27" s="479"/>
      <c r="L27" s="559"/>
      <c r="M27" s="559"/>
      <c r="N27" s="559"/>
      <c r="O27" s="559"/>
      <c r="P27" s="559"/>
      <c r="Q27" s="559"/>
      <c r="R27" s="559"/>
      <c r="S27" s="559"/>
      <c r="T27" s="559"/>
      <c r="U27" s="559"/>
      <c r="V27" s="559"/>
      <c r="W27" s="559"/>
      <c r="X27" s="559"/>
      <c r="Y27" s="559"/>
      <c r="Z27" s="528"/>
      <c r="AA27" s="528"/>
      <c r="AB27" s="528"/>
      <c r="AC27" s="528"/>
    </row>
    <row r="28" spans="1:29" ht="15.75" customHeight="1" x14ac:dyDescent="0.3">
      <c r="A28" s="528"/>
      <c r="B28" s="562"/>
      <c r="C28" s="528" t="s">
        <v>946</v>
      </c>
      <c r="D28" s="528"/>
      <c r="E28" s="528"/>
      <c r="F28" s="528"/>
      <c r="G28" s="479"/>
      <c r="H28" s="479"/>
      <c r="I28" s="479"/>
      <c r="J28" s="479"/>
      <c r="K28" s="479"/>
      <c r="L28" s="559"/>
      <c r="M28" s="559"/>
      <c r="N28" s="559"/>
      <c r="O28" s="559"/>
      <c r="P28" s="559"/>
      <c r="Q28" s="559"/>
      <c r="R28" s="559"/>
      <c r="S28" s="559"/>
      <c r="T28" s="559"/>
      <c r="U28" s="559"/>
      <c r="V28" s="559"/>
      <c r="W28" s="559"/>
      <c r="X28" s="559"/>
      <c r="Y28" s="559"/>
      <c r="Z28" s="528"/>
      <c r="AA28" s="528"/>
      <c r="AB28" s="528"/>
      <c r="AC28" s="528"/>
    </row>
    <row r="29" spans="1:29" ht="15.75" customHeight="1" x14ac:dyDescent="0.3">
      <c r="A29" s="528"/>
      <c r="B29" s="562"/>
      <c r="C29" s="528" t="s">
        <v>947</v>
      </c>
      <c r="D29" s="528"/>
      <c r="E29" s="528"/>
      <c r="F29" s="528"/>
      <c r="G29" s="479"/>
      <c r="H29" s="479"/>
      <c r="I29" s="479"/>
      <c r="J29" s="479"/>
      <c r="K29" s="479"/>
      <c r="L29" s="559"/>
      <c r="M29" s="559"/>
      <c r="N29" s="559"/>
      <c r="O29" s="559"/>
      <c r="P29" s="559"/>
      <c r="Q29" s="559"/>
      <c r="R29" s="559"/>
      <c r="S29" s="559"/>
      <c r="T29" s="559"/>
      <c r="U29" s="559"/>
      <c r="V29" s="559"/>
      <c r="W29" s="559"/>
      <c r="X29" s="559"/>
      <c r="Y29" s="559"/>
      <c r="Z29" s="528"/>
      <c r="AA29" s="528"/>
      <c r="AB29" s="528"/>
      <c r="AC29" s="528"/>
    </row>
    <row r="30" spans="1:29" ht="15.75" customHeight="1" x14ac:dyDescent="0.3">
      <c r="A30" s="528"/>
      <c r="B30" s="562"/>
      <c r="C30" s="1254" t="s">
        <v>948</v>
      </c>
      <c r="D30" s="528"/>
      <c r="E30" s="528"/>
      <c r="F30" s="528"/>
      <c r="G30" s="479"/>
      <c r="H30" s="479"/>
      <c r="I30" s="479"/>
      <c r="J30" s="479"/>
      <c r="K30" s="479"/>
      <c r="L30" s="559"/>
      <c r="M30" s="559"/>
      <c r="N30" s="559"/>
      <c r="O30" s="559"/>
      <c r="P30" s="559"/>
      <c r="Q30" s="559"/>
      <c r="R30" s="559"/>
      <c r="S30" s="559"/>
      <c r="T30" s="559"/>
      <c r="U30" s="559"/>
      <c r="V30" s="559"/>
      <c r="W30" s="559"/>
      <c r="X30" s="559"/>
      <c r="Y30" s="559"/>
      <c r="Z30" s="528"/>
      <c r="AA30" s="528"/>
      <c r="AB30" s="528"/>
      <c r="AC30" s="528"/>
    </row>
    <row r="31" spans="1:29" ht="15.75" customHeight="1" x14ac:dyDescent="0.3">
      <c r="A31" s="528"/>
      <c r="B31" s="562" t="s">
        <v>949</v>
      </c>
      <c r="C31" s="528" t="s">
        <v>2122</v>
      </c>
      <c r="D31" s="528"/>
      <c r="E31" s="528">
        <v>0.32</v>
      </c>
      <c r="F31" s="528" t="s">
        <v>950</v>
      </c>
      <c r="G31" s="479"/>
      <c r="H31" s="479"/>
      <c r="I31" s="479"/>
      <c r="J31" s="479"/>
      <c r="K31" s="479"/>
      <c r="L31" s="559"/>
      <c r="M31" s="559"/>
      <c r="N31" s="559"/>
      <c r="O31" s="559"/>
      <c r="P31" s="559"/>
      <c r="Q31" s="559"/>
      <c r="R31" s="559"/>
      <c r="S31" s="559"/>
      <c r="T31" s="559"/>
      <c r="U31" s="559"/>
      <c r="V31" s="559"/>
      <c r="W31" s="559"/>
      <c r="X31" s="559"/>
      <c r="Y31" s="559"/>
      <c r="Z31" s="528"/>
      <c r="AA31" s="528"/>
      <c r="AB31" s="528"/>
      <c r="AC31" s="528"/>
    </row>
    <row r="32" spans="1:29" ht="15.75" customHeight="1" x14ac:dyDescent="0.3">
      <c r="A32" s="528"/>
      <c r="B32" s="562" t="s">
        <v>546</v>
      </c>
      <c r="C32" s="528" t="s">
        <v>951</v>
      </c>
      <c r="D32" s="528"/>
      <c r="E32" s="528"/>
      <c r="F32" s="528"/>
      <c r="G32" s="479"/>
      <c r="H32" s="479"/>
      <c r="I32" s="479"/>
      <c r="J32" s="479"/>
      <c r="K32" s="479"/>
      <c r="L32" s="559"/>
      <c r="M32" s="559"/>
      <c r="N32" s="559"/>
      <c r="O32" s="559"/>
      <c r="P32" s="559"/>
      <c r="Q32" s="559"/>
      <c r="R32" s="559"/>
      <c r="S32" s="559"/>
      <c r="T32" s="559"/>
      <c r="U32" s="559"/>
      <c r="V32" s="559"/>
      <c r="W32" s="559"/>
      <c r="X32" s="559"/>
      <c r="Y32" s="559"/>
      <c r="Z32" s="528"/>
      <c r="AA32" s="528"/>
      <c r="AB32" s="528"/>
      <c r="AC32" s="528"/>
    </row>
    <row r="33" spans="1:29" ht="15.75" customHeight="1" x14ac:dyDescent="0.3">
      <c r="A33" s="528"/>
      <c r="B33" s="562"/>
      <c r="C33" s="528" t="s">
        <v>952</v>
      </c>
      <c r="D33" s="528"/>
      <c r="E33" s="528"/>
      <c r="F33" s="528"/>
      <c r="G33" s="479"/>
      <c r="H33" s="479"/>
      <c r="I33" s="479"/>
      <c r="J33" s="479"/>
      <c r="K33" s="479"/>
      <c r="L33" s="559"/>
      <c r="M33" s="559"/>
      <c r="N33" s="559"/>
      <c r="O33" s="559"/>
      <c r="P33" s="559"/>
      <c r="Q33" s="559"/>
      <c r="R33" s="559"/>
      <c r="S33" s="559"/>
      <c r="T33" s="559"/>
      <c r="U33" s="559"/>
      <c r="V33" s="559"/>
      <c r="W33" s="559"/>
      <c r="X33" s="559"/>
      <c r="Y33" s="559"/>
      <c r="Z33" s="528"/>
      <c r="AA33" s="528"/>
      <c r="AB33" s="528"/>
      <c r="AC33" s="528"/>
    </row>
    <row r="34" spans="1:29" ht="15.75" customHeight="1" x14ac:dyDescent="0.3">
      <c r="A34" s="528"/>
      <c r="B34" s="562" t="s">
        <v>508</v>
      </c>
      <c r="C34" s="528" t="s">
        <v>953</v>
      </c>
      <c r="D34" s="528"/>
      <c r="E34" s="528"/>
      <c r="F34" s="606" t="s">
        <v>954</v>
      </c>
      <c r="G34" s="479">
        <v>64</v>
      </c>
      <c r="H34" s="479"/>
      <c r="I34" s="479"/>
      <c r="J34" s="479"/>
      <c r="K34" s="479"/>
      <c r="L34" s="559"/>
      <c r="M34" s="559"/>
      <c r="N34" s="559"/>
      <c r="O34" s="559"/>
      <c r="P34" s="559"/>
      <c r="Q34" s="559"/>
      <c r="R34" s="559"/>
      <c r="S34" s="559"/>
      <c r="T34" s="559"/>
      <c r="U34" s="559"/>
      <c r="V34" s="559"/>
      <c r="W34" s="559"/>
      <c r="X34" s="559"/>
      <c r="Y34" s="559"/>
      <c r="Z34" s="528"/>
      <c r="AA34" s="528"/>
      <c r="AB34" s="528"/>
      <c r="AC34" s="528"/>
    </row>
    <row r="35" spans="1:29" ht="15.75" customHeight="1" x14ac:dyDescent="0.3">
      <c r="A35" s="528"/>
      <c r="B35" s="562"/>
      <c r="C35" s="528" t="s">
        <v>955</v>
      </c>
      <c r="D35" s="528" t="s">
        <v>956</v>
      </c>
      <c r="E35" s="528">
        <v>3415</v>
      </c>
      <c r="F35" s="528" t="s">
        <v>942</v>
      </c>
      <c r="G35" s="479"/>
      <c r="H35" s="479"/>
      <c r="I35" s="479"/>
      <c r="J35" s="479"/>
      <c r="K35" s="479"/>
      <c r="L35" s="559"/>
      <c r="M35" s="559"/>
      <c r="N35" s="559"/>
      <c r="O35" s="559"/>
      <c r="P35" s="559"/>
      <c r="Q35" s="559"/>
      <c r="R35" s="559"/>
      <c r="S35" s="559"/>
      <c r="T35" s="559"/>
      <c r="U35" s="559"/>
      <c r="V35" s="559"/>
      <c r="W35" s="559"/>
      <c r="X35" s="559"/>
      <c r="Y35" s="559"/>
      <c r="Z35" s="528"/>
      <c r="AA35" s="528"/>
      <c r="AB35" s="528"/>
      <c r="AC35" s="528"/>
    </row>
    <row r="36" spans="1:29" ht="15.75" customHeight="1" x14ac:dyDescent="0.3">
      <c r="A36" s="528"/>
      <c r="B36" s="562"/>
      <c r="C36" s="528" t="s">
        <v>957</v>
      </c>
      <c r="D36" s="528"/>
      <c r="E36" s="528"/>
      <c r="F36" s="528"/>
      <c r="G36" s="479"/>
      <c r="H36" s="479"/>
      <c r="I36" s="479"/>
      <c r="J36" s="479">
        <v>5088</v>
      </c>
      <c r="K36" s="479" t="s">
        <v>958</v>
      </c>
      <c r="L36" s="559"/>
      <c r="M36" s="559"/>
      <c r="N36" s="559"/>
      <c r="O36" s="559"/>
      <c r="P36" s="559"/>
      <c r="Q36" s="559"/>
      <c r="R36" s="559"/>
      <c r="S36" s="559"/>
      <c r="T36" s="559"/>
      <c r="U36" s="559"/>
      <c r="V36" s="559"/>
      <c r="W36" s="559"/>
      <c r="X36" s="559"/>
      <c r="Y36" s="559"/>
      <c r="Z36" s="528"/>
      <c r="AA36" s="528"/>
      <c r="AB36" s="528"/>
      <c r="AC36" s="528"/>
    </row>
    <row r="37" spans="1:29" ht="15.75" customHeight="1" x14ac:dyDescent="0.3">
      <c r="A37" s="528"/>
      <c r="B37" s="562"/>
      <c r="C37" s="528" t="s">
        <v>959</v>
      </c>
      <c r="D37" s="528" t="s">
        <v>960</v>
      </c>
      <c r="E37" s="528"/>
      <c r="F37" s="528"/>
      <c r="G37" s="479"/>
      <c r="H37" s="479"/>
      <c r="I37" s="479"/>
      <c r="J37" s="479"/>
      <c r="K37" s="479"/>
      <c r="L37" s="559"/>
      <c r="M37" s="559"/>
      <c r="N37" s="559"/>
      <c r="O37" s="559"/>
      <c r="P37" s="559"/>
      <c r="Q37" s="559"/>
      <c r="R37" s="559"/>
      <c r="S37" s="559"/>
      <c r="T37" s="559"/>
      <c r="U37" s="559"/>
      <c r="V37" s="559"/>
      <c r="W37" s="559"/>
      <c r="X37" s="559"/>
      <c r="Y37" s="559"/>
      <c r="Z37" s="528"/>
      <c r="AA37" s="528"/>
      <c r="AB37" s="528"/>
      <c r="AC37" s="528"/>
    </row>
    <row r="38" spans="1:29" ht="15.75" customHeight="1" x14ac:dyDescent="0.3">
      <c r="A38" s="528"/>
      <c r="B38" s="562"/>
      <c r="C38" s="528" t="s">
        <v>961</v>
      </c>
      <c r="D38" s="528" t="s">
        <v>962</v>
      </c>
      <c r="E38" s="528"/>
      <c r="F38" s="528"/>
      <c r="G38" s="479"/>
      <c r="H38" s="479"/>
      <c r="I38" s="479"/>
      <c r="J38" s="479"/>
      <c r="K38" s="479"/>
      <c r="L38" s="559"/>
      <c r="M38" s="559"/>
      <c r="N38" s="559"/>
      <c r="O38" s="559"/>
      <c r="P38" s="559"/>
      <c r="Q38" s="559"/>
      <c r="R38" s="559"/>
      <c r="S38" s="559"/>
      <c r="T38" s="559"/>
      <c r="U38" s="559"/>
      <c r="V38" s="559"/>
      <c r="W38" s="559"/>
      <c r="X38" s="559"/>
      <c r="Y38" s="559"/>
      <c r="Z38" s="528"/>
      <c r="AA38" s="528"/>
      <c r="AB38" s="528"/>
      <c r="AC38" s="528"/>
    </row>
    <row r="39" spans="1:29" ht="15.75" customHeight="1" x14ac:dyDescent="0.3">
      <c r="A39" s="528"/>
      <c r="B39" s="562"/>
      <c r="C39" s="528"/>
      <c r="D39" s="528" t="s">
        <v>963</v>
      </c>
      <c r="E39" s="528"/>
      <c r="F39" s="528"/>
      <c r="G39" s="479"/>
      <c r="H39" s="479"/>
      <c r="I39" s="479"/>
      <c r="J39" s="479"/>
      <c r="K39" s="479"/>
      <c r="L39" s="559"/>
      <c r="M39" s="559"/>
      <c r="N39" s="559"/>
      <c r="O39" s="559"/>
      <c r="P39" s="559"/>
      <c r="Q39" s="559"/>
      <c r="R39" s="559"/>
      <c r="S39" s="559"/>
      <c r="T39" s="559"/>
      <c r="U39" s="559"/>
      <c r="V39" s="559"/>
      <c r="W39" s="559"/>
      <c r="X39" s="559"/>
      <c r="Y39" s="559"/>
      <c r="Z39" s="528"/>
      <c r="AA39" s="528"/>
      <c r="AB39" s="528"/>
      <c r="AC39" s="528"/>
    </row>
    <row r="40" spans="1:29" ht="15.75" customHeight="1" x14ac:dyDescent="0.3">
      <c r="A40" s="528"/>
      <c r="B40" s="562"/>
      <c r="D40" s="1613" t="s">
        <v>355</v>
      </c>
      <c r="E40" s="1614">
        <v>1.08</v>
      </c>
      <c r="F40" s="528" t="s">
        <v>964</v>
      </c>
      <c r="G40" s="479"/>
      <c r="H40" s="479"/>
      <c r="I40" s="479"/>
      <c r="J40" s="479"/>
      <c r="K40" s="479"/>
      <c r="L40" s="559"/>
      <c r="M40" s="559"/>
      <c r="N40" s="559"/>
      <c r="O40" s="559"/>
      <c r="P40" s="559"/>
      <c r="Q40" s="559"/>
      <c r="R40" s="559"/>
      <c r="S40" s="559"/>
      <c r="T40" s="559"/>
      <c r="U40" s="559"/>
      <c r="V40" s="559"/>
      <c r="W40" s="559"/>
      <c r="X40" s="559"/>
      <c r="Y40" s="559"/>
      <c r="Z40" s="528"/>
      <c r="AA40" s="528"/>
      <c r="AB40" s="528"/>
      <c r="AC40" s="528"/>
    </row>
    <row r="41" spans="1:29" ht="15.75" customHeight="1" x14ac:dyDescent="0.3">
      <c r="A41" s="528"/>
      <c r="B41" s="562"/>
      <c r="C41" s="1254" t="s">
        <v>965</v>
      </c>
      <c r="D41" s="528"/>
      <c r="E41" s="528"/>
      <c r="F41" s="528"/>
      <c r="G41" s="479"/>
      <c r="H41" s="479"/>
      <c r="I41" s="479"/>
      <c r="J41" s="479"/>
      <c r="K41" s="479"/>
      <c r="L41" s="559"/>
      <c r="M41" s="559"/>
      <c r="N41" s="559"/>
      <c r="O41" s="559"/>
      <c r="P41" s="559"/>
      <c r="Q41" s="559"/>
      <c r="R41" s="559"/>
      <c r="S41" s="559"/>
      <c r="T41" s="559"/>
      <c r="U41" s="559"/>
      <c r="V41" s="559"/>
      <c r="W41" s="559"/>
      <c r="X41" s="559"/>
      <c r="Y41" s="559"/>
      <c r="Z41" s="528"/>
      <c r="AA41" s="528"/>
      <c r="AB41" s="528"/>
      <c r="AC41" s="528"/>
    </row>
    <row r="42" spans="1:29" ht="15.75" customHeight="1" x14ac:dyDescent="0.3">
      <c r="A42" s="528"/>
      <c r="B42" s="562"/>
      <c r="C42" s="528"/>
      <c r="D42" s="528"/>
      <c r="E42" s="528"/>
      <c r="F42" s="528"/>
      <c r="G42" s="479"/>
      <c r="H42" s="479"/>
      <c r="I42" s="479"/>
      <c r="J42" s="479"/>
      <c r="K42" s="479"/>
      <c r="L42" s="559"/>
      <c r="M42" s="559"/>
      <c r="N42" s="559"/>
      <c r="O42" s="559"/>
      <c r="P42" s="559"/>
      <c r="Q42" s="559"/>
      <c r="R42" s="559"/>
      <c r="S42" s="559"/>
      <c r="T42" s="559"/>
      <c r="U42" s="559"/>
      <c r="V42" s="559"/>
      <c r="W42" s="559"/>
      <c r="X42" s="559"/>
      <c r="Y42" s="559"/>
      <c r="Z42" s="528"/>
      <c r="AA42" s="528"/>
      <c r="AB42" s="528"/>
      <c r="AC42" s="528"/>
    </row>
    <row r="43" spans="1:29" ht="15.75" customHeight="1" x14ac:dyDescent="0.3"/>
    <row r="44" spans="1:29" ht="21" customHeight="1" x14ac:dyDescent="0.3">
      <c r="B44" s="519" t="s">
        <v>409</v>
      </c>
    </row>
    <row r="45" spans="1:29" ht="9" customHeight="1" x14ac:dyDescent="0.3">
      <c r="B45" s="519"/>
    </row>
    <row r="46" spans="1:29" ht="21" customHeight="1" x14ac:dyDescent="0.3">
      <c r="B46" s="517" t="s">
        <v>410</v>
      </c>
      <c r="C46" s="518"/>
      <c r="D46" s="518"/>
    </row>
    <row r="47" spans="1:29" ht="12" customHeight="1" x14ac:dyDescent="0.3"/>
    <row r="48" spans="1:29" ht="15.75" customHeight="1" x14ac:dyDescent="0.3">
      <c r="B48" s="521" t="s">
        <v>301</v>
      </c>
      <c r="C48" s="522" t="s">
        <v>343</v>
      </c>
      <c r="D48" s="523" t="s">
        <v>344</v>
      </c>
      <c r="E48" s="523" t="s">
        <v>345</v>
      </c>
      <c r="F48" s="523" t="s">
        <v>346</v>
      </c>
      <c r="G48" s="524" t="s">
        <v>347</v>
      </c>
      <c r="H48" s="525">
        <v>2024</v>
      </c>
      <c r="I48" s="525">
        <v>2023</v>
      </c>
      <c r="J48" s="525">
        <v>2022</v>
      </c>
      <c r="K48" s="525">
        <v>2021</v>
      </c>
      <c r="L48" s="525">
        <v>2020</v>
      </c>
      <c r="M48" s="525">
        <v>2019</v>
      </c>
      <c r="N48" s="526">
        <v>2018</v>
      </c>
      <c r="O48" s="526">
        <v>2017</v>
      </c>
      <c r="P48" s="526">
        <v>2016</v>
      </c>
      <c r="Q48" s="526">
        <v>2015</v>
      </c>
      <c r="R48" s="526">
        <v>2014</v>
      </c>
      <c r="S48" s="526">
        <v>2013</v>
      </c>
      <c r="T48" s="526">
        <v>2012</v>
      </c>
      <c r="U48" s="526">
        <v>2011</v>
      </c>
      <c r="V48" s="526">
        <v>2010</v>
      </c>
      <c r="W48" s="526">
        <v>2009</v>
      </c>
      <c r="X48" s="526">
        <v>2008</v>
      </c>
      <c r="Y48" s="527" t="s">
        <v>332</v>
      </c>
    </row>
    <row r="49" spans="2:25" ht="24" customHeight="1" x14ac:dyDescent="0.3">
      <c r="B49" s="529">
        <v>1</v>
      </c>
      <c r="C49" s="530" t="s">
        <v>474</v>
      </c>
      <c r="D49" s="531" t="s">
        <v>966</v>
      </c>
      <c r="E49" s="532" t="s">
        <v>363</v>
      </c>
      <c r="F49" s="531" t="s">
        <v>967</v>
      </c>
      <c r="G49" s="534">
        <v>2009</v>
      </c>
      <c r="H49" s="1615">
        <f>2978+H54</f>
        <v>3090</v>
      </c>
      <c r="I49" s="1616">
        <v>3801.5000000000005</v>
      </c>
      <c r="J49" s="1235">
        <v>6119</v>
      </c>
      <c r="K49" s="1235">
        <v>7318</v>
      </c>
      <c r="L49" s="1235">
        <v>6436</v>
      </c>
      <c r="M49" s="1235">
        <v>5682</v>
      </c>
      <c r="N49" s="1235">
        <v>6335</v>
      </c>
      <c r="O49" s="1235">
        <v>6707</v>
      </c>
      <c r="P49" s="1235">
        <v>6114</v>
      </c>
      <c r="Q49" s="1235">
        <v>8142</v>
      </c>
      <c r="R49" s="1235">
        <v>8222</v>
      </c>
      <c r="S49" s="1235">
        <v>5769</v>
      </c>
      <c r="T49" s="1236">
        <v>2704</v>
      </c>
      <c r="U49" s="1235">
        <v>2497</v>
      </c>
      <c r="V49" s="1236">
        <v>1093</v>
      </c>
      <c r="W49" s="535"/>
      <c r="X49" s="542"/>
      <c r="Y49" s="535"/>
    </row>
    <row r="50" spans="2:25" ht="24" customHeight="1" x14ac:dyDescent="0.3">
      <c r="B50" s="529"/>
      <c r="C50" s="453"/>
      <c r="D50" s="453"/>
      <c r="E50" s="543"/>
      <c r="F50" s="453" t="s">
        <v>968</v>
      </c>
      <c r="G50" s="479"/>
      <c r="H50" s="544">
        <f>E61*(27.5/100)</f>
        <v>818.95</v>
      </c>
      <c r="I50" s="1238">
        <v>1739</v>
      </c>
      <c r="J50" s="1238"/>
      <c r="K50" s="1238"/>
      <c r="L50" s="1238"/>
      <c r="M50" s="1238"/>
      <c r="N50" s="1238"/>
      <c r="O50" s="1238"/>
      <c r="P50" s="1238"/>
      <c r="Q50" s="1238"/>
      <c r="R50" s="1238"/>
      <c r="S50" s="1238"/>
      <c r="T50" s="1239"/>
      <c r="U50" s="1238"/>
      <c r="V50" s="1239"/>
      <c r="W50" s="544"/>
      <c r="X50" s="548"/>
      <c r="Y50" s="544"/>
    </row>
    <row r="51" spans="2:25" ht="24" customHeight="1" x14ac:dyDescent="0.3">
      <c r="B51" s="529"/>
      <c r="C51" s="531"/>
      <c r="D51" s="531"/>
      <c r="E51" s="532"/>
      <c r="F51" s="531" t="s">
        <v>969</v>
      </c>
      <c r="G51" s="639"/>
      <c r="H51" s="550">
        <f>E61*(43.75/100)</f>
        <v>1302.875</v>
      </c>
      <c r="I51" s="1240">
        <v>1193</v>
      </c>
      <c r="J51" s="1240"/>
      <c r="K51" s="1240"/>
      <c r="L51" s="1240"/>
      <c r="M51" s="1240"/>
      <c r="N51" s="1240"/>
      <c r="O51" s="1240"/>
      <c r="P51" s="1240"/>
      <c r="Q51" s="1240"/>
      <c r="R51" s="1240"/>
      <c r="S51" s="1240"/>
      <c r="T51" s="1236"/>
      <c r="U51" s="1240"/>
      <c r="V51" s="1236"/>
      <c r="W51" s="550"/>
      <c r="X51" s="542"/>
      <c r="Y51" s="550"/>
    </row>
    <row r="52" spans="2:25" ht="24" customHeight="1" x14ac:dyDescent="0.3">
      <c r="B52" s="529"/>
      <c r="C52" s="453"/>
      <c r="D52" s="453"/>
      <c r="E52" s="543"/>
      <c r="F52" s="453" t="s">
        <v>970</v>
      </c>
      <c r="G52" s="479"/>
      <c r="H52" s="544">
        <f>E61*(25/100)</f>
        <v>744.5</v>
      </c>
      <c r="I52" s="1238">
        <v>667.3</v>
      </c>
      <c r="J52" s="1238"/>
      <c r="K52" s="1238"/>
      <c r="L52" s="1238"/>
      <c r="M52" s="1238"/>
      <c r="N52" s="1238"/>
      <c r="O52" s="1238"/>
      <c r="P52" s="1238"/>
      <c r="Q52" s="1238"/>
      <c r="R52" s="1238"/>
      <c r="S52" s="1238"/>
      <c r="T52" s="1239"/>
      <c r="U52" s="1238"/>
      <c r="V52" s="1239"/>
      <c r="W52" s="544"/>
      <c r="X52" s="548"/>
      <c r="Y52" s="544"/>
    </row>
    <row r="53" spans="2:25" ht="24" customHeight="1" x14ac:dyDescent="0.3">
      <c r="B53" s="529"/>
      <c r="C53" s="531"/>
      <c r="D53" s="531"/>
      <c r="E53" s="532"/>
      <c r="F53" s="531" t="s">
        <v>971</v>
      </c>
      <c r="G53" s="639"/>
      <c r="H53" s="550">
        <f>E61*(3.75/100)</f>
        <v>111.675</v>
      </c>
      <c r="I53" s="1240">
        <v>80.900000000000006</v>
      </c>
      <c r="J53" s="1240"/>
      <c r="K53" s="1240"/>
      <c r="L53" s="1240"/>
      <c r="M53" s="1240"/>
      <c r="N53" s="1240"/>
      <c r="O53" s="1240"/>
      <c r="P53" s="1240"/>
      <c r="Q53" s="1240"/>
      <c r="R53" s="1240"/>
      <c r="S53" s="1240"/>
      <c r="T53" s="1236"/>
      <c r="U53" s="1240"/>
      <c r="V53" s="1236"/>
      <c r="W53" s="550"/>
      <c r="X53" s="542"/>
      <c r="Y53" s="550"/>
    </row>
    <row r="54" spans="2:25" ht="24" customHeight="1" x14ac:dyDescent="0.3">
      <c r="B54" s="529"/>
      <c r="C54" s="453"/>
      <c r="D54" s="453"/>
      <c r="E54" s="543"/>
      <c r="F54" s="453" t="s">
        <v>972</v>
      </c>
      <c r="G54" s="479"/>
      <c r="H54" s="544">
        <v>112</v>
      </c>
      <c r="I54" s="1238">
        <v>121.3</v>
      </c>
      <c r="J54" s="1238">
        <v>255</v>
      </c>
      <c r="K54" s="1238">
        <v>205</v>
      </c>
      <c r="L54" s="1238">
        <v>3880</v>
      </c>
      <c r="M54" s="1238"/>
      <c r="N54" s="1238"/>
      <c r="O54" s="1238"/>
      <c r="P54" s="1238"/>
      <c r="Q54" s="1238"/>
      <c r="R54" s="1238"/>
      <c r="S54" s="1238"/>
      <c r="T54" s="1239"/>
      <c r="U54" s="1238"/>
      <c r="V54" s="1239"/>
      <c r="W54" s="544"/>
      <c r="X54" s="548"/>
      <c r="Y54" s="544"/>
    </row>
    <row r="55" spans="2:25" ht="24" customHeight="1" x14ac:dyDescent="0.3">
      <c r="B55" s="529"/>
      <c r="C55" s="531"/>
      <c r="D55" s="531"/>
      <c r="E55" s="532"/>
      <c r="F55" s="531"/>
      <c r="G55" s="641"/>
      <c r="H55" s="640"/>
      <c r="I55" s="642"/>
      <c r="J55" s="642"/>
      <c r="K55" s="642"/>
      <c r="L55" s="642"/>
      <c r="M55" s="642"/>
      <c r="N55" s="642"/>
      <c r="O55" s="642"/>
      <c r="P55" s="642"/>
      <c r="Q55" s="642"/>
      <c r="R55" s="643"/>
      <c r="S55" s="643"/>
      <c r="T55" s="644"/>
      <c r="U55" s="643"/>
      <c r="V55" s="644"/>
      <c r="W55" s="643"/>
      <c r="X55" s="644"/>
      <c r="Y55" s="550"/>
    </row>
    <row r="56" spans="2:25" ht="24" customHeight="1" x14ac:dyDescent="0.3">
      <c r="B56" s="552"/>
      <c r="C56" s="462"/>
      <c r="D56" s="462"/>
      <c r="E56" s="553"/>
      <c r="F56" s="462"/>
      <c r="G56" s="645"/>
      <c r="H56" s="646"/>
      <c r="I56" s="556"/>
      <c r="J56" s="556"/>
      <c r="K56" s="556"/>
      <c r="L56" s="556"/>
      <c r="M56" s="556"/>
      <c r="N56" s="556"/>
      <c r="O56" s="556"/>
      <c r="P56" s="556"/>
      <c r="Q56" s="556"/>
      <c r="R56" s="556"/>
      <c r="S56" s="556"/>
      <c r="T56" s="557"/>
      <c r="U56" s="556"/>
      <c r="V56" s="557"/>
      <c r="W56" s="556"/>
      <c r="X56" s="557"/>
      <c r="Y56" s="556"/>
    </row>
    <row r="57" spans="2:25" ht="15.75" customHeight="1" x14ac:dyDescent="0.3"/>
    <row r="58" spans="2:25" ht="15.75" customHeight="1" x14ac:dyDescent="0.3">
      <c r="B58" s="560" t="s">
        <v>355</v>
      </c>
      <c r="C58" s="561" t="s">
        <v>356</v>
      </c>
    </row>
    <row r="59" spans="2:25" ht="15.75" customHeight="1" x14ac:dyDescent="0.3"/>
    <row r="60" spans="2:25" ht="15.75" customHeight="1" x14ac:dyDescent="0.3">
      <c r="B60" s="4383" t="s">
        <v>357</v>
      </c>
      <c r="C60" s="4384"/>
    </row>
    <row r="61" spans="2:25" ht="15.75" customHeight="1" x14ac:dyDescent="0.3">
      <c r="B61" s="562" t="s">
        <v>365</v>
      </c>
      <c r="C61" s="428" t="s">
        <v>973</v>
      </c>
      <c r="E61" s="428">
        <v>2978</v>
      </c>
      <c r="F61" s="428" t="s">
        <v>974</v>
      </c>
    </row>
    <row r="62" spans="2:25" ht="15.75" customHeight="1" x14ac:dyDescent="0.3">
      <c r="B62" s="562"/>
      <c r="C62" s="428" t="s">
        <v>975</v>
      </c>
    </row>
    <row r="63" spans="2:25" ht="15.75" customHeight="1" x14ac:dyDescent="0.3"/>
    <row r="64" spans="2:2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sheetData>
  <mergeCells count="2">
    <mergeCell ref="B25:C25"/>
    <mergeCell ref="B60:C60"/>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A82E3-C12C-4EA2-901F-399D8624A578}">
  <dimension ref="A1:I991"/>
  <sheetViews>
    <sheetView topLeftCell="A23" workbookViewId="0">
      <selection activeCell="E30" sqref="E30"/>
    </sheetView>
  </sheetViews>
  <sheetFormatPr defaultColWidth="12.44140625" defaultRowHeight="15" customHeight="1" x14ac:dyDescent="0.3"/>
  <cols>
    <col min="1" max="1" width="2.6640625" style="428" customWidth="1"/>
    <col min="2" max="2" width="35.109375" style="428" customWidth="1"/>
    <col min="3" max="5" width="23" style="428" customWidth="1"/>
    <col min="6" max="6" width="1.5546875" style="428" customWidth="1"/>
    <col min="7" max="7" width="14.6640625" style="428" customWidth="1"/>
    <col min="8" max="8" width="7.33203125" style="428" customWidth="1"/>
    <col min="9" max="9" width="11.6640625" style="428" customWidth="1"/>
    <col min="10" max="16384" width="12.44140625" style="428"/>
  </cols>
  <sheetData>
    <row r="1" spans="1:9" ht="21.75" customHeight="1" x14ac:dyDescent="0.35">
      <c r="A1" s="424"/>
      <c r="B1" s="425" t="s">
        <v>549</v>
      </c>
      <c r="C1" s="426"/>
      <c r="F1" s="427"/>
      <c r="H1" s="427"/>
    </row>
    <row r="2" spans="1:9" ht="15.75" customHeight="1" x14ac:dyDescent="0.3">
      <c r="A2" s="424"/>
      <c r="B2" s="429" t="s">
        <v>299</v>
      </c>
      <c r="C2" s="430"/>
      <c r="D2" s="430"/>
      <c r="E2" s="430"/>
      <c r="F2" s="430"/>
      <c r="G2" s="430"/>
      <c r="H2" s="430"/>
    </row>
    <row r="3" spans="1:9" ht="9.75" customHeight="1" x14ac:dyDescent="0.3">
      <c r="A3" s="427"/>
      <c r="B3" s="431"/>
      <c r="F3" s="427"/>
      <c r="H3" s="427"/>
    </row>
    <row r="4" spans="1:9" ht="6" customHeight="1" x14ac:dyDescent="0.3">
      <c r="B4" s="427"/>
      <c r="F4" s="427"/>
      <c r="H4" s="427"/>
    </row>
    <row r="5" spans="1:9" ht="6" customHeight="1" x14ac:dyDescent="0.3">
      <c r="A5" s="431"/>
      <c r="F5" s="427"/>
      <c r="H5" s="427"/>
    </row>
    <row r="6" spans="1:9" ht="15.75" customHeight="1" x14ac:dyDescent="0.3">
      <c r="C6" s="428">
        <v>1000000</v>
      </c>
      <c r="F6" s="427"/>
      <c r="G6" s="427"/>
      <c r="H6" s="427"/>
    </row>
    <row r="7" spans="1:9" ht="37.200000000000003" customHeight="1" x14ac:dyDescent="0.3">
      <c r="A7" s="432"/>
      <c r="B7" s="433">
        <v>2024</v>
      </c>
      <c r="C7" s="4385" t="s">
        <v>22</v>
      </c>
      <c r="D7" s="4386"/>
      <c r="E7" s="4387"/>
      <c r="F7" s="432"/>
      <c r="G7" s="435" t="s">
        <v>300</v>
      </c>
      <c r="H7" s="432"/>
      <c r="I7" s="432"/>
    </row>
    <row r="8" spans="1:9" ht="18" customHeight="1" x14ac:dyDescent="0.35">
      <c r="B8" s="436" t="s">
        <v>301</v>
      </c>
      <c r="C8" s="648">
        <v>1</v>
      </c>
      <c r="D8" s="572">
        <v>2</v>
      </c>
      <c r="E8" s="572">
        <v>3</v>
      </c>
      <c r="F8" s="427"/>
      <c r="G8" s="438"/>
      <c r="H8" s="427"/>
    </row>
    <row r="9" spans="1:9" ht="46.5" customHeight="1" x14ac:dyDescent="0.3">
      <c r="B9" s="439" t="s">
        <v>302</v>
      </c>
      <c r="C9" s="573" t="s">
        <v>977</v>
      </c>
      <c r="D9" s="573" t="s">
        <v>978</v>
      </c>
      <c r="E9" s="573" t="s">
        <v>979</v>
      </c>
      <c r="F9" s="574"/>
      <c r="G9" s="442"/>
      <c r="H9" s="443"/>
    </row>
    <row r="10" spans="1:9" ht="46.5" customHeight="1" x14ac:dyDescent="0.3">
      <c r="B10" s="444" t="s">
        <v>304</v>
      </c>
      <c r="C10" s="445" t="s">
        <v>980</v>
      </c>
      <c r="D10" s="445" t="s">
        <v>981</v>
      </c>
      <c r="E10" s="445" t="s">
        <v>982</v>
      </c>
      <c r="F10" s="574"/>
      <c r="G10" s="446"/>
      <c r="H10" s="443"/>
    </row>
    <row r="11" spans="1:9" ht="18.75" customHeight="1" x14ac:dyDescent="0.3">
      <c r="A11" s="447"/>
      <c r="B11" s="448" t="s">
        <v>306</v>
      </c>
      <c r="C11" s="575">
        <f>(C17*C18)+(C22*C23)</f>
        <v>320.74837964612942</v>
      </c>
      <c r="D11" s="575">
        <f>(D17*D18)+(D22*D23)</f>
        <v>33.724618563217277</v>
      </c>
      <c r="E11" s="575">
        <f>(E17*E18)+(E22*E23)</f>
        <v>422.40569943796856</v>
      </c>
      <c r="F11" s="576"/>
      <c r="G11" s="451">
        <f>SUM(C11:E11)</f>
        <v>776.87869764731522</v>
      </c>
      <c r="H11" s="452"/>
      <c r="I11" s="447"/>
    </row>
    <row r="12" spans="1:9" ht="18.75" customHeight="1" x14ac:dyDescent="0.3">
      <c r="A12" s="447"/>
      <c r="B12" s="453" t="s">
        <v>307</v>
      </c>
      <c r="C12" s="577">
        <f>(C27*C28)</f>
        <v>198.61256582692948</v>
      </c>
      <c r="D12" s="577">
        <f t="shared" ref="D12:E12" si="0">(D27*D28)</f>
        <v>22.068062869658831</v>
      </c>
      <c r="E12" s="577">
        <f t="shared" si="0"/>
        <v>0</v>
      </c>
      <c r="F12" s="455"/>
      <c r="G12" s="456">
        <f>SUM(C12:E12)</f>
        <v>220.68062869658831</v>
      </c>
      <c r="H12" s="457"/>
      <c r="I12" s="447"/>
    </row>
    <row r="13" spans="1:9" ht="18.75" customHeight="1" x14ac:dyDescent="0.3">
      <c r="A13" s="447"/>
      <c r="B13" s="448" t="s">
        <v>308</v>
      </c>
      <c r="C13" s="654" t="s">
        <v>8</v>
      </c>
      <c r="D13" s="578" t="s">
        <v>8</v>
      </c>
      <c r="E13" s="578" t="s">
        <v>8</v>
      </c>
      <c r="F13" s="459"/>
      <c r="G13" s="460"/>
      <c r="H13" s="461"/>
      <c r="I13" s="447"/>
    </row>
    <row r="14" spans="1:9" ht="18.75" customHeight="1" x14ac:dyDescent="0.3">
      <c r="A14" s="447"/>
      <c r="B14" s="462" t="s">
        <v>309</v>
      </c>
      <c r="C14" s="655">
        <f t="shared" ref="C14:E14" si="1">C11-C12</f>
        <v>122.13581381919994</v>
      </c>
      <c r="D14" s="579">
        <f t="shared" si="1"/>
        <v>11.656555693558445</v>
      </c>
      <c r="E14" s="579">
        <f t="shared" si="1"/>
        <v>422.40569943796856</v>
      </c>
      <c r="F14" s="455"/>
      <c r="G14" s="464">
        <f>SUM(C14:E14)</f>
        <v>556.19806895072702</v>
      </c>
      <c r="H14" s="457"/>
      <c r="I14" s="447"/>
    </row>
    <row r="15" spans="1:9" ht="19.5" customHeight="1" x14ac:dyDescent="0.4">
      <c r="B15" s="465" t="s">
        <v>310</v>
      </c>
      <c r="C15" s="656"/>
      <c r="D15" s="657"/>
      <c r="E15" s="580"/>
      <c r="F15" s="467"/>
      <c r="G15" s="468"/>
      <c r="H15" s="467"/>
      <c r="I15" s="427"/>
    </row>
    <row r="16" spans="1:9" ht="35.4" customHeight="1" x14ac:dyDescent="0.3">
      <c r="A16" s="447"/>
      <c r="B16" s="469" t="s">
        <v>311</v>
      </c>
      <c r="C16" s="601" t="s">
        <v>983</v>
      </c>
      <c r="D16" s="601" t="s">
        <v>983</v>
      </c>
      <c r="E16" s="601" t="s">
        <v>88</v>
      </c>
      <c r="F16" s="581"/>
      <c r="G16" s="471"/>
      <c r="H16" s="457"/>
      <c r="I16" s="447"/>
    </row>
    <row r="17" spans="1:9" ht="21" customHeight="1" x14ac:dyDescent="0.3">
      <c r="A17" s="447"/>
      <c r="B17" s="472" t="s">
        <v>313</v>
      </c>
      <c r="C17" s="582">
        <f>'CF-1202|GDS'!V12</f>
        <v>6301.086956521739</v>
      </c>
      <c r="D17" s="660">
        <v>0</v>
      </c>
      <c r="E17" s="1602">
        <v>0</v>
      </c>
      <c r="F17" s="583"/>
      <c r="H17" s="475"/>
      <c r="I17" s="447"/>
    </row>
    <row r="18" spans="1:9" ht="18.75" customHeight="1" x14ac:dyDescent="0.3">
      <c r="A18" s="447"/>
      <c r="B18" s="476" t="s">
        <v>314</v>
      </c>
      <c r="C18" s="584">
        <v>2.7339430000000004E-3</v>
      </c>
      <c r="D18" s="584">
        <v>0</v>
      </c>
      <c r="E18" s="584">
        <v>0</v>
      </c>
      <c r="F18" s="478"/>
      <c r="H18" s="479"/>
      <c r="I18" s="447"/>
    </row>
    <row r="19" spans="1:9" ht="19.5" customHeight="1" x14ac:dyDescent="0.3">
      <c r="A19" s="447"/>
      <c r="B19" s="480" t="s">
        <v>315</v>
      </c>
      <c r="C19" s="663">
        <f>C17*C18</f>
        <v>17.226812577173916</v>
      </c>
      <c r="D19" s="664">
        <f>D17*D18</f>
        <v>0</v>
      </c>
      <c r="E19" s="585">
        <f>E17*E18</f>
        <v>0</v>
      </c>
      <c r="F19" s="586"/>
      <c r="H19" s="479"/>
      <c r="I19" s="447"/>
    </row>
    <row r="20" spans="1:9" ht="19.5" customHeight="1" x14ac:dyDescent="0.4">
      <c r="B20" s="465" t="s">
        <v>310</v>
      </c>
      <c r="C20" s="656"/>
      <c r="D20" s="657"/>
      <c r="E20" s="580"/>
      <c r="F20" s="467"/>
      <c r="H20" s="467"/>
    </row>
    <row r="21" spans="1:9" ht="37.950000000000003" customHeight="1" x14ac:dyDescent="0.3">
      <c r="A21" s="447"/>
      <c r="B21" s="469" t="s">
        <v>311</v>
      </c>
      <c r="C21" s="601" t="s">
        <v>641</v>
      </c>
      <c r="D21" s="601" t="s">
        <v>641</v>
      </c>
      <c r="E21" s="601" t="s">
        <v>641</v>
      </c>
      <c r="F21" s="1094"/>
      <c r="H21" s="457"/>
      <c r="I21" s="447"/>
    </row>
    <row r="22" spans="1:9" ht="21" customHeight="1" x14ac:dyDescent="0.3">
      <c r="A22" s="447"/>
      <c r="B22" s="472" t="s">
        <v>636</v>
      </c>
      <c r="C22" s="661">
        <f>'CF-1202|GDS'!I19</f>
        <v>156752.48814315235</v>
      </c>
      <c r="D22" s="661">
        <f>'CF-1202|GDS'!I20</f>
        <v>17416.943127016926</v>
      </c>
      <c r="E22" s="661">
        <f>'CF-1202|GDS'!I23</f>
        <v>218149.71842744711</v>
      </c>
      <c r="F22" s="583"/>
      <c r="H22" s="475"/>
      <c r="I22" s="447"/>
    </row>
    <row r="23" spans="1:9" ht="18.75" customHeight="1" x14ac:dyDescent="0.3">
      <c r="A23" s="447"/>
      <c r="B23" s="476" t="s">
        <v>314</v>
      </c>
      <c r="C23" s="584">
        <v>1.9363110000000002E-3</v>
      </c>
      <c r="D23" s="584">
        <v>1.9363110000000002E-3</v>
      </c>
      <c r="E23" s="584">
        <v>1.9363110000000002E-3</v>
      </c>
      <c r="F23" s="586"/>
      <c r="G23" s="1095"/>
      <c r="H23" s="479"/>
      <c r="I23" s="447"/>
    </row>
    <row r="24" spans="1:9" ht="19.5" customHeight="1" x14ac:dyDescent="0.3">
      <c r="A24" s="447"/>
      <c r="B24" s="480" t="s">
        <v>315</v>
      </c>
      <c r="C24" s="663">
        <f>C22*C23</f>
        <v>303.52156706895551</v>
      </c>
      <c r="D24" s="664">
        <f>D22*D23</f>
        <v>33.724618563217277</v>
      </c>
      <c r="E24" s="585">
        <f>E22*E23</f>
        <v>422.40569943796856</v>
      </c>
      <c r="F24" s="586"/>
      <c r="G24" s="1096"/>
      <c r="H24" s="479"/>
      <c r="I24" s="447"/>
    </row>
    <row r="25" spans="1:9" ht="21" customHeight="1" x14ac:dyDescent="0.4">
      <c r="B25" s="465" t="s">
        <v>316</v>
      </c>
      <c r="C25" s="665"/>
      <c r="D25" s="587"/>
      <c r="E25" s="587"/>
      <c r="F25" s="483"/>
      <c r="G25" s="484"/>
      <c r="H25" s="483"/>
    </row>
    <row r="26" spans="1:9" ht="32.4" customHeight="1" x14ac:dyDescent="0.3">
      <c r="A26" s="447"/>
      <c r="B26" s="469" t="s">
        <v>183</v>
      </c>
      <c r="C26" s="601" t="s">
        <v>641</v>
      </c>
      <c r="D26" s="601" t="s">
        <v>641</v>
      </c>
      <c r="E26" s="601" t="s">
        <v>88</v>
      </c>
      <c r="F26" s="588"/>
      <c r="G26" s="485"/>
      <c r="H26" s="479"/>
      <c r="I26" s="447"/>
    </row>
    <row r="27" spans="1:9" ht="21" customHeight="1" x14ac:dyDescent="0.3">
      <c r="A27" s="447"/>
      <c r="B27" s="486" t="s">
        <v>636</v>
      </c>
      <c r="C27" s="666">
        <f>'CF-1202|GDS'!I14</f>
        <v>102572.65791855205</v>
      </c>
      <c r="D27" s="589">
        <f>'CF-1202|GDS'!I15</f>
        <v>11396.961990950229</v>
      </c>
      <c r="E27" s="589">
        <v>0</v>
      </c>
      <c r="F27" s="479"/>
      <c r="G27" s="488"/>
      <c r="H27" s="479"/>
      <c r="I27" s="447"/>
    </row>
    <row r="28" spans="1:9" ht="21" customHeight="1" x14ac:dyDescent="0.3">
      <c r="A28" s="447"/>
      <c r="B28" s="489" t="s">
        <v>314</v>
      </c>
      <c r="C28" s="590">
        <v>1.9363110000000002E-3</v>
      </c>
      <c r="D28" s="590">
        <v>1.9363110000000002E-3</v>
      </c>
      <c r="E28" s="590">
        <v>0</v>
      </c>
      <c r="F28" s="588"/>
      <c r="G28" s="491"/>
      <c r="H28" s="479"/>
      <c r="I28" s="447"/>
    </row>
    <row r="29" spans="1:9" ht="21" customHeight="1" x14ac:dyDescent="0.3">
      <c r="A29" s="447"/>
      <c r="B29" s="492" t="s">
        <v>315</v>
      </c>
      <c r="C29" s="668">
        <f t="shared" ref="C29:E29" si="2">C27*C28</f>
        <v>198.61256582692948</v>
      </c>
      <c r="D29" s="668">
        <f t="shared" si="2"/>
        <v>22.068062869658831</v>
      </c>
      <c r="E29" s="591">
        <f t="shared" si="2"/>
        <v>0</v>
      </c>
      <c r="F29" s="588"/>
      <c r="G29" s="494"/>
      <c r="H29" s="479"/>
      <c r="I29" s="447"/>
    </row>
    <row r="30" spans="1:9" ht="28.5" customHeight="1" x14ac:dyDescent="0.3">
      <c r="A30" s="447"/>
      <c r="B30" s="498" t="s">
        <v>320</v>
      </c>
      <c r="C30" s="592" t="s">
        <v>984</v>
      </c>
      <c r="D30" s="592" t="s">
        <v>985</v>
      </c>
      <c r="E30" s="592" t="s">
        <v>986</v>
      </c>
      <c r="F30" s="593"/>
      <c r="G30" s="501"/>
      <c r="H30" s="500"/>
      <c r="I30" s="447"/>
    </row>
    <row r="31" spans="1:9" ht="24" customHeight="1" x14ac:dyDescent="0.3">
      <c r="B31" s="502" t="s">
        <v>322</v>
      </c>
      <c r="C31" s="673">
        <v>3</v>
      </c>
      <c r="D31" s="594">
        <v>3</v>
      </c>
      <c r="E31" s="594">
        <v>3</v>
      </c>
      <c r="F31" s="504"/>
      <c r="G31" s="505"/>
      <c r="H31" s="504"/>
    </row>
    <row r="32" spans="1:9" ht="33" customHeight="1" x14ac:dyDescent="0.3">
      <c r="A32" s="447"/>
      <c r="B32" s="506" t="s">
        <v>323</v>
      </c>
      <c r="C32" s="496" t="s">
        <v>324</v>
      </c>
      <c r="D32" s="595" t="s">
        <v>324</v>
      </c>
      <c r="E32" s="595" t="s">
        <v>324</v>
      </c>
      <c r="F32" s="479"/>
      <c r="G32" s="496"/>
      <c r="H32" s="479"/>
      <c r="I32" s="447"/>
    </row>
    <row r="33" spans="1:9" ht="33" customHeight="1" x14ac:dyDescent="0.3">
      <c r="A33" s="447"/>
      <c r="B33" s="508" t="s">
        <v>325</v>
      </c>
      <c r="C33" s="674" t="s">
        <v>326</v>
      </c>
      <c r="D33" s="596" t="s">
        <v>326</v>
      </c>
      <c r="E33" s="596" t="s">
        <v>326</v>
      </c>
      <c r="F33" s="479"/>
      <c r="G33" s="496"/>
      <c r="H33" s="479"/>
      <c r="I33" s="447"/>
    </row>
    <row r="34" spans="1:9" ht="33" customHeight="1" x14ac:dyDescent="0.3">
      <c r="A34" s="447"/>
      <c r="B34" s="506" t="s">
        <v>327</v>
      </c>
      <c r="C34" s="595" t="s">
        <v>433</v>
      </c>
      <c r="D34" s="595" t="s">
        <v>925</v>
      </c>
      <c r="E34" s="595" t="s">
        <v>987</v>
      </c>
      <c r="F34" s="479"/>
      <c r="G34" s="496"/>
      <c r="H34" s="479"/>
      <c r="I34" s="447"/>
    </row>
    <row r="35" spans="1:9" ht="21" customHeight="1" x14ac:dyDescent="0.3">
      <c r="B35" s="510" t="s">
        <v>329</v>
      </c>
      <c r="C35" s="596">
        <v>1</v>
      </c>
      <c r="D35" s="596">
        <v>1</v>
      </c>
      <c r="E35" s="596">
        <v>1</v>
      </c>
      <c r="F35" s="467"/>
      <c r="G35" s="467"/>
      <c r="H35" s="467"/>
    </row>
    <row r="36" spans="1:9" ht="21" customHeight="1" x14ac:dyDescent="0.3">
      <c r="B36" s="453" t="s">
        <v>330</v>
      </c>
      <c r="C36" s="496" t="s">
        <v>324</v>
      </c>
      <c r="D36" s="595" t="s">
        <v>324</v>
      </c>
      <c r="E36" s="595" t="s">
        <v>324</v>
      </c>
      <c r="F36" s="483"/>
      <c r="G36" s="495"/>
      <c r="H36" s="483"/>
    </row>
    <row r="37" spans="1:9" ht="21" customHeight="1" x14ac:dyDescent="0.3">
      <c r="B37" s="510" t="s">
        <v>331</v>
      </c>
      <c r="C37" s="674" t="s">
        <v>324</v>
      </c>
      <c r="D37" s="596" t="s">
        <v>324</v>
      </c>
      <c r="E37" s="596" t="s">
        <v>324</v>
      </c>
      <c r="F37" s="483"/>
      <c r="G37" s="495"/>
      <c r="H37" s="483"/>
    </row>
    <row r="38" spans="1:9" ht="21" customHeight="1" x14ac:dyDescent="0.3">
      <c r="B38" s="462" t="s">
        <v>332</v>
      </c>
      <c r="C38" s="675" t="s">
        <v>333</v>
      </c>
      <c r="D38" s="555" t="s">
        <v>333</v>
      </c>
      <c r="E38" s="555" t="s">
        <v>333</v>
      </c>
      <c r="F38" s="483"/>
      <c r="G38" s="495"/>
      <c r="H38" s="483"/>
    </row>
    <row r="39" spans="1:9" ht="15.75" customHeight="1" x14ac:dyDescent="0.3">
      <c r="B39" s="427"/>
      <c r="C39" s="427"/>
      <c r="D39" s="427"/>
      <c r="E39" s="427"/>
      <c r="F39" s="483"/>
      <c r="G39" s="483"/>
      <c r="H39" s="483"/>
    </row>
    <row r="40" spans="1:9" ht="15.75" customHeight="1" x14ac:dyDescent="0.3">
      <c r="B40" s="512" t="s">
        <v>334</v>
      </c>
      <c r="C40" s="427"/>
      <c r="D40" s="427"/>
      <c r="E40" s="427"/>
      <c r="F40" s="483"/>
      <c r="G40" s="483"/>
      <c r="H40" s="483"/>
    </row>
    <row r="41" spans="1:9" ht="15.75" customHeight="1" x14ac:dyDescent="0.3">
      <c r="B41" s="512" t="s">
        <v>335</v>
      </c>
      <c r="C41" s="427"/>
      <c r="D41" s="427"/>
      <c r="E41" s="427"/>
      <c r="F41" s="483"/>
      <c r="G41" s="483"/>
      <c r="H41" s="483"/>
    </row>
    <row r="42" spans="1:9" ht="15.75" customHeight="1" x14ac:dyDescent="0.3">
      <c r="B42" s="512" t="s">
        <v>336</v>
      </c>
      <c r="C42" s="427"/>
      <c r="D42" s="427"/>
      <c r="E42" s="427"/>
      <c r="F42" s="483"/>
      <c r="G42" s="483"/>
      <c r="H42" s="483"/>
    </row>
    <row r="43" spans="1:9" ht="15.75" customHeight="1" x14ac:dyDescent="0.3">
      <c r="B43" s="512" t="s">
        <v>337</v>
      </c>
      <c r="C43" s="427"/>
      <c r="D43" s="427"/>
      <c r="E43" s="427"/>
      <c r="F43" s="483"/>
      <c r="G43" s="483"/>
      <c r="H43" s="483"/>
    </row>
    <row r="44" spans="1:9" ht="15.75" customHeight="1" x14ac:dyDescent="0.3">
      <c r="B44" s="512" t="s">
        <v>338</v>
      </c>
      <c r="F44" s="427"/>
      <c r="H44" s="427"/>
    </row>
    <row r="45" spans="1:9" ht="15.75" customHeight="1" x14ac:dyDescent="0.3">
      <c r="B45" s="512" t="s">
        <v>339</v>
      </c>
      <c r="F45" s="427"/>
      <c r="H45" s="427"/>
    </row>
    <row r="46" spans="1:9" ht="15.75" customHeight="1" x14ac:dyDescent="0.3">
      <c r="F46" s="427"/>
      <c r="H46" s="427"/>
    </row>
    <row r="47" spans="1:9" ht="15.75" customHeight="1" x14ac:dyDescent="0.3">
      <c r="F47" s="427"/>
      <c r="H47" s="427"/>
    </row>
    <row r="48" spans="1:9" ht="15.75" customHeight="1" x14ac:dyDescent="0.3">
      <c r="F48" s="427"/>
      <c r="H48" s="427"/>
    </row>
    <row r="49" spans="6:8" ht="15.75" customHeight="1" x14ac:dyDescent="0.3">
      <c r="F49" s="427"/>
      <c r="H49" s="427"/>
    </row>
    <row r="50" spans="6:8" ht="15.75" customHeight="1" x14ac:dyDescent="0.3">
      <c r="F50" s="427"/>
      <c r="H50" s="427"/>
    </row>
    <row r="51" spans="6:8" ht="15.75" customHeight="1" x14ac:dyDescent="0.3">
      <c r="F51" s="427"/>
      <c r="H51" s="427"/>
    </row>
    <row r="52" spans="6:8" ht="15.75" customHeight="1" x14ac:dyDescent="0.3">
      <c r="F52" s="427"/>
      <c r="H52" s="427"/>
    </row>
    <row r="53" spans="6:8" ht="15.75" customHeight="1" x14ac:dyDescent="0.3">
      <c r="F53" s="427"/>
      <c r="H53" s="427"/>
    </row>
    <row r="54" spans="6:8" ht="15.75" customHeight="1" x14ac:dyDescent="0.3">
      <c r="F54" s="427"/>
      <c r="H54" s="427"/>
    </row>
    <row r="55" spans="6:8" ht="15.75" customHeight="1" x14ac:dyDescent="0.3">
      <c r="F55" s="427"/>
      <c r="H55" s="427"/>
    </row>
    <row r="56" spans="6:8" ht="15.75" customHeight="1" x14ac:dyDescent="0.3">
      <c r="F56" s="427"/>
      <c r="H56" s="427"/>
    </row>
    <row r="57" spans="6:8" ht="15.75" customHeight="1" x14ac:dyDescent="0.3">
      <c r="F57" s="427"/>
      <c r="H57" s="427"/>
    </row>
    <row r="58" spans="6:8" ht="15.75" customHeight="1" x14ac:dyDescent="0.3">
      <c r="F58" s="427"/>
      <c r="H58" s="427"/>
    </row>
    <row r="59" spans="6:8" ht="15.75" customHeight="1" x14ac:dyDescent="0.3">
      <c r="F59" s="427"/>
      <c r="H59" s="427"/>
    </row>
    <row r="60" spans="6:8" ht="15.75" customHeight="1" x14ac:dyDescent="0.3">
      <c r="F60" s="427"/>
      <c r="H60" s="427"/>
    </row>
    <row r="61" spans="6:8" ht="15.75" customHeight="1" x14ac:dyDescent="0.3">
      <c r="F61" s="427"/>
      <c r="H61" s="427"/>
    </row>
    <row r="62" spans="6:8" ht="15.75" customHeight="1" x14ac:dyDescent="0.3">
      <c r="F62" s="427"/>
      <c r="H62" s="427"/>
    </row>
    <row r="63" spans="6:8" ht="15.75" customHeight="1" x14ac:dyDescent="0.3">
      <c r="F63" s="427"/>
      <c r="H63" s="427"/>
    </row>
    <row r="64" spans="6:8" ht="15.75" customHeight="1" x14ac:dyDescent="0.3">
      <c r="F64" s="427"/>
      <c r="H64" s="427"/>
    </row>
    <row r="65" spans="6:8" ht="15.75" customHeight="1" x14ac:dyDescent="0.3">
      <c r="F65" s="427"/>
      <c r="H65" s="427"/>
    </row>
    <row r="66" spans="6:8" ht="15.75" customHeight="1" x14ac:dyDescent="0.3">
      <c r="F66" s="427"/>
      <c r="H66" s="427"/>
    </row>
    <row r="67" spans="6:8" ht="15.75" customHeight="1" x14ac:dyDescent="0.3">
      <c r="F67" s="427"/>
      <c r="H67" s="427"/>
    </row>
    <row r="68" spans="6:8" ht="15.75" customHeight="1" x14ac:dyDescent="0.3">
      <c r="F68" s="427"/>
      <c r="H68" s="427"/>
    </row>
    <row r="69" spans="6:8" ht="15.75" customHeight="1" x14ac:dyDescent="0.3">
      <c r="F69" s="427"/>
      <c r="H69" s="427"/>
    </row>
    <row r="70" spans="6:8" ht="15.75" customHeight="1" x14ac:dyDescent="0.3">
      <c r="F70" s="427"/>
      <c r="H70" s="427"/>
    </row>
    <row r="71" spans="6:8" ht="15.75" customHeight="1" x14ac:dyDescent="0.3">
      <c r="F71" s="427"/>
      <c r="H71" s="427"/>
    </row>
    <row r="72" spans="6:8" ht="15.75" customHeight="1" x14ac:dyDescent="0.3">
      <c r="F72" s="427"/>
      <c r="H72" s="427"/>
    </row>
    <row r="73" spans="6:8" ht="15.75" customHeight="1" x14ac:dyDescent="0.3">
      <c r="F73" s="427"/>
      <c r="H73" s="427"/>
    </row>
    <row r="74" spans="6:8" ht="15.75" customHeight="1" x14ac:dyDescent="0.3">
      <c r="F74" s="427"/>
      <c r="H74" s="427"/>
    </row>
    <row r="75" spans="6:8" ht="15.75" customHeight="1" x14ac:dyDescent="0.3">
      <c r="F75" s="427"/>
      <c r="H75" s="427"/>
    </row>
    <row r="76" spans="6:8" ht="15.75" customHeight="1" x14ac:dyDescent="0.3">
      <c r="F76" s="427"/>
      <c r="H76" s="427"/>
    </row>
    <row r="77" spans="6:8" ht="15.75" customHeight="1" x14ac:dyDescent="0.3">
      <c r="F77" s="427"/>
      <c r="H77" s="427"/>
    </row>
    <row r="78" spans="6:8" ht="15.75" customHeight="1" x14ac:dyDescent="0.3">
      <c r="F78" s="427"/>
      <c r="H78" s="427"/>
    </row>
    <row r="79" spans="6:8" ht="15.75" customHeight="1" x14ac:dyDescent="0.3">
      <c r="F79" s="427"/>
      <c r="H79" s="427"/>
    </row>
    <row r="80" spans="6:8" ht="15.75" customHeight="1" x14ac:dyDescent="0.3">
      <c r="F80" s="427"/>
      <c r="H80" s="427"/>
    </row>
    <row r="81" spans="6:8" ht="15.75" customHeight="1" x14ac:dyDescent="0.3">
      <c r="F81" s="427"/>
      <c r="H81" s="427"/>
    </row>
    <row r="82" spans="6:8" ht="15.75" customHeight="1" x14ac:dyDescent="0.3">
      <c r="F82" s="427"/>
      <c r="H82" s="427"/>
    </row>
    <row r="83" spans="6:8" ht="15.75" customHeight="1" x14ac:dyDescent="0.3">
      <c r="F83" s="427"/>
      <c r="H83" s="427"/>
    </row>
    <row r="84" spans="6:8" ht="15.75" customHeight="1" x14ac:dyDescent="0.3">
      <c r="F84" s="427"/>
      <c r="H84" s="427"/>
    </row>
    <row r="85" spans="6:8" ht="15.75" customHeight="1" x14ac:dyDescent="0.3">
      <c r="F85" s="427"/>
      <c r="H85" s="427"/>
    </row>
    <row r="86" spans="6:8" ht="15.75" customHeight="1" x14ac:dyDescent="0.3">
      <c r="F86" s="427"/>
      <c r="H86" s="427"/>
    </row>
    <row r="87" spans="6:8" ht="15.75" customHeight="1" x14ac:dyDescent="0.3">
      <c r="F87" s="427"/>
      <c r="H87" s="427"/>
    </row>
    <row r="88" spans="6:8" ht="15.75" customHeight="1" x14ac:dyDescent="0.3">
      <c r="F88" s="427"/>
      <c r="H88" s="427"/>
    </row>
    <row r="89" spans="6:8" ht="15.75" customHeight="1" x14ac:dyDescent="0.3">
      <c r="F89" s="427"/>
      <c r="H89" s="427"/>
    </row>
    <row r="90" spans="6:8" ht="15.75" customHeight="1" x14ac:dyDescent="0.3">
      <c r="F90" s="427"/>
      <c r="H90" s="427"/>
    </row>
    <row r="91" spans="6:8" ht="15.75" customHeight="1" x14ac:dyDescent="0.3">
      <c r="F91" s="427"/>
      <c r="H91" s="427"/>
    </row>
    <row r="92" spans="6:8" ht="15.75" customHeight="1" x14ac:dyDescent="0.3">
      <c r="F92" s="427"/>
      <c r="H92" s="427"/>
    </row>
    <row r="93" spans="6:8" ht="15.75" customHeight="1" x14ac:dyDescent="0.3">
      <c r="F93" s="427"/>
      <c r="H93" s="427"/>
    </row>
    <row r="94" spans="6:8" ht="15.75" customHeight="1" x14ac:dyDescent="0.3">
      <c r="F94" s="427"/>
      <c r="H94" s="427"/>
    </row>
    <row r="95" spans="6:8" ht="15.75" customHeight="1" x14ac:dyDescent="0.3">
      <c r="F95" s="427"/>
      <c r="H95" s="427"/>
    </row>
    <row r="96" spans="6:8" ht="15.75" customHeight="1" x14ac:dyDescent="0.3">
      <c r="F96" s="427"/>
      <c r="H96" s="427"/>
    </row>
    <row r="97" spans="6:8" ht="15.75" customHeight="1" x14ac:dyDescent="0.3">
      <c r="F97" s="427"/>
      <c r="H97" s="427"/>
    </row>
    <row r="98" spans="6:8" ht="15.75" customHeight="1" x14ac:dyDescent="0.3">
      <c r="F98" s="427"/>
      <c r="H98" s="427"/>
    </row>
    <row r="99" spans="6:8" ht="15.75" customHeight="1" x14ac:dyDescent="0.3">
      <c r="F99" s="427"/>
      <c r="H99" s="427"/>
    </row>
    <row r="100" spans="6:8" ht="15.75" customHeight="1" x14ac:dyDescent="0.3">
      <c r="F100" s="427"/>
      <c r="H100" s="427"/>
    </row>
    <row r="101" spans="6:8" ht="15.75" customHeight="1" x14ac:dyDescent="0.3">
      <c r="F101" s="427"/>
      <c r="H101" s="427"/>
    </row>
    <row r="102" spans="6:8" ht="15.75" customHeight="1" x14ac:dyDescent="0.3">
      <c r="F102" s="427"/>
      <c r="H102" s="427"/>
    </row>
    <row r="103" spans="6:8" ht="15.75" customHeight="1" x14ac:dyDescent="0.3">
      <c r="F103" s="427"/>
      <c r="H103" s="427"/>
    </row>
    <row r="104" spans="6:8" ht="15.75" customHeight="1" x14ac:dyDescent="0.3">
      <c r="F104" s="427"/>
      <c r="H104" s="427"/>
    </row>
    <row r="105" spans="6:8" ht="15.75" customHeight="1" x14ac:dyDescent="0.3">
      <c r="F105" s="427"/>
      <c r="H105" s="427"/>
    </row>
    <row r="106" spans="6:8" ht="15.75" customHeight="1" x14ac:dyDescent="0.3">
      <c r="F106" s="427"/>
      <c r="H106" s="427"/>
    </row>
    <row r="107" spans="6:8" ht="15.75" customHeight="1" x14ac:dyDescent="0.3">
      <c r="F107" s="427"/>
      <c r="H107" s="427"/>
    </row>
    <row r="108" spans="6:8" ht="15.75" customHeight="1" x14ac:dyDescent="0.3">
      <c r="F108" s="427"/>
      <c r="H108" s="427"/>
    </row>
    <row r="109" spans="6:8" ht="15.75" customHeight="1" x14ac:dyDescent="0.3">
      <c r="F109" s="427"/>
      <c r="H109" s="427"/>
    </row>
    <row r="110" spans="6:8" ht="15.75" customHeight="1" x14ac:dyDescent="0.3">
      <c r="F110" s="427"/>
      <c r="H110" s="427"/>
    </row>
    <row r="111" spans="6:8" ht="15.75" customHeight="1" x14ac:dyDescent="0.3">
      <c r="F111" s="427"/>
      <c r="H111" s="427"/>
    </row>
    <row r="112" spans="6:8" ht="15.75" customHeight="1" x14ac:dyDescent="0.3">
      <c r="F112" s="427"/>
      <c r="H112" s="427"/>
    </row>
    <row r="113" spans="6:8" ht="15.75" customHeight="1" x14ac:dyDescent="0.3">
      <c r="F113" s="427"/>
      <c r="H113" s="427"/>
    </row>
    <row r="114" spans="6:8" ht="15.75" customHeight="1" x14ac:dyDescent="0.3">
      <c r="F114" s="427"/>
      <c r="H114" s="427"/>
    </row>
    <row r="115" spans="6:8" ht="15.75" customHeight="1" x14ac:dyDescent="0.3">
      <c r="F115" s="427"/>
      <c r="H115" s="427"/>
    </row>
    <row r="116" spans="6:8" ht="15.75" customHeight="1" x14ac:dyDescent="0.3">
      <c r="F116" s="427"/>
      <c r="H116" s="427"/>
    </row>
    <row r="117" spans="6:8" ht="15.75" customHeight="1" x14ac:dyDescent="0.3">
      <c r="F117" s="427"/>
      <c r="H117" s="427"/>
    </row>
    <row r="118" spans="6:8" ht="15.75" customHeight="1" x14ac:dyDescent="0.3">
      <c r="F118" s="427"/>
      <c r="H118" s="427"/>
    </row>
    <row r="119" spans="6:8" ht="15.75" customHeight="1" x14ac:dyDescent="0.3">
      <c r="F119" s="427"/>
      <c r="H119" s="427"/>
    </row>
    <row r="120" spans="6:8" ht="15.75" customHeight="1" x14ac:dyDescent="0.3">
      <c r="F120" s="427"/>
      <c r="H120" s="427"/>
    </row>
    <row r="121" spans="6:8" ht="15.75" customHeight="1" x14ac:dyDescent="0.3">
      <c r="F121" s="427"/>
      <c r="H121" s="427"/>
    </row>
    <row r="122" spans="6:8" ht="15.75" customHeight="1" x14ac:dyDescent="0.3">
      <c r="F122" s="427"/>
      <c r="H122" s="427"/>
    </row>
    <row r="123" spans="6:8" ht="15.75" customHeight="1" x14ac:dyDescent="0.3">
      <c r="F123" s="427"/>
      <c r="H123" s="427"/>
    </row>
    <row r="124" spans="6:8" ht="15.75" customHeight="1" x14ac:dyDescent="0.3">
      <c r="F124" s="427"/>
      <c r="H124" s="427"/>
    </row>
    <row r="125" spans="6:8" ht="15.75" customHeight="1" x14ac:dyDescent="0.3">
      <c r="F125" s="427"/>
      <c r="H125" s="427"/>
    </row>
    <row r="126" spans="6:8" ht="15.75" customHeight="1" x14ac:dyDescent="0.3">
      <c r="F126" s="427"/>
      <c r="H126" s="427"/>
    </row>
    <row r="127" spans="6:8" ht="15.75" customHeight="1" x14ac:dyDescent="0.3">
      <c r="F127" s="427"/>
      <c r="H127" s="427"/>
    </row>
    <row r="128" spans="6:8" ht="15.75" customHeight="1" x14ac:dyDescent="0.3">
      <c r="F128" s="427"/>
      <c r="H128" s="427"/>
    </row>
    <row r="129" spans="6:8" ht="15.75" customHeight="1" x14ac:dyDescent="0.3">
      <c r="F129" s="427"/>
      <c r="H129" s="427"/>
    </row>
    <row r="130" spans="6:8" ht="15.75" customHeight="1" x14ac:dyDescent="0.3">
      <c r="F130" s="427"/>
      <c r="H130" s="427"/>
    </row>
    <row r="131" spans="6:8" ht="15.75" customHeight="1" x14ac:dyDescent="0.3">
      <c r="F131" s="427"/>
      <c r="H131" s="427"/>
    </row>
    <row r="132" spans="6:8" ht="15.75" customHeight="1" x14ac:dyDescent="0.3">
      <c r="F132" s="427"/>
      <c r="H132" s="427"/>
    </row>
    <row r="133" spans="6:8" ht="15.75" customHeight="1" x14ac:dyDescent="0.3">
      <c r="F133" s="427"/>
      <c r="H133" s="427"/>
    </row>
    <row r="134" spans="6:8" ht="15.75" customHeight="1" x14ac:dyDescent="0.3">
      <c r="F134" s="427"/>
      <c r="H134" s="427"/>
    </row>
    <row r="135" spans="6:8" ht="15.75" customHeight="1" x14ac:dyDescent="0.3">
      <c r="F135" s="427"/>
      <c r="H135" s="427"/>
    </row>
    <row r="136" spans="6:8" ht="15.75" customHeight="1" x14ac:dyDescent="0.3">
      <c r="F136" s="427"/>
      <c r="H136" s="427"/>
    </row>
    <row r="137" spans="6:8" ht="15.75" customHeight="1" x14ac:dyDescent="0.3">
      <c r="F137" s="427"/>
      <c r="H137" s="427"/>
    </row>
    <row r="138" spans="6:8" ht="15.75" customHeight="1" x14ac:dyDescent="0.3">
      <c r="F138" s="427"/>
      <c r="H138" s="427"/>
    </row>
    <row r="139" spans="6:8" ht="15.75" customHeight="1" x14ac:dyDescent="0.3">
      <c r="F139" s="427"/>
      <c r="H139" s="427"/>
    </row>
    <row r="140" spans="6:8" ht="15.75" customHeight="1" x14ac:dyDescent="0.3">
      <c r="F140" s="427"/>
      <c r="H140" s="427"/>
    </row>
    <row r="141" spans="6:8" ht="15.75" customHeight="1" x14ac:dyDescent="0.3">
      <c r="F141" s="427"/>
      <c r="H141" s="427"/>
    </row>
    <row r="142" spans="6:8" ht="15.75" customHeight="1" x14ac:dyDescent="0.3">
      <c r="F142" s="427"/>
      <c r="H142" s="427"/>
    </row>
    <row r="143" spans="6:8" ht="15.75" customHeight="1" x14ac:dyDescent="0.3">
      <c r="F143" s="427"/>
      <c r="H143" s="427"/>
    </row>
    <row r="144" spans="6:8" ht="15.75" customHeight="1" x14ac:dyDescent="0.3">
      <c r="F144" s="427"/>
      <c r="H144" s="427"/>
    </row>
    <row r="145" spans="6:8" ht="15.75" customHeight="1" x14ac:dyDescent="0.3">
      <c r="F145" s="427"/>
      <c r="H145" s="427"/>
    </row>
    <row r="146" spans="6:8" ht="15.75" customHeight="1" x14ac:dyDescent="0.3">
      <c r="F146" s="427"/>
      <c r="H146" s="427"/>
    </row>
    <row r="147" spans="6:8" ht="15.75" customHeight="1" x14ac:dyDescent="0.3">
      <c r="F147" s="427"/>
      <c r="H147" s="427"/>
    </row>
    <row r="148" spans="6:8" ht="15.75" customHeight="1" x14ac:dyDescent="0.3">
      <c r="F148" s="427"/>
      <c r="H148" s="427"/>
    </row>
    <row r="149" spans="6:8" ht="15.75" customHeight="1" x14ac:dyDescent="0.3">
      <c r="F149" s="427"/>
      <c r="H149" s="427"/>
    </row>
    <row r="150" spans="6:8" ht="15.75" customHeight="1" x14ac:dyDescent="0.3">
      <c r="F150" s="427"/>
      <c r="H150" s="427"/>
    </row>
    <row r="151" spans="6:8" ht="15.75" customHeight="1" x14ac:dyDescent="0.3">
      <c r="F151" s="427"/>
      <c r="H151" s="427"/>
    </row>
    <row r="152" spans="6:8" ht="15.75" customHeight="1" x14ac:dyDescent="0.3">
      <c r="F152" s="427"/>
      <c r="H152" s="427"/>
    </row>
    <row r="153" spans="6:8" ht="15.75" customHeight="1" x14ac:dyDescent="0.3">
      <c r="F153" s="427"/>
      <c r="H153" s="427"/>
    </row>
    <row r="154" spans="6:8" ht="15.75" customHeight="1" x14ac:dyDescent="0.3">
      <c r="F154" s="427"/>
      <c r="H154" s="427"/>
    </row>
    <row r="155" spans="6:8" ht="15.75" customHeight="1" x14ac:dyDescent="0.3">
      <c r="F155" s="427"/>
      <c r="H155" s="427"/>
    </row>
    <row r="156" spans="6:8" ht="15.75" customHeight="1" x14ac:dyDescent="0.3">
      <c r="F156" s="427"/>
      <c r="H156" s="427"/>
    </row>
    <row r="157" spans="6:8" ht="15.75" customHeight="1" x14ac:dyDescent="0.3">
      <c r="F157" s="427"/>
      <c r="H157" s="427"/>
    </row>
    <row r="158" spans="6:8" ht="15.75" customHeight="1" x14ac:dyDescent="0.3">
      <c r="F158" s="427"/>
      <c r="H158" s="427"/>
    </row>
    <row r="159" spans="6:8" ht="15.75" customHeight="1" x14ac:dyDescent="0.3">
      <c r="F159" s="427"/>
      <c r="H159" s="427"/>
    </row>
    <row r="160" spans="6:8" ht="15.75" customHeight="1" x14ac:dyDescent="0.3">
      <c r="F160" s="427"/>
      <c r="H160" s="427"/>
    </row>
    <row r="161" spans="6:8" ht="15.75" customHeight="1" x14ac:dyDescent="0.3">
      <c r="F161" s="427"/>
      <c r="H161" s="427"/>
    </row>
    <row r="162" spans="6:8" ht="15.75" customHeight="1" x14ac:dyDescent="0.3">
      <c r="F162" s="427"/>
      <c r="H162" s="427"/>
    </row>
    <row r="163" spans="6:8" ht="15.75" customHeight="1" x14ac:dyDescent="0.3">
      <c r="F163" s="427"/>
      <c r="H163" s="427"/>
    </row>
    <row r="164" spans="6:8" ht="15.75" customHeight="1" x14ac:dyDescent="0.3">
      <c r="F164" s="427"/>
      <c r="H164" s="427"/>
    </row>
    <row r="165" spans="6:8" ht="15.75" customHeight="1" x14ac:dyDescent="0.3">
      <c r="F165" s="427"/>
      <c r="H165" s="427"/>
    </row>
    <row r="166" spans="6:8" ht="15.75" customHeight="1" x14ac:dyDescent="0.3">
      <c r="F166" s="427"/>
      <c r="H166" s="427"/>
    </row>
    <row r="167" spans="6:8" ht="15.75" customHeight="1" x14ac:dyDescent="0.3">
      <c r="F167" s="427"/>
      <c r="H167" s="427"/>
    </row>
    <row r="168" spans="6:8" ht="15.75" customHeight="1" x14ac:dyDescent="0.3">
      <c r="F168" s="427"/>
      <c r="H168" s="427"/>
    </row>
    <row r="169" spans="6:8" ht="15.75" customHeight="1" x14ac:dyDescent="0.3">
      <c r="F169" s="427"/>
      <c r="H169" s="427"/>
    </row>
    <row r="170" spans="6:8" ht="15.75" customHeight="1" x14ac:dyDescent="0.3">
      <c r="F170" s="427"/>
      <c r="H170" s="427"/>
    </row>
    <row r="171" spans="6:8" ht="15.75" customHeight="1" x14ac:dyDescent="0.3">
      <c r="F171" s="427"/>
      <c r="H171" s="427"/>
    </row>
    <row r="172" spans="6:8" ht="15.75" customHeight="1" x14ac:dyDescent="0.3">
      <c r="F172" s="427"/>
      <c r="H172" s="427"/>
    </row>
    <row r="173" spans="6:8" ht="15.75" customHeight="1" x14ac:dyDescent="0.3">
      <c r="F173" s="427"/>
      <c r="H173" s="427"/>
    </row>
    <row r="174" spans="6:8" ht="15.75" customHeight="1" x14ac:dyDescent="0.3">
      <c r="F174" s="427"/>
      <c r="H174" s="427"/>
    </row>
    <row r="175" spans="6:8" ht="15.75" customHeight="1" x14ac:dyDescent="0.3">
      <c r="F175" s="427"/>
      <c r="H175" s="427"/>
    </row>
    <row r="176" spans="6:8" ht="15.75" customHeight="1" x14ac:dyDescent="0.3">
      <c r="F176" s="427"/>
      <c r="H176" s="427"/>
    </row>
    <row r="177" spans="6:8" ht="15.75" customHeight="1" x14ac:dyDescent="0.3">
      <c r="F177" s="427"/>
      <c r="H177" s="427"/>
    </row>
    <row r="178" spans="6:8" ht="15.75" customHeight="1" x14ac:dyDescent="0.3">
      <c r="F178" s="427"/>
      <c r="H178" s="427"/>
    </row>
    <row r="179" spans="6:8" ht="15.75" customHeight="1" x14ac:dyDescent="0.3">
      <c r="F179" s="427"/>
      <c r="H179" s="427"/>
    </row>
    <row r="180" spans="6:8" ht="15.75" customHeight="1" x14ac:dyDescent="0.3">
      <c r="F180" s="427"/>
      <c r="H180" s="427"/>
    </row>
    <row r="181" spans="6:8" ht="15.75" customHeight="1" x14ac:dyDescent="0.3">
      <c r="F181" s="427"/>
      <c r="H181" s="427"/>
    </row>
    <row r="182" spans="6:8" ht="15.75" customHeight="1" x14ac:dyDescent="0.3">
      <c r="F182" s="427"/>
      <c r="H182" s="427"/>
    </row>
    <row r="183" spans="6:8" ht="15.75" customHeight="1" x14ac:dyDescent="0.3">
      <c r="F183" s="427"/>
      <c r="H183" s="427"/>
    </row>
    <row r="184" spans="6:8" ht="15.75" customHeight="1" x14ac:dyDescent="0.3">
      <c r="F184" s="427"/>
      <c r="H184" s="427"/>
    </row>
    <row r="185" spans="6:8" ht="15.75" customHeight="1" x14ac:dyDescent="0.3">
      <c r="F185" s="427"/>
      <c r="H185" s="427"/>
    </row>
    <row r="186" spans="6:8" ht="15.75" customHeight="1" x14ac:dyDescent="0.3">
      <c r="F186" s="427"/>
      <c r="H186" s="427"/>
    </row>
    <row r="187" spans="6:8" ht="15.75" customHeight="1" x14ac:dyDescent="0.3">
      <c r="F187" s="427"/>
      <c r="H187" s="427"/>
    </row>
    <row r="188" spans="6:8" ht="15.75" customHeight="1" x14ac:dyDescent="0.3">
      <c r="F188" s="427"/>
      <c r="H188" s="427"/>
    </row>
    <row r="189" spans="6:8" ht="15.75" customHeight="1" x14ac:dyDescent="0.3">
      <c r="F189" s="427"/>
      <c r="H189" s="427"/>
    </row>
    <row r="190" spans="6:8" ht="15.75" customHeight="1" x14ac:dyDescent="0.3">
      <c r="F190" s="427"/>
      <c r="H190" s="427"/>
    </row>
    <row r="191" spans="6:8" ht="15.75" customHeight="1" x14ac:dyDescent="0.3">
      <c r="F191" s="427"/>
      <c r="H191" s="427"/>
    </row>
    <row r="192" spans="6:8" ht="15.75" customHeight="1" x14ac:dyDescent="0.3">
      <c r="F192" s="427"/>
      <c r="H192" s="427"/>
    </row>
    <row r="193" spans="6:8" ht="15.75" customHeight="1" x14ac:dyDescent="0.3">
      <c r="F193" s="427"/>
      <c r="H193" s="427"/>
    </row>
    <row r="194" spans="6:8" ht="15.75" customHeight="1" x14ac:dyDescent="0.3">
      <c r="F194" s="427"/>
      <c r="H194" s="427"/>
    </row>
    <row r="195" spans="6:8" ht="15.75" customHeight="1" x14ac:dyDescent="0.3">
      <c r="F195" s="427"/>
      <c r="H195" s="427"/>
    </row>
    <row r="196" spans="6:8" ht="15.75" customHeight="1" x14ac:dyDescent="0.3">
      <c r="F196" s="427"/>
      <c r="H196" s="427"/>
    </row>
    <row r="197" spans="6:8" ht="15.75" customHeight="1" x14ac:dyDescent="0.3">
      <c r="F197" s="427"/>
      <c r="H197" s="427"/>
    </row>
    <row r="198" spans="6:8" ht="15.75" customHeight="1" x14ac:dyDescent="0.3">
      <c r="F198" s="427"/>
      <c r="H198" s="427"/>
    </row>
    <row r="199" spans="6:8" ht="15.75" customHeight="1" x14ac:dyDescent="0.3">
      <c r="F199" s="427"/>
      <c r="H199" s="427"/>
    </row>
    <row r="200" spans="6:8" ht="15.75" customHeight="1" x14ac:dyDescent="0.3">
      <c r="F200" s="427"/>
      <c r="H200" s="427"/>
    </row>
    <row r="201" spans="6:8" ht="15.75" customHeight="1" x14ac:dyDescent="0.3">
      <c r="F201" s="427"/>
      <c r="H201" s="427"/>
    </row>
    <row r="202" spans="6:8" ht="15.75" customHeight="1" x14ac:dyDescent="0.3">
      <c r="F202" s="427"/>
      <c r="H202" s="427"/>
    </row>
    <row r="203" spans="6:8" ht="15.75" customHeight="1" x14ac:dyDescent="0.3">
      <c r="F203" s="427"/>
      <c r="H203" s="427"/>
    </row>
    <row r="204" spans="6:8" ht="15.75" customHeight="1" x14ac:dyDescent="0.3">
      <c r="F204" s="427"/>
      <c r="H204" s="427"/>
    </row>
    <row r="205" spans="6:8" ht="15.75" customHeight="1" x14ac:dyDescent="0.3">
      <c r="F205" s="427"/>
      <c r="H205" s="427"/>
    </row>
    <row r="206" spans="6:8" ht="15.75" customHeight="1" x14ac:dyDescent="0.3">
      <c r="F206" s="427"/>
      <c r="H206" s="427"/>
    </row>
    <row r="207" spans="6:8" ht="15.75" customHeight="1" x14ac:dyDescent="0.3">
      <c r="F207" s="427"/>
      <c r="H207" s="427"/>
    </row>
    <row r="208" spans="6:8" ht="15.75" customHeight="1" x14ac:dyDescent="0.3">
      <c r="F208" s="427"/>
      <c r="H208" s="427"/>
    </row>
    <row r="209" spans="6:8" ht="15.75" customHeight="1" x14ac:dyDescent="0.3">
      <c r="F209" s="427"/>
      <c r="H209" s="427"/>
    </row>
    <row r="210" spans="6:8" ht="15.75" customHeight="1" x14ac:dyDescent="0.3">
      <c r="F210" s="427"/>
      <c r="H210" s="427"/>
    </row>
    <row r="211" spans="6:8" ht="15.75" customHeight="1" x14ac:dyDescent="0.3">
      <c r="F211" s="427"/>
      <c r="H211" s="427"/>
    </row>
    <row r="212" spans="6:8" ht="15.75" customHeight="1" x14ac:dyDescent="0.3">
      <c r="F212" s="427"/>
      <c r="H212" s="427"/>
    </row>
    <row r="213" spans="6:8" ht="15.75" customHeight="1" x14ac:dyDescent="0.3">
      <c r="F213" s="427"/>
      <c r="H213" s="427"/>
    </row>
    <row r="214" spans="6:8" ht="15.75" customHeight="1" x14ac:dyDescent="0.3">
      <c r="F214" s="427"/>
      <c r="H214" s="427"/>
    </row>
    <row r="215" spans="6:8" ht="15.75" customHeight="1" x14ac:dyDescent="0.3">
      <c r="F215" s="427"/>
      <c r="H215" s="427"/>
    </row>
    <row r="216" spans="6:8" ht="15.75" customHeight="1" x14ac:dyDescent="0.3">
      <c r="F216" s="427"/>
      <c r="H216" s="427"/>
    </row>
    <row r="217" spans="6:8" ht="15.75" customHeight="1" x14ac:dyDescent="0.3">
      <c r="F217" s="427"/>
      <c r="H217" s="427"/>
    </row>
    <row r="218" spans="6:8" ht="15.75" customHeight="1" x14ac:dyDescent="0.3">
      <c r="F218" s="427"/>
      <c r="H218" s="427"/>
    </row>
    <row r="219" spans="6:8" ht="15.75" customHeight="1" x14ac:dyDescent="0.3">
      <c r="F219" s="427"/>
      <c r="H219" s="427"/>
    </row>
    <row r="220" spans="6:8" ht="15.75" customHeight="1" x14ac:dyDescent="0.3">
      <c r="F220" s="427"/>
      <c r="H220" s="427"/>
    </row>
    <row r="221" spans="6:8" ht="15.75" customHeight="1" x14ac:dyDescent="0.3">
      <c r="F221" s="427"/>
      <c r="H221" s="427"/>
    </row>
    <row r="222" spans="6:8" ht="15.75" customHeight="1" x14ac:dyDescent="0.3">
      <c r="F222" s="427"/>
      <c r="H222" s="427"/>
    </row>
    <row r="223" spans="6:8" ht="15.75" customHeight="1" x14ac:dyDescent="0.3">
      <c r="F223" s="427"/>
      <c r="H223" s="427"/>
    </row>
    <row r="224" spans="6:8" ht="15.75" customHeight="1" x14ac:dyDescent="0.3">
      <c r="F224" s="427"/>
      <c r="H224" s="427"/>
    </row>
    <row r="225" spans="6:8" ht="15.75" customHeight="1" x14ac:dyDescent="0.3">
      <c r="F225" s="427"/>
      <c r="H225" s="427"/>
    </row>
    <row r="226" spans="6:8" ht="15.75" customHeight="1" x14ac:dyDescent="0.3">
      <c r="F226" s="427"/>
      <c r="H226" s="427"/>
    </row>
    <row r="227" spans="6:8" ht="15.75" customHeight="1" x14ac:dyDescent="0.3">
      <c r="F227" s="427"/>
      <c r="H227" s="427"/>
    </row>
    <row r="228" spans="6:8" ht="15.75" customHeight="1" x14ac:dyDescent="0.3">
      <c r="F228" s="427"/>
      <c r="H228" s="427"/>
    </row>
    <row r="229" spans="6:8" ht="15.75" customHeight="1" x14ac:dyDescent="0.3">
      <c r="F229" s="427"/>
      <c r="H229" s="427"/>
    </row>
    <row r="230" spans="6:8" ht="15.75" customHeight="1" x14ac:dyDescent="0.3">
      <c r="F230" s="427"/>
      <c r="H230" s="427"/>
    </row>
    <row r="231" spans="6:8" ht="15.75" customHeight="1" x14ac:dyDescent="0.3">
      <c r="F231" s="427"/>
      <c r="H231" s="427"/>
    </row>
    <row r="232" spans="6:8" ht="15.75" customHeight="1" x14ac:dyDescent="0.3">
      <c r="F232" s="427"/>
      <c r="H232" s="427"/>
    </row>
    <row r="233" spans="6:8" ht="15.75" customHeight="1" x14ac:dyDescent="0.3">
      <c r="F233" s="427"/>
      <c r="H233" s="427"/>
    </row>
    <row r="234" spans="6:8" ht="15.75" customHeight="1" x14ac:dyDescent="0.3">
      <c r="F234" s="427"/>
      <c r="H234" s="427"/>
    </row>
    <row r="235" spans="6:8" ht="15.75" customHeight="1" x14ac:dyDescent="0.3">
      <c r="F235" s="427"/>
      <c r="H235" s="427"/>
    </row>
    <row r="236" spans="6:8" ht="15.75" customHeight="1" x14ac:dyDescent="0.3">
      <c r="F236" s="427"/>
      <c r="H236" s="427"/>
    </row>
    <row r="237" spans="6:8" ht="15.75" customHeight="1" x14ac:dyDescent="0.3">
      <c r="F237" s="427"/>
      <c r="H237" s="427"/>
    </row>
    <row r="238" spans="6:8" ht="15.75" customHeight="1" x14ac:dyDescent="0.3">
      <c r="F238" s="427"/>
      <c r="H238" s="427"/>
    </row>
    <row r="239" spans="6:8" ht="15.75" customHeight="1" x14ac:dyDescent="0.3">
      <c r="F239" s="427"/>
      <c r="H239" s="427"/>
    </row>
    <row r="240" spans="6:8" ht="15.75" customHeight="1" x14ac:dyDescent="0.3">
      <c r="F240" s="427"/>
      <c r="H240" s="427"/>
    </row>
    <row r="241" spans="6:8" ht="15.75" customHeight="1" x14ac:dyDescent="0.3">
      <c r="F241" s="427"/>
      <c r="H241" s="427"/>
    </row>
    <row r="242" spans="6:8" ht="15.75" customHeight="1" x14ac:dyDescent="0.3">
      <c r="F242" s="427"/>
      <c r="H242" s="427"/>
    </row>
    <row r="243" spans="6:8" ht="15.75" customHeight="1" x14ac:dyDescent="0.3">
      <c r="F243" s="427"/>
      <c r="H243" s="427"/>
    </row>
    <row r="244" spans="6:8" ht="15.75" customHeight="1" x14ac:dyDescent="0.3">
      <c r="F244" s="427"/>
      <c r="H244" s="427"/>
    </row>
    <row r="245" spans="6:8" ht="15.75" customHeight="1" x14ac:dyDescent="0.3">
      <c r="F245" s="427"/>
      <c r="H245" s="427"/>
    </row>
    <row r="246" spans="6:8" ht="15.75" customHeight="1" x14ac:dyDescent="0.3"/>
    <row r="247" spans="6:8" ht="15.75" customHeight="1" x14ac:dyDescent="0.3"/>
    <row r="248" spans="6:8" ht="15.75" customHeight="1" x14ac:dyDescent="0.3"/>
    <row r="249" spans="6:8" ht="15.75" customHeight="1" x14ac:dyDescent="0.3"/>
    <row r="250" spans="6:8" ht="15.75" customHeight="1" x14ac:dyDescent="0.3"/>
    <row r="251" spans="6:8" ht="15.75" customHeight="1" x14ac:dyDescent="0.3"/>
    <row r="252" spans="6:8" ht="15.75" customHeight="1" x14ac:dyDescent="0.3"/>
    <row r="253" spans="6:8" ht="15.75" customHeight="1" x14ac:dyDescent="0.3"/>
    <row r="254" spans="6:8" ht="15.75" customHeight="1" x14ac:dyDescent="0.3"/>
    <row r="255" spans="6:8" ht="15.75" customHeight="1" x14ac:dyDescent="0.3"/>
    <row r="256" spans="6:8"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mergeCells count="1">
    <mergeCell ref="C7:E7"/>
  </mergeCells>
  <dataValidations count="1">
    <dataValidation type="list" allowBlank="1" showErrorMessage="1" sqref="B17 B27 B22" xr:uid="{3211B430-34F3-42AB-88FA-2E723DDD0216}">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48EB0-5B54-4FF0-9B6E-33B76C68EF39}">
  <dimension ref="A1:AD902"/>
  <sheetViews>
    <sheetView topLeftCell="E6" zoomScale="80" zoomScaleNormal="80" workbookViewId="0">
      <selection activeCell="AD15" sqref="AD15"/>
    </sheetView>
  </sheetViews>
  <sheetFormatPr defaultColWidth="12.44140625" defaultRowHeight="15" customHeight="1" x14ac:dyDescent="0.3"/>
  <cols>
    <col min="1" max="1" width="2.6640625" style="428" customWidth="1"/>
    <col min="2" max="2" width="9" style="428" customWidth="1"/>
    <col min="3" max="3" width="34.33203125" style="428" customWidth="1"/>
    <col min="4" max="4" width="52.77734375" style="428" customWidth="1"/>
    <col min="5" max="5" width="10.6640625" style="428" customWidth="1"/>
    <col min="6" max="6" width="30.77734375" style="428" customWidth="1"/>
    <col min="7" max="7" width="12.21875" style="428" customWidth="1"/>
    <col min="8" max="8" width="12.77734375" style="428" hidden="1" customWidth="1"/>
    <col min="9" max="9" width="12.77734375" style="428" customWidth="1"/>
    <col min="10" max="12" width="12.77734375" style="428" hidden="1" customWidth="1"/>
    <col min="13" max="21" width="11.5546875" style="428" hidden="1" customWidth="1"/>
    <col min="22" max="22" width="12.33203125" style="428" bestFit="1" customWidth="1"/>
    <col min="23"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2384</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1026</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474</v>
      </c>
      <c r="D10" s="531" t="s">
        <v>988</v>
      </c>
      <c r="E10" s="532" t="s">
        <v>371</v>
      </c>
      <c r="F10" s="533"/>
      <c r="G10" s="534" t="s">
        <v>989</v>
      </c>
      <c r="H10" s="535"/>
      <c r="I10" s="535"/>
      <c r="J10" s="536"/>
      <c r="K10" s="535"/>
      <c r="L10" s="535"/>
      <c r="M10" s="538"/>
      <c r="N10" s="535"/>
      <c r="O10" s="535"/>
      <c r="P10" s="535"/>
      <c r="Q10" s="535"/>
      <c r="R10" s="535"/>
      <c r="S10" s="535"/>
      <c r="T10" s="535"/>
      <c r="U10" s="542"/>
      <c r="V10" s="535">
        <v>5797</v>
      </c>
      <c r="W10" s="542">
        <v>2525.04</v>
      </c>
      <c r="X10" s="535">
        <v>2489.56</v>
      </c>
      <c r="Y10" s="542"/>
      <c r="Z10" s="535"/>
      <c r="AA10" s="528"/>
      <c r="AB10" s="528"/>
      <c r="AC10" s="528"/>
      <c r="AD10" s="528"/>
    </row>
    <row r="11" spans="1:30" ht="24" customHeight="1" x14ac:dyDescent="0.3">
      <c r="A11" s="528"/>
      <c r="B11" s="529">
        <v>1</v>
      </c>
      <c r="C11" s="453" t="s">
        <v>990</v>
      </c>
      <c r="D11" s="453" t="s">
        <v>991</v>
      </c>
      <c r="E11" s="543" t="s">
        <v>373</v>
      </c>
      <c r="F11" s="506" t="s">
        <v>992</v>
      </c>
      <c r="G11" s="496"/>
      <c r="H11" s="544"/>
      <c r="I11" s="544"/>
      <c r="J11" s="547"/>
      <c r="K11" s="599"/>
      <c r="L11" s="599"/>
      <c r="M11" s="599"/>
      <c r="N11" s="599"/>
      <c r="O11" s="599"/>
      <c r="P11" s="599"/>
      <c r="Q11" s="599"/>
      <c r="R11" s="599"/>
      <c r="S11" s="599"/>
      <c r="T11" s="599"/>
      <c r="U11" s="600"/>
      <c r="V11" s="599">
        <v>0.92</v>
      </c>
      <c r="W11" s="600">
        <v>0.78</v>
      </c>
      <c r="X11" s="599">
        <v>0.72</v>
      </c>
      <c r="Y11" s="600"/>
      <c r="Z11" s="599"/>
      <c r="AA11" s="528"/>
      <c r="AB11" s="528"/>
      <c r="AC11" s="528"/>
      <c r="AD11" s="528"/>
    </row>
    <row r="12" spans="1:30" ht="30" customHeight="1" x14ac:dyDescent="0.3">
      <c r="A12" s="528"/>
      <c r="B12" s="529">
        <v>1</v>
      </c>
      <c r="C12" s="531" t="s">
        <v>374</v>
      </c>
      <c r="D12" s="531" t="s">
        <v>988</v>
      </c>
      <c r="E12" s="532" t="s">
        <v>350</v>
      </c>
      <c r="F12" s="533"/>
      <c r="G12" s="549"/>
      <c r="H12" s="550"/>
      <c r="I12" s="550"/>
      <c r="J12" s="603"/>
      <c r="K12" s="603"/>
      <c r="L12" s="603"/>
      <c r="M12" s="603"/>
      <c r="N12" s="603"/>
      <c r="O12" s="603"/>
      <c r="P12" s="603"/>
      <c r="Q12" s="603"/>
      <c r="R12" s="603"/>
      <c r="S12" s="603"/>
      <c r="T12" s="603"/>
      <c r="U12" s="598"/>
      <c r="V12" s="1617">
        <v>6301.086956521739</v>
      </c>
      <c r="W12" s="598">
        <v>3237.2307692307691</v>
      </c>
      <c r="X12" s="603">
        <v>3457.7222222222222</v>
      </c>
      <c r="Y12" s="598"/>
      <c r="Z12" s="603"/>
      <c r="AA12" s="528"/>
      <c r="AB12" s="528"/>
      <c r="AC12" s="528"/>
      <c r="AD12" s="528"/>
    </row>
    <row r="13" spans="1:30" ht="30" customHeight="1" x14ac:dyDescent="0.3">
      <c r="A13" s="528"/>
      <c r="B13" s="529" t="s">
        <v>993</v>
      </c>
      <c r="C13" s="453" t="s">
        <v>474</v>
      </c>
      <c r="D13" s="453" t="s">
        <v>994</v>
      </c>
      <c r="E13" s="543" t="s">
        <v>653</v>
      </c>
      <c r="F13" s="506" t="s">
        <v>995</v>
      </c>
      <c r="G13" s="496"/>
      <c r="H13" s="544"/>
      <c r="I13" s="544">
        <v>113969.61990950227</v>
      </c>
      <c r="J13" s="599">
        <v>114453</v>
      </c>
      <c r="K13" s="599"/>
      <c r="L13" s="599"/>
      <c r="M13" s="599"/>
      <c r="N13" s="599"/>
      <c r="O13" s="599"/>
      <c r="P13" s="599"/>
      <c r="Q13" s="599"/>
      <c r="R13" s="599"/>
      <c r="S13" s="599"/>
      <c r="T13" s="599"/>
      <c r="U13" s="600"/>
      <c r="V13" s="599"/>
      <c r="W13" s="600"/>
      <c r="X13" s="599"/>
      <c r="Y13" s="600"/>
      <c r="Z13" s="599"/>
      <c r="AA13" s="528"/>
      <c r="AB13" s="528"/>
      <c r="AC13" s="528"/>
      <c r="AD13" s="528"/>
    </row>
    <row r="14" spans="1:30" ht="30" customHeight="1" x14ac:dyDescent="0.3">
      <c r="A14" s="528"/>
      <c r="B14" s="529">
        <v>1</v>
      </c>
      <c r="C14" s="531" t="s">
        <v>474</v>
      </c>
      <c r="D14" s="531" t="s">
        <v>996</v>
      </c>
      <c r="E14" s="532" t="s">
        <v>642</v>
      </c>
      <c r="F14" s="533" t="s">
        <v>997</v>
      </c>
      <c r="G14" s="549"/>
      <c r="H14" s="550"/>
      <c r="I14" s="602">
        <f>I13*F40</f>
        <v>102572.65791855205</v>
      </c>
      <c r="J14" s="603">
        <v>103007.7</v>
      </c>
      <c r="K14" s="603">
        <v>111447</v>
      </c>
      <c r="L14" s="603">
        <v>102288.6</v>
      </c>
      <c r="M14" s="603">
        <v>99185.68</v>
      </c>
      <c r="N14" s="603">
        <v>106134.28</v>
      </c>
      <c r="O14" s="603">
        <v>125926.93</v>
      </c>
      <c r="P14" s="603">
        <v>107294.78</v>
      </c>
      <c r="Q14" s="603">
        <v>97509</v>
      </c>
      <c r="R14" s="603">
        <v>71303.98</v>
      </c>
      <c r="S14" s="603">
        <v>88043</v>
      </c>
      <c r="T14" s="603">
        <v>59987</v>
      </c>
      <c r="U14" s="598">
        <v>50926</v>
      </c>
      <c r="V14" s="1617">
        <v>124398</v>
      </c>
      <c r="W14" s="598"/>
      <c r="X14" s="603"/>
      <c r="Y14" s="598"/>
      <c r="Z14" s="1618">
        <v>0.5960230797139614</v>
      </c>
      <c r="AA14" s="528"/>
      <c r="AB14" s="528"/>
      <c r="AC14" s="528"/>
      <c r="AD14" s="528"/>
    </row>
    <row r="15" spans="1:30" ht="30" customHeight="1" x14ac:dyDescent="0.3">
      <c r="A15" s="528"/>
      <c r="B15" s="529">
        <v>2</v>
      </c>
      <c r="C15" s="453" t="s">
        <v>474</v>
      </c>
      <c r="D15" s="453" t="s">
        <v>996</v>
      </c>
      <c r="E15" s="543" t="s">
        <v>642</v>
      </c>
      <c r="F15" s="506" t="s">
        <v>998</v>
      </c>
      <c r="G15" s="496"/>
      <c r="H15" s="544"/>
      <c r="I15" s="545">
        <f>I13*I40</f>
        <v>11396.961990950229</v>
      </c>
      <c r="J15" s="599">
        <v>11445.300000000001</v>
      </c>
      <c r="K15" s="599">
        <v>12383</v>
      </c>
      <c r="L15" s="599">
        <v>11365.4</v>
      </c>
      <c r="M15" s="599">
        <v>13525.32</v>
      </c>
      <c r="N15" s="599">
        <v>18144.72</v>
      </c>
      <c r="O15" s="599">
        <v>8103.71</v>
      </c>
      <c r="P15" s="599">
        <v>5602.66</v>
      </c>
      <c r="Q15" s="599">
        <v>10115</v>
      </c>
      <c r="R15" s="599">
        <v>32578.02</v>
      </c>
      <c r="S15" s="599">
        <v>21721</v>
      </c>
      <c r="T15" s="599">
        <v>24807</v>
      </c>
      <c r="U15" s="600">
        <v>34517</v>
      </c>
      <c r="V15" s="599">
        <v>0</v>
      </c>
      <c r="W15" s="600">
        <v>0</v>
      </c>
      <c r="X15" s="599">
        <v>0</v>
      </c>
      <c r="Y15" s="600"/>
      <c r="Z15" s="1619">
        <v>0.40397692028603865</v>
      </c>
      <c r="AA15" s="528"/>
      <c r="AB15" s="528"/>
      <c r="AC15" s="528"/>
      <c r="AD15" s="528"/>
    </row>
    <row r="16" spans="1:30" ht="30" customHeight="1" x14ac:dyDescent="0.3">
      <c r="A16" s="528"/>
      <c r="B16" s="529" t="s">
        <v>993</v>
      </c>
      <c r="C16" s="531" t="s">
        <v>474</v>
      </c>
      <c r="D16" s="531" t="s">
        <v>999</v>
      </c>
      <c r="E16" s="532" t="s">
        <v>363</v>
      </c>
      <c r="F16" s="533" t="s">
        <v>1000</v>
      </c>
      <c r="G16" s="549"/>
      <c r="H16" s="550"/>
      <c r="I16" s="550">
        <f>12286000/D42</f>
        <v>5574.410163339383</v>
      </c>
      <c r="J16" s="603">
        <v>5968.6932849364794</v>
      </c>
      <c r="K16" s="603">
        <v>5795.825771324864</v>
      </c>
      <c r="L16" s="603">
        <v>5868.8747731397461</v>
      </c>
      <c r="M16" s="603">
        <v>5195.0998185117969</v>
      </c>
      <c r="N16" s="603">
        <v>5948.7295825771325</v>
      </c>
      <c r="O16" s="603">
        <v>5387.7545372050818</v>
      </c>
      <c r="P16" s="603">
        <v>4373.2191470054449</v>
      </c>
      <c r="Q16" s="603">
        <v>4643.4931941923778</v>
      </c>
      <c r="R16" s="603">
        <v>4907.0267695099819</v>
      </c>
      <c r="S16" s="603">
        <v>4696.6048094373864</v>
      </c>
      <c r="T16" s="603">
        <v>4834.6370235934664</v>
      </c>
      <c r="U16" s="598">
        <v>4321.3507259528133</v>
      </c>
      <c r="V16" s="603">
        <v>3981.4419237749548</v>
      </c>
      <c r="W16" s="598">
        <v>3164.3339382940107</v>
      </c>
      <c r="X16" s="603">
        <v>2835.2999092558985</v>
      </c>
      <c r="Y16" s="598"/>
      <c r="Z16" s="1618"/>
      <c r="AA16" s="528"/>
      <c r="AB16" s="528"/>
      <c r="AC16" s="528"/>
      <c r="AD16" s="528"/>
    </row>
    <row r="17" spans="1:30" ht="30" customHeight="1" x14ac:dyDescent="0.3">
      <c r="A17" s="528"/>
      <c r="B17" s="529" t="s">
        <v>993</v>
      </c>
      <c r="C17" s="453" t="s">
        <v>374</v>
      </c>
      <c r="D17" s="453" t="s">
        <v>1001</v>
      </c>
      <c r="E17" s="543" t="s">
        <v>453</v>
      </c>
      <c r="F17" s="506" t="s">
        <v>1002</v>
      </c>
      <c r="G17" s="496">
        <v>2011</v>
      </c>
      <c r="H17" s="544"/>
      <c r="I17" s="1104">
        <f>I16/V16</f>
        <v>1.4000983236882367</v>
      </c>
      <c r="J17" s="1619">
        <v>1.4991285567409047</v>
      </c>
      <c r="K17" s="1619">
        <v>1.455710238221841</v>
      </c>
      <c r="L17" s="1619">
        <v>1.4740576116642801</v>
      </c>
      <c r="M17" s="1619">
        <v>1.3048287323970627</v>
      </c>
      <c r="N17" s="1619">
        <v>1.4941143677255797</v>
      </c>
      <c r="O17" s="1619">
        <v>1.3532169099422022</v>
      </c>
      <c r="P17" s="1619">
        <v>1.0984008383724033</v>
      </c>
      <c r="Q17" s="1619">
        <v>1.1662842967679676</v>
      </c>
      <c r="R17" s="1619">
        <v>1.2324747826178124</v>
      </c>
      <c r="S17" s="1619">
        <v>1.1796240908078746</v>
      </c>
      <c r="T17" s="1619">
        <v>1.2142929913717202</v>
      </c>
      <c r="U17" s="1620">
        <v>1.0853732915575416</v>
      </c>
      <c r="V17" s="1619">
        <v>1</v>
      </c>
      <c r="W17" s="1620">
        <v>0.81307999242682127</v>
      </c>
      <c r="X17" s="1619">
        <v>0.86845979130692075</v>
      </c>
      <c r="Y17" s="600"/>
      <c r="Z17" s="599"/>
      <c r="AA17" s="528"/>
      <c r="AB17" s="528"/>
      <c r="AC17" s="528"/>
      <c r="AD17" s="528"/>
    </row>
    <row r="18" spans="1:30" ht="30" customHeight="1" x14ac:dyDescent="0.3">
      <c r="A18" s="528"/>
      <c r="B18" s="529" t="s">
        <v>993</v>
      </c>
      <c r="C18" s="531" t="s">
        <v>374</v>
      </c>
      <c r="D18" s="533" t="s">
        <v>1003</v>
      </c>
      <c r="E18" s="532" t="s">
        <v>642</v>
      </c>
      <c r="F18" s="533"/>
      <c r="G18" s="549">
        <v>2011</v>
      </c>
      <c r="H18" s="550"/>
      <c r="I18" s="550">
        <f>V14*I17</f>
        <v>174169.43127016927</v>
      </c>
      <c r="J18" s="603">
        <v>186488.59420145507</v>
      </c>
      <c r="K18" s="603">
        <v>181087.44221432059</v>
      </c>
      <c r="L18" s="603">
        <v>183369.81877581312</v>
      </c>
      <c r="M18" s="603">
        <v>162318.0846527298</v>
      </c>
      <c r="N18" s="603">
        <v>185864.83911632668</v>
      </c>
      <c r="O18" s="603">
        <v>168337.47716299008</v>
      </c>
      <c r="P18" s="603">
        <v>136638.86749185022</v>
      </c>
      <c r="Q18" s="603">
        <v>145083.43394934165</v>
      </c>
      <c r="R18" s="603">
        <v>153317.39800809062</v>
      </c>
      <c r="S18" s="603">
        <v>146742.87764831798</v>
      </c>
      <c r="T18" s="603">
        <v>151055.61954065925</v>
      </c>
      <c r="U18" s="598">
        <v>135018.26672317507</v>
      </c>
      <c r="V18" s="603">
        <v>124398</v>
      </c>
      <c r="W18" s="598"/>
      <c r="X18" s="603"/>
      <c r="Y18" s="598"/>
      <c r="Z18" s="603"/>
      <c r="AA18" s="528"/>
      <c r="AB18" s="528"/>
      <c r="AC18" s="528"/>
      <c r="AD18" s="528"/>
    </row>
    <row r="19" spans="1:30" ht="28.8" x14ac:dyDescent="0.3">
      <c r="A19" s="528"/>
      <c r="B19" s="529">
        <v>1</v>
      </c>
      <c r="C19" s="453"/>
      <c r="D19" s="506" t="s">
        <v>1004</v>
      </c>
      <c r="E19" s="543" t="s">
        <v>653</v>
      </c>
      <c r="F19" s="506" t="s">
        <v>995</v>
      </c>
      <c r="G19" s="496"/>
      <c r="H19" s="544"/>
      <c r="I19" s="1611">
        <f>I18*F40</f>
        <v>156752.48814315235</v>
      </c>
      <c r="J19" s="599">
        <v>167839.73478130955</v>
      </c>
      <c r="K19" s="599"/>
      <c r="L19" s="599"/>
      <c r="M19" s="599"/>
      <c r="N19" s="599"/>
      <c r="O19" s="599"/>
      <c r="P19" s="599"/>
      <c r="Q19" s="599"/>
      <c r="R19" s="599"/>
      <c r="S19" s="599"/>
      <c r="T19" s="599"/>
      <c r="U19" s="600"/>
      <c r="V19" s="599"/>
      <c r="W19" s="600"/>
      <c r="X19" s="599"/>
      <c r="Y19" s="600"/>
      <c r="Z19" s="599"/>
      <c r="AA19" s="528"/>
      <c r="AB19" s="528"/>
      <c r="AC19" s="528"/>
      <c r="AD19" s="528"/>
    </row>
    <row r="20" spans="1:30" ht="30" customHeight="1" x14ac:dyDescent="0.3">
      <c r="A20" s="528"/>
      <c r="B20" s="529">
        <v>2</v>
      </c>
      <c r="C20" s="531"/>
      <c r="D20" s="533" t="s">
        <v>1005</v>
      </c>
      <c r="E20" s="532" t="s">
        <v>653</v>
      </c>
      <c r="F20" s="533" t="s">
        <v>995</v>
      </c>
      <c r="G20" s="549"/>
      <c r="H20" s="550"/>
      <c r="I20" s="678">
        <f>I18*I40</f>
        <v>17416.943127016926</v>
      </c>
      <c r="J20" s="603">
        <v>18648.859420145509</v>
      </c>
      <c r="K20" s="603"/>
      <c r="L20" s="603"/>
      <c r="M20" s="603"/>
      <c r="N20" s="603"/>
      <c r="O20" s="603"/>
      <c r="P20" s="603"/>
      <c r="Q20" s="603"/>
      <c r="R20" s="603"/>
      <c r="S20" s="603"/>
      <c r="T20" s="603"/>
      <c r="U20" s="598"/>
      <c r="V20" s="603"/>
      <c r="W20" s="598"/>
      <c r="X20" s="603"/>
      <c r="Y20" s="598"/>
      <c r="Z20" s="603"/>
      <c r="AA20" s="528"/>
      <c r="AB20" s="528"/>
      <c r="AC20" s="528"/>
      <c r="AD20" s="528"/>
    </row>
    <row r="21" spans="1:30" ht="30" customHeight="1" x14ac:dyDescent="0.3">
      <c r="A21" s="528"/>
      <c r="B21" s="529">
        <v>3</v>
      </c>
      <c r="C21" s="453" t="s">
        <v>474</v>
      </c>
      <c r="D21" s="453" t="s">
        <v>1006</v>
      </c>
      <c r="E21" s="543" t="s">
        <v>363</v>
      </c>
      <c r="F21" s="506" t="s">
        <v>1000</v>
      </c>
      <c r="G21" s="496"/>
      <c r="H21" s="544"/>
      <c r="I21" s="544">
        <f>3960345/D42</f>
        <v>1796.8897459165155</v>
      </c>
      <c r="J21" s="599">
        <f>4052934/D42</f>
        <v>1838.899274047187</v>
      </c>
      <c r="K21" s="599">
        <v>1795.3266787658802</v>
      </c>
      <c r="L21" s="599">
        <v>1884.133393829401</v>
      </c>
      <c r="M21" s="599">
        <v>1793.7295825771325</v>
      </c>
      <c r="N21" s="599">
        <v>2217.9419237749548</v>
      </c>
      <c r="O21" s="599">
        <v>1908.5603448275863</v>
      </c>
      <c r="P21" s="599">
        <v>1630.2776769509983</v>
      </c>
      <c r="Q21" s="599">
        <v>1799.3874773139746</v>
      </c>
      <c r="R21" s="599">
        <v>1625.4836660617059</v>
      </c>
      <c r="S21" s="599">
        <v>1369.1973684210527</v>
      </c>
      <c r="T21" s="599">
        <v>1285.4859346642468</v>
      </c>
      <c r="U21" s="600">
        <v>1215.7259528130671</v>
      </c>
      <c r="V21" s="599">
        <v>1029.5512704174228</v>
      </c>
      <c r="W21" s="600"/>
      <c r="X21" s="599"/>
      <c r="Y21" s="600"/>
      <c r="Z21" s="599"/>
      <c r="AA21" s="528"/>
      <c r="AB21" s="528"/>
      <c r="AC21" s="528"/>
      <c r="AD21" s="528"/>
    </row>
    <row r="22" spans="1:30" ht="30" customHeight="1" x14ac:dyDescent="0.3">
      <c r="A22" s="528"/>
      <c r="B22" s="529">
        <v>3</v>
      </c>
      <c r="C22" s="531" t="s">
        <v>374</v>
      </c>
      <c r="D22" s="531" t="s">
        <v>1007</v>
      </c>
      <c r="E22" s="532" t="s">
        <v>443</v>
      </c>
      <c r="F22" s="533" t="s">
        <v>1008</v>
      </c>
      <c r="G22" s="549">
        <v>2010</v>
      </c>
      <c r="H22" s="550"/>
      <c r="I22" s="550">
        <f>I21*E41</f>
        <v>8265692.8312159711</v>
      </c>
      <c r="J22" s="603">
        <v>8458936.660617061</v>
      </c>
      <c r="K22" s="603">
        <v>26660798.548094373</v>
      </c>
      <c r="L22" s="603">
        <v>26996823.956442833</v>
      </c>
      <c r="M22" s="603">
        <v>23897459.165154267</v>
      </c>
      <c r="N22" s="603">
        <v>27364156.079854809</v>
      </c>
      <c r="O22" s="603">
        <v>24783670.871143375</v>
      </c>
      <c r="P22" s="603">
        <v>20116808.076225046</v>
      </c>
      <c r="Q22" s="603">
        <v>21360068.693284936</v>
      </c>
      <c r="R22" s="603">
        <v>22572323.139745917</v>
      </c>
      <c r="S22" s="603">
        <v>21604382.123411976</v>
      </c>
      <c r="T22" s="603">
        <v>22239330.308529947</v>
      </c>
      <c r="U22" s="598">
        <v>19878213.339382943</v>
      </c>
      <c r="V22" s="603">
        <v>18314632.849364791</v>
      </c>
      <c r="W22" s="598">
        <v>14555936.116152449</v>
      </c>
      <c r="X22" s="603">
        <v>13042379.582577134</v>
      </c>
      <c r="Y22" s="598"/>
      <c r="Z22" s="603"/>
      <c r="AA22" s="528"/>
      <c r="AB22" s="528"/>
      <c r="AC22" s="528"/>
      <c r="AD22" s="528"/>
    </row>
    <row r="23" spans="1:30" ht="30" customHeight="1" x14ac:dyDescent="0.3">
      <c r="A23" s="528"/>
      <c r="B23" s="529">
        <v>3</v>
      </c>
      <c r="C23" s="453" t="s">
        <v>374</v>
      </c>
      <c r="D23" s="453" t="s">
        <v>1009</v>
      </c>
      <c r="E23" s="543" t="s">
        <v>653</v>
      </c>
      <c r="F23" s="506" t="s">
        <v>1010</v>
      </c>
      <c r="G23" s="496"/>
      <c r="H23" s="544"/>
      <c r="I23" s="1611">
        <v>218149.71842744711</v>
      </c>
      <c r="J23" s="599">
        <v>223249.84588590817</v>
      </c>
      <c r="K23" s="599">
        <v>703636.80517535948</v>
      </c>
      <c r="L23" s="599">
        <v>712505.25089582556</v>
      </c>
      <c r="M23" s="599">
        <v>630706.23291512975</v>
      </c>
      <c r="N23" s="599">
        <v>722199.94932316733</v>
      </c>
      <c r="O23" s="599">
        <v>654095.29878974333</v>
      </c>
      <c r="P23" s="599">
        <v>530926.57894497353</v>
      </c>
      <c r="Q23" s="599">
        <v>563738.94677447702</v>
      </c>
      <c r="R23" s="599">
        <v>595732.99392309098</v>
      </c>
      <c r="S23" s="599">
        <v>570186.91273190756</v>
      </c>
      <c r="T23" s="599">
        <v>586944.58454816439</v>
      </c>
      <c r="U23" s="600">
        <v>524629.54181533237</v>
      </c>
      <c r="V23" s="599">
        <v>483363.23170664528</v>
      </c>
      <c r="W23" s="600">
        <v>384163.00121806411</v>
      </c>
      <c r="X23" s="599"/>
      <c r="Y23" s="600"/>
      <c r="Z23" s="599"/>
      <c r="AA23" s="528"/>
      <c r="AB23" s="528"/>
      <c r="AC23" s="528"/>
      <c r="AD23" s="528"/>
    </row>
    <row r="24" spans="1:30" ht="30" customHeight="1" x14ac:dyDescent="0.3">
      <c r="A24" s="528"/>
      <c r="B24" s="529"/>
      <c r="C24" s="531"/>
      <c r="D24" s="531"/>
      <c r="E24" s="532"/>
      <c r="F24" s="533"/>
      <c r="G24" s="549"/>
      <c r="H24" s="550"/>
      <c r="I24" s="550"/>
      <c r="J24" s="550"/>
      <c r="K24" s="550"/>
      <c r="L24" s="550"/>
      <c r="M24" s="550"/>
      <c r="N24" s="550"/>
      <c r="O24" s="550"/>
      <c r="P24" s="550"/>
      <c r="Q24" s="550"/>
      <c r="R24" s="550"/>
      <c r="S24" s="550"/>
      <c r="T24" s="550"/>
      <c r="U24" s="542"/>
      <c r="V24" s="550"/>
      <c r="W24" s="542"/>
      <c r="X24" s="550"/>
      <c r="Y24" s="542"/>
      <c r="Z24" s="550"/>
      <c r="AA24" s="528"/>
      <c r="AB24" s="528"/>
      <c r="AC24" s="528"/>
      <c r="AD24" s="528"/>
    </row>
    <row r="25" spans="1:30" ht="30" customHeight="1" x14ac:dyDescent="0.3">
      <c r="A25" s="528"/>
      <c r="B25" s="529"/>
      <c r="C25" s="453"/>
      <c r="D25" s="453"/>
      <c r="E25" s="543"/>
      <c r="F25" s="506"/>
      <c r="G25" s="496"/>
      <c r="H25" s="544"/>
      <c r="I25" s="544"/>
      <c r="J25" s="545"/>
      <c r="K25" s="544"/>
      <c r="L25" s="544"/>
      <c r="M25" s="544"/>
      <c r="N25" s="544"/>
      <c r="O25" s="544"/>
      <c r="P25" s="544"/>
      <c r="Q25" s="544"/>
      <c r="R25" s="544"/>
      <c r="S25" s="544"/>
      <c r="T25" s="544"/>
      <c r="U25" s="548"/>
      <c r="V25" s="544"/>
      <c r="W25" s="548"/>
      <c r="X25" s="544"/>
      <c r="Y25" s="548"/>
      <c r="Z25" s="544"/>
      <c r="AA25" s="528"/>
      <c r="AB25" s="528"/>
      <c r="AC25" s="528"/>
      <c r="AD25" s="528"/>
    </row>
    <row r="26" spans="1:30" ht="24" customHeight="1" x14ac:dyDescent="0.3">
      <c r="A26" s="528"/>
      <c r="B26" s="529"/>
      <c r="C26" s="531"/>
      <c r="D26" s="531"/>
      <c r="E26" s="532"/>
      <c r="F26" s="533"/>
      <c r="G26" s="549"/>
      <c r="H26" s="550"/>
      <c r="I26" s="550"/>
      <c r="J26" s="550"/>
      <c r="K26" s="550"/>
      <c r="L26" s="550"/>
      <c r="M26" s="550"/>
      <c r="N26" s="550"/>
      <c r="O26" s="550"/>
      <c r="P26" s="550"/>
      <c r="Q26" s="550"/>
      <c r="R26" s="550"/>
      <c r="S26" s="550"/>
      <c r="T26" s="550"/>
      <c r="U26" s="542"/>
      <c r="V26" s="550"/>
      <c r="W26" s="542"/>
      <c r="X26" s="550"/>
      <c r="Y26" s="542"/>
      <c r="Z26" s="550"/>
      <c r="AA26" s="528"/>
      <c r="AB26" s="528"/>
      <c r="AC26" s="528"/>
      <c r="AD26" s="528"/>
    </row>
    <row r="27" spans="1:30" ht="24" customHeight="1" x14ac:dyDescent="0.3">
      <c r="A27" s="528"/>
      <c r="B27" s="529"/>
      <c r="C27" s="453"/>
      <c r="D27" s="453"/>
      <c r="E27" s="543"/>
      <c r="F27" s="506"/>
      <c r="G27" s="496"/>
      <c r="H27" s="544"/>
      <c r="I27" s="544"/>
      <c r="J27" s="544"/>
      <c r="K27" s="544"/>
      <c r="L27" s="544"/>
      <c r="M27" s="544"/>
      <c r="N27" s="544"/>
      <c r="O27" s="544"/>
      <c r="P27" s="544"/>
      <c r="Q27" s="544"/>
      <c r="R27" s="544"/>
      <c r="S27" s="544"/>
      <c r="T27" s="544"/>
      <c r="U27" s="548"/>
      <c r="V27" s="544"/>
      <c r="W27" s="548"/>
      <c r="X27" s="544"/>
      <c r="Y27" s="548"/>
      <c r="Z27" s="544"/>
      <c r="AA27" s="528"/>
      <c r="AB27" s="528"/>
      <c r="AC27" s="528"/>
      <c r="AD27" s="528"/>
    </row>
    <row r="28" spans="1:30" ht="24" customHeight="1" x14ac:dyDescent="0.3">
      <c r="A28" s="528"/>
      <c r="B28" s="529"/>
      <c r="C28" s="531"/>
      <c r="D28" s="531"/>
      <c r="E28" s="532"/>
      <c r="F28" s="533"/>
      <c r="G28" s="551"/>
      <c r="H28" s="550"/>
      <c r="I28" s="550"/>
      <c r="J28" s="550"/>
      <c r="K28" s="550"/>
      <c r="L28" s="550"/>
      <c r="M28" s="550"/>
      <c r="N28" s="550"/>
      <c r="O28" s="550"/>
      <c r="P28" s="550"/>
      <c r="Q28" s="550"/>
      <c r="R28" s="550"/>
      <c r="S28" s="550"/>
      <c r="T28" s="550"/>
      <c r="U28" s="542"/>
      <c r="V28" s="550"/>
      <c r="W28" s="542"/>
      <c r="X28" s="550"/>
      <c r="Y28" s="542"/>
      <c r="Z28" s="550"/>
      <c r="AA28" s="528"/>
      <c r="AB28" s="528"/>
      <c r="AC28" s="528"/>
      <c r="AD28" s="528"/>
    </row>
    <row r="29" spans="1:30" ht="24" customHeight="1" x14ac:dyDescent="0.3">
      <c r="A29" s="528"/>
      <c r="B29" s="552"/>
      <c r="C29" s="462"/>
      <c r="D29" s="462"/>
      <c r="E29" s="553"/>
      <c r="F29" s="554"/>
      <c r="G29" s="555"/>
      <c r="H29" s="556"/>
      <c r="I29" s="556"/>
      <c r="J29" s="556"/>
      <c r="K29" s="556"/>
      <c r="L29" s="556"/>
      <c r="M29" s="556"/>
      <c r="N29" s="556"/>
      <c r="O29" s="556"/>
      <c r="P29" s="556"/>
      <c r="Q29" s="556"/>
      <c r="R29" s="556"/>
      <c r="S29" s="556"/>
      <c r="T29" s="556"/>
      <c r="U29" s="557"/>
      <c r="V29" s="556"/>
      <c r="W29" s="557"/>
      <c r="X29" s="556"/>
      <c r="Y29" s="557"/>
      <c r="Z29" s="556"/>
      <c r="AA29" s="528"/>
      <c r="AB29" s="528"/>
      <c r="AC29" s="528"/>
      <c r="AD29" s="528"/>
    </row>
    <row r="30" spans="1:30" ht="15.75" customHeight="1" x14ac:dyDescent="0.3">
      <c r="A30" s="528"/>
      <c r="B30" s="558"/>
      <c r="C30" s="528"/>
      <c r="D30" s="528"/>
      <c r="E30" s="528"/>
      <c r="F30" s="528"/>
      <c r="G30" s="479"/>
      <c r="H30" s="479"/>
      <c r="I30" s="479"/>
      <c r="J30" s="479"/>
      <c r="K30" s="479"/>
      <c r="L30" s="479"/>
      <c r="M30" s="559"/>
      <c r="N30" s="559"/>
      <c r="O30" s="559"/>
      <c r="P30" s="559"/>
      <c r="Q30" s="559"/>
      <c r="R30" s="559"/>
      <c r="S30" s="559"/>
      <c r="T30" s="559"/>
      <c r="U30" s="559"/>
      <c r="V30" s="559"/>
      <c r="W30" s="559"/>
      <c r="X30" s="559"/>
      <c r="Y30" s="559"/>
      <c r="Z30" s="559"/>
      <c r="AA30" s="528"/>
      <c r="AB30" s="528"/>
      <c r="AC30" s="528"/>
      <c r="AD30" s="528"/>
    </row>
    <row r="31" spans="1:30" ht="15.75" customHeight="1" x14ac:dyDescent="0.3">
      <c r="A31" s="528"/>
      <c r="B31" s="560" t="s">
        <v>355</v>
      </c>
      <c r="C31" s="561" t="s">
        <v>356</v>
      </c>
      <c r="D31" s="528"/>
      <c r="E31" s="528"/>
      <c r="F31" s="528"/>
      <c r="G31" s="479"/>
      <c r="H31" s="479"/>
      <c r="I31" s="479"/>
      <c r="J31" s="479"/>
      <c r="K31" s="479"/>
      <c r="L31" s="479"/>
      <c r="M31" s="559"/>
      <c r="N31" s="559"/>
      <c r="O31" s="559"/>
      <c r="P31" s="559"/>
      <c r="Q31" s="559"/>
      <c r="R31" s="559"/>
      <c r="S31" s="559"/>
      <c r="T31" s="559"/>
      <c r="U31" s="559"/>
      <c r="V31" s="559"/>
      <c r="W31" s="559"/>
      <c r="X31" s="559"/>
      <c r="Y31" s="559"/>
      <c r="Z31" s="559"/>
      <c r="AA31" s="528"/>
      <c r="AB31" s="528"/>
      <c r="AC31" s="528"/>
      <c r="AD31" s="528"/>
    </row>
    <row r="32" spans="1:30" ht="15.75" customHeight="1" x14ac:dyDescent="0.3">
      <c r="A32" s="528"/>
      <c r="B32" s="558"/>
      <c r="C32" s="528"/>
      <c r="D32" s="528"/>
      <c r="E32" s="528"/>
      <c r="F32" s="528"/>
      <c r="G32" s="479"/>
      <c r="H32" s="479"/>
      <c r="I32" s="479"/>
      <c r="J32" s="479"/>
      <c r="K32" s="479"/>
      <c r="L32" s="479"/>
      <c r="M32" s="559"/>
      <c r="N32" s="559"/>
      <c r="O32" s="559"/>
      <c r="P32" s="559"/>
      <c r="Q32" s="559"/>
      <c r="R32" s="559"/>
      <c r="S32" s="559"/>
      <c r="T32" s="559"/>
      <c r="U32" s="559"/>
      <c r="V32" s="559"/>
      <c r="W32" s="559"/>
      <c r="X32" s="559"/>
      <c r="Y32" s="559"/>
      <c r="Z32" s="559"/>
      <c r="AA32" s="528"/>
      <c r="AB32" s="528"/>
      <c r="AC32" s="528"/>
      <c r="AD32" s="528"/>
    </row>
    <row r="33" spans="1:30" ht="15.75" customHeight="1" x14ac:dyDescent="0.3">
      <c r="A33" s="528"/>
      <c r="B33" s="4383" t="s">
        <v>357</v>
      </c>
      <c r="C33" s="4384"/>
      <c r="D33" s="528"/>
      <c r="E33" s="528"/>
      <c r="F33" s="528"/>
      <c r="G33" s="479"/>
      <c r="H33" s="479"/>
      <c r="I33" s="479"/>
      <c r="J33" s="479"/>
      <c r="K33" s="479"/>
      <c r="L33" s="479"/>
      <c r="M33" s="559"/>
      <c r="N33" s="559"/>
      <c r="O33" s="559"/>
      <c r="P33" s="559"/>
      <c r="Q33" s="559"/>
      <c r="R33" s="559"/>
      <c r="S33" s="559"/>
      <c r="T33" s="559"/>
      <c r="U33" s="559"/>
      <c r="V33" s="559"/>
      <c r="W33" s="559"/>
      <c r="X33" s="559"/>
      <c r="Y33" s="559"/>
      <c r="Z33" s="559"/>
      <c r="AA33" s="528"/>
      <c r="AB33" s="528"/>
      <c r="AC33" s="528"/>
      <c r="AD33" s="528"/>
    </row>
    <row r="34" spans="1:30" ht="15.75" customHeight="1" x14ac:dyDescent="0.3">
      <c r="A34" s="528"/>
      <c r="B34" s="562" t="s">
        <v>546</v>
      </c>
      <c r="C34" s="528" t="s">
        <v>1011</v>
      </c>
      <c r="D34" s="528"/>
      <c r="E34" s="528" t="s">
        <v>1012</v>
      </c>
      <c r="F34" s="1621">
        <v>0.5960230797139614</v>
      </c>
      <c r="G34" s="606" t="s">
        <v>1013</v>
      </c>
      <c r="H34" s="479"/>
      <c r="I34" s="1622">
        <v>0.4039769202860386</v>
      </c>
      <c r="J34" s="479"/>
      <c r="K34" s="479"/>
      <c r="L34" s="479"/>
      <c r="M34" s="559"/>
      <c r="N34" s="559"/>
      <c r="O34" s="559"/>
      <c r="P34" s="559"/>
      <c r="Q34" s="559"/>
      <c r="R34" s="559"/>
      <c r="S34" s="559"/>
      <c r="T34" s="559"/>
      <c r="U34" s="559"/>
      <c r="V34" s="559"/>
      <c r="W34" s="559"/>
      <c r="X34" s="559"/>
      <c r="Y34" s="559"/>
      <c r="Z34" s="559"/>
      <c r="AA34" s="528"/>
      <c r="AB34" s="528"/>
      <c r="AC34" s="528"/>
      <c r="AD34" s="528"/>
    </row>
    <row r="35" spans="1:30" ht="15.75" customHeight="1" x14ac:dyDescent="0.3">
      <c r="A35" s="528"/>
      <c r="B35" s="562"/>
      <c r="C35" s="528" t="s">
        <v>1014</v>
      </c>
      <c r="D35" s="528"/>
      <c r="E35" s="528" t="s">
        <v>1012</v>
      </c>
      <c r="F35" s="1621">
        <v>0.4019457590353453</v>
      </c>
      <c r="G35" s="606" t="s">
        <v>1013</v>
      </c>
      <c r="H35" s="479"/>
      <c r="I35" s="1622">
        <v>0.59805424096465476</v>
      </c>
      <c r="J35" s="479"/>
      <c r="K35" s="479"/>
      <c r="L35" s="479"/>
      <c r="M35" s="559"/>
      <c r="N35" s="559"/>
      <c r="O35" s="559"/>
      <c r="P35" s="559"/>
      <c r="Q35" s="559"/>
      <c r="R35" s="559"/>
      <c r="S35" s="559"/>
      <c r="T35" s="559"/>
      <c r="U35" s="559"/>
      <c r="V35" s="559"/>
      <c r="W35" s="559"/>
      <c r="X35" s="559"/>
      <c r="Y35" s="559"/>
      <c r="Z35" s="559"/>
      <c r="AA35" s="528"/>
      <c r="AB35" s="528"/>
      <c r="AC35" s="528"/>
      <c r="AD35" s="528"/>
    </row>
    <row r="36" spans="1:30" ht="15.75" customHeight="1" x14ac:dyDescent="0.3">
      <c r="C36" s="428" t="s">
        <v>1015</v>
      </c>
      <c r="E36" s="428" t="s">
        <v>1012</v>
      </c>
      <c r="F36" s="1623">
        <v>0.88</v>
      </c>
      <c r="G36" s="1624" t="s">
        <v>1013</v>
      </c>
      <c r="I36" s="1625">
        <v>0.12</v>
      </c>
    </row>
    <row r="37" spans="1:30" ht="15.75" customHeight="1" x14ac:dyDescent="0.3">
      <c r="C37" s="428" t="s">
        <v>1016</v>
      </c>
      <c r="E37" s="428" t="s">
        <v>1012</v>
      </c>
      <c r="F37" s="1623">
        <v>0.9</v>
      </c>
      <c r="G37" s="1624" t="s">
        <v>1013</v>
      </c>
      <c r="I37" s="1625">
        <v>0.1</v>
      </c>
    </row>
    <row r="38" spans="1:30" ht="15.75" customHeight="1" x14ac:dyDescent="0.3">
      <c r="C38" s="428" t="s">
        <v>1017</v>
      </c>
      <c r="E38" s="428" t="s">
        <v>1012</v>
      </c>
      <c r="F38" s="1623">
        <v>0.9</v>
      </c>
      <c r="G38" s="1624" t="s">
        <v>1013</v>
      </c>
      <c r="I38" s="1625">
        <v>0.1</v>
      </c>
    </row>
    <row r="39" spans="1:30" ht="15.75" customHeight="1" x14ac:dyDescent="0.3">
      <c r="C39" s="428" t="s">
        <v>1018</v>
      </c>
      <c r="E39" s="428" t="s">
        <v>1012</v>
      </c>
      <c r="F39" s="1623">
        <v>0.9</v>
      </c>
      <c r="G39" s="1624" t="s">
        <v>1013</v>
      </c>
      <c r="I39" s="1625">
        <v>0.1</v>
      </c>
    </row>
    <row r="40" spans="1:30" ht="15.75" customHeight="1" x14ac:dyDescent="0.3">
      <c r="C40" s="428" t="s">
        <v>1019</v>
      </c>
      <c r="E40" s="428" t="s">
        <v>1012</v>
      </c>
      <c r="F40" s="1626">
        <v>0.9</v>
      </c>
      <c r="G40" s="1624" t="s">
        <v>1013</v>
      </c>
      <c r="I40" s="1625">
        <v>0.1</v>
      </c>
    </row>
    <row r="41" spans="1:30" ht="15.75" customHeight="1" x14ac:dyDescent="0.3">
      <c r="B41" s="562" t="s">
        <v>508</v>
      </c>
      <c r="C41" s="428" t="s">
        <v>1020</v>
      </c>
      <c r="E41" s="1325">
        <v>4600</v>
      </c>
      <c r="F41" s="428" t="s">
        <v>1021</v>
      </c>
      <c r="I41" s="428" t="s">
        <v>1022</v>
      </c>
    </row>
    <row r="42" spans="1:30" ht="15.75" customHeight="1" x14ac:dyDescent="0.3">
      <c r="B42" s="562" t="s">
        <v>1023</v>
      </c>
      <c r="C42" s="1624" t="s">
        <v>1024</v>
      </c>
      <c r="D42" s="1627">
        <v>2204</v>
      </c>
      <c r="E42" s="428" t="s">
        <v>1025</v>
      </c>
    </row>
    <row r="43" spans="1:30" ht="15.75" customHeight="1" x14ac:dyDescent="0.3"/>
    <row r="44" spans="1:30" ht="15.75" customHeight="1" x14ac:dyDescent="0.3"/>
    <row r="45" spans="1:30" ht="15.75" customHeight="1" x14ac:dyDescent="0.3"/>
    <row r="46" spans="1:30" ht="15.75" customHeight="1" x14ac:dyDescent="0.3"/>
    <row r="47" spans="1:30" ht="15.75" customHeight="1" x14ac:dyDescent="0.3"/>
    <row r="48" spans="1:30"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sheetData>
  <mergeCells count="1">
    <mergeCell ref="B33:C33"/>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35CE3-402E-4499-8584-B676066D65AE}">
  <dimension ref="A1:I996"/>
  <sheetViews>
    <sheetView workbookViewId="0">
      <selection activeCell="J11" sqref="J11"/>
    </sheetView>
  </sheetViews>
  <sheetFormatPr defaultColWidth="12.44140625" defaultRowHeight="15" customHeight="1" x14ac:dyDescent="0.3"/>
  <cols>
    <col min="1" max="1" width="2.6640625" style="428" customWidth="1"/>
    <col min="2" max="2" width="35.109375" style="428" customWidth="1"/>
    <col min="3" max="3" width="20.5546875" style="428" customWidth="1"/>
    <col min="4" max="4" width="19.5546875" style="428" customWidth="1"/>
    <col min="5" max="5" width="21.21875" style="428" customWidth="1"/>
    <col min="6" max="6" width="1.5546875" style="428" customWidth="1"/>
    <col min="7" max="7" width="14.6640625" style="428" customWidth="1"/>
    <col min="8" max="8" width="7.33203125" style="428" customWidth="1"/>
    <col min="9" max="9" width="11.6640625" style="428" customWidth="1"/>
    <col min="10" max="16384" width="12.44140625" style="428"/>
  </cols>
  <sheetData>
    <row r="1" spans="1:9" ht="21.75" customHeight="1" x14ac:dyDescent="0.35">
      <c r="A1" s="424"/>
      <c r="B1" s="425" t="s">
        <v>549</v>
      </c>
      <c r="C1" s="426"/>
      <c r="F1" s="427"/>
      <c r="H1" s="427"/>
    </row>
    <row r="2" spans="1:9" ht="15.75" customHeight="1" x14ac:dyDescent="0.3">
      <c r="A2" s="424"/>
      <c r="B2" s="429" t="s">
        <v>299</v>
      </c>
      <c r="C2" s="430"/>
      <c r="D2" s="430"/>
      <c r="E2" s="430"/>
      <c r="F2" s="430"/>
      <c r="G2" s="430"/>
      <c r="H2" s="430"/>
    </row>
    <row r="3" spans="1:9" ht="9.75" customHeight="1" x14ac:dyDescent="0.3">
      <c r="A3" s="427"/>
      <c r="B3" s="431"/>
      <c r="F3" s="427"/>
      <c r="H3" s="427"/>
    </row>
    <row r="4" spans="1:9" ht="6" customHeight="1" x14ac:dyDescent="0.3">
      <c r="B4" s="427"/>
      <c r="F4" s="427"/>
      <c r="H4" s="427"/>
    </row>
    <row r="5" spans="1:9" ht="6" customHeight="1" x14ac:dyDescent="0.3">
      <c r="A5" s="431"/>
      <c r="F5" s="427"/>
      <c r="H5" s="427"/>
    </row>
    <row r="6" spans="1:9" ht="15.75" customHeight="1" x14ac:dyDescent="0.3">
      <c r="C6" s="428">
        <v>1000000</v>
      </c>
      <c r="F6" s="427"/>
      <c r="G6" s="427"/>
      <c r="H6" s="427"/>
    </row>
    <row r="7" spans="1:9" ht="37.200000000000003" customHeight="1" x14ac:dyDescent="0.3">
      <c r="A7" s="432"/>
      <c r="B7" s="433">
        <v>2024</v>
      </c>
      <c r="C7" s="4385" t="s">
        <v>22</v>
      </c>
      <c r="D7" s="4386"/>
      <c r="E7" s="4387"/>
      <c r="F7" s="432"/>
      <c r="G7" s="435" t="s">
        <v>300</v>
      </c>
      <c r="H7" s="432"/>
      <c r="I7" s="432"/>
    </row>
    <row r="8" spans="1:9" ht="18" customHeight="1" x14ac:dyDescent="0.35">
      <c r="B8" s="436" t="s">
        <v>301</v>
      </c>
      <c r="C8" s="648">
        <v>1</v>
      </c>
      <c r="D8" s="572">
        <v>2</v>
      </c>
      <c r="E8" s="572">
        <v>3</v>
      </c>
      <c r="F8" s="427"/>
      <c r="G8" s="438"/>
      <c r="H8" s="427"/>
    </row>
    <row r="9" spans="1:9" ht="46.5" customHeight="1" x14ac:dyDescent="0.3">
      <c r="B9" s="439" t="s">
        <v>302</v>
      </c>
      <c r="C9" s="573" t="s">
        <v>1027</v>
      </c>
      <c r="D9" s="573" t="s">
        <v>1028</v>
      </c>
      <c r="E9" s="573" t="s">
        <v>1029</v>
      </c>
      <c r="F9" s="574"/>
      <c r="G9" s="442"/>
      <c r="H9" s="443"/>
    </row>
    <row r="10" spans="1:9" ht="46.5" customHeight="1" x14ac:dyDescent="0.3">
      <c r="B10" s="444" t="s">
        <v>304</v>
      </c>
      <c r="C10" s="445" t="s">
        <v>1030</v>
      </c>
      <c r="D10" s="445" t="s">
        <v>1031</v>
      </c>
      <c r="E10" s="445" t="s">
        <v>1032</v>
      </c>
      <c r="F10" s="574"/>
      <c r="G10" s="446"/>
      <c r="H10" s="443"/>
    </row>
    <row r="11" spans="1:9" ht="18.75" customHeight="1" x14ac:dyDescent="0.3">
      <c r="A11" s="447"/>
      <c r="B11" s="448" t="s">
        <v>306</v>
      </c>
      <c r="C11" s="575">
        <f>(C17*C18)+(C22*C23)</f>
        <v>53.409665069333329</v>
      </c>
      <c r="D11" s="575">
        <f>(D17*D18)+(D22*D23)</f>
        <v>13.945843243000002</v>
      </c>
      <c r="E11" s="575">
        <f>(E17*E18)+(E22*E23)</f>
        <v>8.4615535850000008</v>
      </c>
      <c r="F11" s="576"/>
      <c r="G11" s="451">
        <f>SUM(C11:E11)</f>
        <v>75.817061897333332</v>
      </c>
      <c r="H11" s="452"/>
      <c r="I11" s="447"/>
    </row>
    <row r="12" spans="1:9" ht="18.75" customHeight="1" x14ac:dyDescent="0.3">
      <c r="A12" s="447"/>
      <c r="B12" s="453" t="s">
        <v>307</v>
      </c>
      <c r="C12" s="577">
        <f t="shared" ref="C12:E12" si="0">(C27*C28)+(C32*C33)</f>
        <v>10.411879015199998</v>
      </c>
      <c r="D12" s="652">
        <f t="shared" si="0"/>
        <v>0.42743659354838709</v>
      </c>
      <c r="E12" s="577">
        <f t="shared" si="0"/>
        <v>0.15934060769230771</v>
      </c>
      <c r="F12" s="455"/>
      <c r="G12" s="456">
        <f>SUM(C12:E12)</f>
        <v>10.998656216440693</v>
      </c>
      <c r="H12" s="457"/>
      <c r="I12" s="447"/>
    </row>
    <row r="13" spans="1:9" ht="18.75" customHeight="1" x14ac:dyDescent="0.3">
      <c r="A13" s="447"/>
      <c r="B13" s="448" t="s">
        <v>308</v>
      </c>
      <c r="C13" s="654" t="s">
        <v>8</v>
      </c>
      <c r="D13" s="578" t="s">
        <v>8</v>
      </c>
      <c r="E13" s="578" t="s">
        <v>8</v>
      </c>
      <c r="F13" s="459"/>
      <c r="G13" s="460"/>
      <c r="H13" s="461"/>
      <c r="I13" s="447"/>
    </row>
    <row r="14" spans="1:9" ht="18.75" customHeight="1" x14ac:dyDescent="0.3">
      <c r="A14" s="447"/>
      <c r="B14" s="462" t="s">
        <v>309</v>
      </c>
      <c r="C14" s="655">
        <f t="shared" ref="C14:E14" si="1">C11-C12</f>
        <v>42.997786054133329</v>
      </c>
      <c r="D14" s="579">
        <f t="shared" si="1"/>
        <v>13.518406649451615</v>
      </c>
      <c r="E14" s="579">
        <f t="shared" si="1"/>
        <v>8.3022129773076934</v>
      </c>
      <c r="F14" s="455"/>
      <c r="G14" s="464">
        <f>SUM(C14:E14)</f>
        <v>64.818405680892639</v>
      </c>
      <c r="H14" s="457"/>
      <c r="I14" s="447"/>
    </row>
    <row r="15" spans="1:9" ht="19.5" customHeight="1" x14ac:dyDescent="0.4">
      <c r="B15" s="465" t="s">
        <v>310</v>
      </c>
      <c r="C15" s="656"/>
      <c r="D15" s="657"/>
      <c r="E15" s="580"/>
      <c r="F15" s="467"/>
      <c r="G15" s="468"/>
      <c r="H15" s="467"/>
      <c r="I15" s="427"/>
    </row>
    <row r="16" spans="1:9" ht="35.4" customHeight="1" x14ac:dyDescent="0.3">
      <c r="A16" s="447"/>
      <c r="B16" s="469" t="s">
        <v>311</v>
      </c>
      <c r="C16" s="601" t="s">
        <v>403</v>
      </c>
      <c r="D16" s="601" t="s">
        <v>523</v>
      </c>
      <c r="E16" s="601" t="s">
        <v>523</v>
      </c>
      <c r="F16" s="581"/>
      <c r="G16" s="471"/>
      <c r="H16" s="457"/>
      <c r="I16" s="447"/>
    </row>
    <row r="17" spans="1:9" ht="21" customHeight="1" x14ac:dyDescent="0.3">
      <c r="A17" s="447"/>
      <c r="B17" s="472" t="s">
        <v>313</v>
      </c>
      <c r="C17" s="582">
        <f>'CF-1203|GDS'!I11</f>
        <v>34458</v>
      </c>
      <c r="D17" s="660">
        <f>'CF-1203|GDS'!X14</f>
        <v>5101</v>
      </c>
      <c r="E17" s="1602">
        <f>'CF-1203|GDS'!Y16</f>
        <v>3095</v>
      </c>
      <c r="F17" s="583"/>
      <c r="H17" s="475"/>
      <c r="I17" s="447"/>
    </row>
    <row r="18" spans="1:9" ht="18.75" customHeight="1" x14ac:dyDescent="0.3">
      <c r="A18" s="447"/>
      <c r="B18" s="476" t="s">
        <v>314</v>
      </c>
      <c r="C18" s="584">
        <v>1.5392919999999998E-3</v>
      </c>
      <c r="D18" s="584">
        <v>2.7339430000000004E-3</v>
      </c>
      <c r="E18" s="584">
        <v>2.7339430000000004E-3</v>
      </c>
      <c r="F18" s="478"/>
      <c r="H18" s="479"/>
      <c r="I18" s="447"/>
    </row>
    <row r="19" spans="1:9" ht="19.5" customHeight="1" x14ac:dyDescent="0.3">
      <c r="A19" s="447"/>
      <c r="B19" s="480" t="s">
        <v>315</v>
      </c>
      <c r="C19" s="663">
        <f>C17*C18</f>
        <v>53.040923735999996</v>
      </c>
      <c r="D19" s="664">
        <f>D17*D18</f>
        <v>13.945843243000002</v>
      </c>
      <c r="E19" s="585">
        <f>E17*E18</f>
        <v>8.4615535850000008</v>
      </c>
      <c r="F19" s="586"/>
      <c r="H19" s="479"/>
      <c r="I19" s="447"/>
    </row>
    <row r="20" spans="1:9" ht="19.5" customHeight="1" x14ac:dyDescent="0.4">
      <c r="B20" s="465" t="s">
        <v>310</v>
      </c>
      <c r="C20" s="656"/>
      <c r="D20" s="657"/>
      <c r="E20" s="580"/>
      <c r="F20" s="467"/>
      <c r="H20" s="467"/>
    </row>
    <row r="21" spans="1:9" ht="37.950000000000003" customHeight="1" x14ac:dyDescent="0.3">
      <c r="A21" s="447"/>
      <c r="B21" s="469" t="s">
        <v>311</v>
      </c>
      <c r="C21" s="601" t="s">
        <v>352</v>
      </c>
      <c r="D21" s="601" t="s">
        <v>88</v>
      </c>
      <c r="E21" s="601" t="s">
        <v>88</v>
      </c>
      <c r="F21" s="1094"/>
      <c r="H21" s="457"/>
      <c r="I21" s="447"/>
    </row>
    <row r="22" spans="1:9" ht="21" customHeight="1" x14ac:dyDescent="0.3">
      <c r="A22" s="447"/>
      <c r="B22" s="472" t="s">
        <v>319</v>
      </c>
      <c r="C22" s="661">
        <f>'CF-1203|GDS'!I12</f>
        <v>216906.66666666666</v>
      </c>
      <c r="D22" s="661">
        <v>0</v>
      </c>
      <c r="E22" s="661">
        <v>0</v>
      </c>
      <c r="F22" s="583"/>
      <c r="H22" s="475"/>
      <c r="I22" s="447"/>
    </row>
    <row r="23" spans="1:9" ht="18.75" customHeight="1" x14ac:dyDescent="0.3">
      <c r="A23" s="447"/>
      <c r="B23" s="476" t="s">
        <v>314</v>
      </c>
      <c r="C23" s="584">
        <v>1.7E-6</v>
      </c>
      <c r="D23" s="584">
        <v>0</v>
      </c>
      <c r="E23" s="584">
        <v>0</v>
      </c>
      <c r="F23" s="586"/>
      <c r="G23" s="1095"/>
      <c r="H23" s="479"/>
      <c r="I23" s="447"/>
    </row>
    <row r="24" spans="1:9" ht="19.5" customHeight="1" x14ac:dyDescent="0.3">
      <c r="A24" s="447"/>
      <c r="B24" s="480" t="s">
        <v>315</v>
      </c>
      <c r="C24" s="663">
        <f>C22*C23</f>
        <v>0.36874133333333331</v>
      </c>
      <c r="D24" s="664">
        <f>D22*D23</f>
        <v>0</v>
      </c>
      <c r="E24" s="585">
        <f>E22*E23</f>
        <v>0</v>
      </c>
      <c r="F24" s="586"/>
      <c r="G24" s="1096"/>
      <c r="H24" s="479"/>
      <c r="I24" s="447"/>
    </row>
    <row r="25" spans="1:9" ht="21" customHeight="1" x14ac:dyDescent="0.4">
      <c r="B25" s="465" t="s">
        <v>316</v>
      </c>
      <c r="C25" s="665"/>
      <c r="D25" s="587"/>
      <c r="E25" s="587"/>
      <c r="F25" s="483"/>
      <c r="G25" s="484"/>
      <c r="H25" s="483"/>
    </row>
    <row r="26" spans="1:9" ht="32.4" customHeight="1" x14ac:dyDescent="0.3">
      <c r="A26" s="447"/>
      <c r="B26" s="469" t="s">
        <v>183</v>
      </c>
      <c r="C26" s="601" t="s">
        <v>403</v>
      </c>
      <c r="D26" s="601" t="s">
        <v>352</v>
      </c>
      <c r="E26" s="601" t="s">
        <v>352</v>
      </c>
      <c r="F26" s="588"/>
      <c r="G26" s="485"/>
      <c r="H26" s="479"/>
      <c r="I26" s="447"/>
    </row>
    <row r="27" spans="1:9" ht="21" customHeight="1" x14ac:dyDescent="0.3">
      <c r="A27" s="447"/>
      <c r="B27" s="486" t="s">
        <v>2342</v>
      </c>
      <c r="C27" s="666">
        <f>'CF-1203|GDS'!I10</f>
        <v>5820.5999999999995</v>
      </c>
      <c r="D27" s="589">
        <f>'CF-1203|GDS'!I15</f>
        <v>251433.29032258064</v>
      </c>
      <c r="E27" s="589">
        <f>'CF-1203|GDS'!I17</f>
        <v>93729.769230769234</v>
      </c>
      <c r="F27" s="479"/>
      <c r="G27" s="488"/>
      <c r="H27" s="479"/>
      <c r="I27" s="447"/>
    </row>
    <row r="28" spans="1:9" ht="21" customHeight="1" x14ac:dyDescent="0.3">
      <c r="A28" s="447"/>
      <c r="B28" s="489" t="s">
        <v>314</v>
      </c>
      <c r="C28" s="590">
        <v>1.5392919999999998E-3</v>
      </c>
      <c r="D28" s="590">
        <v>1.7E-6</v>
      </c>
      <c r="E28" s="590">
        <v>1.7E-6</v>
      </c>
      <c r="F28" s="588"/>
      <c r="G28" s="491"/>
      <c r="H28" s="479"/>
      <c r="I28" s="447"/>
    </row>
    <row r="29" spans="1:9" ht="21" customHeight="1" x14ac:dyDescent="0.3">
      <c r="A29" s="447"/>
      <c r="B29" s="492" t="s">
        <v>315</v>
      </c>
      <c r="C29" s="668">
        <f t="shared" ref="C29:E29" si="2">C27*C28</f>
        <v>8.959603015199999</v>
      </c>
      <c r="D29" s="668">
        <f t="shared" si="2"/>
        <v>0.42743659354838709</v>
      </c>
      <c r="E29" s="591">
        <f t="shared" si="2"/>
        <v>0.15934060769230771</v>
      </c>
      <c r="F29" s="588"/>
      <c r="G29" s="494"/>
      <c r="H29" s="479"/>
      <c r="I29" s="447"/>
    </row>
    <row r="30" spans="1:9" ht="21" customHeight="1" x14ac:dyDescent="0.4">
      <c r="B30" s="465" t="s">
        <v>316</v>
      </c>
      <c r="C30" s="665"/>
      <c r="D30" s="587"/>
      <c r="E30" s="587"/>
      <c r="F30" s="483"/>
      <c r="G30" s="495"/>
      <c r="H30" s="483"/>
    </row>
    <row r="31" spans="1:9" ht="30.6" customHeight="1" x14ac:dyDescent="0.3">
      <c r="A31" s="447"/>
      <c r="B31" s="469" t="s">
        <v>183</v>
      </c>
      <c r="C31" s="601" t="s">
        <v>352</v>
      </c>
      <c r="D31" s="601" t="s">
        <v>88</v>
      </c>
      <c r="E31" s="601" t="s">
        <v>88</v>
      </c>
      <c r="F31" s="588"/>
      <c r="G31" s="496"/>
      <c r="H31" s="479"/>
      <c r="I31" s="447"/>
    </row>
    <row r="32" spans="1:9" ht="21" customHeight="1" x14ac:dyDescent="0.3">
      <c r="A32" s="447"/>
      <c r="B32" s="486" t="s">
        <v>2342</v>
      </c>
      <c r="C32" s="666">
        <f>'CF-1203|GDS'!I13</f>
        <v>854280</v>
      </c>
      <c r="D32" s="589">
        <v>0</v>
      </c>
      <c r="E32" s="589">
        <v>0</v>
      </c>
      <c r="F32" s="479"/>
      <c r="G32" s="488"/>
      <c r="H32" s="479"/>
      <c r="I32" s="447"/>
    </row>
    <row r="33" spans="1:9" ht="21" customHeight="1" x14ac:dyDescent="0.3">
      <c r="A33" s="447"/>
      <c r="B33" s="489" t="s">
        <v>314</v>
      </c>
      <c r="C33" s="590">
        <v>1.7E-6</v>
      </c>
      <c r="D33" s="590">
        <v>0</v>
      </c>
      <c r="E33" s="590">
        <v>0</v>
      </c>
      <c r="F33" s="588"/>
      <c r="G33" s="491"/>
      <c r="H33" s="479"/>
      <c r="I33" s="447"/>
    </row>
    <row r="34" spans="1:9" ht="21" customHeight="1" x14ac:dyDescent="0.3">
      <c r="A34" s="447"/>
      <c r="B34" s="492" t="s">
        <v>315</v>
      </c>
      <c r="C34" s="668">
        <f t="shared" ref="C34:E34" si="3">C32*C33</f>
        <v>1.4522760000000001</v>
      </c>
      <c r="D34" s="668">
        <f t="shared" si="3"/>
        <v>0</v>
      </c>
      <c r="E34" s="591">
        <f t="shared" si="3"/>
        <v>0</v>
      </c>
      <c r="F34" s="588"/>
      <c r="G34" s="494"/>
      <c r="H34" s="479"/>
      <c r="I34" s="447"/>
    </row>
    <row r="35" spans="1:9" ht="28.5" customHeight="1" x14ac:dyDescent="0.3">
      <c r="A35" s="447"/>
      <c r="B35" s="498" t="s">
        <v>320</v>
      </c>
      <c r="C35" s="592" t="s">
        <v>1033</v>
      </c>
      <c r="D35" s="592" t="s">
        <v>1033</v>
      </c>
      <c r="E35" s="592" t="s">
        <v>1033</v>
      </c>
      <c r="F35" s="593"/>
      <c r="G35" s="501"/>
      <c r="H35" s="500"/>
      <c r="I35" s="447"/>
    </row>
    <row r="36" spans="1:9" ht="24" customHeight="1" x14ac:dyDescent="0.3">
      <c r="B36" s="502" t="s">
        <v>322</v>
      </c>
      <c r="C36" s="673">
        <v>3</v>
      </c>
      <c r="D36" s="594">
        <v>3</v>
      </c>
      <c r="E36" s="594">
        <v>3</v>
      </c>
      <c r="F36" s="504"/>
      <c r="G36" s="505"/>
      <c r="H36" s="504"/>
    </row>
    <row r="37" spans="1:9" ht="33" customHeight="1" x14ac:dyDescent="0.3">
      <c r="A37" s="447"/>
      <c r="B37" s="506" t="s">
        <v>323</v>
      </c>
      <c r="C37" s="496" t="s">
        <v>324</v>
      </c>
      <c r="D37" s="595" t="s">
        <v>324</v>
      </c>
      <c r="E37" s="595" t="s">
        <v>324</v>
      </c>
      <c r="F37" s="479"/>
      <c r="G37" s="496"/>
      <c r="H37" s="479"/>
      <c r="I37" s="447"/>
    </row>
    <row r="38" spans="1:9" ht="33" customHeight="1" x14ac:dyDescent="0.3">
      <c r="A38" s="447"/>
      <c r="B38" s="508" t="s">
        <v>325</v>
      </c>
      <c r="C38" s="674" t="s">
        <v>326</v>
      </c>
      <c r="D38" s="596" t="s">
        <v>326</v>
      </c>
      <c r="E38" s="596" t="s">
        <v>326</v>
      </c>
      <c r="F38" s="479"/>
      <c r="G38" s="496"/>
      <c r="H38" s="479"/>
      <c r="I38" s="447"/>
    </row>
    <row r="39" spans="1:9" ht="33" customHeight="1" x14ac:dyDescent="0.3">
      <c r="A39" s="447"/>
      <c r="B39" s="506" t="s">
        <v>327</v>
      </c>
      <c r="C39" s="595" t="s">
        <v>925</v>
      </c>
      <c r="D39" s="595" t="s">
        <v>433</v>
      </c>
      <c r="E39" s="595" t="s">
        <v>328</v>
      </c>
      <c r="F39" s="479"/>
      <c r="G39" s="496"/>
      <c r="H39" s="479"/>
      <c r="I39" s="447"/>
    </row>
    <row r="40" spans="1:9" ht="21" customHeight="1" x14ac:dyDescent="0.3">
      <c r="B40" s="510" t="s">
        <v>329</v>
      </c>
      <c r="C40" s="596">
        <v>1</v>
      </c>
      <c r="D40" s="596">
        <v>1</v>
      </c>
      <c r="E40" s="596">
        <v>1</v>
      </c>
      <c r="F40" s="467"/>
      <c r="G40" s="467"/>
      <c r="H40" s="467"/>
    </row>
    <row r="41" spans="1:9" ht="21" customHeight="1" x14ac:dyDescent="0.3">
      <c r="B41" s="453" t="s">
        <v>330</v>
      </c>
      <c r="C41" s="496" t="s">
        <v>324</v>
      </c>
      <c r="D41" s="595" t="s">
        <v>324</v>
      </c>
      <c r="E41" s="595" t="s">
        <v>324</v>
      </c>
      <c r="F41" s="483"/>
      <c r="G41" s="495"/>
      <c r="H41" s="483"/>
    </row>
    <row r="42" spans="1:9" ht="21" customHeight="1" x14ac:dyDescent="0.3">
      <c r="B42" s="510" t="s">
        <v>331</v>
      </c>
      <c r="C42" s="674" t="s">
        <v>324</v>
      </c>
      <c r="D42" s="596" t="s">
        <v>324</v>
      </c>
      <c r="E42" s="596" t="s">
        <v>324</v>
      </c>
      <c r="F42" s="483"/>
      <c r="G42" s="495"/>
      <c r="H42" s="483"/>
    </row>
    <row r="43" spans="1:9" ht="21" customHeight="1" x14ac:dyDescent="0.3">
      <c r="B43" s="462" t="s">
        <v>332</v>
      </c>
      <c r="C43" s="675" t="s">
        <v>333</v>
      </c>
      <c r="D43" s="555" t="s">
        <v>333</v>
      </c>
      <c r="E43" s="555" t="s">
        <v>333</v>
      </c>
      <c r="F43" s="483"/>
      <c r="G43" s="495"/>
      <c r="H43" s="483"/>
    </row>
    <row r="44" spans="1:9" ht="15.75" customHeight="1" x14ac:dyDescent="0.3">
      <c r="B44" s="427"/>
      <c r="C44" s="427"/>
      <c r="D44" s="427"/>
      <c r="E44" s="427"/>
      <c r="F44" s="483"/>
      <c r="G44" s="483"/>
      <c r="H44" s="483"/>
    </row>
    <row r="45" spans="1:9" ht="15.75" customHeight="1" x14ac:dyDescent="0.3">
      <c r="B45" s="512" t="s">
        <v>334</v>
      </c>
      <c r="C45" s="427"/>
      <c r="D45" s="427"/>
      <c r="E45" s="427"/>
      <c r="F45" s="483"/>
      <c r="G45" s="483"/>
      <c r="H45" s="483"/>
    </row>
    <row r="46" spans="1:9" ht="15.75" customHeight="1" x14ac:dyDescent="0.3">
      <c r="B46" s="512" t="s">
        <v>335</v>
      </c>
      <c r="C46" s="427"/>
      <c r="D46" s="427"/>
      <c r="E46" s="427"/>
      <c r="F46" s="483"/>
      <c r="G46" s="483"/>
      <c r="H46" s="483"/>
    </row>
    <row r="47" spans="1:9" ht="15.75" customHeight="1" x14ac:dyDescent="0.3">
      <c r="B47" s="512" t="s">
        <v>336</v>
      </c>
      <c r="C47" s="427"/>
      <c r="D47" s="427"/>
      <c r="E47" s="427"/>
      <c r="F47" s="483"/>
      <c r="G47" s="483"/>
      <c r="H47" s="483"/>
    </row>
    <row r="48" spans="1:9" ht="15.75" customHeight="1" x14ac:dyDescent="0.3">
      <c r="B48" s="512" t="s">
        <v>337</v>
      </c>
      <c r="C48" s="427"/>
      <c r="D48" s="427"/>
      <c r="E48" s="427"/>
      <c r="F48" s="483"/>
      <c r="G48" s="483"/>
      <c r="H48" s="483"/>
    </row>
    <row r="49" spans="2:8" ht="15.75" customHeight="1" x14ac:dyDescent="0.3">
      <c r="B49" s="512" t="s">
        <v>338</v>
      </c>
      <c r="F49" s="427"/>
      <c r="H49" s="427"/>
    </row>
    <row r="50" spans="2:8" ht="15.75" customHeight="1" x14ac:dyDescent="0.3">
      <c r="B50" s="512" t="s">
        <v>339</v>
      </c>
      <c r="F50" s="427"/>
      <c r="H50" s="427"/>
    </row>
    <row r="51" spans="2:8" ht="15.75" customHeight="1" x14ac:dyDescent="0.3">
      <c r="F51" s="427"/>
      <c r="H51" s="427"/>
    </row>
    <row r="52" spans="2:8" ht="15.75" customHeight="1" x14ac:dyDescent="0.3">
      <c r="F52" s="427"/>
      <c r="H52" s="427"/>
    </row>
    <row r="53" spans="2:8" ht="15.75" customHeight="1" x14ac:dyDescent="0.3">
      <c r="F53" s="427"/>
      <c r="H53" s="427"/>
    </row>
    <row r="54" spans="2:8" ht="15.75" customHeight="1" x14ac:dyDescent="0.3">
      <c r="F54" s="427"/>
      <c r="H54" s="427"/>
    </row>
    <row r="55" spans="2:8" ht="15.75" customHeight="1" x14ac:dyDescent="0.3">
      <c r="F55" s="427"/>
      <c r="H55" s="427"/>
    </row>
    <row r="56" spans="2:8" ht="15.75" customHeight="1" x14ac:dyDescent="0.3">
      <c r="F56" s="427"/>
      <c r="H56" s="427"/>
    </row>
    <row r="57" spans="2:8" ht="15.75" customHeight="1" x14ac:dyDescent="0.3">
      <c r="F57" s="427"/>
      <c r="H57" s="427"/>
    </row>
    <row r="58" spans="2:8" ht="15.75" customHeight="1" x14ac:dyDescent="0.3">
      <c r="F58" s="427"/>
      <c r="H58" s="427"/>
    </row>
    <row r="59" spans="2:8" ht="15.75" customHeight="1" x14ac:dyDescent="0.3">
      <c r="F59" s="427"/>
      <c r="H59" s="427"/>
    </row>
    <row r="60" spans="2:8" ht="15.75" customHeight="1" x14ac:dyDescent="0.3">
      <c r="F60" s="427"/>
      <c r="H60" s="427"/>
    </row>
    <row r="61" spans="2:8" ht="15.75" customHeight="1" x14ac:dyDescent="0.3">
      <c r="F61" s="427"/>
      <c r="H61" s="427"/>
    </row>
    <row r="62" spans="2:8" ht="15.75" customHeight="1" x14ac:dyDescent="0.3">
      <c r="F62" s="427"/>
      <c r="H62" s="427"/>
    </row>
    <row r="63" spans="2:8" ht="15.75" customHeight="1" x14ac:dyDescent="0.3">
      <c r="F63" s="427"/>
      <c r="H63" s="427"/>
    </row>
    <row r="64" spans="2:8" ht="15.75" customHeight="1" x14ac:dyDescent="0.3">
      <c r="F64" s="427"/>
      <c r="H64" s="427"/>
    </row>
    <row r="65" spans="6:8" ht="15.75" customHeight="1" x14ac:dyDescent="0.3">
      <c r="F65" s="427"/>
      <c r="H65" s="427"/>
    </row>
    <row r="66" spans="6:8" ht="15.75" customHeight="1" x14ac:dyDescent="0.3">
      <c r="F66" s="427"/>
      <c r="H66" s="427"/>
    </row>
    <row r="67" spans="6:8" ht="15.75" customHeight="1" x14ac:dyDescent="0.3">
      <c r="F67" s="427"/>
      <c r="H67" s="427"/>
    </row>
    <row r="68" spans="6:8" ht="15.75" customHeight="1" x14ac:dyDescent="0.3">
      <c r="F68" s="427"/>
      <c r="H68" s="427"/>
    </row>
    <row r="69" spans="6:8" ht="15.75" customHeight="1" x14ac:dyDescent="0.3">
      <c r="F69" s="427"/>
      <c r="H69" s="427"/>
    </row>
    <row r="70" spans="6:8" ht="15.75" customHeight="1" x14ac:dyDescent="0.3">
      <c r="F70" s="427"/>
      <c r="H70" s="427"/>
    </row>
    <row r="71" spans="6:8" ht="15.75" customHeight="1" x14ac:dyDescent="0.3">
      <c r="F71" s="427"/>
      <c r="H71" s="427"/>
    </row>
    <row r="72" spans="6:8" ht="15.75" customHeight="1" x14ac:dyDescent="0.3">
      <c r="F72" s="427"/>
      <c r="H72" s="427"/>
    </row>
    <row r="73" spans="6:8" ht="15.75" customHeight="1" x14ac:dyDescent="0.3">
      <c r="F73" s="427"/>
      <c r="H73" s="427"/>
    </row>
    <row r="74" spans="6:8" ht="15.75" customHeight="1" x14ac:dyDescent="0.3">
      <c r="F74" s="427"/>
      <c r="H74" s="427"/>
    </row>
    <row r="75" spans="6:8" ht="15.75" customHeight="1" x14ac:dyDescent="0.3">
      <c r="F75" s="427"/>
      <c r="H75" s="427"/>
    </row>
    <row r="76" spans="6:8" ht="15.75" customHeight="1" x14ac:dyDescent="0.3">
      <c r="F76" s="427"/>
      <c r="H76" s="427"/>
    </row>
    <row r="77" spans="6:8" ht="15.75" customHeight="1" x14ac:dyDescent="0.3">
      <c r="F77" s="427"/>
      <c r="H77" s="427"/>
    </row>
    <row r="78" spans="6:8" ht="15.75" customHeight="1" x14ac:dyDescent="0.3">
      <c r="F78" s="427"/>
      <c r="H78" s="427"/>
    </row>
    <row r="79" spans="6:8" ht="15.75" customHeight="1" x14ac:dyDescent="0.3">
      <c r="F79" s="427"/>
      <c r="H79" s="427"/>
    </row>
    <row r="80" spans="6:8" ht="15.75" customHeight="1" x14ac:dyDescent="0.3">
      <c r="F80" s="427"/>
      <c r="H80" s="427"/>
    </row>
    <row r="81" spans="6:8" ht="15.75" customHeight="1" x14ac:dyDescent="0.3">
      <c r="F81" s="427"/>
      <c r="H81" s="427"/>
    </row>
    <row r="82" spans="6:8" ht="15.75" customHeight="1" x14ac:dyDescent="0.3">
      <c r="F82" s="427"/>
      <c r="H82" s="427"/>
    </row>
    <row r="83" spans="6:8" ht="15.75" customHeight="1" x14ac:dyDescent="0.3">
      <c r="F83" s="427"/>
      <c r="H83" s="427"/>
    </row>
    <row r="84" spans="6:8" ht="15.75" customHeight="1" x14ac:dyDescent="0.3">
      <c r="F84" s="427"/>
      <c r="H84" s="427"/>
    </row>
    <row r="85" spans="6:8" ht="15.75" customHeight="1" x14ac:dyDescent="0.3">
      <c r="F85" s="427"/>
      <c r="H85" s="427"/>
    </row>
    <row r="86" spans="6:8" ht="15.75" customHeight="1" x14ac:dyDescent="0.3">
      <c r="F86" s="427"/>
      <c r="H86" s="427"/>
    </row>
    <row r="87" spans="6:8" ht="15.75" customHeight="1" x14ac:dyDescent="0.3">
      <c r="F87" s="427"/>
      <c r="H87" s="427"/>
    </row>
    <row r="88" spans="6:8" ht="15.75" customHeight="1" x14ac:dyDescent="0.3">
      <c r="F88" s="427"/>
      <c r="H88" s="427"/>
    </row>
    <row r="89" spans="6:8" ht="15.75" customHeight="1" x14ac:dyDescent="0.3">
      <c r="F89" s="427"/>
      <c r="H89" s="427"/>
    </row>
    <row r="90" spans="6:8" ht="15.75" customHeight="1" x14ac:dyDescent="0.3">
      <c r="F90" s="427"/>
      <c r="H90" s="427"/>
    </row>
    <row r="91" spans="6:8" ht="15.75" customHeight="1" x14ac:dyDescent="0.3">
      <c r="F91" s="427"/>
      <c r="H91" s="427"/>
    </row>
    <row r="92" spans="6:8" ht="15.75" customHeight="1" x14ac:dyDescent="0.3">
      <c r="F92" s="427"/>
      <c r="H92" s="427"/>
    </row>
    <row r="93" spans="6:8" ht="15.75" customHeight="1" x14ac:dyDescent="0.3">
      <c r="F93" s="427"/>
      <c r="H93" s="427"/>
    </row>
    <row r="94" spans="6:8" ht="15.75" customHeight="1" x14ac:dyDescent="0.3">
      <c r="F94" s="427"/>
      <c r="H94" s="427"/>
    </row>
    <row r="95" spans="6:8" ht="15.75" customHeight="1" x14ac:dyDescent="0.3">
      <c r="F95" s="427"/>
      <c r="H95" s="427"/>
    </row>
    <row r="96" spans="6:8" ht="15.75" customHeight="1" x14ac:dyDescent="0.3">
      <c r="F96" s="427"/>
      <c r="H96" s="427"/>
    </row>
    <row r="97" spans="6:8" ht="15.75" customHeight="1" x14ac:dyDescent="0.3">
      <c r="F97" s="427"/>
      <c r="H97" s="427"/>
    </row>
    <row r="98" spans="6:8" ht="15.75" customHeight="1" x14ac:dyDescent="0.3">
      <c r="F98" s="427"/>
      <c r="H98" s="427"/>
    </row>
    <row r="99" spans="6:8" ht="15.75" customHeight="1" x14ac:dyDescent="0.3">
      <c r="F99" s="427"/>
      <c r="H99" s="427"/>
    </row>
    <row r="100" spans="6:8" ht="15.75" customHeight="1" x14ac:dyDescent="0.3">
      <c r="F100" s="427"/>
      <c r="H100" s="427"/>
    </row>
    <row r="101" spans="6:8" ht="15.75" customHeight="1" x14ac:dyDescent="0.3">
      <c r="F101" s="427"/>
      <c r="H101" s="427"/>
    </row>
    <row r="102" spans="6:8" ht="15.75" customHeight="1" x14ac:dyDescent="0.3">
      <c r="F102" s="427"/>
      <c r="H102" s="427"/>
    </row>
    <row r="103" spans="6:8" ht="15.75" customHeight="1" x14ac:dyDescent="0.3">
      <c r="F103" s="427"/>
      <c r="H103" s="427"/>
    </row>
    <row r="104" spans="6:8" ht="15.75" customHeight="1" x14ac:dyDescent="0.3">
      <c r="F104" s="427"/>
      <c r="H104" s="427"/>
    </row>
    <row r="105" spans="6:8" ht="15.75" customHeight="1" x14ac:dyDescent="0.3">
      <c r="F105" s="427"/>
      <c r="H105" s="427"/>
    </row>
    <row r="106" spans="6:8" ht="15.75" customHeight="1" x14ac:dyDescent="0.3">
      <c r="F106" s="427"/>
      <c r="H106" s="427"/>
    </row>
    <row r="107" spans="6:8" ht="15.75" customHeight="1" x14ac:dyDescent="0.3">
      <c r="F107" s="427"/>
      <c r="H107" s="427"/>
    </row>
    <row r="108" spans="6:8" ht="15.75" customHeight="1" x14ac:dyDescent="0.3">
      <c r="F108" s="427"/>
      <c r="H108" s="427"/>
    </row>
    <row r="109" spans="6:8" ht="15.75" customHeight="1" x14ac:dyDescent="0.3">
      <c r="F109" s="427"/>
      <c r="H109" s="427"/>
    </row>
    <row r="110" spans="6:8" ht="15.75" customHeight="1" x14ac:dyDescent="0.3">
      <c r="F110" s="427"/>
      <c r="H110" s="427"/>
    </row>
    <row r="111" spans="6:8" ht="15.75" customHeight="1" x14ac:dyDescent="0.3">
      <c r="F111" s="427"/>
      <c r="H111" s="427"/>
    </row>
    <row r="112" spans="6:8" ht="15.75" customHeight="1" x14ac:dyDescent="0.3">
      <c r="F112" s="427"/>
      <c r="H112" s="427"/>
    </row>
    <row r="113" spans="6:8" ht="15.75" customHeight="1" x14ac:dyDescent="0.3">
      <c r="F113" s="427"/>
      <c r="H113" s="427"/>
    </row>
    <row r="114" spans="6:8" ht="15.75" customHeight="1" x14ac:dyDescent="0.3">
      <c r="F114" s="427"/>
      <c r="H114" s="427"/>
    </row>
    <row r="115" spans="6:8" ht="15.75" customHeight="1" x14ac:dyDescent="0.3">
      <c r="F115" s="427"/>
      <c r="H115" s="427"/>
    </row>
    <row r="116" spans="6:8" ht="15.75" customHeight="1" x14ac:dyDescent="0.3">
      <c r="F116" s="427"/>
      <c r="H116" s="427"/>
    </row>
    <row r="117" spans="6:8" ht="15.75" customHeight="1" x14ac:dyDescent="0.3">
      <c r="F117" s="427"/>
      <c r="H117" s="427"/>
    </row>
    <row r="118" spans="6:8" ht="15.75" customHeight="1" x14ac:dyDescent="0.3">
      <c r="F118" s="427"/>
      <c r="H118" s="427"/>
    </row>
    <row r="119" spans="6:8" ht="15.75" customHeight="1" x14ac:dyDescent="0.3">
      <c r="F119" s="427"/>
      <c r="H119" s="427"/>
    </row>
    <row r="120" spans="6:8" ht="15.75" customHeight="1" x14ac:dyDescent="0.3">
      <c r="F120" s="427"/>
      <c r="H120" s="427"/>
    </row>
    <row r="121" spans="6:8" ht="15.75" customHeight="1" x14ac:dyDescent="0.3">
      <c r="F121" s="427"/>
      <c r="H121" s="427"/>
    </row>
    <row r="122" spans="6:8" ht="15.75" customHeight="1" x14ac:dyDescent="0.3">
      <c r="F122" s="427"/>
      <c r="H122" s="427"/>
    </row>
    <row r="123" spans="6:8" ht="15.75" customHeight="1" x14ac:dyDescent="0.3">
      <c r="F123" s="427"/>
      <c r="H123" s="427"/>
    </row>
    <row r="124" spans="6:8" ht="15.75" customHeight="1" x14ac:dyDescent="0.3">
      <c r="F124" s="427"/>
      <c r="H124" s="427"/>
    </row>
    <row r="125" spans="6:8" ht="15.75" customHeight="1" x14ac:dyDescent="0.3">
      <c r="F125" s="427"/>
      <c r="H125" s="427"/>
    </row>
    <row r="126" spans="6:8" ht="15.75" customHeight="1" x14ac:dyDescent="0.3">
      <c r="F126" s="427"/>
      <c r="H126" s="427"/>
    </row>
    <row r="127" spans="6:8" ht="15.75" customHeight="1" x14ac:dyDescent="0.3">
      <c r="F127" s="427"/>
      <c r="H127" s="427"/>
    </row>
    <row r="128" spans="6:8" ht="15.75" customHeight="1" x14ac:dyDescent="0.3">
      <c r="F128" s="427"/>
      <c r="H128" s="427"/>
    </row>
    <row r="129" spans="6:8" ht="15.75" customHeight="1" x14ac:dyDescent="0.3">
      <c r="F129" s="427"/>
      <c r="H129" s="427"/>
    </row>
    <row r="130" spans="6:8" ht="15.75" customHeight="1" x14ac:dyDescent="0.3">
      <c r="F130" s="427"/>
      <c r="H130" s="427"/>
    </row>
    <row r="131" spans="6:8" ht="15.75" customHeight="1" x14ac:dyDescent="0.3">
      <c r="F131" s="427"/>
      <c r="H131" s="427"/>
    </row>
    <row r="132" spans="6:8" ht="15.75" customHeight="1" x14ac:dyDescent="0.3">
      <c r="F132" s="427"/>
      <c r="H132" s="427"/>
    </row>
    <row r="133" spans="6:8" ht="15.75" customHeight="1" x14ac:dyDescent="0.3">
      <c r="F133" s="427"/>
      <c r="H133" s="427"/>
    </row>
    <row r="134" spans="6:8" ht="15.75" customHeight="1" x14ac:dyDescent="0.3">
      <c r="F134" s="427"/>
      <c r="H134" s="427"/>
    </row>
    <row r="135" spans="6:8" ht="15.75" customHeight="1" x14ac:dyDescent="0.3">
      <c r="F135" s="427"/>
      <c r="H135" s="427"/>
    </row>
    <row r="136" spans="6:8" ht="15.75" customHeight="1" x14ac:dyDescent="0.3">
      <c r="F136" s="427"/>
      <c r="H136" s="427"/>
    </row>
    <row r="137" spans="6:8" ht="15.75" customHeight="1" x14ac:dyDescent="0.3">
      <c r="F137" s="427"/>
      <c r="H137" s="427"/>
    </row>
    <row r="138" spans="6:8" ht="15.75" customHeight="1" x14ac:dyDescent="0.3">
      <c r="F138" s="427"/>
      <c r="H138" s="427"/>
    </row>
    <row r="139" spans="6:8" ht="15.75" customHeight="1" x14ac:dyDescent="0.3">
      <c r="F139" s="427"/>
      <c r="H139" s="427"/>
    </row>
    <row r="140" spans="6:8" ht="15.75" customHeight="1" x14ac:dyDescent="0.3">
      <c r="F140" s="427"/>
      <c r="H140" s="427"/>
    </row>
    <row r="141" spans="6:8" ht="15.75" customHeight="1" x14ac:dyDescent="0.3">
      <c r="F141" s="427"/>
      <c r="H141" s="427"/>
    </row>
    <row r="142" spans="6:8" ht="15.75" customHeight="1" x14ac:dyDescent="0.3">
      <c r="F142" s="427"/>
      <c r="H142" s="427"/>
    </row>
    <row r="143" spans="6:8" ht="15.75" customHeight="1" x14ac:dyDescent="0.3">
      <c r="F143" s="427"/>
      <c r="H143" s="427"/>
    </row>
    <row r="144" spans="6:8" ht="15.75" customHeight="1" x14ac:dyDescent="0.3">
      <c r="F144" s="427"/>
      <c r="H144" s="427"/>
    </row>
    <row r="145" spans="6:8" ht="15.75" customHeight="1" x14ac:dyDescent="0.3">
      <c r="F145" s="427"/>
      <c r="H145" s="427"/>
    </row>
    <row r="146" spans="6:8" ht="15.75" customHeight="1" x14ac:dyDescent="0.3">
      <c r="F146" s="427"/>
      <c r="H146" s="427"/>
    </row>
    <row r="147" spans="6:8" ht="15.75" customHeight="1" x14ac:dyDescent="0.3">
      <c r="F147" s="427"/>
      <c r="H147" s="427"/>
    </row>
    <row r="148" spans="6:8" ht="15.75" customHeight="1" x14ac:dyDescent="0.3">
      <c r="F148" s="427"/>
      <c r="H148" s="427"/>
    </row>
    <row r="149" spans="6:8" ht="15.75" customHeight="1" x14ac:dyDescent="0.3">
      <c r="F149" s="427"/>
      <c r="H149" s="427"/>
    </row>
    <row r="150" spans="6:8" ht="15.75" customHeight="1" x14ac:dyDescent="0.3">
      <c r="F150" s="427"/>
      <c r="H150" s="427"/>
    </row>
    <row r="151" spans="6:8" ht="15.75" customHeight="1" x14ac:dyDescent="0.3">
      <c r="F151" s="427"/>
      <c r="H151" s="427"/>
    </row>
    <row r="152" spans="6:8" ht="15.75" customHeight="1" x14ac:dyDescent="0.3">
      <c r="F152" s="427"/>
      <c r="H152" s="427"/>
    </row>
    <row r="153" spans="6:8" ht="15.75" customHeight="1" x14ac:dyDescent="0.3">
      <c r="F153" s="427"/>
      <c r="H153" s="427"/>
    </row>
    <row r="154" spans="6:8" ht="15.75" customHeight="1" x14ac:dyDescent="0.3">
      <c r="F154" s="427"/>
      <c r="H154" s="427"/>
    </row>
    <row r="155" spans="6:8" ht="15.75" customHeight="1" x14ac:dyDescent="0.3">
      <c r="F155" s="427"/>
      <c r="H155" s="427"/>
    </row>
    <row r="156" spans="6:8" ht="15.75" customHeight="1" x14ac:dyDescent="0.3">
      <c r="F156" s="427"/>
      <c r="H156" s="427"/>
    </row>
    <row r="157" spans="6:8" ht="15.75" customHeight="1" x14ac:dyDescent="0.3">
      <c r="F157" s="427"/>
      <c r="H157" s="427"/>
    </row>
    <row r="158" spans="6:8" ht="15.75" customHeight="1" x14ac:dyDescent="0.3">
      <c r="F158" s="427"/>
      <c r="H158" s="427"/>
    </row>
    <row r="159" spans="6:8" ht="15.75" customHeight="1" x14ac:dyDescent="0.3">
      <c r="F159" s="427"/>
      <c r="H159" s="427"/>
    </row>
    <row r="160" spans="6:8" ht="15.75" customHeight="1" x14ac:dyDescent="0.3">
      <c r="F160" s="427"/>
      <c r="H160" s="427"/>
    </row>
    <row r="161" spans="6:8" ht="15.75" customHeight="1" x14ac:dyDescent="0.3">
      <c r="F161" s="427"/>
      <c r="H161" s="427"/>
    </row>
    <row r="162" spans="6:8" ht="15.75" customHeight="1" x14ac:dyDescent="0.3">
      <c r="F162" s="427"/>
      <c r="H162" s="427"/>
    </row>
    <row r="163" spans="6:8" ht="15.75" customHeight="1" x14ac:dyDescent="0.3">
      <c r="F163" s="427"/>
      <c r="H163" s="427"/>
    </row>
    <row r="164" spans="6:8" ht="15.75" customHeight="1" x14ac:dyDescent="0.3">
      <c r="F164" s="427"/>
      <c r="H164" s="427"/>
    </row>
    <row r="165" spans="6:8" ht="15.75" customHeight="1" x14ac:dyDescent="0.3">
      <c r="F165" s="427"/>
      <c r="H165" s="427"/>
    </row>
    <row r="166" spans="6:8" ht="15.75" customHeight="1" x14ac:dyDescent="0.3">
      <c r="F166" s="427"/>
      <c r="H166" s="427"/>
    </row>
    <row r="167" spans="6:8" ht="15.75" customHeight="1" x14ac:dyDescent="0.3">
      <c r="F167" s="427"/>
      <c r="H167" s="427"/>
    </row>
    <row r="168" spans="6:8" ht="15.75" customHeight="1" x14ac:dyDescent="0.3">
      <c r="F168" s="427"/>
      <c r="H168" s="427"/>
    </row>
    <row r="169" spans="6:8" ht="15.75" customHeight="1" x14ac:dyDescent="0.3">
      <c r="F169" s="427"/>
      <c r="H169" s="427"/>
    </row>
    <row r="170" spans="6:8" ht="15.75" customHeight="1" x14ac:dyDescent="0.3">
      <c r="F170" s="427"/>
      <c r="H170" s="427"/>
    </row>
    <row r="171" spans="6:8" ht="15.75" customHeight="1" x14ac:dyDescent="0.3">
      <c r="F171" s="427"/>
      <c r="H171" s="427"/>
    </row>
    <row r="172" spans="6:8" ht="15.75" customHeight="1" x14ac:dyDescent="0.3">
      <c r="F172" s="427"/>
      <c r="H172" s="427"/>
    </row>
    <row r="173" spans="6:8" ht="15.75" customHeight="1" x14ac:dyDescent="0.3">
      <c r="F173" s="427"/>
      <c r="H173" s="427"/>
    </row>
    <row r="174" spans="6:8" ht="15.75" customHeight="1" x14ac:dyDescent="0.3">
      <c r="F174" s="427"/>
      <c r="H174" s="427"/>
    </row>
    <row r="175" spans="6:8" ht="15.75" customHeight="1" x14ac:dyDescent="0.3">
      <c r="F175" s="427"/>
      <c r="H175" s="427"/>
    </row>
    <row r="176" spans="6:8" ht="15.75" customHeight="1" x14ac:dyDescent="0.3">
      <c r="F176" s="427"/>
      <c r="H176" s="427"/>
    </row>
    <row r="177" spans="6:8" ht="15.75" customHeight="1" x14ac:dyDescent="0.3">
      <c r="F177" s="427"/>
      <c r="H177" s="427"/>
    </row>
    <row r="178" spans="6:8" ht="15.75" customHeight="1" x14ac:dyDescent="0.3">
      <c r="F178" s="427"/>
      <c r="H178" s="427"/>
    </row>
    <row r="179" spans="6:8" ht="15.75" customHeight="1" x14ac:dyDescent="0.3">
      <c r="F179" s="427"/>
      <c r="H179" s="427"/>
    </row>
    <row r="180" spans="6:8" ht="15.75" customHeight="1" x14ac:dyDescent="0.3">
      <c r="F180" s="427"/>
      <c r="H180" s="427"/>
    </row>
    <row r="181" spans="6:8" ht="15.75" customHeight="1" x14ac:dyDescent="0.3">
      <c r="F181" s="427"/>
      <c r="H181" s="427"/>
    </row>
    <row r="182" spans="6:8" ht="15.75" customHeight="1" x14ac:dyDescent="0.3">
      <c r="F182" s="427"/>
      <c r="H182" s="427"/>
    </row>
    <row r="183" spans="6:8" ht="15.75" customHeight="1" x14ac:dyDescent="0.3">
      <c r="F183" s="427"/>
      <c r="H183" s="427"/>
    </row>
    <row r="184" spans="6:8" ht="15.75" customHeight="1" x14ac:dyDescent="0.3">
      <c r="F184" s="427"/>
      <c r="H184" s="427"/>
    </row>
    <row r="185" spans="6:8" ht="15.75" customHeight="1" x14ac:dyDescent="0.3">
      <c r="F185" s="427"/>
      <c r="H185" s="427"/>
    </row>
    <row r="186" spans="6:8" ht="15.75" customHeight="1" x14ac:dyDescent="0.3">
      <c r="F186" s="427"/>
      <c r="H186" s="427"/>
    </row>
    <row r="187" spans="6:8" ht="15.75" customHeight="1" x14ac:dyDescent="0.3">
      <c r="F187" s="427"/>
      <c r="H187" s="427"/>
    </row>
    <row r="188" spans="6:8" ht="15.75" customHeight="1" x14ac:dyDescent="0.3">
      <c r="F188" s="427"/>
      <c r="H188" s="427"/>
    </row>
    <row r="189" spans="6:8" ht="15.75" customHeight="1" x14ac:dyDescent="0.3">
      <c r="F189" s="427"/>
      <c r="H189" s="427"/>
    </row>
    <row r="190" spans="6:8" ht="15.75" customHeight="1" x14ac:dyDescent="0.3">
      <c r="F190" s="427"/>
      <c r="H190" s="427"/>
    </row>
    <row r="191" spans="6:8" ht="15.75" customHeight="1" x14ac:dyDescent="0.3">
      <c r="F191" s="427"/>
      <c r="H191" s="427"/>
    </row>
    <row r="192" spans="6:8" ht="15.75" customHeight="1" x14ac:dyDescent="0.3">
      <c r="F192" s="427"/>
      <c r="H192" s="427"/>
    </row>
    <row r="193" spans="6:8" ht="15.75" customHeight="1" x14ac:dyDescent="0.3">
      <c r="F193" s="427"/>
      <c r="H193" s="427"/>
    </row>
    <row r="194" spans="6:8" ht="15.75" customHeight="1" x14ac:dyDescent="0.3">
      <c r="F194" s="427"/>
      <c r="H194" s="427"/>
    </row>
    <row r="195" spans="6:8" ht="15.75" customHeight="1" x14ac:dyDescent="0.3">
      <c r="F195" s="427"/>
      <c r="H195" s="427"/>
    </row>
    <row r="196" spans="6:8" ht="15.75" customHeight="1" x14ac:dyDescent="0.3">
      <c r="F196" s="427"/>
      <c r="H196" s="427"/>
    </row>
    <row r="197" spans="6:8" ht="15.75" customHeight="1" x14ac:dyDescent="0.3">
      <c r="F197" s="427"/>
      <c r="H197" s="427"/>
    </row>
    <row r="198" spans="6:8" ht="15.75" customHeight="1" x14ac:dyDescent="0.3">
      <c r="F198" s="427"/>
      <c r="H198" s="427"/>
    </row>
    <row r="199" spans="6:8" ht="15.75" customHeight="1" x14ac:dyDescent="0.3">
      <c r="F199" s="427"/>
      <c r="H199" s="427"/>
    </row>
    <row r="200" spans="6:8" ht="15.75" customHeight="1" x14ac:dyDescent="0.3">
      <c r="F200" s="427"/>
      <c r="H200" s="427"/>
    </row>
    <row r="201" spans="6:8" ht="15.75" customHeight="1" x14ac:dyDescent="0.3">
      <c r="F201" s="427"/>
      <c r="H201" s="427"/>
    </row>
    <row r="202" spans="6:8" ht="15.75" customHeight="1" x14ac:dyDescent="0.3">
      <c r="F202" s="427"/>
      <c r="H202" s="427"/>
    </row>
    <row r="203" spans="6:8" ht="15.75" customHeight="1" x14ac:dyDescent="0.3">
      <c r="F203" s="427"/>
      <c r="H203" s="427"/>
    </row>
    <row r="204" spans="6:8" ht="15.75" customHeight="1" x14ac:dyDescent="0.3">
      <c r="F204" s="427"/>
      <c r="H204" s="427"/>
    </row>
    <row r="205" spans="6:8" ht="15.75" customHeight="1" x14ac:dyDescent="0.3">
      <c r="F205" s="427"/>
      <c r="H205" s="427"/>
    </row>
    <row r="206" spans="6:8" ht="15.75" customHeight="1" x14ac:dyDescent="0.3">
      <c r="F206" s="427"/>
      <c r="H206" s="427"/>
    </row>
    <row r="207" spans="6:8" ht="15.75" customHeight="1" x14ac:dyDescent="0.3">
      <c r="F207" s="427"/>
      <c r="H207" s="427"/>
    </row>
    <row r="208" spans="6:8" ht="15.75" customHeight="1" x14ac:dyDescent="0.3">
      <c r="F208" s="427"/>
      <c r="H208" s="427"/>
    </row>
    <row r="209" spans="6:8" ht="15.75" customHeight="1" x14ac:dyDescent="0.3">
      <c r="F209" s="427"/>
      <c r="H209" s="427"/>
    </row>
    <row r="210" spans="6:8" ht="15.75" customHeight="1" x14ac:dyDescent="0.3">
      <c r="F210" s="427"/>
      <c r="H210" s="427"/>
    </row>
    <row r="211" spans="6:8" ht="15.75" customHeight="1" x14ac:dyDescent="0.3">
      <c r="F211" s="427"/>
      <c r="H211" s="427"/>
    </row>
    <row r="212" spans="6:8" ht="15.75" customHeight="1" x14ac:dyDescent="0.3">
      <c r="F212" s="427"/>
      <c r="H212" s="427"/>
    </row>
    <row r="213" spans="6:8" ht="15.75" customHeight="1" x14ac:dyDescent="0.3">
      <c r="F213" s="427"/>
      <c r="H213" s="427"/>
    </row>
    <row r="214" spans="6:8" ht="15.75" customHeight="1" x14ac:dyDescent="0.3">
      <c r="F214" s="427"/>
      <c r="H214" s="427"/>
    </row>
    <row r="215" spans="6:8" ht="15.75" customHeight="1" x14ac:dyDescent="0.3">
      <c r="F215" s="427"/>
      <c r="H215" s="427"/>
    </row>
    <row r="216" spans="6:8" ht="15.75" customHeight="1" x14ac:dyDescent="0.3">
      <c r="F216" s="427"/>
      <c r="H216" s="427"/>
    </row>
    <row r="217" spans="6:8" ht="15.75" customHeight="1" x14ac:dyDescent="0.3">
      <c r="F217" s="427"/>
      <c r="H217" s="427"/>
    </row>
    <row r="218" spans="6:8" ht="15.75" customHeight="1" x14ac:dyDescent="0.3">
      <c r="F218" s="427"/>
      <c r="H218" s="427"/>
    </row>
    <row r="219" spans="6:8" ht="15.75" customHeight="1" x14ac:dyDescent="0.3">
      <c r="F219" s="427"/>
      <c r="H219" s="427"/>
    </row>
    <row r="220" spans="6:8" ht="15.75" customHeight="1" x14ac:dyDescent="0.3">
      <c r="F220" s="427"/>
      <c r="H220" s="427"/>
    </row>
    <row r="221" spans="6:8" ht="15.75" customHeight="1" x14ac:dyDescent="0.3">
      <c r="F221" s="427"/>
      <c r="H221" s="427"/>
    </row>
    <row r="222" spans="6:8" ht="15.75" customHeight="1" x14ac:dyDescent="0.3">
      <c r="F222" s="427"/>
      <c r="H222" s="427"/>
    </row>
    <row r="223" spans="6:8" ht="15.75" customHeight="1" x14ac:dyDescent="0.3">
      <c r="F223" s="427"/>
      <c r="H223" s="427"/>
    </row>
    <row r="224" spans="6:8" ht="15.75" customHeight="1" x14ac:dyDescent="0.3">
      <c r="F224" s="427"/>
      <c r="H224" s="427"/>
    </row>
    <row r="225" spans="6:8" ht="15.75" customHeight="1" x14ac:dyDescent="0.3">
      <c r="F225" s="427"/>
      <c r="H225" s="427"/>
    </row>
    <row r="226" spans="6:8" ht="15.75" customHeight="1" x14ac:dyDescent="0.3">
      <c r="F226" s="427"/>
      <c r="H226" s="427"/>
    </row>
    <row r="227" spans="6:8" ht="15.75" customHeight="1" x14ac:dyDescent="0.3">
      <c r="F227" s="427"/>
      <c r="H227" s="427"/>
    </row>
    <row r="228" spans="6:8" ht="15.75" customHeight="1" x14ac:dyDescent="0.3">
      <c r="F228" s="427"/>
      <c r="H228" s="427"/>
    </row>
    <row r="229" spans="6:8" ht="15.75" customHeight="1" x14ac:dyDescent="0.3">
      <c r="F229" s="427"/>
      <c r="H229" s="427"/>
    </row>
    <row r="230" spans="6:8" ht="15.75" customHeight="1" x14ac:dyDescent="0.3">
      <c r="F230" s="427"/>
      <c r="H230" s="427"/>
    </row>
    <row r="231" spans="6:8" ht="15.75" customHeight="1" x14ac:dyDescent="0.3">
      <c r="F231" s="427"/>
      <c r="H231" s="427"/>
    </row>
    <row r="232" spans="6:8" ht="15.75" customHeight="1" x14ac:dyDescent="0.3">
      <c r="F232" s="427"/>
      <c r="H232" s="427"/>
    </row>
    <row r="233" spans="6:8" ht="15.75" customHeight="1" x14ac:dyDescent="0.3">
      <c r="F233" s="427"/>
      <c r="H233" s="427"/>
    </row>
    <row r="234" spans="6:8" ht="15.75" customHeight="1" x14ac:dyDescent="0.3">
      <c r="F234" s="427"/>
      <c r="H234" s="427"/>
    </row>
    <row r="235" spans="6:8" ht="15.75" customHeight="1" x14ac:dyDescent="0.3">
      <c r="F235" s="427"/>
      <c r="H235" s="427"/>
    </row>
    <row r="236" spans="6:8" ht="15.75" customHeight="1" x14ac:dyDescent="0.3">
      <c r="F236" s="427"/>
      <c r="H236" s="427"/>
    </row>
    <row r="237" spans="6:8" ht="15.75" customHeight="1" x14ac:dyDescent="0.3">
      <c r="F237" s="427"/>
      <c r="H237" s="427"/>
    </row>
    <row r="238" spans="6:8" ht="15.75" customHeight="1" x14ac:dyDescent="0.3">
      <c r="F238" s="427"/>
      <c r="H238" s="427"/>
    </row>
    <row r="239" spans="6:8" ht="15.75" customHeight="1" x14ac:dyDescent="0.3">
      <c r="F239" s="427"/>
      <c r="H239" s="427"/>
    </row>
    <row r="240" spans="6:8" ht="15.75" customHeight="1" x14ac:dyDescent="0.3">
      <c r="F240" s="427"/>
      <c r="H240" s="427"/>
    </row>
    <row r="241" spans="6:8" ht="15.75" customHeight="1" x14ac:dyDescent="0.3">
      <c r="F241" s="427"/>
      <c r="H241" s="427"/>
    </row>
    <row r="242" spans="6:8" ht="15.75" customHeight="1" x14ac:dyDescent="0.3">
      <c r="F242" s="427"/>
      <c r="H242" s="427"/>
    </row>
    <row r="243" spans="6:8" ht="15.75" customHeight="1" x14ac:dyDescent="0.3">
      <c r="F243" s="427"/>
      <c r="H243" s="427"/>
    </row>
    <row r="244" spans="6:8" ht="15.75" customHeight="1" x14ac:dyDescent="0.3">
      <c r="F244" s="427"/>
      <c r="H244" s="427"/>
    </row>
    <row r="245" spans="6:8" ht="15.75" customHeight="1" x14ac:dyDescent="0.3">
      <c r="F245" s="427"/>
      <c r="H245" s="427"/>
    </row>
    <row r="246" spans="6:8" ht="15.75" customHeight="1" x14ac:dyDescent="0.3">
      <c r="F246" s="427"/>
      <c r="H246" s="427"/>
    </row>
    <row r="247" spans="6:8" ht="15.75" customHeight="1" x14ac:dyDescent="0.3">
      <c r="F247" s="427"/>
      <c r="H247" s="427"/>
    </row>
    <row r="248" spans="6:8" ht="15.75" customHeight="1" x14ac:dyDescent="0.3">
      <c r="F248" s="427"/>
      <c r="H248" s="427"/>
    </row>
    <row r="249" spans="6:8" ht="15.75" customHeight="1" x14ac:dyDescent="0.3">
      <c r="F249" s="427"/>
      <c r="H249" s="427"/>
    </row>
    <row r="250" spans="6:8" ht="15.75" customHeight="1" x14ac:dyDescent="0.3">
      <c r="F250" s="427"/>
      <c r="H250" s="427"/>
    </row>
    <row r="251" spans="6:8" ht="15.75" customHeight="1" x14ac:dyDescent="0.3"/>
    <row r="252" spans="6:8" ht="15.75" customHeight="1" x14ac:dyDescent="0.3"/>
    <row r="253" spans="6:8" ht="15.75" customHeight="1" x14ac:dyDescent="0.3"/>
    <row r="254" spans="6:8" ht="15.75" customHeight="1" x14ac:dyDescent="0.3"/>
    <row r="255" spans="6:8" ht="15.75" customHeight="1" x14ac:dyDescent="0.3"/>
    <row r="256" spans="6:8"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1">
    <mergeCell ref="C7:E7"/>
  </mergeCells>
  <dataValidations count="1">
    <dataValidation type="list" allowBlank="1" showErrorMessage="1" sqref="B17 B22 B27 B32" xr:uid="{7C12FDC7-0FB2-422C-98C1-CA843D1B4A84}">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15CC4-A15C-4869-ADED-C39805D0A68A}">
  <dimension ref="A1:AD885"/>
  <sheetViews>
    <sheetView zoomScale="90" zoomScaleNormal="90" workbookViewId="0">
      <selection activeCell="L19" sqref="L19"/>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12" width="12.77734375" style="428" customWidth="1"/>
    <col min="13" max="13" width="11.5546875" style="428" customWidth="1"/>
    <col min="14"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2341</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348</v>
      </c>
      <c r="D10" s="531" t="s">
        <v>349</v>
      </c>
      <c r="E10" s="532" t="s">
        <v>350</v>
      </c>
      <c r="F10" s="533" t="s">
        <v>351</v>
      </c>
      <c r="G10" s="534">
        <v>2012</v>
      </c>
      <c r="H10" s="535"/>
      <c r="I10" s="536">
        <v>19967.7</v>
      </c>
      <c r="J10" s="537">
        <v>31188</v>
      </c>
      <c r="K10" s="537">
        <v>47329.4</v>
      </c>
      <c r="L10" s="537">
        <v>48938.400000000001</v>
      </c>
      <c r="M10" s="677">
        <v>121556.4</v>
      </c>
      <c r="N10" s="539">
        <v>78382.8</v>
      </c>
      <c r="O10" s="540">
        <v>72171</v>
      </c>
      <c r="P10" s="540">
        <v>62130</v>
      </c>
      <c r="Q10" s="540">
        <v>29006.5</v>
      </c>
      <c r="R10" s="540">
        <v>25637.4</v>
      </c>
      <c r="S10" s="540">
        <v>34218.5</v>
      </c>
      <c r="T10" s="540">
        <v>18218.5</v>
      </c>
      <c r="U10" s="541">
        <v>107481.4</v>
      </c>
      <c r="V10" s="535"/>
      <c r="W10" s="542"/>
      <c r="X10" s="535"/>
      <c r="Y10" s="542"/>
      <c r="Z10" s="535"/>
      <c r="AA10" s="528"/>
      <c r="AB10" s="528"/>
      <c r="AC10" s="528"/>
      <c r="AD10" s="528"/>
    </row>
    <row r="11" spans="1:30" ht="24" customHeight="1" x14ac:dyDescent="0.3">
      <c r="A11" s="528"/>
      <c r="B11" s="529"/>
      <c r="C11" s="453" t="s">
        <v>348</v>
      </c>
      <c r="D11" s="453" t="s">
        <v>352</v>
      </c>
      <c r="E11" s="543" t="s">
        <v>353</v>
      </c>
      <c r="F11" s="506" t="s">
        <v>354</v>
      </c>
      <c r="G11" s="496">
        <v>2020</v>
      </c>
      <c r="H11" s="544"/>
      <c r="I11" s="545">
        <v>2338560</v>
      </c>
      <c r="J11" s="546">
        <v>2166720</v>
      </c>
      <c r="K11" s="546">
        <v>2199840</v>
      </c>
      <c r="L11" s="547">
        <v>1568160</v>
      </c>
      <c r="M11" s="547">
        <v>1720320</v>
      </c>
      <c r="N11" s="547">
        <v>1077</v>
      </c>
      <c r="O11" s="544"/>
      <c r="P11" s="544"/>
      <c r="Q11" s="544"/>
      <c r="R11" s="544"/>
      <c r="S11" s="544"/>
      <c r="T11" s="544"/>
      <c r="U11" s="548"/>
      <c r="V11" s="544"/>
      <c r="W11" s="548"/>
      <c r="X11" s="544"/>
      <c r="Y11" s="548"/>
      <c r="Z11" s="544"/>
      <c r="AA11" s="528"/>
      <c r="AB11" s="528"/>
      <c r="AC11" s="528"/>
      <c r="AD11" s="528"/>
    </row>
    <row r="12" spans="1:30" ht="30" customHeight="1" x14ac:dyDescent="0.3">
      <c r="A12" s="528"/>
      <c r="B12" s="529"/>
      <c r="C12" s="531"/>
      <c r="D12" s="531"/>
      <c r="E12" s="532"/>
      <c r="F12" s="533"/>
      <c r="G12" s="549"/>
      <c r="H12" s="550"/>
      <c r="I12" s="550"/>
      <c r="J12" s="550"/>
      <c r="K12" s="550"/>
      <c r="L12" s="550"/>
      <c r="M12" s="550"/>
      <c r="N12" s="550"/>
      <c r="O12" s="550"/>
      <c r="P12" s="550"/>
      <c r="Q12" s="550"/>
      <c r="R12" s="550"/>
      <c r="S12" s="550"/>
      <c r="T12" s="550"/>
      <c r="U12" s="542"/>
      <c r="V12" s="550"/>
      <c r="W12" s="542"/>
      <c r="X12" s="550"/>
      <c r="Y12" s="542"/>
      <c r="Z12" s="550"/>
      <c r="AA12" s="528"/>
      <c r="AB12" s="528"/>
      <c r="AC12" s="528"/>
      <c r="AD12" s="528"/>
    </row>
    <row r="13" spans="1:30" ht="24" customHeight="1" x14ac:dyDescent="0.3">
      <c r="A13" s="528"/>
      <c r="B13" s="552"/>
      <c r="C13" s="462"/>
      <c r="D13" s="462"/>
      <c r="E13" s="553"/>
      <c r="F13" s="554"/>
      <c r="G13" s="555"/>
      <c r="H13" s="556"/>
      <c r="I13" s="556"/>
      <c r="J13" s="556"/>
      <c r="K13" s="556"/>
      <c r="L13" s="556"/>
      <c r="M13" s="556"/>
      <c r="N13" s="556"/>
      <c r="O13" s="556"/>
      <c r="P13" s="556"/>
      <c r="Q13" s="556"/>
      <c r="R13" s="556"/>
      <c r="S13" s="556"/>
      <c r="T13" s="556"/>
      <c r="U13" s="557"/>
      <c r="V13" s="556"/>
      <c r="W13" s="557"/>
      <c r="X13" s="556"/>
      <c r="Y13" s="557"/>
      <c r="Z13" s="556"/>
      <c r="AA13" s="528"/>
      <c r="AB13" s="528"/>
      <c r="AC13" s="528"/>
      <c r="AD13" s="528"/>
    </row>
    <row r="14" spans="1:30" ht="15.75" customHeight="1" x14ac:dyDescent="0.3">
      <c r="A14" s="528"/>
      <c r="B14" s="558"/>
      <c r="C14" s="528"/>
      <c r="D14" s="528"/>
      <c r="E14" s="528"/>
      <c r="F14" s="528"/>
      <c r="G14" s="479"/>
      <c r="H14" s="479"/>
      <c r="I14" s="479"/>
      <c r="J14" s="479"/>
      <c r="K14" s="479"/>
      <c r="L14" s="479"/>
      <c r="M14" s="559"/>
      <c r="N14" s="559"/>
      <c r="O14" s="559"/>
      <c r="P14" s="559"/>
      <c r="Q14" s="559"/>
      <c r="R14" s="559"/>
      <c r="S14" s="559"/>
      <c r="T14" s="559"/>
      <c r="U14" s="559"/>
      <c r="V14" s="559"/>
      <c r="W14" s="559"/>
      <c r="X14" s="559"/>
      <c r="Y14" s="559"/>
      <c r="Z14" s="559"/>
      <c r="AA14" s="528"/>
      <c r="AB14" s="528"/>
      <c r="AC14" s="528"/>
      <c r="AD14" s="528"/>
    </row>
    <row r="15" spans="1:30" ht="15.75" customHeight="1" x14ac:dyDescent="0.3">
      <c r="A15" s="528"/>
      <c r="B15" s="560" t="s">
        <v>355</v>
      </c>
      <c r="C15" s="561" t="s">
        <v>356</v>
      </c>
      <c r="D15" s="528"/>
      <c r="E15" s="528"/>
      <c r="F15" s="528"/>
      <c r="G15" s="479"/>
      <c r="H15" s="479"/>
      <c r="I15" s="479"/>
      <c r="J15" s="479"/>
      <c r="K15" s="479"/>
      <c r="L15" s="479"/>
      <c r="M15" s="559"/>
      <c r="N15" s="559"/>
      <c r="O15" s="559"/>
      <c r="P15" s="559"/>
      <c r="Q15" s="559"/>
      <c r="R15" s="559"/>
      <c r="S15" s="559"/>
      <c r="T15" s="559"/>
      <c r="U15" s="559"/>
      <c r="V15" s="559"/>
      <c r="W15" s="559"/>
      <c r="X15" s="559"/>
      <c r="Y15" s="559"/>
      <c r="Z15" s="559"/>
      <c r="AA15" s="528"/>
      <c r="AB15" s="528"/>
      <c r="AC15" s="528"/>
      <c r="AD15" s="528"/>
    </row>
    <row r="16" spans="1:30" ht="15.75" customHeight="1" x14ac:dyDescent="0.3">
      <c r="A16" s="528"/>
      <c r="B16" s="558"/>
      <c r="C16" s="528"/>
      <c r="D16" s="528"/>
      <c r="E16" s="528"/>
      <c r="F16" s="528"/>
      <c r="G16" s="479"/>
      <c r="H16" s="479"/>
      <c r="I16" s="479"/>
      <c r="J16" s="479"/>
      <c r="K16" s="479"/>
      <c r="L16" s="479"/>
      <c r="M16" s="559"/>
      <c r="N16" s="559"/>
      <c r="O16" s="559"/>
      <c r="P16" s="559"/>
      <c r="Q16" s="559"/>
      <c r="R16" s="559"/>
      <c r="S16" s="559"/>
      <c r="T16" s="559"/>
      <c r="U16" s="559"/>
      <c r="V16" s="559"/>
      <c r="W16" s="559"/>
      <c r="X16" s="559"/>
      <c r="Y16" s="559"/>
      <c r="Z16" s="559"/>
      <c r="AA16" s="528"/>
      <c r="AB16" s="528"/>
      <c r="AC16" s="528"/>
      <c r="AD16" s="528"/>
    </row>
    <row r="17" spans="1:30" ht="15.75" customHeight="1" x14ac:dyDescent="0.3">
      <c r="A17" s="528"/>
      <c r="B17" s="4383" t="s">
        <v>357</v>
      </c>
      <c r="C17" s="4384"/>
      <c r="D17" s="528"/>
      <c r="E17" s="528"/>
      <c r="F17" s="528"/>
      <c r="G17" s="479"/>
      <c r="H17" s="479"/>
      <c r="I17" s="479"/>
      <c r="J17" s="479"/>
      <c r="K17" s="479"/>
      <c r="L17" s="479"/>
      <c r="M17" s="559"/>
      <c r="N17" s="559"/>
      <c r="O17" s="559"/>
      <c r="P17" s="559"/>
      <c r="Q17" s="559"/>
      <c r="R17" s="559"/>
      <c r="S17" s="559"/>
      <c r="T17" s="559"/>
      <c r="U17" s="559"/>
      <c r="V17" s="559"/>
      <c r="W17" s="559"/>
      <c r="X17" s="559"/>
      <c r="Y17" s="559"/>
      <c r="Z17" s="559"/>
      <c r="AA17" s="528"/>
      <c r="AB17" s="528"/>
      <c r="AC17" s="528"/>
      <c r="AD17" s="528"/>
    </row>
    <row r="18" spans="1:30" ht="15.75" customHeight="1" x14ac:dyDescent="0.3">
      <c r="A18" s="528"/>
      <c r="B18" s="562" t="s">
        <v>301</v>
      </c>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562" t="s">
        <v>301</v>
      </c>
      <c r="C19" s="528"/>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row r="21" spans="1:30" ht="15.75" customHeight="1" x14ac:dyDescent="0.3"/>
    <row r="22" spans="1:30" ht="15.75" customHeight="1" x14ac:dyDescent="0.3"/>
    <row r="23" spans="1:30" ht="15.75" customHeight="1" x14ac:dyDescent="0.3"/>
    <row r="24" spans="1:30" ht="15.75" customHeight="1" x14ac:dyDescent="0.3"/>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sheetData>
  <mergeCells count="1">
    <mergeCell ref="B17:C17"/>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CECE1-8BB4-4CAF-9DB5-CE6B30B8C9AF}">
  <dimension ref="A1:AD890"/>
  <sheetViews>
    <sheetView zoomScale="92" workbookViewId="0">
      <selection activeCell="AB13" sqref="AB13"/>
    </sheetView>
  </sheetViews>
  <sheetFormatPr defaultColWidth="12.44140625" defaultRowHeight="15" customHeight="1" x14ac:dyDescent="0.3"/>
  <cols>
    <col min="1" max="1" width="2.6640625" style="428" customWidth="1"/>
    <col min="2" max="2" width="5.109375" style="428" customWidth="1"/>
    <col min="3" max="3" width="41.8867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3" width="11.5546875" style="428" hidden="1" customWidth="1"/>
    <col min="24" max="26" width="11.5546875" style="428" customWidth="1"/>
    <col min="27" max="30" width="11.6640625" style="428" customWidth="1"/>
    <col min="31" max="16384" width="12.44140625" style="428"/>
  </cols>
  <sheetData>
    <row r="1" spans="1:30" ht="23.25" customHeight="1" x14ac:dyDescent="0.35">
      <c r="A1" s="513"/>
      <c r="B1" s="514" t="s">
        <v>2385</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474</v>
      </c>
      <c r="D10" s="531" t="s">
        <v>403</v>
      </c>
      <c r="E10" s="532" t="s">
        <v>350</v>
      </c>
      <c r="F10" s="533" t="s">
        <v>1034</v>
      </c>
      <c r="G10" s="534">
        <v>2009</v>
      </c>
      <c r="H10" s="535"/>
      <c r="I10" s="536">
        <v>5820.5999999999995</v>
      </c>
      <c r="J10" s="1235">
        <v>7825.9818999999989</v>
      </c>
      <c r="K10" s="1235">
        <v>3483.3999999999996</v>
      </c>
      <c r="L10" s="1235">
        <v>6608.4</v>
      </c>
      <c r="M10" s="1235">
        <v>4920.8</v>
      </c>
      <c r="N10" s="1235">
        <v>6769</v>
      </c>
      <c r="O10" s="1235">
        <v>4335.1000000000004</v>
      </c>
      <c r="P10" s="1235">
        <v>4645.8999999999996</v>
      </c>
      <c r="Q10" s="1235">
        <v>14720</v>
      </c>
      <c r="R10" s="1235">
        <v>15036</v>
      </c>
      <c r="S10" s="1235">
        <v>12083</v>
      </c>
      <c r="T10" s="1628" t="s">
        <v>1035</v>
      </c>
      <c r="U10" s="542"/>
      <c r="V10" s="535"/>
      <c r="W10" s="542"/>
      <c r="X10" s="4282">
        <v>51687</v>
      </c>
      <c r="Y10" s="542"/>
      <c r="Z10" s="535"/>
      <c r="AA10" s="528"/>
      <c r="AB10" s="528"/>
      <c r="AC10" s="528"/>
      <c r="AD10" s="528"/>
    </row>
    <row r="11" spans="1:30" ht="31.5" customHeight="1" x14ac:dyDescent="0.3">
      <c r="A11" s="528"/>
      <c r="B11" s="529"/>
      <c r="C11" s="453" t="s">
        <v>478</v>
      </c>
      <c r="D11" s="453" t="s">
        <v>1036</v>
      </c>
      <c r="E11" s="543" t="s">
        <v>350</v>
      </c>
      <c r="F11" s="506" t="s">
        <v>1037</v>
      </c>
      <c r="G11" s="496">
        <v>2022</v>
      </c>
      <c r="H11" s="544"/>
      <c r="I11" s="1611">
        <f>D29</f>
        <v>34458</v>
      </c>
      <c r="J11" s="1238">
        <v>34458</v>
      </c>
      <c r="K11" s="1238">
        <v>43072.5</v>
      </c>
      <c r="L11" s="1238"/>
      <c r="M11" s="1238"/>
      <c r="N11" s="1238"/>
      <c r="O11" s="1238"/>
      <c r="P11" s="1238"/>
      <c r="Q11" s="1238"/>
      <c r="R11" s="1238"/>
      <c r="S11" s="1238"/>
      <c r="T11" s="1629"/>
      <c r="U11" s="548"/>
      <c r="V11" s="544"/>
      <c r="W11" s="548"/>
      <c r="X11" s="544"/>
      <c r="Y11" s="548"/>
      <c r="Z11" s="544"/>
      <c r="AA11" s="528"/>
      <c r="AB11" s="528"/>
      <c r="AC11" s="528"/>
      <c r="AD11" s="528"/>
    </row>
    <row r="12" spans="1:30" ht="30" customHeight="1" x14ac:dyDescent="0.3">
      <c r="A12" s="528"/>
      <c r="B12" s="529"/>
      <c r="C12" s="531" t="s">
        <v>478</v>
      </c>
      <c r="D12" s="531" t="s">
        <v>1038</v>
      </c>
      <c r="E12" s="532" t="s">
        <v>904</v>
      </c>
      <c r="F12" s="533" t="s">
        <v>1037</v>
      </c>
      <c r="G12" s="549">
        <v>2022</v>
      </c>
      <c r="H12" s="550"/>
      <c r="I12" s="678">
        <f>D33</f>
        <v>216906.66666666666</v>
      </c>
      <c r="J12" s="1240">
        <v>216906.66666666666</v>
      </c>
      <c r="K12" s="1240">
        <v>271133.33333333331</v>
      </c>
      <c r="L12" s="1240"/>
      <c r="M12" s="1240"/>
      <c r="N12" s="1240"/>
      <c r="O12" s="1240"/>
      <c r="P12" s="1240"/>
      <c r="Q12" s="1240"/>
      <c r="R12" s="1240"/>
      <c r="S12" s="1240"/>
      <c r="T12" s="1630"/>
      <c r="U12" s="542"/>
      <c r="V12" s="550"/>
      <c r="W12" s="542"/>
      <c r="X12" s="550"/>
      <c r="Y12" s="542"/>
      <c r="Z12" s="550"/>
      <c r="AA12" s="528"/>
      <c r="AB12" s="528"/>
      <c r="AC12" s="528"/>
      <c r="AD12" s="528"/>
    </row>
    <row r="13" spans="1:30" ht="30" customHeight="1" x14ac:dyDescent="0.3">
      <c r="A13" s="528"/>
      <c r="B13" s="529"/>
      <c r="C13" s="453" t="s">
        <v>474</v>
      </c>
      <c r="D13" s="453" t="s">
        <v>352</v>
      </c>
      <c r="E13" s="543" t="s">
        <v>904</v>
      </c>
      <c r="F13" s="506"/>
      <c r="G13" s="496"/>
      <c r="H13" s="544"/>
      <c r="I13" s="545">
        <v>854280</v>
      </c>
      <c r="J13" s="1238">
        <v>900720</v>
      </c>
      <c r="K13" s="1238">
        <v>922320</v>
      </c>
      <c r="L13" s="1238">
        <v>631080</v>
      </c>
      <c r="M13" s="1238">
        <v>697680</v>
      </c>
      <c r="N13" s="1238">
        <v>770760</v>
      </c>
      <c r="O13" s="1238">
        <v>780840</v>
      </c>
      <c r="P13" s="1238">
        <v>794160</v>
      </c>
      <c r="Q13" s="1238">
        <v>839520</v>
      </c>
      <c r="R13" s="1238">
        <v>632880</v>
      </c>
      <c r="S13" s="1238">
        <v>793080</v>
      </c>
      <c r="T13" s="1629" t="s">
        <v>1039</v>
      </c>
      <c r="U13" s="548"/>
      <c r="V13" s="544"/>
      <c r="W13" s="548"/>
      <c r="X13" s="1611">
        <v>325360</v>
      </c>
      <c r="Y13" s="548"/>
      <c r="Z13" s="544"/>
      <c r="AA13" s="528"/>
      <c r="AB13" s="528"/>
      <c r="AC13" s="528"/>
      <c r="AD13" s="528"/>
    </row>
    <row r="14" spans="1:30" ht="24" customHeight="1" x14ac:dyDescent="0.3">
      <c r="A14" s="528"/>
      <c r="B14" s="1631">
        <v>2</v>
      </c>
      <c r="C14" s="1632" t="s">
        <v>474</v>
      </c>
      <c r="D14" s="1632" t="s">
        <v>523</v>
      </c>
      <c r="E14" s="1633" t="s">
        <v>350</v>
      </c>
      <c r="F14" s="1634" t="s">
        <v>1040</v>
      </c>
      <c r="G14" s="1635">
        <v>2009</v>
      </c>
      <c r="H14" s="1636"/>
      <c r="I14" s="1636">
        <v>0</v>
      </c>
      <c r="J14" s="1637">
        <v>0</v>
      </c>
      <c r="K14" s="1637">
        <v>0</v>
      </c>
      <c r="L14" s="1637">
        <v>0</v>
      </c>
      <c r="M14" s="1637">
        <v>0</v>
      </c>
      <c r="N14" s="1637">
        <v>0</v>
      </c>
      <c r="O14" s="1637">
        <v>0</v>
      </c>
      <c r="P14" s="1637">
        <v>0</v>
      </c>
      <c r="Q14" s="1637">
        <v>0</v>
      </c>
      <c r="R14" s="1637">
        <v>0</v>
      </c>
      <c r="S14" s="1637">
        <v>0</v>
      </c>
      <c r="T14" s="1638" t="s">
        <v>1039</v>
      </c>
      <c r="U14" s="1639"/>
      <c r="V14" s="1636"/>
      <c r="W14" s="1639"/>
      <c r="X14" s="4280">
        <v>5101</v>
      </c>
      <c r="Y14" s="1639"/>
      <c r="Z14" s="1636"/>
      <c r="AA14" s="528"/>
      <c r="AB14" s="528"/>
      <c r="AC14" s="528"/>
      <c r="AD14" s="528"/>
    </row>
    <row r="15" spans="1:30" ht="24" customHeight="1" x14ac:dyDescent="0.3">
      <c r="A15" s="528"/>
      <c r="B15" s="529"/>
      <c r="C15" s="453" t="s">
        <v>474</v>
      </c>
      <c r="D15" s="453" t="s">
        <v>352</v>
      </c>
      <c r="E15" s="543" t="s">
        <v>904</v>
      </c>
      <c r="F15" s="506"/>
      <c r="G15" s="496"/>
      <c r="H15" s="544"/>
      <c r="I15" s="545">
        <v>251433.29032258064</v>
      </c>
      <c r="J15" s="1238">
        <v>258000</v>
      </c>
      <c r="K15" s="1238">
        <v>250920</v>
      </c>
      <c r="L15" s="1238">
        <v>263520</v>
      </c>
      <c r="M15" s="1238">
        <v>230040</v>
      </c>
      <c r="N15" s="1238">
        <v>247680</v>
      </c>
      <c r="O15" s="1238">
        <v>296520</v>
      </c>
      <c r="P15" s="1238">
        <v>259080</v>
      </c>
      <c r="Q15" s="1238">
        <v>244680</v>
      </c>
      <c r="R15" s="1238">
        <v>92549</v>
      </c>
      <c r="S15" s="1238">
        <v>47790</v>
      </c>
      <c r="T15" s="1629" t="s">
        <v>1039</v>
      </c>
      <c r="U15" s="548"/>
      <c r="V15" s="544"/>
      <c r="W15" s="548"/>
      <c r="X15" s="544">
        <v>16880</v>
      </c>
      <c r="Y15" s="548"/>
      <c r="Z15" s="544"/>
      <c r="AA15" s="528"/>
      <c r="AB15" s="528"/>
      <c r="AC15" s="528"/>
      <c r="AD15" s="528"/>
    </row>
    <row r="16" spans="1:30" ht="24" customHeight="1" x14ac:dyDescent="0.3">
      <c r="A16" s="528"/>
      <c r="B16" s="1631">
        <v>3</v>
      </c>
      <c r="C16" s="1632" t="s">
        <v>474</v>
      </c>
      <c r="D16" s="1632" t="s">
        <v>523</v>
      </c>
      <c r="E16" s="1633" t="s">
        <v>350</v>
      </c>
      <c r="F16" s="1634" t="s">
        <v>1041</v>
      </c>
      <c r="G16" s="1640">
        <v>2008</v>
      </c>
      <c r="H16" s="1636"/>
      <c r="I16" s="1636">
        <v>0</v>
      </c>
      <c r="J16" s="1637">
        <v>0</v>
      </c>
      <c r="K16" s="1637">
        <v>0</v>
      </c>
      <c r="L16" s="1637">
        <v>0</v>
      </c>
      <c r="M16" s="1637">
        <v>0</v>
      </c>
      <c r="N16" s="1637">
        <v>0</v>
      </c>
      <c r="O16" s="1637">
        <v>0</v>
      </c>
      <c r="P16" s="1637">
        <v>0</v>
      </c>
      <c r="Q16" s="1637">
        <v>0</v>
      </c>
      <c r="R16" s="1637">
        <v>0</v>
      </c>
      <c r="S16" s="1637">
        <v>0</v>
      </c>
      <c r="T16" s="1638" t="s">
        <v>1039</v>
      </c>
      <c r="U16" s="1639"/>
      <c r="V16" s="1636"/>
      <c r="W16" s="1639"/>
      <c r="X16" s="1636"/>
      <c r="Y16" s="4281">
        <v>3095</v>
      </c>
      <c r="Z16" s="1636"/>
      <c r="AA16" s="528"/>
      <c r="AB16" s="528"/>
      <c r="AC16" s="528"/>
      <c r="AD16" s="528"/>
    </row>
    <row r="17" spans="1:30" ht="24" customHeight="1" x14ac:dyDescent="0.3">
      <c r="A17" s="528"/>
      <c r="B17" s="552"/>
      <c r="C17" s="462" t="s">
        <v>474</v>
      </c>
      <c r="D17" s="462" t="s">
        <v>352</v>
      </c>
      <c r="E17" s="553" t="s">
        <v>904</v>
      </c>
      <c r="F17" s="554"/>
      <c r="G17" s="555"/>
      <c r="H17" s="556"/>
      <c r="I17" s="1641">
        <v>93729.769230769234</v>
      </c>
      <c r="J17" s="1642">
        <v>106640</v>
      </c>
      <c r="K17" s="1642">
        <v>118000</v>
      </c>
      <c r="L17" s="1642">
        <v>132160</v>
      </c>
      <c r="M17" s="1642">
        <v>118480</v>
      </c>
      <c r="N17" s="1642">
        <v>102480</v>
      </c>
      <c r="O17" s="1642">
        <v>155647</v>
      </c>
      <c r="P17" s="1642">
        <v>106740</v>
      </c>
      <c r="Q17" s="1642">
        <v>105149</v>
      </c>
      <c r="R17" s="1642">
        <v>125266</v>
      </c>
      <c r="S17" s="1642">
        <v>123960</v>
      </c>
      <c r="T17" s="1643" t="s">
        <v>1039</v>
      </c>
      <c r="U17" s="557"/>
      <c r="V17" s="556"/>
      <c r="W17" s="557"/>
      <c r="X17" s="556"/>
      <c r="Y17" s="557">
        <v>11485</v>
      </c>
      <c r="Z17" s="556"/>
      <c r="AA17" s="528"/>
      <c r="AB17" s="528"/>
      <c r="AC17" s="528"/>
      <c r="AD17" s="528"/>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560" t="s">
        <v>355</v>
      </c>
      <c r="C19" s="561" t="s">
        <v>356</v>
      </c>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58"/>
      <c r="C20" s="528"/>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4383" t="s">
        <v>357</v>
      </c>
      <c r="C21" s="4384"/>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562" t="s">
        <v>365</v>
      </c>
      <c r="C22" s="4404" t="s">
        <v>1042</v>
      </c>
      <c r="D22" s="4404"/>
      <c r="E22" s="4404"/>
      <c r="F22" s="4404"/>
      <c r="G22" s="4404"/>
      <c r="H22" s="4404"/>
      <c r="I22" s="4404"/>
      <c r="J22" s="4404"/>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562"/>
      <c r="C23" s="4404"/>
      <c r="D23" s="4404"/>
      <c r="E23" s="4404"/>
      <c r="F23" s="4404"/>
      <c r="G23" s="4404"/>
      <c r="H23" s="4404"/>
      <c r="I23" s="4404"/>
      <c r="J23" s="4404"/>
      <c r="K23" s="479"/>
      <c r="L23" s="479"/>
      <c r="M23" s="559"/>
      <c r="N23" s="559"/>
      <c r="O23" s="559"/>
      <c r="P23" s="559"/>
      <c r="Q23" s="559"/>
      <c r="R23" s="559"/>
      <c r="S23" s="559"/>
      <c r="T23" s="559"/>
      <c r="U23" s="559"/>
      <c r="V23" s="559"/>
      <c r="W23" s="559"/>
      <c r="X23" s="559"/>
      <c r="Y23" s="559"/>
      <c r="Z23" s="559"/>
      <c r="AA23" s="528"/>
      <c r="AB23" s="528"/>
      <c r="AC23" s="528"/>
      <c r="AD23" s="528"/>
    </row>
    <row r="24" spans="1:30" ht="15.75" customHeight="1" x14ac:dyDescent="0.3">
      <c r="C24" s="4404"/>
      <c r="D24" s="4404"/>
      <c r="E24" s="4404"/>
      <c r="F24" s="4404"/>
      <c r="G24" s="4404"/>
      <c r="H24" s="4404"/>
      <c r="I24" s="4404"/>
      <c r="J24" s="4404"/>
    </row>
    <row r="25" spans="1:30" ht="15.75" customHeight="1" x14ac:dyDescent="0.3">
      <c r="C25" s="428" t="s">
        <v>1043</v>
      </c>
    </row>
    <row r="26" spans="1:30" ht="15.75" customHeight="1" x14ac:dyDescent="0.3">
      <c r="C26" s="428" t="s">
        <v>1044</v>
      </c>
      <c r="D26" s="428">
        <f>X10/12</f>
        <v>4307.25</v>
      </c>
      <c r="E26" s="428" t="s">
        <v>1045</v>
      </c>
    </row>
    <row r="27" spans="1:30" ht="15.75" customHeight="1" x14ac:dyDescent="0.3">
      <c r="C27" s="428" t="s">
        <v>1046</v>
      </c>
      <c r="D27" s="428">
        <f>D26*10</f>
        <v>43072.5</v>
      </c>
      <c r="E27" s="428" t="s">
        <v>1047</v>
      </c>
    </row>
    <row r="28" spans="1:30" ht="15.75" customHeight="1" x14ac:dyDescent="0.3">
      <c r="C28" s="428" t="s">
        <v>1048</v>
      </c>
      <c r="D28" s="428">
        <f>D26*8</f>
        <v>34458</v>
      </c>
      <c r="E28" s="428" t="s">
        <v>1049</v>
      </c>
    </row>
    <row r="29" spans="1:30" ht="15.75" customHeight="1" x14ac:dyDescent="0.3">
      <c r="C29" s="1084" t="s">
        <v>1050</v>
      </c>
      <c r="D29" s="1084">
        <f>D26*8</f>
        <v>34458</v>
      </c>
      <c r="E29" s="1084" t="s">
        <v>1049</v>
      </c>
      <c r="F29" s="1084"/>
      <c r="G29" s="1084"/>
      <c r="H29" s="1084"/>
      <c r="I29" s="1084"/>
    </row>
    <row r="30" spans="1:30" ht="15.75" customHeight="1" x14ac:dyDescent="0.3">
      <c r="C30" s="428" t="s">
        <v>1051</v>
      </c>
      <c r="D30" s="428">
        <f>X13/12</f>
        <v>27113.333333333332</v>
      </c>
      <c r="E30" s="428" t="s">
        <v>1052</v>
      </c>
    </row>
    <row r="31" spans="1:30" ht="15.75" customHeight="1" x14ac:dyDescent="0.3">
      <c r="C31" s="428" t="s">
        <v>1053</v>
      </c>
      <c r="D31" s="428">
        <f>D30*10</f>
        <v>271133.33333333331</v>
      </c>
      <c r="E31" s="428" t="s">
        <v>1054</v>
      </c>
    </row>
    <row r="32" spans="1:30" ht="15.75" customHeight="1" x14ac:dyDescent="0.3">
      <c r="C32" s="428" t="s">
        <v>1055</v>
      </c>
      <c r="D32" s="428">
        <f>D30*8</f>
        <v>216906.66666666666</v>
      </c>
      <c r="E32" s="428" t="s">
        <v>1056</v>
      </c>
    </row>
    <row r="33" spans="3:9" ht="15.75" customHeight="1" x14ac:dyDescent="0.3">
      <c r="C33" s="1084" t="s">
        <v>1057</v>
      </c>
      <c r="D33" s="1084">
        <f>D30*8</f>
        <v>216906.66666666666</v>
      </c>
      <c r="E33" s="1084" t="s">
        <v>1056</v>
      </c>
      <c r="F33" s="1084"/>
      <c r="G33" s="1084"/>
      <c r="H33" s="1084"/>
      <c r="I33" s="1084"/>
    </row>
    <row r="34" spans="3:9" ht="15.75" customHeight="1" x14ac:dyDescent="0.3"/>
    <row r="35" spans="3:9" ht="15.75" customHeight="1" x14ac:dyDescent="0.3"/>
    <row r="36" spans="3:9" ht="15.75" customHeight="1" x14ac:dyDescent="0.3"/>
    <row r="37" spans="3:9" ht="15.75" customHeight="1" x14ac:dyDescent="0.3"/>
    <row r="38" spans="3:9" ht="15.75" customHeight="1" x14ac:dyDescent="0.3"/>
    <row r="39" spans="3:9" ht="15.75" customHeight="1" x14ac:dyDescent="0.3"/>
    <row r="40" spans="3:9" ht="15.75" customHeight="1" x14ac:dyDescent="0.3"/>
    <row r="41" spans="3:9" ht="15.75" customHeight="1" x14ac:dyDescent="0.3"/>
    <row r="42" spans="3:9" ht="15.75" customHeight="1" x14ac:dyDescent="0.3"/>
    <row r="43" spans="3:9" ht="15.75" customHeight="1" x14ac:dyDescent="0.3"/>
    <row r="44" spans="3:9" ht="15.75" customHeight="1" x14ac:dyDescent="0.3"/>
    <row r="45" spans="3:9" ht="15.75" customHeight="1" x14ac:dyDescent="0.3"/>
    <row r="46" spans="3:9" ht="15.75" customHeight="1" x14ac:dyDescent="0.3"/>
    <row r="47" spans="3:9" ht="15.75" customHeight="1" x14ac:dyDescent="0.3"/>
    <row r="48" spans="3:9"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sheetData>
  <mergeCells count="2">
    <mergeCell ref="B21:C21"/>
    <mergeCell ref="C22:J2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0870A-8333-49EA-8968-8749B084F8F9}">
  <dimension ref="A1:M996"/>
  <sheetViews>
    <sheetView topLeftCell="F11" workbookViewId="0">
      <selection activeCell="K20" sqref="K20"/>
    </sheetView>
  </sheetViews>
  <sheetFormatPr defaultColWidth="12.44140625" defaultRowHeight="15" customHeight="1" x14ac:dyDescent="0.3"/>
  <cols>
    <col min="1" max="1" width="2.6640625" style="428" customWidth="1"/>
    <col min="2" max="2" width="35.109375" style="428" customWidth="1"/>
    <col min="3" max="7" width="18.5546875" style="428" customWidth="1"/>
    <col min="8" max="8" width="21.109375" style="428" customWidth="1"/>
    <col min="9" max="9" width="18.5546875" style="428" customWidth="1"/>
    <col min="10" max="10" width="1.5546875" style="428" customWidth="1"/>
    <col min="11" max="11" width="14.6640625" style="428" customWidth="1"/>
    <col min="12" max="12" width="7.33203125" style="428" customWidth="1"/>
    <col min="13" max="13" width="11.6640625" style="428" customWidth="1"/>
    <col min="14" max="16384" width="12.44140625" style="428"/>
  </cols>
  <sheetData>
    <row r="1" spans="1:13" ht="21.75" customHeight="1" x14ac:dyDescent="0.35">
      <c r="A1" s="424"/>
      <c r="B1" s="425" t="s">
        <v>549</v>
      </c>
      <c r="C1" s="426"/>
      <c r="J1" s="427"/>
      <c r="L1" s="427"/>
    </row>
    <row r="2" spans="1:13" ht="15.75" customHeight="1" x14ac:dyDescent="0.3">
      <c r="A2" s="424"/>
      <c r="B2" s="429" t="s">
        <v>299</v>
      </c>
      <c r="C2" s="430"/>
      <c r="D2" s="430"/>
      <c r="E2" s="430"/>
      <c r="F2" s="430"/>
      <c r="G2" s="430"/>
      <c r="H2" s="430"/>
      <c r="I2" s="430"/>
      <c r="J2" s="430"/>
      <c r="K2" s="430"/>
      <c r="L2" s="430"/>
    </row>
    <row r="3" spans="1:13" ht="9.75" customHeight="1" x14ac:dyDescent="0.3">
      <c r="A3" s="427"/>
      <c r="B3" s="431"/>
      <c r="J3" s="427"/>
      <c r="L3" s="427"/>
    </row>
    <row r="4" spans="1:13" ht="6" customHeight="1" x14ac:dyDescent="0.3">
      <c r="B4" s="427"/>
      <c r="J4" s="427"/>
      <c r="L4" s="427"/>
    </row>
    <row r="5" spans="1:13" ht="6" customHeight="1" x14ac:dyDescent="0.3">
      <c r="A5" s="431"/>
      <c r="J5" s="427"/>
      <c r="L5" s="427"/>
    </row>
    <row r="6" spans="1:13" ht="15.75" customHeight="1" x14ac:dyDescent="0.3">
      <c r="C6" s="428">
        <v>1000000</v>
      </c>
      <c r="J6" s="427"/>
      <c r="K6" s="427"/>
      <c r="L6" s="427"/>
    </row>
    <row r="7" spans="1:13" ht="37.200000000000003" customHeight="1" x14ac:dyDescent="0.3">
      <c r="A7" s="432"/>
      <c r="B7" s="433">
        <v>2024</v>
      </c>
      <c r="C7" s="4385" t="s">
        <v>22</v>
      </c>
      <c r="D7" s="4422"/>
      <c r="E7" s="4386"/>
      <c r="F7" s="4386"/>
      <c r="G7" s="4386"/>
      <c r="H7" s="4386"/>
      <c r="I7" s="4387"/>
      <c r="J7" s="432"/>
      <c r="K7" s="435" t="s">
        <v>300</v>
      </c>
      <c r="L7" s="432"/>
      <c r="M7" s="432"/>
    </row>
    <row r="8" spans="1:13" ht="18" customHeight="1" x14ac:dyDescent="0.35">
      <c r="B8" s="436" t="s">
        <v>301</v>
      </c>
      <c r="C8" s="648">
        <v>1</v>
      </c>
      <c r="D8" s="1644">
        <v>2</v>
      </c>
      <c r="E8" s="649">
        <v>3</v>
      </c>
      <c r="F8" s="572">
        <v>4</v>
      </c>
      <c r="G8" s="572">
        <v>5</v>
      </c>
      <c r="H8" s="572">
        <v>6</v>
      </c>
      <c r="I8" s="572">
        <v>7</v>
      </c>
      <c r="J8" s="427"/>
      <c r="K8" s="438"/>
      <c r="L8" s="427"/>
    </row>
    <row r="9" spans="1:13" ht="46.5" customHeight="1" x14ac:dyDescent="0.3">
      <c r="B9" s="439" t="s">
        <v>302</v>
      </c>
      <c r="C9" s="1645" t="s">
        <v>2123</v>
      </c>
      <c r="D9" s="1646" t="s">
        <v>2124</v>
      </c>
      <c r="E9" s="1122" t="s">
        <v>2125</v>
      </c>
      <c r="F9" s="573" t="s">
        <v>2126</v>
      </c>
      <c r="G9" s="573" t="s">
        <v>2127</v>
      </c>
      <c r="H9" s="573" t="s">
        <v>2128</v>
      </c>
      <c r="I9" s="573" t="s">
        <v>2129</v>
      </c>
      <c r="J9" s="574"/>
      <c r="K9" s="442"/>
      <c r="L9" s="443"/>
    </row>
    <row r="10" spans="1:13" ht="46.5" customHeight="1" x14ac:dyDescent="0.3">
      <c r="B10" s="444" t="s">
        <v>304</v>
      </c>
      <c r="C10" s="1647" t="s">
        <v>2130</v>
      </c>
      <c r="D10" s="1648" t="s">
        <v>2131</v>
      </c>
      <c r="E10" s="1125" t="s">
        <v>2132</v>
      </c>
      <c r="F10" s="445" t="s">
        <v>2133</v>
      </c>
      <c r="G10" s="445" t="s">
        <v>2134</v>
      </c>
      <c r="H10" s="445" t="s">
        <v>2135</v>
      </c>
      <c r="I10" s="445" t="s">
        <v>2136</v>
      </c>
      <c r="J10" s="574"/>
      <c r="K10" s="446"/>
      <c r="L10" s="443"/>
    </row>
    <row r="11" spans="1:13" ht="18.75" customHeight="1" x14ac:dyDescent="0.3">
      <c r="A11" s="447"/>
      <c r="B11" s="448" t="s">
        <v>306</v>
      </c>
      <c r="C11" s="613">
        <f t="shared" ref="C11:I11" si="0">(C17*C18)+(C22*C23)</f>
        <v>9153.4873331455656</v>
      </c>
      <c r="D11" s="1649">
        <f t="shared" si="0"/>
        <v>0</v>
      </c>
      <c r="E11" s="1650">
        <f t="shared" si="0"/>
        <v>90.486207923403725</v>
      </c>
      <c r="F11" s="575">
        <f t="shared" si="0"/>
        <v>818.75346755581813</v>
      </c>
      <c r="G11" s="575">
        <f t="shared" si="0"/>
        <v>115.3056449416971</v>
      </c>
      <c r="H11" s="575">
        <f t="shared" si="0"/>
        <v>1831.1124984469618</v>
      </c>
      <c r="I11" s="575">
        <f t="shared" si="0"/>
        <v>227.33661158820001</v>
      </c>
      <c r="J11" s="576"/>
      <c r="K11" s="451">
        <f>SUM(C11:I11)</f>
        <v>12236.481763601647</v>
      </c>
      <c r="L11" s="452"/>
      <c r="M11" s="447"/>
    </row>
    <row r="12" spans="1:13" ht="18.75" customHeight="1" x14ac:dyDescent="0.3">
      <c r="A12" s="447"/>
      <c r="B12" s="453" t="s">
        <v>307</v>
      </c>
      <c r="C12" s="653">
        <f t="shared" ref="C12:I12" si="1">(C27*C28)+(C32*C33)</f>
        <v>4658.0319040000013</v>
      </c>
      <c r="D12" s="1651">
        <f t="shared" si="1"/>
        <v>0</v>
      </c>
      <c r="E12" s="652">
        <f t="shared" si="1"/>
        <v>13.180033965347416</v>
      </c>
      <c r="F12" s="577">
        <f t="shared" si="1"/>
        <v>521.21979881511209</v>
      </c>
      <c r="G12" s="577">
        <f t="shared" si="1"/>
        <v>75.868158253989719</v>
      </c>
      <c r="H12" s="577">
        <f t="shared" si="1"/>
        <v>73.398546862577831</v>
      </c>
      <c r="I12" s="577">
        <f t="shared" si="1"/>
        <v>63.537942484199995</v>
      </c>
      <c r="J12" s="455"/>
      <c r="K12" s="456">
        <f>SUM(C12:I12)</f>
        <v>5405.2363843812282</v>
      </c>
      <c r="L12" s="457"/>
      <c r="M12" s="447"/>
    </row>
    <row r="13" spans="1:13" ht="18.75" customHeight="1" x14ac:dyDescent="0.3">
      <c r="A13" s="447"/>
      <c r="B13" s="448" t="s">
        <v>308</v>
      </c>
      <c r="C13" s="654" t="s">
        <v>8</v>
      </c>
      <c r="D13" s="1652" t="s">
        <v>8</v>
      </c>
      <c r="E13" s="654" t="s">
        <v>8</v>
      </c>
      <c r="F13" s="578" t="s">
        <v>8</v>
      </c>
      <c r="G13" s="578" t="s">
        <v>8</v>
      </c>
      <c r="H13" s="578" t="s">
        <v>8</v>
      </c>
      <c r="I13" s="578" t="s">
        <v>8</v>
      </c>
      <c r="J13" s="459"/>
      <c r="K13" s="460"/>
      <c r="L13" s="461"/>
      <c r="M13" s="447"/>
    </row>
    <row r="14" spans="1:13" ht="18.75" customHeight="1" x14ac:dyDescent="0.3">
      <c r="A14" s="447"/>
      <c r="B14" s="462" t="s">
        <v>309</v>
      </c>
      <c r="C14" s="655">
        <f t="shared" ref="C14:I14" si="2">C11-C12</f>
        <v>4495.4554291455643</v>
      </c>
      <c r="D14" s="1653">
        <f t="shared" si="2"/>
        <v>0</v>
      </c>
      <c r="E14" s="655">
        <f t="shared" si="2"/>
        <v>77.306173958056306</v>
      </c>
      <c r="F14" s="579">
        <f t="shared" si="2"/>
        <v>297.53366874070605</v>
      </c>
      <c r="G14" s="579">
        <f t="shared" si="2"/>
        <v>39.437486687707377</v>
      </c>
      <c r="H14" s="579">
        <f t="shared" si="2"/>
        <v>1757.7139515843839</v>
      </c>
      <c r="I14" s="579">
        <f t="shared" si="2"/>
        <v>163.79866910400003</v>
      </c>
      <c r="J14" s="455"/>
      <c r="K14" s="464">
        <f>SUM(C14:I14)</f>
        <v>6831.2453792204169</v>
      </c>
      <c r="L14" s="457"/>
      <c r="M14" s="447"/>
    </row>
    <row r="15" spans="1:13" ht="19.5" customHeight="1" x14ac:dyDescent="0.4">
      <c r="B15" s="465" t="s">
        <v>310</v>
      </c>
      <c r="C15" s="656"/>
      <c r="D15" s="657"/>
      <c r="E15" s="658"/>
      <c r="F15" s="580"/>
      <c r="G15" s="580"/>
      <c r="H15" s="580"/>
      <c r="I15" s="580"/>
      <c r="J15" s="467"/>
      <c r="K15" s="468"/>
      <c r="L15" s="467"/>
      <c r="M15" s="427"/>
    </row>
    <row r="16" spans="1:13" ht="35.4" customHeight="1" x14ac:dyDescent="0.3">
      <c r="A16" s="447"/>
      <c r="B16" s="469" t="s">
        <v>311</v>
      </c>
      <c r="C16" s="601" t="s">
        <v>1058</v>
      </c>
      <c r="D16" s="601" t="s">
        <v>1059</v>
      </c>
      <c r="E16" s="601" t="s">
        <v>1059</v>
      </c>
      <c r="F16" s="601" t="s">
        <v>1059</v>
      </c>
      <c r="G16" s="601" t="s">
        <v>1060</v>
      </c>
      <c r="H16" s="601" t="s">
        <v>1058</v>
      </c>
      <c r="I16" s="601" t="s">
        <v>922</v>
      </c>
      <c r="J16" s="581"/>
      <c r="K16" s="471"/>
      <c r="L16" s="457"/>
      <c r="M16" s="447"/>
    </row>
    <row r="17" spans="1:13" ht="21" customHeight="1" x14ac:dyDescent="0.3">
      <c r="A17" s="447"/>
      <c r="B17" s="472" t="s">
        <v>2342</v>
      </c>
      <c r="C17" s="582">
        <f>'CF-1204|GDS'!I15</f>
        <v>3681806.8705485468</v>
      </c>
      <c r="D17" s="660">
        <v>0</v>
      </c>
      <c r="E17" s="661">
        <f>'CF-1204|GDS'!I20</f>
        <v>46731.236833031326</v>
      </c>
      <c r="F17" s="582">
        <f>'CF-1204|GDS'!I22</f>
        <v>422841.92340787099</v>
      </c>
      <c r="G17" s="1654">
        <f>'CF-1204|GDS'!I25</f>
        <v>42175.58483907568</v>
      </c>
      <c r="H17" s="1654">
        <f>'CF-1204|GDS'!I33</f>
        <v>629078.684703434</v>
      </c>
      <c r="I17" s="582">
        <f>'CF-1204|GDS'!N35</f>
        <v>148069.23000000001</v>
      </c>
      <c r="J17" s="583"/>
      <c r="L17" s="475"/>
      <c r="M17" s="447"/>
    </row>
    <row r="18" spans="1:13" ht="18.75" customHeight="1" x14ac:dyDescent="0.3">
      <c r="A18" s="447"/>
      <c r="B18" s="476" t="s">
        <v>314</v>
      </c>
      <c r="C18" s="584">
        <v>2.4861400000000004E-3</v>
      </c>
      <c r="D18" s="584">
        <v>1.9363110000000002E-3</v>
      </c>
      <c r="E18" s="584">
        <v>1.9363110000000002E-3</v>
      </c>
      <c r="F18" s="584">
        <v>1.9363110000000002E-3</v>
      </c>
      <c r="G18" s="584">
        <v>2.7339430000000004E-3</v>
      </c>
      <c r="H18" s="584">
        <v>2.4861400000000004E-3</v>
      </c>
      <c r="I18" s="4308">
        <v>1.5353400000000001E-3</v>
      </c>
      <c r="J18" s="478"/>
      <c r="L18" s="479"/>
      <c r="M18" s="447"/>
    </row>
    <row r="19" spans="1:13" ht="19.5" customHeight="1" x14ac:dyDescent="0.3">
      <c r="A19" s="447"/>
      <c r="B19" s="480" t="s">
        <v>315</v>
      </c>
      <c r="C19" s="663">
        <f t="shared" ref="C19:I19" si="3">C17*C18</f>
        <v>9153.4873331455656</v>
      </c>
      <c r="D19" s="664">
        <f t="shared" si="3"/>
        <v>0</v>
      </c>
      <c r="E19" s="585">
        <f t="shared" si="3"/>
        <v>90.486207923403725</v>
      </c>
      <c r="F19" s="585">
        <f t="shared" si="3"/>
        <v>818.75346755581813</v>
      </c>
      <c r="G19" s="585">
        <f t="shared" si="3"/>
        <v>115.3056449416971</v>
      </c>
      <c r="H19" s="585">
        <f t="shared" si="3"/>
        <v>1563.9776811885956</v>
      </c>
      <c r="I19" s="585">
        <f t="shared" si="3"/>
        <v>227.33661158820001</v>
      </c>
      <c r="J19" s="586"/>
      <c r="L19" s="479"/>
      <c r="M19" s="447"/>
    </row>
    <row r="20" spans="1:13" ht="19.5" customHeight="1" x14ac:dyDescent="0.4">
      <c r="B20" s="465" t="s">
        <v>310</v>
      </c>
      <c r="C20" s="656"/>
      <c r="D20" s="657"/>
      <c r="E20" s="658"/>
      <c r="F20" s="580"/>
      <c r="G20" s="580"/>
      <c r="H20" s="580"/>
      <c r="I20" s="580"/>
      <c r="J20" s="467"/>
      <c r="L20" s="467"/>
    </row>
    <row r="21" spans="1:13" ht="37.950000000000003" customHeight="1" x14ac:dyDescent="0.3">
      <c r="A21" s="447"/>
      <c r="B21" s="469" t="s">
        <v>311</v>
      </c>
      <c r="C21" s="601">
        <v>0</v>
      </c>
      <c r="D21" s="601">
        <v>0</v>
      </c>
      <c r="E21" s="601">
        <v>0</v>
      </c>
      <c r="F21" s="601">
        <v>0</v>
      </c>
      <c r="G21" s="601"/>
      <c r="H21" s="601" t="s">
        <v>1061</v>
      </c>
      <c r="I21" s="601"/>
      <c r="J21" s="1094"/>
      <c r="L21" s="457"/>
      <c r="M21" s="447"/>
    </row>
    <row r="22" spans="1:13" ht="21" customHeight="1" x14ac:dyDescent="0.3">
      <c r="A22" s="447"/>
      <c r="B22" s="472" t="s">
        <v>2342</v>
      </c>
      <c r="C22" s="661">
        <v>0</v>
      </c>
      <c r="D22" s="661">
        <v>0</v>
      </c>
      <c r="E22" s="661">
        <v>0</v>
      </c>
      <c r="F22" s="661">
        <v>0</v>
      </c>
      <c r="G22" s="661">
        <v>0</v>
      </c>
      <c r="H22" s="661">
        <f>'CF-1204|GDS'!I29</f>
        <v>173543.95219254453</v>
      </c>
      <c r="I22" s="661">
        <v>0</v>
      </c>
      <c r="J22" s="583"/>
      <c r="L22" s="475"/>
      <c r="M22" s="447"/>
    </row>
    <row r="23" spans="1:13" ht="18.75" customHeight="1" x14ac:dyDescent="0.3">
      <c r="A23" s="447"/>
      <c r="B23" s="476" t="s">
        <v>314</v>
      </c>
      <c r="C23" s="584">
        <v>0</v>
      </c>
      <c r="D23" s="584">
        <v>0</v>
      </c>
      <c r="E23" s="584">
        <v>0</v>
      </c>
      <c r="F23" s="584">
        <v>0</v>
      </c>
      <c r="G23" s="584">
        <v>0</v>
      </c>
      <c r="H23" s="584">
        <v>1.5392919999999998E-3</v>
      </c>
      <c r="I23" s="584">
        <v>0</v>
      </c>
      <c r="J23" s="586"/>
      <c r="K23" s="1095"/>
      <c r="L23" s="479"/>
      <c r="M23" s="447"/>
    </row>
    <row r="24" spans="1:13" ht="19.5" customHeight="1" x14ac:dyDescent="0.3">
      <c r="A24" s="447"/>
      <c r="B24" s="480" t="s">
        <v>315</v>
      </c>
      <c r="C24" s="663">
        <f t="shared" ref="C24:I24" si="4">C22*C23</f>
        <v>0</v>
      </c>
      <c r="D24" s="664">
        <f t="shared" si="4"/>
        <v>0</v>
      </c>
      <c r="E24" s="585">
        <f t="shared" si="4"/>
        <v>0</v>
      </c>
      <c r="F24" s="585">
        <f t="shared" si="4"/>
        <v>0</v>
      </c>
      <c r="G24" s="585">
        <f t="shared" si="4"/>
        <v>0</v>
      </c>
      <c r="H24" s="585">
        <f t="shared" si="4"/>
        <v>267.13481725836624</v>
      </c>
      <c r="I24" s="585">
        <f t="shared" si="4"/>
        <v>0</v>
      </c>
      <c r="J24" s="586"/>
      <c r="K24" s="1096"/>
      <c r="L24" s="479"/>
      <c r="M24" s="447"/>
    </row>
    <row r="25" spans="1:13" ht="21" customHeight="1" x14ac:dyDescent="0.4">
      <c r="B25" s="465" t="s">
        <v>316</v>
      </c>
      <c r="C25" s="665"/>
      <c r="D25" s="587"/>
      <c r="E25" s="665"/>
      <c r="F25" s="587"/>
      <c r="G25" s="587"/>
      <c r="H25" s="587"/>
      <c r="I25" s="587"/>
      <c r="J25" s="483"/>
      <c r="K25" s="484"/>
      <c r="L25" s="483"/>
    </row>
    <row r="26" spans="1:13" ht="32.4" customHeight="1" x14ac:dyDescent="0.3">
      <c r="A26" s="447"/>
      <c r="B26" s="469" t="s">
        <v>183</v>
      </c>
      <c r="C26" s="601" t="s">
        <v>1058</v>
      </c>
      <c r="D26" s="601" t="s">
        <v>921</v>
      </c>
      <c r="E26" s="601" t="s">
        <v>921</v>
      </c>
      <c r="F26" s="601" t="s">
        <v>921</v>
      </c>
      <c r="G26" s="601" t="s">
        <v>922</v>
      </c>
      <c r="H26" s="601" t="s">
        <v>922</v>
      </c>
      <c r="I26" s="601" t="s">
        <v>1062</v>
      </c>
      <c r="J26" s="588"/>
      <c r="K26" s="485"/>
      <c r="L26" s="479"/>
      <c r="M26" s="447"/>
    </row>
    <row r="27" spans="1:13" ht="21" customHeight="1" x14ac:dyDescent="0.3">
      <c r="A27" s="447"/>
      <c r="B27" s="486" t="s">
        <v>2342</v>
      </c>
      <c r="C27" s="666">
        <f>'CF-1204|GDS'!I11</f>
        <v>1873600.0000000002</v>
      </c>
      <c r="D27" s="589">
        <v>0</v>
      </c>
      <c r="E27" s="666">
        <f>'CF-1204|GDS'!I19</f>
        <v>6806.7753399879539</v>
      </c>
      <c r="F27" s="589">
        <f>'CF-1204|GDS'!I21</f>
        <v>269181.86118609668</v>
      </c>
      <c r="G27" s="589">
        <f>'CF-1204|GDS'!I26</f>
        <v>49287.69736605513</v>
      </c>
      <c r="H27" s="589">
        <f>'CF-1204|GDS'!I28</f>
        <v>42119.471031212946</v>
      </c>
      <c r="I27" s="589">
        <f>'CF-1204|GDS'!I35</f>
        <v>41383.629999999997</v>
      </c>
      <c r="J27" s="479"/>
      <c r="K27" s="488"/>
      <c r="L27" s="479"/>
      <c r="M27" s="447"/>
    </row>
    <row r="28" spans="1:13" ht="21" customHeight="1" x14ac:dyDescent="0.3">
      <c r="A28" s="447"/>
      <c r="B28" s="489" t="s">
        <v>314</v>
      </c>
      <c r="C28" s="590">
        <v>2.4861400000000004E-3</v>
      </c>
      <c r="D28" s="590">
        <v>1.9363110000000002E-3</v>
      </c>
      <c r="E28" s="590">
        <v>1.9363110000000002E-3</v>
      </c>
      <c r="F28" s="590">
        <v>1.9363110000000002E-3</v>
      </c>
      <c r="G28" s="590">
        <v>1.5392919999999998E-3</v>
      </c>
      <c r="H28" s="590">
        <v>1.5392919999999998E-3</v>
      </c>
      <c r="I28" s="590">
        <v>1.5353400000000001E-3</v>
      </c>
      <c r="J28" s="588"/>
      <c r="K28" s="491"/>
      <c r="L28" s="479"/>
      <c r="M28" s="447"/>
    </row>
    <row r="29" spans="1:13" ht="21" customHeight="1" x14ac:dyDescent="0.3">
      <c r="A29" s="447"/>
      <c r="B29" s="492" t="s">
        <v>315</v>
      </c>
      <c r="C29" s="668">
        <f t="shared" ref="C29:I29" si="5">C27*C28</f>
        <v>4658.0319040000013</v>
      </c>
      <c r="D29" s="668">
        <f t="shared" si="5"/>
        <v>0</v>
      </c>
      <c r="E29" s="668">
        <f t="shared" si="5"/>
        <v>13.180033965347416</v>
      </c>
      <c r="F29" s="493">
        <f t="shared" si="5"/>
        <v>521.21979881511209</v>
      </c>
      <c r="G29" s="1149">
        <f t="shared" si="5"/>
        <v>75.868158253989719</v>
      </c>
      <c r="H29" s="591">
        <f t="shared" si="5"/>
        <v>64.834164802577831</v>
      </c>
      <c r="I29" s="1655">
        <f t="shared" si="5"/>
        <v>63.537942484199995</v>
      </c>
      <c r="J29" s="588"/>
      <c r="K29" s="494"/>
      <c r="L29" s="479"/>
      <c r="M29" s="447"/>
    </row>
    <row r="30" spans="1:13" ht="21" customHeight="1" x14ac:dyDescent="0.4">
      <c r="B30" s="465" t="s">
        <v>316</v>
      </c>
      <c r="C30" s="665"/>
      <c r="D30" s="587"/>
      <c r="E30" s="665"/>
      <c r="F30" s="587"/>
      <c r="G30" s="587"/>
      <c r="H30" s="587"/>
      <c r="I30" s="587"/>
      <c r="J30" s="483"/>
      <c r="K30" s="495"/>
      <c r="L30" s="483"/>
    </row>
    <row r="31" spans="1:13" ht="30.6" customHeight="1" x14ac:dyDescent="0.3">
      <c r="A31" s="447"/>
      <c r="B31" s="469" t="s">
        <v>183</v>
      </c>
      <c r="C31" s="601">
        <v>0</v>
      </c>
      <c r="D31" s="601">
        <v>0</v>
      </c>
      <c r="E31" s="601">
        <v>0</v>
      </c>
      <c r="F31" s="601" t="s">
        <v>88</v>
      </c>
      <c r="G31" s="601" t="s">
        <v>88</v>
      </c>
      <c r="H31" s="601" t="s">
        <v>352</v>
      </c>
      <c r="I31" s="601"/>
      <c r="J31" s="588"/>
      <c r="K31" s="496"/>
      <c r="L31" s="479"/>
      <c r="M31" s="447"/>
    </row>
    <row r="32" spans="1:13" ht="21" customHeight="1" x14ac:dyDescent="0.3">
      <c r="A32" s="447"/>
      <c r="B32" s="486" t="s">
        <v>319</v>
      </c>
      <c r="C32" s="666">
        <v>0</v>
      </c>
      <c r="D32" s="589">
        <v>0</v>
      </c>
      <c r="E32" s="666">
        <v>0</v>
      </c>
      <c r="F32" s="589">
        <v>0</v>
      </c>
      <c r="G32" s="589">
        <v>0</v>
      </c>
      <c r="H32" s="589">
        <f>'CF-1204|GDS'!I30</f>
        <v>5037871.8</v>
      </c>
      <c r="I32" s="589">
        <v>0</v>
      </c>
      <c r="J32" s="479"/>
      <c r="K32" s="488"/>
      <c r="L32" s="479"/>
      <c r="M32" s="447"/>
    </row>
    <row r="33" spans="1:13" ht="21" customHeight="1" x14ac:dyDescent="0.3">
      <c r="A33" s="447"/>
      <c r="B33" s="489" t="s">
        <v>314</v>
      </c>
      <c r="C33" s="590">
        <v>0</v>
      </c>
      <c r="D33" s="590">
        <v>0</v>
      </c>
      <c r="E33" s="590">
        <v>0</v>
      </c>
      <c r="F33" s="590">
        <v>0</v>
      </c>
      <c r="G33" s="590">
        <v>0</v>
      </c>
      <c r="H33" s="667">
        <v>1.7E-6</v>
      </c>
      <c r="I33" s="590">
        <v>0</v>
      </c>
      <c r="J33" s="588"/>
      <c r="K33" s="491"/>
      <c r="L33" s="479"/>
      <c r="M33" s="447"/>
    </row>
    <row r="34" spans="1:13" ht="21" customHeight="1" x14ac:dyDescent="0.3">
      <c r="A34" s="447"/>
      <c r="B34" s="492" t="s">
        <v>315</v>
      </c>
      <c r="C34" s="668">
        <f t="shared" ref="C34:I34" si="6">C32*C33</f>
        <v>0</v>
      </c>
      <c r="D34" s="668">
        <f t="shared" si="6"/>
        <v>0</v>
      </c>
      <c r="E34" s="668">
        <f t="shared" si="6"/>
        <v>0</v>
      </c>
      <c r="F34" s="591">
        <f t="shared" si="6"/>
        <v>0</v>
      </c>
      <c r="G34" s="1656">
        <f t="shared" si="6"/>
        <v>0</v>
      </c>
      <c r="H34" s="1656">
        <f t="shared" si="6"/>
        <v>8.5643820599999998</v>
      </c>
      <c r="I34" s="1655">
        <f t="shared" si="6"/>
        <v>0</v>
      </c>
      <c r="J34" s="588"/>
      <c r="K34" s="494"/>
      <c r="L34" s="479"/>
      <c r="M34" s="447"/>
    </row>
    <row r="35" spans="1:13" ht="28.5" customHeight="1" x14ac:dyDescent="0.3">
      <c r="A35" s="447"/>
      <c r="B35" s="498" t="s">
        <v>320</v>
      </c>
      <c r="C35" s="592" t="s">
        <v>321</v>
      </c>
      <c r="D35" s="592" t="s">
        <v>639</v>
      </c>
      <c r="E35" s="592" t="s">
        <v>639</v>
      </c>
      <c r="F35" s="592" t="s">
        <v>639</v>
      </c>
      <c r="G35" s="592" t="s">
        <v>321</v>
      </c>
      <c r="H35" s="592" t="s">
        <v>499</v>
      </c>
      <c r="I35" s="592" t="s">
        <v>321</v>
      </c>
      <c r="J35" s="593"/>
      <c r="K35" s="501"/>
      <c r="L35" s="500"/>
      <c r="M35" s="447"/>
    </row>
    <row r="36" spans="1:13" ht="24" customHeight="1" x14ac:dyDescent="0.3">
      <c r="B36" s="502" t="s">
        <v>322</v>
      </c>
      <c r="C36" s="673">
        <v>3</v>
      </c>
      <c r="D36" s="594">
        <v>3</v>
      </c>
      <c r="E36" s="673">
        <v>3</v>
      </c>
      <c r="F36" s="594">
        <v>3</v>
      </c>
      <c r="G36" s="594">
        <v>3</v>
      </c>
      <c r="H36" s="594">
        <v>3</v>
      </c>
      <c r="I36" s="594">
        <v>3</v>
      </c>
      <c r="J36" s="504"/>
      <c r="K36" s="505"/>
      <c r="L36" s="504"/>
    </row>
    <row r="37" spans="1:13" ht="33" customHeight="1" x14ac:dyDescent="0.3">
      <c r="A37" s="447"/>
      <c r="B37" s="506" t="s">
        <v>323</v>
      </c>
      <c r="C37" s="496" t="s">
        <v>324</v>
      </c>
      <c r="D37" s="595" t="s">
        <v>324</v>
      </c>
      <c r="E37" s="496" t="s">
        <v>324</v>
      </c>
      <c r="F37" s="595" t="s">
        <v>324</v>
      </c>
      <c r="G37" s="595" t="s">
        <v>324</v>
      </c>
      <c r="H37" s="595" t="s">
        <v>324</v>
      </c>
      <c r="I37" s="595" t="s">
        <v>324</v>
      </c>
      <c r="J37" s="479"/>
      <c r="K37" s="496"/>
      <c r="L37" s="479"/>
      <c r="M37" s="447"/>
    </row>
    <row r="38" spans="1:13" ht="33" customHeight="1" x14ac:dyDescent="0.3">
      <c r="A38" s="447"/>
      <c r="B38" s="508" t="s">
        <v>325</v>
      </c>
      <c r="C38" s="674" t="s">
        <v>326</v>
      </c>
      <c r="D38" s="596" t="s">
        <v>326</v>
      </c>
      <c r="E38" s="674" t="s">
        <v>326</v>
      </c>
      <c r="F38" s="596" t="s">
        <v>326</v>
      </c>
      <c r="G38" s="596" t="s">
        <v>326</v>
      </c>
      <c r="H38" s="596" t="s">
        <v>326</v>
      </c>
      <c r="I38" s="596" t="s">
        <v>326</v>
      </c>
      <c r="J38" s="479"/>
      <c r="K38" s="496"/>
      <c r="L38" s="479"/>
      <c r="M38" s="447"/>
    </row>
    <row r="39" spans="1:13" ht="33" customHeight="1" x14ac:dyDescent="0.3">
      <c r="A39" s="447"/>
      <c r="B39" s="506" t="s">
        <v>327</v>
      </c>
      <c r="C39" s="595" t="s">
        <v>729</v>
      </c>
      <c r="D39" s="595" t="s">
        <v>729</v>
      </c>
      <c r="E39" s="595" t="s">
        <v>729</v>
      </c>
      <c r="F39" s="595" t="s">
        <v>729</v>
      </c>
      <c r="G39" s="595" t="s">
        <v>729</v>
      </c>
      <c r="H39" s="595" t="s">
        <v>729</v>
      </c>
      <c r="I39" s="595" t="s">
        <v>729</v>
      </c>
      <c r="J39" s="479"/>
      <c r="K39" s="496"/>
      <c r="L39" s="479"/>
      <c r="M39" s="447"/>
    </row>
    <row r="40" spans="1:13" ht="21" customHeight="1" x14ac:dyDescent="0.3">
      <c r="B40" s="510" t="s">
        <v>329</v>
      </c>
      <c r="C40" s="596">
        <v>1</v>
      </c>
      <c r="D40" s="596">
        <v>0</v>
      </c>
      <c r="E40" s="596">
        <v>1</v>
      </c>
      <c r="F40" s="596">
        <v>1</v>
      </c>
      <c r="G40" s="596">
        <v>1</v>
      </c>
      <c r="H40" s="596">
        <v>1</v>
      </c>
      <c r="I40" s="596">
        <v>9</v>
      </c>
      <c r="J40" s="467"/>
      <c r="K40" s="467"/>
      <c r="L40" s="467"/>
    </row>
    <row r="41" spans="1:13" ht="21" customHeight="1" x14ac:dyDescent="0.3">
      <c r="B41" s="453" t="s">
        <v>330</v>
      </c>
      <c r="C41" s="496" t="s">
        <v>324</v>
      </c>
      <c r="D41" s="595" t="s">
        <v>324</v>
      </c>
      <c r="E41" s="496" t="s">
        <v>324</v>
      </c>
      <c r="F41" s="595" t="s">
        <v>324</v>
      </c>
      <c r="G41" s="595" t="s">
        <v>324</v>
      </c>
      <c r="H41" s="595" t="s">
        <v>324</v>
      </c>
      <c r="I41" s="595" t="s">
        <v>324</v>
      </c>
      <c r="J41" s="483"/>
      <c r="K41" s="495"/>
      <c r="L41" s="483"/>
    </row>
    <row r="42" spans="1:13" ht="21" customHeight="1" x14ac:dyDescent="0.3">
      <c r="B42" s="510" t="s">
        <v>331</v>
      </c>
      <c r="C42" s="674" t="s">
        <v>324</v>
      </c>
      <c r="D42" s="596" t="s">
        <v>324</v>
      </c>
      <c r="E42" s="674" t="s">
        <v>324</v>
      </c>
      <c r="F42" s="596" t="s">
        <v>324</v>
      </c>
      <c r="G42" s="596" t="s">
        <v>324</v>
      </c>
      <c r="H42" s="596" t="s">
        <v>324</v>
      </c>
      <c r="I42" s="596" t="s">
        <v>324</v>
      </c>
      <c r="J42" s="483"/>
      <c r="K42" s="495"/>
      <c r="L42" s="483"/>
    </row>
    <row r="43" spans="1:13" ht="21" customHeight="1" x14ac:dyDescent="0.3">
      <c r="B43" s="462" t="s">
        <v>332</v>
      </c>
      <c r="C43" s="675" t="s">
        <v>333</v>
      </c>
      <c r="D43" s="555" t="s">
        <v>333</v>
      </c>
      <c r="E43" s="676" t="s">
        <v>333</v>
      </c>
      <c r="F43" s="555" t="s">
        <v>333</v>
      </c>
      <c r="G43" s="555" t="s">
        <v>333</v>
      </c>
      <c r="H43" s="555" t="s">
        <v>333</v>
      </c>
      <c r="I43" s="555" t="s">
        <v>333</v>
      </c>
      <c r="J43" s="483"/>
      <c r="K43" s="495"/>
      <c r="L43" s="483"/>
    </row>
    <row r="44" spans="1:13" ht="15.75" customHeight="1" x14ac:dyDescent="0.3">
      <c r="B44" s="427"/>
      <c r="C44" s="427"/>
      <c r="D44" s="427"/>
      <c r="E44" s="427"/>
      <c r="F44" s="427"/>
      <c r="G44" s="427"/>
      <c r="H44" s="427"/>
      <c r="I44" s="427"/>
      <c r="J44" s="483"/>
      <c r="K44" s="483"/>
      <c r="L44" s="483"/>
    </row>
    <row r="45" spans="1:13" ht="15.75" customHeight="1" x14ac:dyDescent="0.3">
      <c r="B45" s="512" t="s">
        <v>334</v>
      </c>
      <c r="C45" s="427"/>
      <c r="D45" s="427"/>
      <c r="E45" s="427"/>
      <c r="F45" s="427"/>
      <c r="G45" s="427"/>
      <c r="H45" s="427"/>
      <c r="I45" s="427"/>
      <c r="J45" s="483"/>
      <c r="K45" s="483"/>
      <c r="L45" s="483"/>
    </row>
    <row r="46" spans="1:13" ht="15.75" customHeight="1" x14ac:dyDescent="0.3">
      <c r="B46" s="512" t="s">
        <v>335</v>
      </c>
      <c r="C46" s="427"/>
      <c r="D46" s="427"/>
      <c r="E46" s="427"/>
      <c r="F46" s="427"/>
      <c r="G46" s="427"/>
      <c r="H46" s="427"/>
      <c r="I46" s="427"/>
      <c r="J46" s="483"/>
      <c r="K46" s="483"/>
      <c r="L46" s="483"/>
    </row>
    <row r="47" spans="1:13" ht="15.75" customHeight="1" x14ac:dyDescent="0.3">
      <c r="B47" s="512" t="s">
        <v>336</v>
      </c>
      <c r="C47" s="427"/>
      <c r="D47" s="427"/>
      <c r="E47" s="427"/>
      <c r="F47" s="427"/>
      <c r="G47" s="427"/>
      <c r="H47" s="427"/>
      <c r="I47" s="427"/>
      <c r="J47" s="483"/>
      <c r="K47" s="483"/>
      <c r="L47" s="483"/>
    </row>
    <row r="48" spans="1:13" ht="15.75" customHeight="1" x14ac:dyDescent="0.3">
      <c r="B48" s="512" t="s">
        <v>337</v>
      </c>
      <c r="C48" s="427"/>
      <c r="D48" s="427"/>
      <c r="E48" s="427"/>
      <c r="F48" s="427"/>
      <c r="G48" s="427"/>
      <c r="H48" s="427"/>
      <c r="I48" s="427"/>
      <c r="J48" s="483"/>
      <c r="K48" s="483"/>
      <c r="L48" s="483"/>
    </row>
    <row r="49" spans="2:12" ht="15.75" customHeight="1" x14ac:dyDescent="0.3">
      <c r="B49" s="512" t="s">
        <v>338</v>
      </c>
      <c r="J49" s="427"/>
      <c r="L49" s="427"/>
    </row>
    <row r="50" spans="2:12" ht="15.75" customHeight="1" x14ac:dyDescent="0.3">
      <c r="B50" s="512" t="s">
        <v>339</v>
      </c>
      <c r="J50" s="427"/>
      <c r="L50" s="427"/>
    </row>
    <row r="51" spans="2:12" ht="15.75" customHeight="1" x14ac:dyDescent="0.3">
      <c r="J51" s="427"/>
      <c r="L51" s="427"/>
    </row>
    <row r="52" spans="2:12" ht="15.75" customHeight="1" x14ac:dyDescent="0.3">
      <c r="J52" s="427"/>
      <c r="L52" s="427"/>
    </row>
    <row r="53" spans="2:12" ht="15.75" customHeight="1" x14ac:dyDescent="0.3">
      <c r="J53" s="427"/>
      <c r="L53" s="427"/>
    </row>
    <row r="54" spans="2:12" ht="15.75" customHeight="1" x14ac:dyDescent="0.3">
      <c r="J54" s="427"/>
      <c r="L54" s="427"/>
    </row>
    <row r="55" spans="2:12" ht="15.75" customHeight="1" x14ac:dyDescent="0.3">
      <c r="J55" s="427"/>
      <c r="L55" s="427"/>
    </row>
    <row r="56" spans="2:12" ht="15.75" customHeight="1" x14ac:dyDescent="0.3">
      <c r="J56" s="427"/>
      <c r="L56" s="427"/>
    </row>
    <row r="57" spans="2:12" ht="15.75" customHeight="1" x14ac:dyDescent="0.3">
      <c r="J57" s="427"/>
      <c r="L57" s="427"/>
    </row>
    <row r="58" spans="2:12" ht="15.75" customHeight="1" x14ac:dyDescent="0.3">
      <c r="J58" s="427"/>
      <c r="L58" s="427"/>
    </row>
    <row r="59" spans="2:12" ht="15.75" customHeight="1" x14ac:dyDescent="0.3">
      <c r="J59" s="427"/>
      <c r="L59" s="427"/>
    </row>
    <row r="60" spans="2:12" ht="15.75" customHeight="1" x14ac:dyDescent="0.3">
      <c r="J60" s="427"/>
      <c r="L60" s="427"/>
    </row>
    <row r="61" spans="2:12" ht="15.75" customHeight="1" x14ac:dyDescent="0.3">
      <c r="J61" s="427"/>
      <c r="L61" s="427"/>
    </row>
    <row r="62" spans="2:12" ht="15.75" customHeight="1" x14ac:dyDescent="0.3">
      <c r="J62" s="427"/>
      <c r="L62" s="427"/>
    </row>
    <row r="63" spans="2:12" ht="15.75" customHeight="1" x14ac:dyDescent="0.3">
      <c r="J63" s="427"/>
      <c r="L63" s="427"/>
    </row>
    <row r="64" spans="2:12" ht="15.75" customHeight="1" x14ac:dyDescent="0.3">
      <c r="J64" s="427"/>
      <c r="L64" s="427"/>
    </row>
    <row r="65" spans="10:12" ht="15.75" customHeight="1" x14ac:dyDescent="0.3">
      <c r="J65" s="427"/>
      <c r="L65" s="427"/>
    </row>
    <row r="66" spans="10:12" ht="15.75" customHeight="1" x14ac:dyDescent="0.3">
      <c r="J66" s="427"/>
      <c r="L66" s="427"/>
    </row>
    <row r="67" spans="10:12" ht="15.75" customHeight="1" x14ac:dyDescent="0.3">
      <c r="J67" s="427"/>
      <c r="L67" s="427"/>
    </row>
    <row r="68" spans="10:12" ht="15.75" customHeight="1" x14ac:dyDescent="0.3">
      <c r="J68" s="427"/>
      <c r="L68" s="427"/>
    </row>
    <row r="69" spans="10:12" ht="15.75" customHeight="1" x14ac:dyDescent="0.3">
      <c r="J69" s="427"/>
      <c r="L69" s="427"/>
    </row>
    <row r="70" spans="10:12" ht="15.75" customHeight="1" x14ac:dyDescent="0.3">
      <c r="J70" s="427"/>
      <c r="L70" s="427"/>
    </row>
    <row r="71" spans="10:12" ht="15.75" customHeight="1" x14ac:dyDescent="0.3">
      <c r="J71" s="427"/>
      <c r="L71" s="427"/>
    </row>
    <row r="72" spans="10:12" ht="15.75" customHeight="1" x14ac:dyDescent="0.3">
      <c r="J72" s="427"/>
      <c r="L72" s="427"/>
    </row>
    <row r="73" spans="10:12" ht="15.75" customHeight="1" x14ac:dyDescent="0.3">
      <c r="J73" s="427"/>
      <c r="L73" s="427"/>
    </row>
    <row r="74" spans="10:12" ht="15.75" customHeight="1" x14ac:dyDescent="0.3">
      <c r="J74" s="427"/>
      <c r="L74" s="427"/>
    </row>
    <row r="75" spans="10:12" ht="15.75" customHeight="1" x14ac:dyDescent="0.3">
      <c r="J75" s="427"/>
      <c r="L75" s="427"/>
    </row>
    <row r="76" spans="10:12" ht="15.75" customHeight="1" x14ac:dyDescent="0.3">
      <c r="J76" s="427"/>
      <c r="L76" s="427"/>
    </row>
    <row r="77" spans="10:12" ht="15.75" customHeight="1" x14ac:dyDescent="0.3">
      <c r="J77" s="427"/>
      <c r="L77" s="427"/>
    </row>
    <row r="78" spans="10:12" ht="15.75" customHeight="1" x14ac:dyDescent="0.3">
      <c r="J78" s="427"/>
      <c r="L78" s="427"/>
    </row>
    <row r="79" spans="10:12" ht="15.75" customHeight="1" x14ac:dyDescent="0.3">
      <c r="J79" s="427"/>
      <c r="L79" s="427"/>
    </row>
    <row r="80" spans="10:12" ht="15.75" customHeight="1" x14ac:dyDescent="0.3">
      <c r="J80" s="427"/>
      <c r="L80" s="427"/>
    </row>
    <row r="81" spans="10:12" ht="15.75" customHeight="1" x14ac:dyDescent="0.3">
      <c r="J81" s="427"/>
      <c r="L81" s="427"/>
    </row>
    <row r="82" spans="10:12" ht="15.75" customHeight="1" x14ac:dyDescent="0.3">
      <c r="J82" s="427"/>
      <c r="L82" s="427"/>
    </row>
    <row r="83" spans="10:12" ht="15.75" customHeight="1" x14ac:dyDescent="0.3">
      <c r="J83" s="427"/>
      <c r="L83" s="427"/>
    </row>
    <row r="84" spans="10:12" ht="15.75" customHeight="1" x14ac:dyDescent="0.3">
      <c r="J84" s="427"/>
      <c r="L84" s="427"/>
    </row>
    <row r="85" spans="10:12" ht="15.75" customHeight="1" x14ac:dyDescent="0.3">
      <c r="J85" s="427"/>
      <c r="L85" s="427"/>
    </row>
    <row r="86" spans="10:12" ht="15.75" customHeight="1" x14ac:dyDescent="0.3">
      <c r="J86" s="427"/>
      <c r="L86" s="427"/>
    </row>
    <row r="87" spans="10:12" ht="15.75" customHeight="1" x14ac:dyDescent="0.3">
      <c r="J87" s="427"/>
      <c r="L87" s="427"/>
    </row>
    <row r="88" spans="10:12" ht="15.75" customHeight="1" x14ac:dyDescent="0.3">
      <c r="J88" s="427"/>
      <c r="L88" s="427"/>
    </row>
    <row r="89" spans="10:12" ht="15.75" customHeight="1" x14ac:dyDescent="0.3">
      <c r="J89" s="427"/>
      <c r="L89" s="427"/>
    </row>
    <row r="90" spans="10:12" ht="15.75" customHeight="1" x14ac:dyDescent="0.3">
      <c r="J90" s="427"/>
      <c r="L90" s="427"/>
    </row>
    <row r="91" spans="10:12" ht="15.75" customHeight="1" x14ac:dyDescent="0.3">
      <c r="J91" s="427"/>
      <c r="L91" s="427"/>
    </row>
    <row r="92" spans="10:12" ht="15.75" customHeight="1" x14ac:dyDescent="0.3">
      <c r="J92" s="427"/>
      <c r="L92" s="427"/>
    </row>
    <row r="93" spans="10:12" ht="15.75" customHeight="1" x14ac:dyDescent="0.3">
      <c r="J93" s="427"/>
      <c r="L93" s="427"/>
    </row>
    <row r="94" spans="10:12" ht="15.75" customHeight="1" x14ac:dyDescent="0.3">
      <c r="J94" s="427"/>
      <c r="L94" s="427"/>
    </row>
    <row r="95" spans="10:12" ht="15.75" customHeight="1" x14ac:dyDescent="0.3">
      <c r="J95" s="427"/>
      <c r="L95" s="427"/>
    </row>
    <row r="96" spans="10:12" ht="15.75" customHeight="1" x14ac:dyDescent="0.3">
      <c r="J96" s="427"/>
      <c r="L96" s="427"/>
    </row>
    <row r="97" spans="10:12" ht="15.75" customHeight="1" x14ac:dyDescent="0.3">
      <c r="J97" s="427"/>
      <c r="L97" s="427"/>
    </row>
    <row r="98" spans="10:12" ht="15.75" customHeight="1" x14ac:dyDescent="0.3">
      <c r="J98" s="427"/>
      <c r="L98" s="427"/>
    </row>
    <row r="99" spans="10:12" ht="15.75" customHeight="1" x14ac:dyDescent="0.3">
      <c r="J99" s="427"/>
      <c r="L99" s="427"/>
    </row>
    <row r="100" spans="10:12" ht="15.75" customHeight="1" x14ac:dyDescent="0.3">
      <c r="J100" s="427"/>
      <c r="L100" s="427"/>
    </row>
    <row r="101" spans="10:12" ht="15.75" customHeight="1" x14ac:dyDescent="0.3">
      <c r="J101" s="427"/>
      <c r="L101" s="427"/>
    </row>
    <row r="102" spans="10:12" ht="15.75" customHeight="1" x14ac:dyDescent="0.3">
      <c r="J102" s="427"/>
      <c r="L102" s="427"/>
    </row>
    <row r="103" spans="10:12" ht="15.75" customHeight="1" x14ac:dyDescent="0.3">
      <c r="J103" s="427"/>
      <c r="L103" s="427"/>
    </row>
    <row r="104" spans="10:12" ht="15.75" customHeight="1" x14ac:dyDescent="0.3">
      <c r="J104" s="427"/>
      <c r="L104" s="427"/>
    </row>
    <row r="105" spans="10:12" ht="15.75" customHeight="1" x14ac:dyDescent="0.3">
      <c r="J105" s="427"/>
      <c r="L105" s="427"/>
    </row>
    <row r="106" spans="10:12" ht="15.75" customHeight="1" x14ac:dyDescent="0.3">
      <c r="J106" s="427"/>
      <c r="L106" s="427"/>
    </row>
    <row r="107" spans="10:12" ht="15.75" customHeight="1" x14ac:dyDescent="0.3">
      <c r="J107" s="427"/>
      <c r="L107" s="427"/>
    </row>
    <row r="108" spans="10:12" ht="15.75" customHeight="1" x14ac:dyDescent="0.3">
      <c r="J108" s="427"/>
      <c r="L108" s="427"/>
    </row>
    <row r="109" spans="10:12" ht="15.75" customHeight="1" x14ac:dyDescent="0.3">
      <c r="J109" s="427"/>
      <c r="L109" s="427"/>
    </row>
    <row r="110" spans="10:12" ht="15.75" customHeight="1" x14ac:dyDescent="0.3">
      <c r="J110" s="427"/>
      <c r="L110" s="427"/>
    </row>
    <row r="111" spans="10:12" ht="15.75" customHeight="1" x14ac:dyDescent="0.3">
      <c r="J111" s="427"/>
      <c r="L111" s="427"/>
    </row>
    <row r="112" spans="10:12" ht="15.75" customHeight="1" x14ac:dyDescent="0.3">
      <c r="J112" s="427"/>
      <c r="L112" s="427"/>
    </row>
    <row r="113" spans="10:12" ht="15.75" customHeight="1" x14ac:dyDescent="0.3">
      <c r="J113" s="427"/>
      <c r="L113" s="427"/>
    </row>
    <row r="114" spans="10:12" ht="15.75" customHeight="1" x14ac:dyDescent="0.3">
      <c r="J114" s="427"/>
      <c r="L114" s="427"/>
    </row>
    <row r="115" spans="10:12" ht="15.75" customHeight="1" x14ac:dyDescent="0.3">
      <c r="J115" s="427"/>
      <c r="L115" s="427"/>
    </row>
    <row r="116" spans="10:12" ht="15.75" customHeight="1" x14ac:dyDescent="0.3">
      <c r="J116" s="427"/>
      <c r="L116" s="427"/>
    </row>
    <row r="117" spans="10:12" ht="15.75" customHeight="1" x14ac:dyDescent="0.3">
      <c r="J117" s="427"/>
      <c r="L117" s="427"/>
    </row>
    <row r="118" spans="10:12" ht="15.75" customHeight="1" x14ac:dyDescent="0.3">
      <c r="J118" s="427"/>
      <c r="L118" s="427"/>
    </row>
    <row r="119" spans="10:12" ht="15.75" customHeight="1" x14ac:dyDescent="0.3">
      <c r="J119" s="427"/>
      <c r="L119" s="427"/>
    </row>
    <row r="120" spans="10:12" ht="15.75" customHeight="1" x14ac:dyDescent="0.3">
      <c r="J120" s="427"/>
      <c r="L120" s="427"/>
    </row>
    <row r="121" spans="10:12" ht="15.75" customHeight="1" x14ac:dyDescent="0.3">
      <c r="J121" s="427"/>
      <c r="L121" s="427"/>
    </row>
    <row r="122" spans="10:12" ht="15.75" customHeight="1" x14ac:dyDescent="0.3">
      <c r="J122" s="427"/>
      <c r="L122" s="427"/>
    </row>
    <row r="123" spans="10:12" ht="15.75" customHeight="1" x14ac:dyDescent="0.3">
      <c r="J123" s="427"/>
      <c r="L123" s="427"/>
    </row>
    <row r="124" spans="10:12" ht="15.75" customHeight="1" x14ac:dyDescent="0.3">
      <c r="J124" s="427"/>
      <c r="L124" s="427"/>
    </row>
    <row r="125" spans="10:12" ht="15.75" customHeight="1" x14ac:dyDescent="0.3">
      <c r="J125" s="427"/>
      <c r="L125" s="427"/>
    </row>
    <row r="126" spans="10:12" ht="15.75" customHeight="1" x14ac:dyDescent="0.3">
      <c r="J126" s="427"/>
      <c r="L126" s="427"/>
    </row>
    <row r="127" spans="10:12" ht="15.75" customHeight="1" x14ac:dyDescent="0.3">
      <c r="J127" s="427"/>
      <c r="L127" s="427"/>
    </row>
    <row r="128" spans="10:12" ht="15.75" customHeight="1" x14ac:dyDescent="0.3">
      <c r="J128" s="427"/>
      <c r="L128" s="427"/>
    </row>
    <row r="129" spans="10:12" ht="15.75" customHeight="1" x14ac:dyDescent="0.3">
      <c r="J129" s="427"/>
      <c r="L129" s="427"/>
    </row>
    <row r="130" spans="10:12" ht="15.75" customHeight="1" x14ac:dyDescent="0.3">
      <c r="J130" s="427"/>
      <c r="L130" s="427"/>
    </row>
    <row r="131" spans="10:12" ht="15.75" customHeight="1" x14ac:dyDescent="0.3">
      <c r="J131" s="427"/>
      <c r="L131" s="427"/>
    </row>
    <row r="132" spans="10:12" ht="15.75" customHeight="1" x14ac:dyDescent="0.3">
      <c r="J132" s="427"/>
      <c r="L132" s="427"/>
    </row>
    <row r="133" spans="10:12" ht="15.75" customHeight="1" x14ac:dyDescent="0.3">
      <c r="J133" s="427"/>
      <c r="L133" s="427"/>
    </row>
    <row r="134" spans="10:12" ht="15.75" customHeight="1" x14ac:dyDescent="0.3">
      <c r="J134" s="427"/>
      <c r="L134" s="427"/>
    </row>
    <row r="135" spans="10:12" ht="15.75" customHeight="1" x14ac:dyDescent="0.3">
      <c r="J135" s="427"/>
      <c r="L135" s="427"/>
    </row>
    <row r="136" spans="10:12" ht="15.75" customHeight="1" x14ac:dyDescent="0.3">
      <c r="J136" s="427"/>
      <c r="L136" s="427"/>
    </row>
    <row r="137" spans="10:12" ht="15.75" customHeight="1" x14ac:dyDescent="0.3">
      <c r="J137" s="427"/>
      <c r="L137" s="427"/>
    </row>
    <row r="138" spans="10:12" ht="15.75" customHeight="1" x14ac:dyDescent="0.3">
      <c r="J138" s="427"/>
      <c r="L138" s="427"/>
    </row>
    <row r="139" spans="10:12" ht="15.75" customHeight="1" x14ac:dyDescent="0.3">
      <c r="J139" s="427"/>
      <c r="L139" s="427"/>
    </row>
    <row r="140" spans="10:12" ht="15.75" customHeight="1" x14ac:dyDescent="0.3">
      <c r="J140" s="427"/>
      <c r="L140" s="427"/>
    </row>
    <row r="141" spans="10:12" ht="15.75" customHeight="1" x14ac:dyDescent="0.3">
      <c r="J141" s="427"/>
      <c r="L141" s="427"/>
    </row>
    <row r="142" spans="10:12" ht="15.75" customHeight="1" x14ac:dyDescent="0.3">
      <c r="J142" s="427"/>
      <c r="L142" s="427"/>
    </row>
    <row r="143" spans="10:12" ht="15.75" customHeight="1" x14ac:dyDescent="0.3">
      <c r="J143" s="427"/>
      <c r="L143" s="427"/>
    </row>
    <row r="144" spans="10:12" ht="15.75" customHeight="1" x14ac:dyDescent="0.3">
      <c r="J144" s="427"/>
      <c r="L144" s="427"/>
    </row>
    <row r="145" spans="10:12" ht="15.75" customHeight="1" x14ac:dyDescent="0.3">
      <c r="J145" s="427"/>
      <c r="L145" s="427"/>
    </row>
    <row r="146" spans="10:12" ht="15.75" customHeight="1" x14ac:dyDescent="0.3">
      <c r="J146" s="427"/>
      <c r="L146" s="427"/>
    </row>
    <row r="147" spans="10:12" ht="15.75" customHeight="1" x14ac:dyDescent="0.3">
      <c r="J147" s="427"/>
      <c r="L147" s="427"/>
    </row>
    <row r="148" spans="10:12" ht="15.75" customHeight="1" x14ac:dyDescent="0.3">
      <c r="J148" s="427"/>
      <c r="L148" s="427"/>
    </row>
    <row r="149" spans="10:12" ht="15.75" customHeight="1" x14ac:dyDescent="0.3">
      <c r="J149" s="427"/>
      <c r="L149" s="427"/>
    </row>
    <row r="150" spans="10:12" ht="15.75" customHeight="1" x14ac:dyDescent="0.3">
      <c r="J150" s="427"/>
      <c r="L150" s="427"/>
    </row>
    <row r="151" spans="10:12" ht="15.75" customHeight="1" x14ac:dyDescent="0.3">
      <c r="J151" s="427"/>
      <c r="L151" s="427"/>
    </row>
    <row r="152" spans="10:12" ht="15.75" customHeight="1" x14ac:dyDescent="0.3">
      <c r="J152" s="427"/>
      <c r="L152" s="427"/>
    </row>
    <row r="153" spans="10:12" ht="15.75" customHeight="1" x14ac:dyDescent="0.3">
      <c r="J153" s="427"/>
      <c r="L153" s="427"/>
    </row>
    <row r="154" spans="10:12" ht="15.75" customHeight="1" x14ac:dyDescent="0.3">
      <c r="J154" s="427"/>
      <c r="L154" s="427"/>
    </row>
    <row r="155" spans="10:12" ht="15.75" customHeight="1" x14ac:dyDescent="0.3">
      <c r="J155" s="427"/>
      <c r="L155" s="427"/>
    </row>
    <row r="156" spans="10:12" ht="15.75" customHeight="1" x14ac:dyDescent="0.3">
      <c r="J156" s="427"/>
      <c r="L156" s="427"/>
    </row>
    <row r="157" spans="10:12" ht="15.75" customHeight="1" x14ac:dyDescent="0.3">
      <c r="J157" s="427"/>
      <c r="L157" s="427"/>
    </row>
    <row r="158" spans="10:12" ht="15.75" customHeight="1" x14ac:dyDescent="0.3">
      <c r="J158" s="427"/>
      <c r="L158" s="427"/>
    </row>
    <row r="159" spans="10:12" ht="15.75" customHeight="1" x14ac:dyDescent="0.3">
      <c r="J159" s="427"/>
      <c r="L159" s="427"/>
    </row>
    <row r="160" spans="10:12" ht="15.75" customHeight="1" x14ac:dyDescent="0.3">
      <c r="J160" s="427"/>
      <c r="L160" s="427"/>
    </row>
    <row r="161" spans="10:12" ht="15.75" customHeight="1" x14ac:dyDescent="0.3">
      <c r="J161" s="427"/>
      <c r="L161" s="427"/>
    </row>
    <row r="162" spans="10:12" ht="15.75" customHeight="1" x14ac:dyDescent="0.3">
      <c r="J162" s="427"/>
      <c r="L162" s="427"/>
    </row>
    <row r="163" spans="10:12" ht="15.75" customHeight="1" x14ac:dyDescent="0.3">
      <c r="J163" s="427"/>
      <c r="L163" s="427"/>
    </row>
    <row r="164" spans="10:12" ht="15.75" customHeight="1" x14ac:dyDescent="0.3">
      <c r="J164" s="427"/>
      <c r="L164" s="427"/>
    </row>
    <row r="165" spans="10:12" ht="15.75" customHeight="1" x14ac:dyDescent="0.3">
      <c r="J165" s="427"/>
      <c r="L165" s="427"/>
    </row>
    <row r="166" spans="10:12" ht="15.75" customHeight="1" x14ac:dyDescent="0.3">
      <c r="J166" s="427"/>
      <c r="L166" s="427"/>
    </row>
    <row r="167" spans="10:12" ht="15.75" customHeight="1" x14ac:dyDescent="0.3">
      <c r="J167" s="427"/>
      <c r="L167" s="427"/>
    </row>
    <row r="168" spans="10:12" ht="15.75" customHeight="1" x14ac:dyDescent="0.3">
      <c r="J168" s="427"/>
      <c r="L168" s="427"/>
    </row>
    <row r="169" spans="10:12" ht="15.75" customHeight="1" x14ac:dyDescent="0.3">
      <c r="J169" s="427"/>
      <c r="L169" s="427"/>
    </row>
    <row r="170" spans="10:12" ht="15.75" customHeight="1" x14ac:dyDescent="0.3">
      <c r="J170" s="427"/>
      <c r="L170" s="427"/>
    </row>
    <row r="171" spans="10:12" ht="15.75" customHeight="1" x14ac:dyDescent="0.3">
      <c r="J171" s="427"/>
      <c r="L171" s="427"/>
    </row>
    <row r="172" spans="10:12" ht="15.75" customHeight="1" x14ac:dyDescent="0.3">
      <c r="J172" s="427"/>
      <c r="L172" s="427"/>
    </row>
    <row r="173" spans="10:12" ht="15.75" customHeight="1" x14ac:dyDescent="0.3">
      <c r="J173" s="427"/>
      <c r="L173" s="427"/>
    </row>
    <row r="174" spans="10:12" ht="15.75" customHeight="1" x14ac:dyDescent="0.3">
      <c r="J174" s="427"/>
      <c r="L174" s="427"/>
    </row>
    <row r="175" spans="10:12" ht="15.75" customHeight="1" x14ac:dyDescent="0.3">
      <c r="J175" s="427"/>
      <c r="L175" s="427"/>
    </row>
    <row r="176" spans="10:12" ht="15.75" customHeight="1" x14ac:dyDescent="0.3">
      <c r="J176" s="427"/>
      <c r="L176" s="427"/>
    </row>
    <row r="177" spans="10:12" ht="15.75" customHeight="1" x14ac:dyDescent="0.3">
      <c r="J177" s="427"/>
      <c r="L177" s="427"/>
    </row>
    <row r="178" spans="10:12" ht="15.75" customHeight="1" x14ac:dyDescent="0.3">
      <c r="J178" s="427"/>
      <c r="L178" s="427"/>
    </row>
    <row r="179" spans="10:12" ht="15.75" customHeight="1" x14ac:dyDescent="0.3">
      <c r="J179" s="427"/>
      <c r="L179" s="427"/>
    </row>
    <row r="180" spans="10:12" ht="15.75" customHeight="1" x14ac:dyDescent="0.3">
      <c r="J180" s="427"/>
      <c r="L180" s="427"/>
    </row>
    <row r="181" spans="10:12" ht="15.75" customHeight="1" x14ac:dyDescent="0.3">
      <c r="J181" s="427"/>
      <c r="L181" s="427"/>
    </row>
    <row r="182" spans="10:12" ht="15.75" customHeight="1" x14ac:dyDescent="0.3">
      <c r="J182" s="427"/>
      <c r="L182" s="427"/>
    </row>
    <row r="183" spans="10:12" ht="15.75" customHeight="1" x14ac:dyDescent="0.3">
      <c r="J183" s="427"/>
      <c r="L183" s="427"/>
    </row>
    <row r="184" spans="10:12" ht="15.75" customHeight="1" x14ac:dyDescent="0.3">
      <c r="J184" s="427"/>
      <c r="L184" s="427"/>
    </row>
    <row r="185" spans="10:12" ht="15.75" customHeight="1" x14ac:dyDescent="0.3">
      <c r="J185" s="427"/>
      <c r="L185" s="427"/>
    </row>
    <row r="186" spans="10:12" ht="15.75" customHeight="1" x14ac:dyDescent="0.3">
      <c r="J186" s="427"/>
      <c r="L186" s="427"/>
    </row>
    <row r="187" spans="10:12" ht="15.75" customHeight="1" x14ac:dyDescent="0.3">
      <c r="J187" s="427"/>
      <c r="L187" s="427"/>
    </row>
    <row r="188" spans="10:12" ht="15.75" customHeight="1" x14ac:dyDescent="0.3">
      <c r="J188" s="427"/>
      <c r="L188" s="427"/>
    </row>
    <row r="189" spans="10:12" ht="15.75" customHeight="1" x14ac:dyDescent="0.3">
      <c r="J189" s="427"/>
      <c r="L189" s="427"/>
    </row>
    <row r="190" spans="10:12" ht="15.75" customHeight="1" x14ac:dyDescent="0.3">
      <c r="J190" s="427"/>
      <c r="L190" s="427"/>
    </row>
    <row r="191" spans="10:12" ht="15.75" customHeight="1" x14ac:dyDescent="0.3">
      <c r="J191" s="427"/>
      <c r="L191" s="427"/>
    </row>
    <row r="192" spans="10:12" ht="15.75" customHeight="1" x14ac:dyDescent="0.3">
      <c r="J192" s="427"/>
      <c r="L192" s="427"/>
    </row>
    <row r="193" spans="10:12" ht="15.75" customHeight="1" x14ac:dyDescent="0.3">
      <c r="J193" s="427"/>
      <c r="L193" s="427"/>
    </row>
    <row r="194" spans="10:12" ht="15.75" customHeight="1" x14ac:dyDescent="0.3">
      <c r="J194" s="427"/>
      <c r="L194" s="427"/>
    </row>
    <row r="195" spans="10:12" ht="15.75" customHeight="1" x14ac:dyDescent="0.3">
      <c r="J195" s="427"/>
      <c r="L195" s="427"/>
    </row>
    <row r="196" spans="10:12" ht="15.75" customHeight="1" x14ac:dyDescent="0.3">
      <c r="J196" s="427"/>
      <c r="L196" s="427"/>
    </row>
    <row r="197" spans="10:12" ht="15.75" customHeight="1" x14ac:dyDescent="0.3">
      <c r="J197" s="427"/>
      <c r="L197" s="427"/>
    </row>
    <row r="198" spans="10:12" ht="15.75" customHeight="1" x14ac:dyDescent="0.3">
      <c r="J198" s="427"/>
      <c r="L198" s="427"/>
    </row>
    <row r="199" spans="10:12" ht="15.75" customHeight="1" x14ac:dyDescent="0.3">
      <c r="J199" s="427"/>
      <c r="L199" s="427"/>
    </row>
    <row r="200" spans="10:12" ht="15.75" customHeight="1" x14ac:dyDescent="0.3">
      <c r="J200" s="427"/>
      <c r="L200" s="427"/>
    </row>
    <row r="201" spans="10:12" ht="15.75" customHeight="1" x14ac:dyDescent="0.3">
      <c r="J201" s="427"/>
      <c r="L201" s="427"/>
    </row>
    <row r="202" spans="10:12" ht="15.75" customHeight="1" x14ac:dyDescent="0.3">
      <c r="J202" s="427"/>
      <c r="L202" s="427"/>
    </row>
    <row r="203" spans="10:12" ht="15.75" customHeight="1" x14ac:dyDescent="0.3">
      <c r="J203" s="427"/>
      <c r="L203" s="427"/>
    </row>
    <row r="204" spans="10:12" ht="15.75" customHeight="1" x14ac:dyDescent="0.3">
      <c r="J204" s="427"/>
      <c r="L204" s="427"/>
    </row>
    <row r="205" spans="10:12" ht="15.75" customHeight="1" x14ac:dyDescent="0.3">
      <c r="J205" s="427"/>
      <c r="L205" s="427"/>
    </row>
    <row r="206" spans="10:12" ht="15.75" customHeight="1" x14ac:dyDescent="0.3">
      <c r="J206" s="427"/>
      <c r="L206" s="427"/>
    </row>
    <row r="207" spans="10:12" ht="15.75" customHeight="1" x14ac:dyDescent="0.3">
      <c r="J207" s="427"/>
      <c r="L207" s="427"/>
    </row>
    <row r="208" spans="10:12" ht="15.75" customHeight="1" x14ac:dyDescent="0.3">
      <c r="J208" s="427"/>
      <c r="L208" s="427"/>
    </row>
    <row r="209" spans="10:12" ht="15.75" customHeight="1" x14ac:dyDescent="0.3">
      <c r="J209" s="427"/>
      <c r="L209" s="427"/>
    </row>
    <row r="210" spans="10:12" ht="15.75" customHeight="1" x14ac:dyDescent="0.3">
      <c r="J210" s="427"/>
      <c r="L210" s="427"/>
    </row>
    <row r="211" spans="10:12" ht="15.75" customHeight="1" x14ac:dyDescent="0.3">
      <c r="J211" s="427"/>
      <c r="L211" s="427"/>
    </row>
    <row r="212" spans="10:12" ht="15.75" customHeight="1" x14ac:dyDescent="0.3">
      <c r="J212" s="427"/>
      <c r="L212" s="427"/>
    </row>
    <row r="213" spans="10:12" ht="15.75" customHeight="1" x14ac:dyDescent="0.3">
      <c r="J213" s="427"/>
      <c r="L213" s="427"/>
    </row>
    <row r="214" spans="10:12" ht="15.75" customHeight="1" x14ac:dyDescent="0.3">
      <c r="J214" s="427"/>
      <c r="L214" s="427"/>
    </row>
    <row r="215" spans="10:12" ht="15.75" customHeight="1" x14ac:dyDescent="0.3">
      <c r="J215" s="427"/>
      <c r="L215" s="427"/>
    </row>
    <row r="216" spans="10:12" ht="15.75" customHeight="1" x14ac:dyDescent="0.3">
      <c r="J216" s="427"/>
      <c r="L216" s="427"/>
    </row>
    <row r="217" spans="10:12" ht="15.75" customHeight="1" x14ac:dyDescent="0.3">
      <c r="J217" s="427"/>
      <c r="L217" s="427"/>
    </row>
    <row r="218" spans="10:12" ht="15.75" customHeight="1" x14ac:dyDescent="0.3">
      <c r="J218" s="427"/>
      <c r="L218" s="427"/>
    </row>
    <row r="219" spans="10:12" ht="15.75" customHeight="1" x14ac:dyDescent="0.3">
      <c r="J219" s="427"/>
      <c r="L219" s="427"/>
    </row>
    <row r="220" spans="10:12" ht="15.75" customHeight="1" x14ac:dyDescent="0.3">
      <c r="J220" s="427"/>
      <c r="L220" s="427"/>
    </row>
    <row r="221" spans="10:12" ht="15.75" customHeight="1" x14ac:dyDescent="0.3">
      <c r="J221" s="427"/>
      <c r="L221" s="427"/>
    </row>
    <row r="222" spans="10:12" ht="15.75" customHeight="1" x14ac:dyDescent="0.3">
      <c r="J222" s="427"/>
      <c r="L222" s="427"/>
    </row>
    <row r="223" spans="10:12" ht="15.75" customHeight="1" x14ac:dyDescent="0.3">
      <c r="J223" s="427"/>
      <c r="L223" s="427"/>
    </row>
    <row r="224" spans="10:12" ht="15.75" customHeight="1" x14ac:dyDescent="0.3">
      <c r="J224" s="427"/>
      <c r="L224" s="427"/>
    </row>
    <row r="225" spans="10:12" ht="15.75" customHeight="1" x14ac:dyDescent="0.3">
      <c r="J225" s="427"/>
      <c r="L225" s="427"/>
    </row>
    <row r="226" spans="10:12" ht="15.75" customHeight="1" x14ac:dyDescent="0.3">
      <c r="J226" s="427"/>
      <c r="L226" s="427"/>
    </row>
    <row r="227" spans="10:12" ht="15.75" customHeight="1" x14ac:dyDescent="0.3">
      <c r="J227" s="427"/>
      <c r="L227" s="427"/>
    </row>
    <row r="228" spans="10:12" ht="15.75" customHeight="1" x14ac:dyDescent="0.3">
      <c r="J228" s="427"/>
      <c r="L228" s="427"/>
    </row>
    <row r="229" spans="10:12" ht="15.75" customHeight="1" x14ac:dyDescent="0.3">
      <c r="J229" s="427"/>
      <c r="L229" s="427"/>
    </row>
    <row r="230" spans="10:12" ht="15.75" customHeight="1" x14ac:dyDescent="0.3">
      <c r="J230" s="427"/>
      <c r="L230" s="427"/>
    </row>
    <row r="231" spans="10:12" ht="15.75" customHeight="1" x14ac:dyDescent="0.3">
      <c r="J231" s="427"/>
      <c r="L231" s="427"/>
    </row>
    <row r="232" spans="10:12" ht="15.75" customHeight="1" x14ac:dyDescent="0.3">
      <c r="J232" s="427"/>
      <c r="L232" s="427"/>
    </row>
    <row r="233" spans="10:12" ht="15.75" customHeight="1" x14ac:dyDescent="0.3">
      <c r="J233" s="427"/>
      <c r="L233" s="427"/>
    </row>
    <row r="234" spans="10:12" ht="15.75" customHeight="1" x14ac:dyDescent="0.3">
      <c r="J234" s="427"/>
      <c r="L234" s="427"/>
    </row>
    <row r="235" spans="10:12" ht="15.75" customHeight="1" x14ac:dyDescent="0.3">
      <c r="J235" s="427"/>
      <c r="L235" s="427"/>
    </row>
    <row r="236" spans="10:12" ht="15.75" customHeight="1" x14ac:dyDescent="0.3">
      <c r="J236" s="427"/>
      <c r="L236" s="427"/>
    </row>
    <row r="237" spans="10:12" ht="15.75" customHeight="1" x14ac:dyDescent="0.3">
      <c r="J237" s="427"/>
      <c r="L237" s="427"/>
    </row>
    <row r="238" spans="10:12" ht="15.75" customHeight="1" x14ac:dyDescent="0.3">
      <c r="J238" s="427"/>
      <c r="L238" s="427"/>
    </row>
    <row r="239" spans="10:12" ht="15.75" customHeight="1" x14ac:dyDescent="0.3">
      <c r="J239" s="427"/>
      <c r="L239" s="427"/>
    </row>
    <row r="240" spans="10:12" ht="15.75" customHeight="1" x14ac:dyDescent="0.3">
      <c r="J240" s="427"/>
      <c r="L240" s="427"/>
    </row>
    <row r="241" spans="10:12" ht="15.75" customHeight="1" x14ac:dyDescent="0.3">
      <c r="J241" s="427"/>
      <c r="L241" s="427"/>
    </row>
    <row r="242" spans="10:12" ht="15.75" customHeight="1" x14ac:dyDescent="0.3">
      <c r="J242" s="427"/>
      <c r="L242" s="427"/>
    </row>
    <row r="243" spans="10:12" ht="15.75" customHeight="1" x14ac:dyDescent="0.3">
      <c r="J243" s="427"/>
      <c r="L243" s="427"/>
    </row>
    <row r="244" spans="10:12" ht="15.75" customHeight="1" x14ac:dyDescent="0.3">
      <c r="J244" s="427"/>
      <c r="L244" s="427"/>
    </row>
    <row r="245" spans="10:12" ht="15.75" customHeight="1" x14ac:dyDescent="0.3">
      <c r="J245" s="427"/>
      <c r="L245" s="427"/>
    </row>
    <row r="246" spans="10:12" ht="15.75" customHeight="1" x14ac:dyDescent="0.3">
      <c r="J246" s="427"/>
      <c r="L246" s="427"/>
    </row>
    <row r="247" spans="10:12" ht="15.75" customHeight="1" x14ac:dyDescent="0.3">
      <c r="J247" s="427"/>
      <c r="L247" s="427"/>
    </row>
    <row r="248" spans="10:12" ht="15.75" customHeight="1" x14ac:dyDescent="0.3">
      <c r="J248" s="427"/>
      <c r="L248" s="427"/>
    </row>
    <row r="249" spans="10:12" ht="15.75" customHeight="1" x14ac:dyDescent="0.3">
      <c r="J249" s="427"/>
      <c r="L249" s="427"/>
    </row>
    <row r="250" spans="10:12" ht="15.75" customHeight="1" x14ac:dyDescent="0.3">
      <c r="J250" s="427"/>
      <c r="L250" s="427"/>
    </row>
    <row r="251" spans="10:12" ht="15.75" customHeight="1" x14ac:dyDescent="0.3"/>
    <row r="252" spans="10:12" ht="15.75" customHeight="1" x14ac:dyDescent="0.3"/>
    <row r="253" spans="10:12" ht="15.75" customHeight="1" x14ac:dyDescent="0.3"/>
    <row r="254" spans="10:12" ht="15.75" customHeight="1" x14ac:dyDescent="0.3"/>
    <row r="255" spans="10:12" ht="15.75" customHeight="1" x14ac:dyDescent="0.3"/>
    <row r="256" spans="10:12"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1">
    <mergeCell ref="C7:I7"/>
  </mergeCells>
  <dataValidations count="1">
    <dataValidation type="list" allowBlank="1" showErrorMessage="1" sqref="B17 B22 B27 B32" xr:uid="{AE701F15-933E-4765-AA1C-F5F6FDB61B3D}">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C0707-DBA8-4F61-BAB8-5182EFBB4003}">
  <dimension ref="A1:AD909"/>
  <sheetViews>
    <sheetView zoomScale="80" zoomScaleNormal="80" workbookViewId="0">
      <selection activeCell="F4" sqref="F4"/>
    </sheetView>
  </sheetViews>
  <sheetFormatPr defaultColWidth="12.44140625" defaultRowHeight="15" customHeight="1" x14ac:dyDescent="0.3"/>
  <cols>
    <col min="1" max="1" width="2.6640625" style="428" customWidth="1"/>
    <col min="2" max="2" width="8.33203125" style="428" customWidth="1"/>
    <col min="3" max="3" width="31.21875" style="428" customWidth="1"/>
    <col min="4" max="4" width="39.88671875"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13" width="13.44140625" style="428" hidden="1" customWidth="1"/>
    <col min="14" max="17" width="13.44140625" style="428" customWidth="1"/>
    <col min="18" max="26" width="11.5546875" style="428" customWidth="1"/>
    <col min="27" max="30" width="11.6640625" style="428" customWidth="1"/>
    <col min="31" max="16384" width="12.44140625" style="428"/>
  </cols>
  <sheetData>
    <row r="1" spans="1:30" ht="23.25" customHeight="1" x14ac:dyDescent="0.35">
      <c r="A1" s="513"/>
      <c r="B1" s="514" t="s">
        <v>2386</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1657" t="s">
        <v>474</v>
      </c>
      <c r="D10" s="1658" t="s">
        <v>2149</v>
      </c>
      <c r="E10" s="1659" t="s">
        <v>363</v>
      </c>
      <c r="F10" s="1234" t="s">
        <v>1012</v>
      </c>
      <c r="G10" s="534">
        <v>2008</v>
      </c>
      <c r="H10" s="535"/>
      <c r="I10" s="535">
        <v>1873.6000000000001</v>
      </c>
      <c r="J10" s="597">
        <v>1672.2232304900176</v>
      </c>
      <c r="K10" s="597">
        <v>2097.1799999999998</v>
      </c>
      <c r="L10" s="597">
        <v>1909.43</v>
      </c>
      <c r="M10" s="597">
        <v>2189.06</v>
      </c>
      <c r="N10" s="597">
        <v>2049.71</v>
      </c>
      <c r="O10" s="597">
        <v>2326.35</v>
      </c>
      <c r="P10" s="597">
        <v>2130.69</v>
      </c>
      <c r="Q10" s="597">
        <v>2450</v>
      </c>
      <c r="R10" s="597">
        <v>2663</v>
      </c>
      <c r="S10" s="597">
        <v>2877</v>
      </c>
      <c r="T10" s="597">
        <v>3469</v>
      </c>
      <c r="U10" s="598">
        <v>3243</v>
      </c>
      <c r="V10" s="597">
        <v>3126</v>
      </c>
      <c r="W10" s="598">
        <v>2838</v>
      </c>
      <c r="X10" s="597">
        <v>3078</v>
      </c>
      <c r="Y10" s="598">
        <v>5367</v>
      </c>
      <c r="Z10" s="535"/>
      <c r="AA10" s="528"/>
      <c r="AB10" s="528"/>
      <c r="AC10" s="528"/>
      <c r="AD10" s="528"/>
    </row>
    <row r="11" spans="1:30" ht="24" customHeight="1" x14ac:dyDescent="0.3">
      <c r="A11" s="528"/>
      <c r="B11" s="529"/>
      <c r="C11" s="1660" t="s">
        <v>478</v>
      </c>
      <c r="D11" s="1660"/>
      <c r="E11" s="595" t="s">
        <v>385</v>
      </c>
      <c r="F11" s="1237" t="s">
        <v>1063</v>
      </c>
      <c r="G11" s="496"/>
      <c r="H11" s="544"/>
      <c r="I11" s="545">
        <f>I10*1000</f>
        <v>1873600.0000000002</v>
      </c>
      <c r="J11" s="599">
        <v>1672223.2304900177</v>
      </c>
      <c r="K11" s="599"/>
      <c r="L11" s="599"/>
      <c r="M11" s="599"/>
      <c r="N11" s="599"/>
      <c r="O11" s="599"/>
      <c r="P11" s="599"/>
      <c r="Q11" s="599"/>
      <c r="R11" s="599"/>
      <c r="S11" s="599"/>
      <c r="T11" s="599"/>
      <c r="U11" s="600"/>
      <c r="V11" s="599"/>
      <c r="W11" s="600"/>
      <c r="X11" s="599"/>
      <c r="Y11" s="600"/>
      <c r="Z11" s="544"/>
      <c r="AA11" s="528"/>
      <c r="AB11" s="528"/>
      <c r="AC11" s="528"/>
      <c r="AD11" s="528"/>
    </row>
    <row r="12" spans="1:30" ht="30" customHeight="1" x14ac:dyDescent="0.3">
      <c r="A12" s="528"/>
      <c r="B12" s="529"/>
      <c r="C12" s="1658" t="s">
        <v>474</v>
      </c>
      <c r="D12" s="1658" t="s">
        <v>1064</v>
      </c>
      <c r="E12" s="1659" t="s">
        <v>363</v>
      </c>
      <c r="F12" s="1234" t="s">
        <v>2137</v>
      </c>
      <c r="G12" s="549"/>
      <c r="H12" s="550"/>
      <c r="I12" s="550">
        <f>33399.25*C49</f>
        <v>30307.84936479128</v>
      </c>
      <c r="J12" s="603">
        <v>32830.239999999998</v>
      </c>
      <c r="K12" s="603">
        <v>33618.366606170588</v>
      </c>
      <c r="L12" s="603">
        <v>36051.050000000003</v>
      </c>
      <c r="M12" s="603">
        <v>36009.160000000003</v>
      </c>
      <c r="N12" s="603">
        <v>35520</v>
      </c>
      <c r="O12" s="603">
        <v>42677.88</v>
      </c>
      <c r="P12" s="603">
        <v>40763.949999999997</v>
      </c>
      <c r="Q12" s="603">
        <v>46353.974591651531</v>
      </c>
      <c r="R12" s="603">
        <v>41031.098003629748</v>
      </c>
      <c r="S12" s="603">
        <v>41351.842105263146</v>
      </c>
      <c r="T12" s="603">
        <v>41414.001814882024</v>
      </c>
      <c r="U12" s="598">
        <v>48245.045372050801</v>
      </c>
      <c r="V12" s="603">
        <v>41857.05989110707</v>
      </c>
      <c r="W12" s="598">
        <v>40275.21778584391</v>
      </c>
      <c r="X12" s="1661">
        <v>34479.86</v>
      </c>
      <c r="Y12" s="1662">
        <v>44180</v>
      </c>
      <c r="Z12" s="550"/>
      <c r="AA12" s="528"/>
      <c r="AB12" s="528"/>
      <c r="AC12" s="528"/>
      <c r="AD12" s="528"/>
    </row>
    <row r="13" spans="1:30" ht="30" customHeight="1" x14ac:dyDescent="0.3">
      <c r="A13" s="528"/>
      <c r="B13" s="529"/>
      <c r="C13" s="1660" t="s">
        <v>478</v>
      </c>
      <c r="D13" s="1660" t="s">
        <v>1065</v>
      </c>
      <c r="E13" s="595" t="s">
        <v>453</v>
      </c>
      <c r="F13" s="1237" t="s">
        <v>2138</v>
      </c>
      <c r="G13" s="496"/>
      <c r="H13" s="544"/>
      <c r="I13" s="1104">
        <f>I12/Y12</f>
        <v>0.68600836045249614</v>
      </c>
      <c r="J13" s="1619">
        <v>0.74310185604345858</v>
      </c>
      <c r="K13" s="1619">
        <v>0.76094084667656381</v>
      </c>
      <c r="L13" s="1619">
        <v>0.81600384789497515</v>
      </c>
      <c r="M13" s="1619">
        <v>0.81505568130375738</v>
      </c>
      <c r="N13" s="1619">
        <v>0.80398370303304667</v>
      </c>
      <c r="O13" s="1619">
        <v>0.96599999999999997</v>
      </c>
      <c r="P13" s="1619">
        <v>0.92267881394296059</v>
      </c>
      <c r="Q13" s="1619">
        <v>1.0492072112189119</v>
      </c>
      <c r="R13" s="1619">
        <v>0.92872562253575708</v>
      </c>
      <c r="S13" s="1619">
        <v>0.93598556145910239</v>
      </c>
      <c r="T13" s="1619">
        <v>0.93739252636672754</v>
      </c>
      <c r="U13" s="1620">
        <v>1.0920109862392666</v>
      </c>
      <c r="V13" s="1619">
        <v>0.9474210025148726</v>
      </c>
      <c r="W13" s="1620">
        <v>0.91161651846636282</v>
      </c>
      <c r="X13" s="1619">
        <v>0.78044047080126755</v>
      </c>
      <c r="Y13" s="1620">
        <v>1</v>
      </c>
      <c r="Z13" s="544"/>
      <c r="AA13" s="528"/>
      <c r="AB13" s="528"/>
      <c r="AC13" s="528"/>
      <c r="AD13" s="528"/>
    </row>
    <row r="14" spans="1:30" ht="30" customHeight="1" x14ac:dyDescent="0.3">
      <c r="A14" s="528"/>
      <c r="B14" s="529"/>
      <c r="C14" s="1658" t="s">
        <v>478</v>
      </c>
      <c r="D14" s="1658" t="s">
        <v>1066</v>
      </c>
      <c r="E14" s="1659" t="s">
        <v>363</v>
      </c>
      <c r="F14" s="1234" t="s">
        <v>1012</v>
      </c>
      <c r="G14" s="549"/>
      <c r="H14" s="550"/>
      <c r="I14" s="550">
        <f>I13*Y10</f>
        <v>3681.8068705485466</v>
      </c>
      <c r="J14" s="603">
        <v>3988.2276613852423</v>
      </c>
      <c r="K14" s="603">
        <v>4083.969524113118</v>
      </c>
      <c r="L14" s="603">
        <v>4379.4926516523319</v>
      </c>
      <c r="M14" s="603">
        <v>4374.4038415572659</v>
      </c>
      <c r="N14" s="603"/>
      <c r="O14" s="603"/>
      <c r="P14" s="603"/>
      <c r="Q14" s="603"/>
      <c r="R14" s="603"/>
      <c r="S14" s="603"/>
      <c r="T14" s="603"/>
      <c r="U14" s="598"/>
      <c r="V14" s="603"/>
      <c r="W14" s="598"/>
      <c r="X14" s="603"/>
      <c r="Y14" s="598"/>
      <c r="Z14" s="550"/>
      <c r="AA14" s="528"/>
      <c r="AB14" s="528"/>
      <c r="AC14" s="528"/>
      <c r="AD14" s="528"/>
    </row>
    <row r="15" spans="1:30" ht="30" customHeight="1" x14ac:dyDescent="0.3">
      <c r="A15" s="528"/>
      <c r="B15" s="1663"/>
      <c r="C15" s="1664" t="s">
        <v>478</v>
      </c>
      <c r="D15" s="1664"/>
      <c r="E15" s="1665" t="s">
        <v>385</v>
      </c>
      <c r="F15" s="1666" t="s">
        <v>1063</v>
      </c>
      <c r="G15" s="1667"/>
      <c r="H15" s="1668"/>
      <c r="I15" s="1686">
        <f>I14*1000</f>
        <v>3681806.8705485468</v>
      </c>
      <c r="J15" s="1669">
        <v>3988227.6613852424</v>
      </c>
      <c r="K15" s="1669"/>
      <c r="L15" s="1669"/>
      <c r="M15" s="1669"/>
      <c r="N15" s="1669"/>
      <c r="O15" s="1669"/>
      <c r="P15" s="1669"/>
      <c r="Q15" s="1669"/>
      <c r="R15" s="1669"/>
      <c r="S15" s="1669"/>
      <c r="T15" s="1669"/>
      <c r="U15" s="1670"/>
      <c r="V15" s="1669"/>
      <c r="W15" s="1670"/>
      <c r="X15" s="1669"/>
      <c r="Y15" s="1670"/>
      <c r="Z15" s="1668"/>
      <c r="AA15" s="528"/>
      <c r="AB15" s="528"/>
      <c r="AC15" s="528"/>
      <c r="AD15" s="528"/>
    </row>
    <row r="16" spans="1:30" ht="30" customHeight="1" x14ac:dyDescent="0.3">
      <c r="A16" s="528"/>
      <c r="B16" s="529">
        <v>2</v>
      </c>
      <c r="C16" s="1658" t="s">
        <v>474</v>
      </c>
      <c r="D16" s="1658" t="s">
        <v>1067</v>
      </c>
      <c r="E16" s="1659" t="s">
        <v>642</v>
      </c>
      <c r="F16" s="1234" t="s">
        <v>2139</v>
      </c>
      <c r="G16" s="549">
        <v>2009</v>
      </c>
      <c r="H16" s="550"/>
      <c r="I16" s="602">
        <v>1532511.1440999999</v>
      </c>
      <c r="J16" s="603">
        <v>1374079</v>
      </c>
      <c r="K16" s="603">
        <v>1464208</v>
      </c>
      <c r="L16" s="603"/>
      <c r="M16" s="603"/>
      <c r="N16" s="603"/>
      <c r="O16" s="603"/>
      <c r="P16" s="603"/>
      <c r="Q16" s="603">
        <v>1236826</v>
      </c>
      <c r="R16" s="603">
        <v>1235610</v>
      </c>
      <c r="S16" s="603">
        <v>1237175</v>
      </c>
      <c r="T16" s="603">
        <v>1717345</v>
      </c>
      <c r="U16" s="598">
        <v>1632819</v>
      </c>
      <c r="V16" s="603">
        <v>1630297</v>
      </c>
      <c r="W16" s="598">
        <v>1515530</v>
      </c>
      <c r="X16" s="1661">
        <v>1564765</v>
      </c>
      <c r="Y16" s="598"/>
      <c r="Z16" s="550"/>
      <c r="AA16" s="528"/>
      <c r="AB16" s="528"/>
      <c r="AC16" s="528"/>
      <c r="AD16" s="528"/>
    </row>
    <row r="17" spans="1:30" ht="43.2" customHeight="1" x14ac:dyDescent="0.3">
      <c r="A17" s="528"/>
      <c r="B17" s="529"/>
      <c r="C17" s="1660"/>
      <c r="D17" s="1237" t="s">
        <v>1068</v>
      </c>
      <c r="E17" s="595" t="s">
        <v>453</v>
      </c>
      <c r="F17" s="1237" t="s">
        <v>2140</v>
      </c>
      <c r="G17" s="496"/>
      <c r="H17" s="544"/>
      <c r="I17" s="1104">
        <f>I12/X12</f>
        <v>0.87900152044675584</v>
      </c>
      <c r="J17" s="599"/>
      <c r="K17" s="599"/>
      <c r="L17" s="599"/>
      <c r="M17" s="599"/>
      <c r="N17" s="599"/>
      <c r="O17" s="599"/>
      <c r="P17" s="599"/>
      <c r="Q17" s="599"/>
      <c r="R17" s="599"/>
      <c r="S17" s="599"/>
      <c r="T17" s="599"/>
      <c r="U17" s="600"/>
      <c r="V17" s="599"/>
      <c r="W17" s="600"/>
      <c r="X17" s="599"/>
      <c r="Y17" s="600"/>
      <c r="Z17" s="544"/>
      <c r="AA17" s="528"/>
      <c r="AB17" s="528"/>
      <c r="AC17" s="528"/>
      <c r="AD17" s="528"/>
    </row>
    <row r="18" spans="1:30" ht="30" customHeight="1" x14ac:dyDescent="0.3">
      <c r="A18" s="528"/>
      <c r="B18" s="1663"/>
      <c r="C18" s="1671" t="s">
        <v>478</v>
      </c>
      <c r="D18" s="1671" t="s">
        <v>1067</v>
      </c>
      <c r="E18" s="1672" t="s">
        <v>642</v>
      </c>
      <c r="F18" s="1673" t="s">
        <v>1069</v>
      </c>
      <c r="G18" s="1674"/>
      <c r="H18" s="1675"/>
      <c r="I18" s="1687">
        <f>X16*I17</f>
        <v>1375430.8141418679</v>
      </c>
      <c r="J18" s="1676">
        <v>1162779.7757718426</v>
      </c>
      <c r="K18" s="1676">
        <v>1190693.6039498535</v>
      </c>
      <c r="L18" s="1676">
        <v>1276854.2610513808</v>
      </c>
      <c r="M18" s="1676">
        <v>1275370.6031552739</v>
      </c>
      <c r="N18" s="1676">
        <v>1258045.5590765052</v>
      </c>
      <c r="O18" s="1676">
        <v>1511562.99</v>
      </c>
      <c r="P18" s="1676">
        <v>1443775.5142994567</v>
      </c>
      <c r="Q18" s="1676"/>
      <c r="R18" s="1676"/>
      <c r="S18" s="1676"/>
      <c r="T18" s="1676"/>
      <c r="U18" s="1677"/>
      <c r="V18" s="1676"/>
      <c r="W18" s="1677"/>
      <c r="X18" s="1676"/>
      <c r="Y18" s="1677"/>
      <c r="Z18" s="1675"/>
      <c r="AA18" s="528"/>
      <c r="AB18" s="528"/>
      <c r="AC18" s="528"/>
      <c r="AD18" s="528"/>
    </row>
    <row r="19" spans="1:30" ht="36.6" customHeight="1" x14ac:dyDescent="0.3">
      <c r="A19" s="528"/>
      <c r="B19" s="529">
        <v>3</v>
      </c>
      <c r="C19" s="1660" t="s">
        <v>474</v>
      </c>
      <c r="D19" s="1660" t="s">
        <v>1070</v>
      </c>
      <c r="E19" s="595" t="s">
        <v>642</v>
      </c>
      <c r="F19" s="1237" t="s">
        <v>2141</v>
      </c>
      <c r="G19" s="496">
        <v>2009</v>
      </c>
      <c r="H19" s="544"/>
      <c r="I19" s="545">
        <v>6806.7753399879539</v>
      </c>
      <c r="J19" s="599">
        <v>3061.7874499999998</v>
      </c>
      <c r="K19" s="599">
        <v>4555.3423000000003</v>
      </c>
      <c r="L19" s="599"/>
      <c r="M19" s="599"/>
      <c r="N19" s="599"/>
      <c r="O19" s="599"/>
      <c r="P19" s="599"/>
      <c r="Q19" s="599">
        <v>46031</v>
      </c>
      <c r="R19" s="599">
        <v>36394</v>
      </c>
      <c r="S19" s="599">
        <v>30388</v>
      </c>
      <c r="T19" s="599">
        <v>28502</v>
      </c>
      <c r="U19" s="600">
        <v>23736</v>
      </c>
      <c r="V19" s="599">
        <v>35274</v>
      </c>
      <c r="W19" s="600">
        <v>29715</v>
      </c>
      <c r="X19" s="599">
        <v>53164</v>
      </c>
      <c r="Y19" s="600"/>
      <c r="Z19" s="544"/>
      <c r="AA19" s="528"/>
      <c r="AB19" s="528"/>
      <c r="AC19" s="528"/>
      <c r="AD19" s="528"/>
    </row>
    <row r="20" spans="1:30" ht="30" customHeight="1" x14ac:dyDescent="0.3">
      <c r="A20" s="528"/>
      <c r="B20" s="1663"/>
      <c r="C20" s="1671" t="s">
        <v>478</v>
      </c>
      <c r="D20" s="1671" t="s">
        <v>1070</v>
      </c>
      <c r="E20" s="1672" t="s">
        <v>642</v>
      </c>
      <c r="F20" s="1673" t="s">
        <v>1069</v>
      </c>
      <c r="G20" s="1674"/>
      <c r="H20" s="1675"/>
      <c r="I20" s="1687">
        <f>X19*I17</f>
        <v>46731.236833031326</v>
      </c>
      <c r="J20" s="1676">
        <v>39506.267074694435</v>
      </c>
      <c r="K20" s="1676">
        <v>40454.65917271284</v>
      </c>
      <c r="L20" s="1676">
        <v>43382.028569488459</v>
      </c>
      <c r="M20" s="1676">
        <v>43331.620240832955</v>
      </c>
      <c r="N20" s="1676">
        <v>42742.989588048891</v>
      </c>
      <c r="O20" s="1676">
        <v>51356.423999999999</v>
      </c>
      <c r="P20" s="1676">
        <v>49053.296464463558</v>
      </c>
      <c r="Q20" s="1676"/>
      <c r="R20" s="1676"/>
      <c r="S20" s="1676"/>
      <c r="T20" s="1676"/>
      <c r="U20" s="1677"/>
      <c r="V20" s="1676"/>
      <c r="W20" s="1677"/>
      <c r="X20" s="1676"/>
      <c r="Y20" s="1677"/>
      <c r="Z20" s="1675"/>
      <c r="AA20" s="528"/>
      <c r="AB20" s="528"/>
      <c r="AC20" s="528"/>
      <c r="AD20" s="528"/>
    </row>
    <row r="21" spans="1:30" ht="40.200000000000003" customHeight="1" x14ac:dyDescent="0.3">
      <c r="A21" s="528"/>
      <c r="B21" s="529">
        <v>4</v>
      </c>
      <c r="C21" s="1660" t="s">
        <v>474</v>
      </c>
      <c r="D21" s="1660" t="s">
        <v>1071</v>
      </c>
      <c r="E21" s="595" t="s">
        <v>642</v>
      </c>
      <c r="F21" s="1237" t="s">
        <v>2142</v>
      </c>
      <c r="G21" s="496">
        <v>2009</v>
      </c>
      <c r="H21" s="544"/>
      <c r="I21" s="545">
        <v>269181.86118609668</v>
      </c>
      <c r="J21" s="599">
        <v>298262.55900000001</v>
      </c>
      <c r="K21" s="599">
        <v>308360.35310000001</v>
      </c>
      <c r="L21" s="599"/>
      <c r="M21" s="599"/>
      <c r="N21" s="599"/>
      <c r="O21" s="599"/>
      <c r="P21" s="599"/>
      <c r="Q21" s="599">
        <v>300114</v>
      </c>
      <c r="R21" s="599">
        <v>377346</v>
      </c>
      <c r="S21" s="599">
        <v>369206</v>
      </c>
      <c r="T21" s="599">
        <v>372486</v>
      </c>
      <c r="U21" s="600">
        <v>328108</v>
      </c>
      <c r="V21" s="599">
        <v>578082</v>
      </c>
      <c r="W21" s="600">
        <v>531365</v>
      </c>
      <c r="X21" s="599">
        <v>481048</v>
      </c>
      <c r="Y21" s="600"/>
      <c r="Z21" s="544"/>
      <c r="AA21" s="528"/>
      <c r="AB21" s="528"/>
      <c r="AC21" s="528"/>
      <c r="AD21" s="528"/>
    </row>
    <row r="22" spans="1:30" ht="30" customHeight="1" x14ac:dyDescent="0.3">
      <c r="A22" s="528"/>
      <c r="B22" s="1663"/>
      <c r="C22" s="1671" t="s">
        <v>478</v>
      </c>
      <c r="D22" s="1671" t="s">
        <v>1071</v>
      </c>
      <c r="E22" s="1672" t="s">
        <v>642</v>
      </c>
      <c r="F22" s="1673" t="s">
        <v>1069</v>
      </c>
      <c r="G22" s="1674"/>
      <c r="H22" s="1675"/>
      <c r="I22" s="1687">
        <f>X21*I17</f>
        <v>422841.92340787099</v>
      </c>
      <c r="J22" s="1676">
        <v>357467.66164599365</v>
      </c>
      <c r="K22" s="1676">
        <v>366049.07241206768</v>
      </c>
      <c r="L22" s="1676">
        <v>392537.01902218198</v>
      </c>
      <c r="M22" s="1676">
        <v>392080.9053798099</v>
      </c>
      <c r="N22" s="1676">
        <v>386754.75237664103</v>
      </c>
      <c r="O22" s="1676">
        <v>464692.36799999996</v>
      </c>
      <c r="P22" s="1676">
        <v>443852.79808963329</v>
      </c>
      <c r="Q22" s="1676"/>
      <c r="R22" s="1676"/>
      <c r="S22" s="1676"/>
      <c r="T22" s="1676"/>
      <c r="U22" s="1677"/>
      <c r="V22" s="1676"/>
      <c r="W22" s="1677"/>
      <c r="X22" s="1676"/>
      <c r="Y22" s="1677"/>
      <c r="Z22" s="1675"/>
      <c r="AA22" s="528"/>
      <c r="AB22" s="528"/>
      <c r="AC22" s="528"/>
      <c r="AD22" s="528"/>
    </row>
    <row r="23" spans="1:30" ht="30" customHeight="1" x14ac:dyDescent="0.3">
      <c r="A23" s="528"/>
      <c r="B23" s="529" t="s">
        <v>1072</v>
      </c>
      <c r="C23" s="1660" t="s">
        <v>474</v>
      </c>
      <c r="D23" s="1660" t="s">
        <v>1064</v>
      </c>
      <c r="E23" s="595" t="s">
        <v>363</v>
      </c>
      <c r="F23" s="1237" t="s">
        <v>1013</v>
      </c>
      <c r="G23" s="496"/>
      <c r="H23" s="544"/>
      <c r="I23" s="544">
        <v>2104.2399999999998</v>
      </c>
      <c r="J23" s="599">
        <v>5634</v>
      </c>
      <c r="K23" s="599">
        <v>4891.87</v>
      </c>
      <c r="L23" s="599">
        <v>6717.49</v>
      </c>
      <c r="M23" s="599">
        <v>6420</v>
      </c>
      <c r="N23" s="599">
        <v>6910</v>
      </c>
      <c r="O23" s="599">
        <v>8221.0463999999993</v>
      </c>
      <c r="P23" s="599">
        <v>7398.2160000000003</v>
      </c>
      <c r="Q23" s="599">
        <v>6739.1</v>
      </c>
      <c r="R23" s="599">
        <v>9247.7900000000009</v>
      </c>
      <c r="S23" s="1678">
        <v>7227</v>
      </c>
      <c r="T23" s="599">
        <v>9340.75</v>
      </c>
      <c r="U23" s="600"/>
      <c r="V23" s="599"/>
      <c r="W23" s="600"/>
      <c r="X23" s="599"/>
      <c r="Y23" s="600"/>
      <c r="Z23" s="544"/>
      <c r="AA23" s="528"/>
      <c r="AB23" s="528"/>
      <c r="AC23" s="528"/>
      <c r="AD23" s="528"/>
    </row>
    <row r="24" spans="1:30" ht="30" customHeight="1" x14ac:dyDescent="0.3">
      <c r="A24" s="528"/>
      <c r="B24" s="529" t="s">
        <v>1072</v>
      </c>
      <c r="C24" s="1658" t="s">
        <v>478</v>
      </c>
      <c r="D24" s="1658" t="s">
        <v>1065</v>
      </c>
      <c r="E24" s="1659" t="s">
        <v>453</v>
      </c>
      <c r="F24" s="1234" t="s">
        <v>1073</v>
      </c>
      <c r="G24" s="549"/>
      <c r="H24" s="550"/>
      <c r="I24" s="1097">
        <f>I23/S23</f>
        <v>0.29116369171163686</v>
      </c>
      <c r="J24" s="1618">
        <v>0.77957658779576589</v>
      </c>
      <c r="K24" s="1618">
        <v>0.67688805866888058</v>
      </c>
      <c r="L24" s="1618">
        <v>0.92949910059499097</v>
      </c>
      <c r="M24" s="1618">
        <v>0.88833540888335405</v>
      </c>
      <c r="N24" s="1618">
        <v>0.95613670956136709</v>
      </c>
      <c r="O24" s="1618">
        <v>1.1375462017434619</v>
      </c>
      <c r="P24" s="1618">
        <v>1.0236911581569117</v>
      </c>
      <c r="Q24" s="1618">
        <v>0.93248927632489287</v>
      </c>
      <c r="R24" s="1618">
        <v>1.2796167150961673</v>
      </c>
      <c r="S24" s="1618">
        <v>1</v>
      </c>
      <c r="T24" s="603"/>
      <c r="U24" s="598"/>
      <c r="V24" s="603"/>
      <c r="W24" s="598"/>
      <c r="X24" s="603"/>
      <c r="Y24" s="598"/>
      <c r="Z24" s="550"/>
      <c r="AA24" s="528"/>
      <c r="AB24" s="528"/>
      <c r="AC24" s="528"/>
      <c r="AD24" s="528"/>
    </row>
    <row r="25" spans="1:30" ht="30" customHeight="1" x14ac:dyDescent="0.3">
      <c r="A25" s="528"/>
      <c r="B25" s="529">
        <v>5</v>
      </c>
      <c r="C25" s="1660" t="s">
        <v>474</v>
      </c>
      <c r="D25" s="1660" t="s">
        <v>1074</v>
      </c>
      <c r="E25" s="595" t="s">
        <v>350</v>
      </c>
      <c r="F25" s="1237" t="s">
        <v>2143</v>
      </c>
      <c r="G25" s="496">
        <v>2013</v>
      </c>
      <c r="H25" s="544"/>
      <c r="I25" s="1611">
        <f>T25*I24</f>
        <v>42175.58483907568</v>
      </c>
      <c r="J25" s="599">
        <v>112923.07198007472</v>
      </c>
      <c r="K25" s="599">
        <v>98048.453696692945</v>
      </c>
      <c r="L25" s="599">
        <v>134639.61781956549</v>
      </c>
      <c r="M25" s="599">
        <v>128676.98298048982</v>
      </c>
      <c r="N25" s="599">
        <v>138498.12342604122</v>
      </c>
      <c r="O25" s="599">
        <v>164775.61490570358</v>
      </c>
      <c r="P25" s="599">
        <v>148283.50690311333</v>
      </c>
      <c r="Q25" s="599">
        <v>0</v>
      </c>
      <c r="R25" s="599">
        <v>0</v>
      </c>
      <c r="S25" s="599">
        <v>111284</v>
      </c>
      <c r="T25" s="1678">
        <v>144851.79999999999</v>
      </c>
      <c r="U25" s="600">
        <v>113685</v>
      </c>
      <c r="V25" s="599">
        <v>122891</v>
      </c>
      <c r="W25" s="600">
        <v>121648.8</v>
      </c>
      <c r="X25" s="599"/>
      <c r="Y25" s="600"/>
      <c r="Z25" s="544"/>
      <c r="AA25" s="528"/>
      <c r="AB25" s="528"/>
      <c r="AC25" s="528"/>
      <c r="AD25" s="528"/>
    </row>
    <row r="26" spans="1:30" ht="39.75" customHeight="1" x14ac:dyDescent="0.3">
      <c r="A26" s="528"/>
      <c r="B26" s="1663"/>
      <c r="C26" s="1671" t="s">
        <v>478</v>
      </c>
      <c r="D26" s="1671" t="s">
        <v>1075</v>
      </c>
      <c r="E26" s="1672" t="s">
        <v>350</v>
      </c>
      <c r="F26" s="1673" t="s">
        <v>2144</v>
      </c>
      <c r="G26" s="1674"/>
      <c r="H26" s="1679"/>
      <c r="I26" s="1680">
        <f>S26*I24</f>
        <v>49287.69736605513</v>
      </c>
      <c r="J26" s="1681">
        <v>131965.40649372441</v>
      </c>
      <c r="K26" s="1676">
        <v>114582.46593263322</v>
      </c>
      <c r="L26" s="1676">
        <v>204805.42418227074</v>
      </c>
      <c r="M26" s="1676">
        <v>195735.43440335276</v>
      </c>
      <c r="N26" s="1676">
        <v>210674.7432596834</v>
      </c>
      <c r="O26" s="1676">
        <v>250646.43120780672</v>
      </c>
      <c r="P26" s="1676">
        <v>225559.6608364229</v>
      </c>
      <c r="Q26" s="1676">
        <v>0</v>
      </c>
      <c r="R26" s="1676">
        <v>0</v>
      </c>
      <c r="S26" s="1682">
        <v>169278.30896878705</v>
      </c>
      <c r="T26" s="1676">
        <v>220339.56143816674</v>
      </c>
      <c r="U26" s="1677"/>
      <c r="V26" s="1676"/>
      <c r="W26" s="1677"/>
      <c r="X26" s="1676"/>
      <c r="Y26" s="1677"/>
      <c r="Z26" s="1675"/>
      <c r="AA26" s="528"/>
      <c r="AB26" s="528"/>
      <c r="AC26" s="528"/>
      <c r="AD26" s="528"/>
    </row>
    <row r="27" spans="1:30" ht="30" customHeight="1" x14ac:dyDescent="0.3">
      <c r="A27" s="528"/>
      <c r="B27" s="529">
        <v>6</v>
      </c>
      <c r="C27" s="1660" t="s">
        <v>474</v>
      </c>
      <c r="D27" s="1660" t="s">
        <v>403</v>
      </c>
      <c r="E27" s="595" t="s">
        <v>350</v>
      </c>
      <c r="F27" s="1237" t="s">
        <v>2150</v>
      </c>
      <c r="G27" s="496"/>
      <c r="H27" s="544"/>
      <c r="I27" s="544">
        <f>207450.7+3947.08</f>
        <v>211397.78</v>
      </c>
      <c r="J27" s="599">
        <v>279938.15999999997</v>
      </c>
      <c r="K27" s="599">
        <v>378310</v>
      </c>
      <c r="L27" s="599">
        <v>251736.76</v>
      </c>
      <c r="M27" s="599">
        <v>319132.15999999997</v>
      </c>
      <c r="N27" s="599">
        <v>463873.71</v>
      </c>
      <c r="O27" s="599">
        <v>396580.15</v>
      </c>
      <c r="P27" s="599">
        <v>368988.6</v>
      </c>
      <c r="Q27" s="599">
        <v>430362</v>
      </c>
      <c r="R27" s="599">
        <v>765314</v>
      </c>
      <c r="S27" s="599">
        <v>408196</v>
      </c>
      <c r="T27" s="599">
        <v>0</v>
      </c>
      <c r="U27" s="600">
        <v>0</v>
      </c>
      <c r="V27" s="599">
        <v>0</v>
      </c>
      <c r="W27" s="600">
        <v>0</v>
      </c>
      <c r="X27" s="599"/>
      <c r="Y27" s="600"/>
      <c r="Z27" s="544"/>
      <c r="AA27" s="528"/>
      <c r="AB27" s="528"/>
      <c r="AC27" s="528"/>
      <c r="AD27" s="528"/>
    </row>
    <row r="28" spans="1:30" ht="30" customHeight="1" x14ac:dyDescent="0.3">
      <c r="A28" s="528"/>
      <c r="B28" s="529"/>
      <c r="C28" s="1658" t="s">
        <v>478</v>
      </c>
      <c r="D28" s="1658" t="s">
        <v>1076</v>
      </c>
      <c r="E28" s="1659" t="s">
        <v>350</v>
      </c>
      <c r="F28" s="1234" t="s">
        <v>2145</v>
      </c>
      <c r="G28" s="549">
        <v>2016</v>
      </c>
      <c r="H28" s="550"/>
      <c r="I28" s="602">
        <f>I27-S26</f>
        <v>42119.471031212946</v>
      </c>
      <c r="J28" s="603">
        <v>110659.85103121292</v>
      </c>
      <c r="K28" s="603">
        <v>209031.69103121295</v>
      </c>
      <c r="L28" s="603">
        <v>82458.451031212957</v>
      </c>
      <c r="M28" s="603">
        <v>149853.85103121292</v>
      </c>
      <c r="N28" s="603">
        <v>294595.401031213</v>
      </c>
      <c r="O28" s="603">
        <v>227301.84103121297</v>
      </c>
      <c r="P28" s="603">
        <v>199710.29103121292</v>
      </c>
      <c r="Q28" s="603">
        <v>261083.69103121295</v>
      </c>
      <c r="R28" s="1683">
        <v>596035.69103121292</v>
      </c>
      <c r="S28" s="603">
        <v>238917.69103121295</v>
      </c>
      <c r="T28" s="603"/>
      <c r="U28" s="598"/>
      <c r="V28" s="603"/>
      <c r="W28" s="598"/>
      <c r="X28" s="603"/>
      <c r="Y28" s="598"/>
      <c r="Z28" s="550"/>
      <c r="AA28" s="528"/>
      <c r="AB28" s="528"/>
      <c r="AC28" s="528"/>
      <c r="AD28" s="528"/>
    </row>
    <row r="29" spans="1:30" ht="30" customHeight="1" x14ac:dyDescent="0.3">
      <c r="A29" s="528"/>
      <c r="B29" s="529"/>
      <c r="C29" s="1660"/>
      <c r="D29" s="1660" t="s">
        <v>1077</v>
      </c>
      <c r="E29" s="595" t="s">
        <v>350</v>
      </c>
      <c r="F29" s="1237" t="s">
        <v>1013</v>
      </c>
      <c r="G29" s="496"/>
      <c r="H29" s="544"/>
      <c r="I29" s="1611">
        <f>R28*I24</f>
        <v>173543.95219254453</v>
      </c>
      <c r="J29" s="599">
        <v>464655.47021860437</v>
      </c>
      <c r="K29" s="599">
        <v>403449.44179948245</v>
      </c>
      <c r="L29" s="599"/>
      <c r="M29" s="599"/>
      <c r="N29" s="599"/>
      <c r="O29" s="599"/>
      <c r="P29" s="599"/>
      <c r="Q29" s="599"/>
      <c r="R29" s="599"/>
      <c r="S29" s="599"/>
      <c r="T29" s="599"/>
      <c r="U29" s="600"/>
      <c r="V29" s="599"/>
      <c r="W29" s="600"/>
      <c r="X29" s="599"/>
      <c r="Y29" s="600"/>
      <c r="Z29" s="544"/>
      <c r="AA29" s="528"/>
      <c r="AB29" s="528"/>
      <c r="AC29" s="528"/>
      <c r="AD29" s="528"/>
    </row>
    <row r="30" spans="1:30" ht="30" customHeight="1" x14ac:dyDescent="0.3">
      <c r="A30" s="528"/>
      <c r="B30" s="529"/>
      <c r="C30" s="1658" t="s">
        <v>474</v>
      </c>
      <c r="D30" s="1658" t="s">
        <v>352</v>
      </c>
      <c r="E30" s="1659" t="s">
        <v>353</v>
      </c>
      <c r="F30" s="1234" t="s">
        <v>1013</v>
      </c>
      <c r="G30" s="549"/>
      <c r="H30" s="550"/>
      <c r="I30" s="602">
        <f>224250.1+165089.7+124148.6+35672.7+511445.6+115681.4+337494.7+262676.5+167052.8+248279.2+872929.3+1019227.9+953923.3</f>
        <v>5037871.8</v>
      </c>
      <c r="J30" s="603">
        <v>10481226.5</v>
      </c>
      <c r="K30" s="603">
        <v>10643060</v>
      </c>
      <c r="L30" s="603">
        <v>11270364</v>
      </c>
      <c r="M30" s="603">
        <v>9967322</v>
      </c>
      <c r="N30" s="603">
        <v>11169165</v>
      </c>
      <c r="O30" s="603">
        <v>12108094</v>
      </c>
      <c r="P30" s="603">
        <v>11952023</v>
      </c>
      <c r="Q30" s="603">
        <v>6753600</v>
      </c>
      <c r="R30" s="603">
        <v>370800</v>
      </c>
      <c r="S30" s="603"/>
      <c r="T30" s="603"/>
      <c r="U30" s="598"/>
      <c r="V30" s="603"/>
      <c r="W30" s="598"/>
      <c r="X30" s="603"/>
      <c r="Y30" s="598"/>
      <c r="Z30" s="550"/>
      <c r="AA30" s="528"/>
      <c r="AB30" s="528"/>
      <c r="AC30" s="528"/>
      <c r="AD30" s="528"/>
    </row>
    <row r="31" spans="1:30" ht="30" customHeight="1" x14ac:dyDescent="0.3">
      <c r="A31" s="528"/>
      <c r="B31" s="529"/>
      <c r="C31" s="1660" t="s">
        <v>478</v>
      </c>
      <c r="D31" s="1660" t="s">
        <v>1078</v>
      </c>
      <c r="E31" s="595" t="s">
        <v>443</v>
      </c>
      <c r="F31" s="1237" t="s">
        <v>1013</v>
      </c>
      <c r="G31" s="496"/>
      <c r="H31" s="544"/>
      <c r="I31" s="544">
        <f>I30*C52</f>
        <v>18136338.48</v>
      </c>
      <c r="J31" s="599">
        <v>37732415.399999999</v>
      </c>
      <c r="K31" s="599">
        <v>38315016</v>
      </c>
      <c r="L31" s="599">
        <v>40573310.399999999</v>
      </c>
      <c r="M31" s="599">
        <v>35882359.200000003</v>
      </c>
      <c r="N31" s="599">
        <v>40208994</v>
      </c>
      <c r="O31" s="599">
        <v>43589138.399999999</v>
      </c>
      <c r="P31" s="599">
        <v>43027282.800000004</v>
      </c>
      <c r="Q31" s="599">
        <v>24312960</v>
      </c>
      <c r="R31" s="599">
        <v>1334880</v>
      </c>
      <c r="S31" s="599"/>
      <c r="T31" s="599"/>
      <c r="U31" s="600"/>
      <c r="V31" s="599"/>
      <c r="W31" s="600"/>
      <c r="X31" s="599"/>
      <c r="Y31" s="600"/>
      <c r="Z31" s="544"/>
      <c r="AA31" s="528"/>
      <c r="AB31" s="528"/>
      <c r="AC31" s="528"/>
      <c r="AD31" s="528"/>
    </row>
    <row r="32" spans="1:30" ht="30" customHeight="1" x14ac:dyDescent="0.3">
      <c r="A32" s="528"/>
      <c r="B32" s="529"/>
      <c r="C32" s="1658" t="s">
        <v>474</v>
      </c>
      <c r="D32" s="1658" t="s">
        <v>1079</v>
      </c>
      <c r="E32" s="1659" t="s">
        <v>363</v>
      </c>
      <c r="F32" s="1234" t="s">
        <v>2146</v>
      </c>
      <c r="G32" s="549"/>
      <c r="H32" s="550"/>
      <c r="I32" s="550">
        <f>(I31/C50)/1000</f>
        <v>629.07868470343396</v>
      </c>
      <c r="J32" s="603">
        <v>1308.7899895941728</v>
      </c>
      <c r="K32" s="603">
        <v>1328.9981269510927</v>
      </c>
      <c r="L32" s="603">
        <v>1407.3295317377733</v>
      </c>
      <c r="M32" s="603">
        <v>1244.6187721123831</v>
      </c>
      <c r="N32" s="603">
        <v>1394.6928199791885</v>
      </c>
      <c r="O32" s="603">
        <v>1511.9368158168575</v>
      </c>
      <c r="P32" s="603">
        <v>1492.4482414151928</v>
      </c>
      <c r="Q32" s="603">
        <v>570</v>
      </c>
      <c r="R32" s="603">
        <v>819</v>
      </c>
      <c r="S32" s="603"/>
      <c r="T32" s="603"/>
      <c r="U32" s="598"/>
      <c r="V32" s="603"/>
      <c r="W32" s="598"/>
      <c r="X32" s="603"/>
      <c r="Y32" s="598"/>
      <c r="Z32" s="550"/>
      <c r="AA32" s="528"/>
      <c r="AB32" s="528"/>
      <c r="AC32" s="528"/>
      <c r="AD32" s="528"/>
    </row>
    <row r="33" spans="1:30" ht="30" customHeight="1" x14ac:dyDescent="0.3">
      <c r="A33" s="528"/>
      <c r="B33" s="1663"/>
      <c r="C33" s="1664" t="s">
        <v>478</v>
      </c>
      <c r="D33" s="1664" t="s">
        <v>1079</v>
      </c>
      <c r="E33" s="1665" t="s">
        <v>385</v>
      </c>
      <c r="F33" s="1666" t="s">
        <v>1063</v>
      </c>
      <c r="G33" s="1667"/>
      <c r="H33" s="1668"/>
      <c r="I33" s="1686">
        <f>I32*1000</f>
        <v>629078.684703434</v>
      </c>
      <c r="J33" s="1669">
        <v>1308789.9895941727</v>
      </c>
      <c r="K33" s="1669"/>
      <c r="L33" s="1669"/>
      <c r="M33" s="1669"/>
      <c r="N33" s="1669"/>
      <c r="O33" s="1669"/>
      <c r="P33" s="1669"/>
      <c r="Q33" s="1669"/>
      <c r="R33" s="1669"/>
      <c r="S33" s="1669"/>
      <c r="T33" s="1669"/>
      <c r="U33" s="1670"/>
      <c r="V33" s="1669"/>
      <c r="W33" s="1670"/>
      <c r="X33" s="1669"/>
      <c r="Y33" s="1670"/>
      <c r="Z33" s="1668"/>
      <c r="AA33" s="528"/>
      <c r="AB33" s="528"/>
      <c r="AC33" s="528"/>
      <c r="AD33" s="528"/>
    </row>
    <row r="34" spans="1:30" ht="24" customHeight="1" x14ac:dyDescent="0.3">
      <c r="A34" s="528"/>
      <c r="B34" s="529">
        <v>7</v>
      </c>
      <c r="C34" s="1658" t="s">
        <v>474</v>
      </c>
      <c r="D34" s="1658" t="s">
        <v>1080</v>
      </c>
      <c r="E34" s="1659" t="s">
        <v>657</v>
      </c>
      <c r="F34" s="1234" t="s">
        <v>2147</v>
      </c>
      <c r="G34" s="549">
        <v>2019</v>
      </c>
      <c r="H34" s="550"/>
      <c r="I34" s="550">
        <v>44979</v>
      </c>
      <c r="J34" s="603">
        <v>69200</v>
      </c>
      <c r="K34" s="603">
        <v>105266.67</v>
      </c>
      <c r="L34" s="603">
        <v>126066.67</v>
      </c>
      <c r="M34" s="603">
        <v>131033.33</v>
      </c>
      <c r="N34" s="603">
        <v>160933.32999999999</v>
      </c>
      <c r="O34" s="550"/>
      <c r="P34" s="550"/>
      <c r="Q34" s="550"/>
      <c r="R34" s="550"/>
      <c r="S34" s="550"/>
      <c r="T34" s="550"/>
      <c r="U34" s="542"/>
      <c r="V34" s="550"/>
      <c r="W34" s="542"/>
      <c r="X34" s="550"/>
      <c r="Y34" s="542"/>
      <c r="Z34" s="550"/>
      <c r="AA34" s="528"/>
      <c r="AB34" s="528"/>
      <c r="AC34" s="528"/>
      <c r="AD34" s="528"/>
    </row>
    <row r="35" spans="1:30" ht="24" customHeight="1" x14ac:dyDescent="0.3">
      <c r="A35" s="528"/>
      <c r="B35" s="529"/>
      <c r="C35" s="1660" t="s">
        <v>478</v>
      </c>
      <c r="D35" s="1660"/>
      <c r="E35" s="595" t="s">
        <v>350</v>
      </c>
      <c r="F35" s="1237" t="s">
        <v>1081</v>
      </c>
      <c r="G35" s="496"/>
      <c r="H35" s="544"/>
      <c r="I35" s="545">
        <v>41383.629999999997</v>
      </c>
      <c r="J35" s="599">
        <v>63668.539520000006</v>
      </c>
      <c r="K35" s="599">
        <v>96852.25</v>
      </c>
      <c r="L35" s="599">
        <v>115989.61</v>
      </c>
      <c r="M35" s="599">
        <v>120559.27</v>
      </c>
      <c r="N35" s="1611">
        <v>148069.23000000001</v>
      </c>
      <c r="O35" s="544"/>
      <c r="P35" s="544"/>
      <c r="Q35" s="544"/>
      <c r="R35" s="544"/>
      <c r="S35" s="544"/>
      <c r="T35" s="544"/>
      <c r="U35" s="548"/>
      <c r="V35" s="544"/>
      <c r="W35" s="548"/>
      <c r="X35" s="544"/>
      <c r="Y35" s="548"/>
      <c r="Z35" s="544"/>
      <c r="AA35" s="528"/>
      <c r="AB35" s="528"/>
      <c r="AC35" s="528"/>
      <c r="AD35" s="528"/>
    </row>
    <row r="36" spans="1:30" ht="24" customHeight="1" x14ac:dyDescent="0.3">
      <c r="A36" s="528"/>
      <c r="B36" s="529"/>
      <c r="C36" s="531"/>
      <c r="D36" s="531"/>
      <c r="E36" s="532"/>
      <c r="F36" s="533"/>
      <c r="G36" s="551"/>
      <c r="H36" s="550"/>
      <c r="I36" s="550"/>
      <c r="J36" s="550"/>
      <c r="K36" s="550"/>
      <c r="L36" s="550"/>
      <c r="M36" s="550"/>
      <c r="N36" s="550"/>
      <c r="O36" s="550"/>
      <c r="P36" s="550"/>
      <c r="Q36" s="550"/>
      <c r="R36" s="550"/>
      <c r="S36" s="550"/>
      <c r="T36" s="550"/>
      <c r="U36" s="542"/>
      <c r="V36" s="550"/>
      <c r="W36" s="542"/>
      <c r="X36" s="550"/>
      <c r="Y36" s="542"/>
      <c r="Z36" s="550"/>
      <c r="AA36" s="528"/>
      <c r="AB36" s="528"/>
      <c r="AC36" s="528"/>
      <c r="AD36" s="528"/>
    </row>
    <row r="37" spans="1:30" ht="24" customHeight="1" x14ac:dyDescent="0.3">
      <c r="A37" s="528"/>
      <c r="B37" s="552"/>
      <c r="C37" s="462"/>
      <c r="D37" s="462"/>
      <c r="E37" s="553"/>
      <c r="F37" s="554"/>
      <c r="G37" s="555"/>
      <c r="H37" s="556"/>
      <c r="I37" s="556"/>
      <c r="J37" s="556"/>
      <c r="K37" s="556"/>
      <c r="L37" s="556"/>
      <c r="M37" s="556"/>
      <c r="N37" s="556"/>
      <c r="O37" s="556"/>
      <c r="P37" s="556"/>
      <c r="Q37" s="556"/>
      <c r="R37" s="556"/>
      <c r="S37" s="556"/>
      <c r="T37" s="556"/>
      <c r="U37" s="557"/>
      <c r="V37" s="556"/>
      <c r="W37" s="557"/>
      <c r="X37" s="556"/>
      <c r="Y37" s="557"/>
      <c r="Z37" s="556"/>
      <c r="AA37" s="528"/>
      <c r="AB37" s="528"/>
      <c r="AC37" s="528"/>
      <c r="AD37" s="528"/>
    </row>
    <row r="38" spans="1:30" ht="15.75" customHeight="1" x14ac:dyDescent="0.3">
      <c r="A38" s="528"/>
      <c r="B38" s="558"/>
      <c r="C38" s="528"/>
      <c r="D38" s="528"/>
      <c r="E38" s="528"/>
      <c r="F38" s="528"/>
      <c r="G38" s="479"/>
      <c r="H38" s="479"/>
      <c r="I38" s="479"/>
      <c r="J38" s="479"/>
      <c r="K38" s="479"/>
      <c r="L38" s="479"/>
      <c r="M38" s="559"/>
      <c r="N38" s="559"/>
      <c r="O38" s="559"/>
      <c r="P38" s="559"/>
      <c r="Q38" s="559"/>
      <c r="R38" s="559"/>
      <c r="S38" s="559"/>
      <c r="T38" s="559"/>
      <c r="U38" s="559"/>
      <c r="V38" s="559"/>
      <c r="W38" s="559"/>
      <c r="X38" s="559"/>
      <c r="Y38" s="559"/>
      <c r="Z38" s="559"/>
      <c r="AA38" s="528"/>
      <c r="AB38" s="528"/>
      <c r="AC38" s="528"/>
      <c r="AD38" s="528"/>
    </row>
    <row r="39" spans="1:30" ht="15.75" customHeight="1" x14ac:dyDescent="0.3">
      <c r="A39" s="528"/>
      <c r="B39" s="560" t="s">
        <v>355</v>
      </c>
      <c r="C39" s="561" t="s">
        <v>356</v>
      </c>
      <c r="D39" s="528"/>
      <c r="E39" s="528"/>
      <c r="F39" s="528"/>
      <c r="G39" s="479"/>
      <c r="H39" s="479"/>
      <c r="I39" s="479"/>
      <c r="J39" s="479"/>
      <c r="K39" s="479"/>
      <c r="L39" s="479"/>
      <c r="M39" s="559"/>
      <c r="N39" s="559"/>
      <c r="O39" s="559"/>
      <c r="P39" s="559"/>
      <c r="Q39" s="559"/>
      <c r="R39" s="559"/>
      <c r="S39" s="559"/>
      <c r="T39" s="559"/>
      <c r="U39" s="559"/>
      <c r="V39" s="559"/>
      <c r="W39" s="559"/>
      <c r="X39" s="559"/>
      <c r="Y39" s="559"/>
      <c r="Z39" s="559"/>
      <c r="AA39" s="528"/>
      <c r="AB39" s="528"/>
      <c r="AC39" s="528"/>
      <c r="AD39" s="528"/>
    </row>
    <row r="40" spans="1:30" ht="15.75" customHeight="1" x14ac:dyDescent="0.3">
      <c r="A40" s="528"/>
      <c r="B40" s="558"/>
      <c r="C40" s="528"/>
      <c r="D40" s="528"/>
      <c r="E40" s="528"/>
      <c r="F40" s="528"/>
      <c r="G40" s="479"/>
      <c r="H40" s="479"/>
      <c r="I40" s="479"/>
      <c r="J40" s="479"/>
      <c r="K40" s="479"/>
      <c r="L40" s="479"/>
      <c r="M40" s="559"/>
      <c r="N40" s="559"/>
      <c r="O40" s="559"/>
      <c r="P40" s="559"/>
      <c r="Q40" s="559"/>
      <c r="R40" s="559"/>
      <c r="S40" s="559"/>
      <c r="T40" s="559"/>
      <c r="U40" s="559"/>
      <c r="V40" s="559"/>
      <c r="W40" s="559"/>
      <c r="X40" s="559"/>
      <c r="Y40" s="559"/>
      <c r="Z40" s="559"/>
      <c r="AA40" s="528"/>
      <c r="AB40" s="528"/>
      <c r="AC40" s="528"/>
      <c r="AD40" s="528"/>
    </row>
    <row r="41" spans="1:30" ht="15.75" customHeight="1" x14ac:dyDescent="0.3">
      <c r="A41" s="528"/>
      <c r="B41" s="4383" t="s">
        <v>357</v>
      </c>
      <c r="C41" s="4384"/>
      <c r="D41" s="528"/>
      <c r="E41" s="528"/>
      <c r="F41" s="528"/>
      <c r="G41" s="479"/>
      <c r="H41" s="479"/>
      <c r="I41" s="479"/>
      <c r="J41" s="479"/>
      <c r="K41" s="479"/>
      <c r="L41" s="479"/>
      <c r="M41" s="559"/>
      <c r="N41" s="559"/>
      <c r="O41" s="559"/>
      <c r="P41" s="559"/>
      <c r="Q41" s="559"/>
      <c r="R41" s="559"/>
      <c r="S41" s="559"/>
      <c r="T41" s="559"/>
      <c r="U41" s="559"/>
      <c r="V41" s="559"/>
      <c r="W41" s="559"/>
      <c r="X41" s="559"/>
      <c r="Y41" s="559"/>
      <c r="Z41" s="559"/>
      <c r="AA41" s="528"/>
      <c r="AB41" s="528"/>
      <c r="AC41" s="528"/>
      <c r="AD41" s="528"/>
    </row>
    <row r="42" spans="1:30" ht="15.75" customHeight="1" x14ac:dyDescent="0.3">
      <c r="A42" s="528"/>
      <c r="B42" s="562" t="s">
        <v>365</v>
      </c>
      <c r="C42" s="528" t="s">
        <v>1082</v>
      </c>
      <c r="D42" s="528"/>
      <c r="E42" s="528"/>
      <c r="F42" s="528"/>
      <c r="G42" s="479"/>
      <c r="H42" s="479"/>
      <c r="I42" s="479"/>
      <c r="J42" s="479"/>
      <c r="K42" s="479"/>
      <c r="L42" s="479"/>
      <c r="M42" s="559"/>
      <c r="N42" s="559"/>
      <c r="O42" s="559"/>
      <c r="P42" s="559"/>
      <c r="Q42" s="559"/>
      <c r="R42" s="559"/>
      <c r="S42" s="559"/>
      <c r="T42" s="559"/>
      <c r="U42" s="559"/>
      <c r="V42" s="559"/>
      <c r="W42" s="559"/>
      <c r="X42" s="559"/>
      <c r="Y42" s="559"/>
      <c r="Z42" s="559"/>
      <c r="AA42" s="528"/>
      <c r="AB42" s="528"/>
      <c r="AC42" s="528"/>
      <c r="AD42" s="528"/>
    </row>
    <row r="43" spans="1:30" ht="15.75" customHeight="1" x14ac:dyDescent="0.3">
      <c r="A43" s="528"/>
      <c r="B43" s="562"/>
      <c r="C43" s="528" t="s">
        <v>1083</v>
      </c>
      <c r="D43" s="528"/>
      <c r="E43" s="528"/>
      <c r="F43" s="528"/>
      <c r="G43" s="479"/>
      <c r="H43" s="479"/>
      <c r="I43" s="479"/>
      <c r="J43" s="479"/>
      <c r="K43" s="479"/>
      <c r="L43" s="479"/>
      <c r="M43" s="559"/>
      <c r="N43" s="559"/>
      <c r="O43" s="559"/>
      <c r="P43" s="559"/>
      <c r="Q43" s="559"/>
      <c r="R43" s="559"/>
      <c r="S43" s="559"/>
      <c r="T43" s="559"/>
      <c r="U43" s="559"/>
      <c r="V43" s="559"/>
      <c r="W43" s="559"/>
      <c r="X43" s="559"/>
      <c r="Y43" s="559"/>
      <c r="Z43" s="559"/>
      <c r="AA43" s="528"/>
      <c r="AB43" s="528"/>
      <c r="AC43" s="528"/>
      <c r="AD43" s="528"/>
    </row>
    <row r="44" spans="1:30" ht="15.75" customHeight="1" x14ac:dyDescent="0.3">
      <c r="C44" s="428" t="s">
        <v>1084</v>
      </c>
    </row>
    <row r="45" spans="1:30" ht="15.75" customHeight="1" x14ac:dyDescent="0.3">
      <c r="C45" s="428" t="s">
        <v>1085</v>
      </c>
    </row>
    <row r="46" spans="1:30" ht="15.75" customHeight="1" x14ac:dyDescent="0.3">
      <c r="C46" s="428" t="s">
        <v>1086</v>
      </c>
    </row>
    <row r="47" spans="1:30" ht="15.75" customHeight="1" x14ac:dyDescent="0.3">
      <c r="C47" s="428" t="s">
        <v>1087</v>
      </c>
    </row>
    <row r="48" spans="1:30" ht="15.75" customHeight="1" x14ac:dyDescent="0.3">
      <c r="C48" s="428" t="s">
        <v>1088</v>
      </c>
    </row>
    <row r="49" spans="2:6" ht="15.75" customHeight="1" x14ac:dyDescent="0.3">
      <c r="C49" s="428">
        <v>0.90744101633393803</v>
      </c>
      <c r="D49" s="428" t="s">
        <v>1089</v>
      </c>
    </row>
    <row r="50" spans="2:6" ht="15.75" customHeight="1" x14ac:dyDescent="0.3">
      <c r="C50" s="428">
        <v>28.83</v>
      </c>
      <c r="D50" s="428" t="s">
        <v>1090</v>
      </c>
    </row>
    <row r="51" spans="2:6" ht="15.75" customHeight="1" x14ac:dyDescent="0.3">
      <c r="C51" s="428">
        <v>37.89</v>
      </c>
      <c r="D51" s="428" t="s">
        <v>1091</v>
      </c>
    </row>
    <row r="52" spans="2:6" ht="15.75" customHeight="1" x14ac:dyDescent="0.3">
      <c r="C52" s="428">
        <v>3.6</v>
      </c>
      <c r="D52" s="428" t="s">
        <v>1092</v>
      </c>
    </row>
    <row r="53" spans="2:6" ht="15.75" customHeight="1" x14ac:dyDescent="0.3">
      <c r="C53" s="428">
        <v>38.5</v>
      </c>
      <c r="D53" s="428" t="s">
        <v>1093</v>
      </c>
    </row>
    <row r="54" spans="2:6" ht="15.75" customHeight="1" x14ac:dyDescent="0.3">
      <c r="C54" s="428">
        <v>25.31</v>
      </c>
      <c r="D54" s="428" t="s">
        <v>1094</v>
      </c>
    </row>
    <row r="55" spans="2:6" ht="15.75" customHeight="1" x14ac:dyDescent="0.3">
      <c r="B55" s="1684" t="s">
        <v>1095</v>
      </c>
      <c r="C55" s="1083" t="s">
        <v>2148</v>
      </c>
      <c r="D55" s="1083"/>
      <c r="E55" s="1083"/>
      <c r="F55" s="1083"/>
    </row>
    <row r="56" spans="2:6" ht="15.75" customHeight="1" x14ac:dyDescent="0.3">
      <c r="B56" s="1684" t="s">
        <v>1096</v>
      </c>
      <c r="C56" s="428" t="s">
        <v>1097</v>
      </c>
      <c r="D56" s="1685" t="s">
        <v>1098</v>
      </c>
    </row>
    <row r="57" spans="2:6" ht="15.75" customHeight="1" x14ac:dyDescent="0.3">
      <c r="B57" s="1684"/>
      <c r="C57" s="428" t="s">
        <v>1099</v>
      </c>
    </row>
    <row r="58" spans="2:6" ht="15.75" customHeight="1" x14ac:dyDescent="0.3">
      <c r="B58" s="1684" t="s">
        <v>1100</v>
      </c>
      <c r="C58" s="428" t="s">
        <v>1101</v>
      </c>
    </row>
    <row r="59" spans="2:6" ht="15.75" customHeight="1" x14ac:dyDescent="0.3">
      <c r="C59" s="428" t="s">
        <v>1102</v>
      </c>
    </row>
    <row r="60" spans="2:6" ht="15.75" customHeight="1" x14ac:dyDescent="0.3"/>
    <row r="61" spans="2:6" ht="15.75" customHeight="1" x14ac:dyDescent="0.3"/>
    <row r="62" spans="2:6" ht="15.75" customHeight="1" x14ac:dyDescent="0.3"/>
    <row r="63" spans="2:6" ht="15.75" customHeight="1" x14ac:dyDescent="0.3"/>
    <row r="64" spans="2: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sheetData>
  <mergeCells count="1">
    <mergeCell ref="B41:C41"/>
  </mergeCells>
  <hyperlinks>
    <hyperlink ref="D56" r:id="rId1" xr:uid="{9FE77EA3-0582-4B4B-AE70-8416E259F06F}"/>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4DA7B-B0A6-4C73-9DFE-4A652180F1AE}">
  <dimension ref="A1:H996"/>
  <sheetViews>
    <sheetView topLeftCell="A23" workbookViewId="0">
      <selection activeCell="I34" sqref="I34"/>
    </sheetView>
  </sheetViews>
  <sheetFormatPr defaultColWidth="12.44140625" defaultRowHeight="15" customHeight="1" x14ac:dyDescent="0.3"/>
  <cols>
    <col min="1" max="1" width="2.6640625" style="428" customWidth="1"/>
    <col min="2" max="2" width="35.109375" style="428" customWidth="1"/>
    <col min="3" max="4" width="18.6640625" style="428" customWidth="1"/>
    <col min="5" max="5" width="1.5546875" style="428" customWidth="1"/>
    <col min="6" max="6" width="14.6640625" style="428" customWidth="1"/>
    <col min="7" max="7" width="7.33203125" style="428" customWidth="1"/>
    <col min="8" max="8" width="11.6640625" style="428" customWidth="1"/>
    <col min="9" max="16384" width="12.44140625" style="428"/>
  </cols>
  <sheetData>
    <row r="1" spans="1:8" ht="21.75" customHeight="1" x14ac:dyDescent="0.35">
      <c r="A1" s="424"/>
      <c r="B1" s="425" t="s">
        <v>549</v>
      </c>
      <c r="C1" s="426"/>
      <c r="E1" s="427"/>
      <c r="G1" s="427"/>
    </row>
    <row r="2" spans="1:8" ht="15.75" customHeight="1" x14ac:dyDescent="0.3">
      <c r="A2" s="424"/>
      <c r="B2" s="429" t="s">
        <v>299</v>
      </c>
      <c r="C2" s="430"/>
      <c r="D2" s="430"/>
      <c r="E2" s="430"/>
      <c r="F2" s="430"/>
      <c r="G2" s="430"/>
    </row>
    <row r="3" spans="1:8" ht="9.75" customHeight="1" x14ac:dyDescent="0.3">
      <c r="A3" s="427"/>
      <c r="B3" s="431"/>
      <c r="E3" s="427"/>
      <c r="G3" s="427"/>
    </row>
    <row r="4" spans="1:8" ht="6" customHeight="1" x14ac:dyDescent="0.3">
      <c r="B4" s="427"/>
      <c r="E4" s="427"/>
      <c r="G4" s="427"/>
    </row>
    <row r="5" spans="1:8" ht="6" customHeight="1" x14ac:dyDescent="0.3">
      <c r="A5" s="431"/>
      <c r="E5" s="427"/>
      <c r="G5" s="427"/>
    </row>
    <row r="6" spans="1:8" ht="15.75" customHeight="1" x14ac:dyDescent="0.3">
      <c r="C6" s="428">
        <v>1000000</v>
      </c>
      <c r="E6" s="427"/>
      <c r="F6" s="427"/>
      <c r="G6" s="427"/>
    </row>
    <row r="7" spans="1:8" ht="37.200000000000003" customHeight="1" x14ac:dyDescent="0.3">
      <c r="A7" s="432"/>
      <c r="B7" s="433">
        <v>2024</v>
      </c>
      <c r="C7" s="4385" t="s">
        <v>22</v>
      </c>
      <c r="D7" s="4394"/>
      <c r="E7" s="432"/>
      <c r="F7" s="435" t="s">
        <v>300</v>
      </c>
      <c r="G7" s="432"/>
      <c r="H7" s="432"/>
    </row>
    <row r="8" spans="1:8" ht="18" customHeight="1" x14ac:dyDescent="0.35">
      <c r="B8" s="436" t="s">
        <v>301</v>
      </c>
      <c r="C8" s="648">
        <v>1</v>
      </c>
      <c r="D8" s="572">
        <v>2</v>
      </c>
      <c r="E8" s="427"/>
      <c r="F8" s="438"/>
      <c r="G8" s="427"/>
    </row>
    <row r="9" spans="1:8" ht="46.5" customHeight="1" x14ac:dyDescent="0.3">
      <c r="B9" s="439" t="s">
        <v>302</v>
      </c>
      <c r="C9" s="573" t="s">
        <v>1103</v>
      </c>
      <c r="D9" s="573" t="s">
        <v>1104</v>
      </c>
      <c r="E9" s="574"/>
      <c r="F9" s="442"/>
      <c r="G9" s="443"/>
    </row>
    <row r="10" spans="1:8" ht="46.5" customHeight="1" x14ac:dyDescent="0.3">
      <c r="B10" s="444" t="s">
        <v>304</v>
      </c>
      <c r="C10" s="445" t="s">
        <v>1105</v>
      </c>
      <c r="D10" s="445" t="s">
        <v>1106</v>
      </c>
      <c r="E10" s="574"/>
      <c r="F10" s="446"/>
      <c r="G10" s="443"/>
    </row>
    <row r="11" spans="1:8" ht="18.75" customHeight="1" x14ac:dyDescent="0.3">
      <c r="A11" s="447"/>
      <c r="B11" s="448" t="s">
        <v>306</v>
      </c>
      <c r="C11" s="575">
        <f>(C17*C18)+(C22*C23)</f>
        <v>431.74947305170002</v>
      </c>
      <c r="D11" s="575">
        <f>(D17*D18)+(D22*D23)</f>
        <v>386.66880291619998</v>
      </c>
      <c r="E11" s="576"/>
      <c r="F11" s="451">
        <f>SUM(C11:D11)</f>
        <v>818.41827596789994</v>
      </c>
      <c r="G11" s="452"/>
      <c r="H11" s="447"/>
    </row>
    <row r="12" spans="1:8" ht="18.75" customHeight="1" x14ac:dyDescent="0.3">
      <c r="A12" s="447"/>
      <c r="B12" s="453" t="s">
        <v>307</v>
      </c>
      <c r="C12" s="577">
        <f t="shared" ref="C12:D12" si="0">(C27*C28)+(C32*C33)</f>
        <v>156.39712307510001</v>
      </c>
      <c r="D12" s="577">
        <f t="shared" si="0"/>
        <v>91.481808369999996</v>
      </c>
      <c r="E12" s="455"/>
      <c r="F12" s="456">
        <f>SUM(C12:D12)</f>
        <v>247.87893144510002</v>
      </c>
      <c r="G12" s="457"/>
      <c r="H12" s="447"/>
    </row>
    <row r="13" spans="1:8" ht="18.75" customHeight="1" x14ac:dyDescent="0.3">
      <c r="A13" s="447"/>
      <c r="B13" s="448" t="s">
        <v>308</v>
      </c>
      <c r="C13" s="654" t="s">
        <v>8</v>
      </c>
      <c r="D13" s="578" t="s">
        <v>8</v>
      </c>
      <c r="E13" s="459"/>
      <c r="F13" s="460"/>
      <c r="G13" s="461"/>
      <c r="H13" s="447"/>
    </row>
    <row r="14" spans="1:8" ht="18.75" customHeight="1" x14ac:dyDescent="0.3">
      <c r="A14" s="447"/>
      <c r="B14" s="462" t="s">
        <v>309</v>
      </c>
      <c r="C14" s="655">
        <f t="shared" ref="C14:D14" si="1">C11-C12</f>
        <v>275.35234997660001</v>
      </c>
      <c r="D14" s="579">
        <f t="shared" si="1"/>
        <v>295.18699454619997</v>
      </c>
      <c r="E14" s="455"/>
      <c r="F14" s="464">
        <f>SUM(C14:D14)</f>
        <v>570.53934452279998</v>
      </c>
      <c r="G14" s="457"/>
      <c r="H14" s="447"/>
    </row>
    <row r="15" spans="1:8" ht="19.5" customHeight="1" x14ac:dyDescent="0.4">
      <c r="B15" s="465" t="s">
        <v>310</v>
      </c>
      <c r="C15" s="1259"/>
      <c r="D15" s="580"/>
      <c r="E15" s="467"/>
      <c r="F15" s="468"/>
      <c r="G15" s="467"/>
      <c r="H15" s="427"/>
    </row>
    <row r="16" spans="1:8" ht="35.4" customHeight="1" x14ac:dyDescent="0.3">
      <c r="A16" s="447"/>
      <c r="B16" s="469" t="s">
        <v>311</v>
      </c>
      <c r="C16" s="601" t="s">
        <v>360</v>
      </c>
      <c r="D16" s="601" t="s">
        <v>1107</v>
      </c>
      <c r="E16" s="581"/>
      <c r="F16" s="471"/>
      <c r="G16" s="457"/>
      <c r="H16" s="447"/>
    </row>
    <row r="17" spans="1:8" ht="21" customHeight="1" x14ac:dyDescent="0.3">
      <c r="A17" s="447"/>
      <c r="B17" s="472" t="s">
        <v>313</v>
      </c>
      <c r="C17" s="582">
        <f>'CF-1205|GDS'!V10</f>
        <v>157921.9</v>
      </c>
      <c r="D17" s="1602">
        <f>'CF-1205|GDS'!W11*'CF-1205|GDS'!I16</f>
        <v>62628.593999999997</v>
      </c>
      <c r="E17" s="583"/>
      <c r="G17" s="475"/>
      <c r="H17" s="447"/>
    </row>
    <row r="18" spans="1:8" ht="18.75" customHeight="1" x14ac:dyDescent="0.3">
      <c r="A18" s="447"/>
      <c r="B18" s="476" t="s">
        <v>314</v>
      </c>
      <c r="C18" s="584">
        <v>2.7339430000000004E-3</v>
      </c>
      <c r="D18" s="584">
        <v>2.3778499999999999E-3</v>
      </c>
      <c r="E18" s="478"/>
      <c r="G18" s="479"/>
      <c r="H18" s="447"/>
    </row>
    <row r="19" spans="1:8" ht="19.5" customHeight="1" x14ac:dyDescent="0.3">
      <c r="A19" s="447"/>
      <c r="B19" s="480" t="s">
        <v>315</v>
      </c>
      <c r="C19" s="663">
        <f>C17*C18</f>
        <v>431.74947305170002</v>
      </c>
      <c r="D19" s="585">
        <f>D17*D18</f>
        <v>148.9214022429</v>
      </c>
      <c r="E19" s="586"/>
      <c r="G19" s="479"/>
      <c r="H19" s="447"/>
    </row>
    <row r="20" spans="1:8" ht="19.5" customHeight="1" x14ac:dyDescent="0.4">
      <c r="B20" s="465" t="s">
        <v>310</v>
      </c>
      <c r="C20" s="1259"/>
      <c r="D20" s="580"/>
      <c r="E20" s="467"/>
      <c r="G20" s="467"/>
    </row>
    <row r="21" spans="1:8" ht="37.950000000000003" customHeight="1" x14ac:dyDescent="0.3">
      <c r="A21" s="447"/>
      <c r="B21" s="469" t="s">
        <v>311</v>
      </c>
      <c r="C21" s="601" t="s">
        <v>88</v>
      </c>
      <c r="D21" s="601" t="s">
        <v>1108</v>
      </c>
      <c r="E21" s="1094"/>
      <c r="G21" s="457"/>
      <c r="H21" s="447"/>
    </row>
    <row r="22" spans="1:8" ht="21" customHeight="1" x14ac:dyDescent="0.3">
      <c r="A22" s="447"/>
      <c r="B22" s="472" t="s">
        <v>313</v>
      </c>
      <c r="C22" s="661">
        <v>0</v>
      </c>
      <c r="D22" s="661">
        <f>'CF-1205|GDS'!W12*'CF-1205|GDS'!I16</f>
        <v>80355.358999999997</v>
      </c>
      <c r="E22" s="583"/>
      <c r="G22" s="475"/>
      <c r="H22" s="447"/>
    </row>
    <row r="23" spans="1:8" ht="18.75" customHeight="1" x14ac:dyDescent="0.3">
      <c r="A23" s="447"/>
      <c r="B23" s="476" t="s">
        <v>314</v>
      </c>
      <c r="C23" s="584">
        <v>0</v>
      </c>
      <c r="D23" s="584">
        <v>2.9586999999999999E-3</v>
      </c>
      <c r="E23" s="586"/>
      <c r="F23" s="1095"/>
      <c r="G23" s="479"/>
      <c r="H23" s="447"/>
    </row>
    <row r="24" spans="1:8" ht="19.5" customHeight="1" x14ac:dyDescent="0.3">
      <c r="A24" s="447"/>
      <c r="B24" s="480" t="s">
        <v>315</v>
      </c>
      <c r="C24" s="663">
        <f>C22*C23</f>
        <v>0</v>
      </c>
      <c r="D24" s="585">
        <f>D22*D23</f>
        <v>237.74740067329998</v>
      </c>
      <c r="E24" s="586"/>
      <c r="F24" s="1096"/>
      <c r="G24" s="479"/>
      <c r="H24" s="447"/>
    </row>
    <row r="25" spans="1:8" ht="21" customHeight="1" x14ac:dyDescent="0.4">
      <c r="B25" s="465" t="s">
        <v>316</v>
      </c>
      <c r="C25" s="665"/>
      <c r="D25" s="587"/>
      <c r="E25" s="483"/>
      <c r="F25" s="484"/>
      <c r="G25" s="483"/>
    </row>
    <row r="26" spans="1:8" ht="32.4" customHeight="1" x14ac:dyDescent="0.3">
      <c r="A26" s="447"/>
      <c r="B26" s="469" t="s">
        <v>183</v>
      </c>
      <c r="C26" s="601" t="s">
        <v>1109</v>
      </c>
      <c r="D26" s="601" t="s">
        <v>1110</v>
      </c>
      <c r="E26" s="588"/>
      <c r="F26" s="485"/>
      <c r="G26" s="479"/>
      <c r="H26" s="447"/>
    </row>
    <row r="27" spans="1:8" ht="21" customHeight="1" x14ac:dyDescent="0.3">
      <c r="A27" s="447"/>
      <c r="B27" s="486" t="s">
        <v>313</v>
      </c>
      <c r="C27" s="666">
        <f>'CF-1205|GDS'!I10</f>
        <v>57205.7</v>
      </c>
      <c r="D27" s="589">
        <f>'CF-1205|GDS'!I11</f>
        <v>25037.8</v>
      </c>
      <c r="E27" s="479"/>
      <c r="F27" s="488"/>
      <c r="G27" s="479"/>
      <c r="H27" s="447"/>
    </row>
    <row r="28" spans="1:8" ht="21" customHeight="1" x14ac:dyDescent="0.3">
      <c r="A28" s="447"/>
      <c r="B28" s="489" t="s">
        <v>314</v>
      </c>
      <c r="C28" s="590">
        <v>2.7339430000000004E-3</v>
      </c>
      <c r="D28" s="590">
        <v>2.3778499999999999E-3</v>
      </c>
      <c r="E28" s="588"/>
      <c r="F28" s="491"/>
      <c r="G28" s="479"/>
      <c r="H28" s="447"/>
    </row>
    <row r="29" spans="1:8" ht="21" customHeight="1" x14ac:dyDescent="0.3">
      <c r="A29" s="447"/>
      <c r="B29" s="492" t="s">
        <v>315</v>
      </c>
      <c r="C29" s="668">
        <f t="shared" ref="C29:D29" si="2">C27*C28</f>
        <v>156.39712307510001</v>
      </c>
      <c r="D29" s="591">
        <f t="shared" si="2"/>
        <v>59.536132729999999</v>
      </c>
      <c r="E29" s="588"/>
      <c r="F29" s="494"/>
      <c r="G29" s="479"/>
      <c r="H29" s="447"/>
    </row>
    <row r="30" spans="1:8" ht="21" customHeight="1" x14ac:dyDescent="0.4">
      <c r="B30" s="465" t="s">
        <v>316</v>
      </c>
      <c r="C30" s="665"/>
      <c r="D30" s="587"/>
      <c r="E30" s="483"/>
      <c r="F30" s="495"/>
      <c r="G30" s="483"/>
    </row>
    <row r="31" spans="1:8" ht="30.6" customHeight="1" x14ac:dyDescent="0.3">
      <c r="A31" s="447"/>
      <c r="B31" s="469" t="s">
        <v>183</v>
      </c>
      <c r="C31" s="601" t="s">
        <v>88</v>
      </c>
      <c r="D31" s="601" t="s">
        <v>1111</v>
      </c>
      <c r="E31" s="588"/>
      <c r="F31" s="496"/>
      <c r="G31" s="479"/>
      <c r="H31" s="447"/>
    </row>
    <row r="32" spans="1:8" ht="21" customHeight="1" x14ac:dyDescent="0.3">
      <c r="A32" s="447"/>
      <c r="B32" s="486" t="s">
        <v>313</v>
      </c>
      <c r="C32" s="666">
        <v>0</v>
      </c>
      <c r="D32" s="589">
        <f>'CF-1205|GDS'!I12</f>
        <v>10797.2</v>
      </c>
      <c r="E32" s="479"/>
      <c r="F32" s="488"/>
      <c r="G32" s="479"/>
      <c r="H32" s="447"/>
    </row>
    <row r="33" spans="1:8" ht="21" customHeight="1" x14ac:dyDescent="0.3">
      <c r="A33" s="447"/>
      <c r="B33" s="489" t="s">
        <v>314</v>
      </c>
      <c r="C33" s="590">
        <v>0</v>
      </c>
      <c r="D33" s="590">
        <v>2.9586999999999999E-3</v>
      </c>
      <c r="E33" s="588"/>
      <c r="F33" s="491"/>
      <c r="G33" s="479"/>
      <c r="H33" s="447"/>
    </row>
    <row r="34" spans="1:8" ht="21" customHeight="1" x14ac:dyDescent="0.3">
      <c r="A34" s="447"/>
      <c r="B34" s="492" t="s">
        <v>315</v>
      </c>
      <c r="C34" s="668">
        <f t="shared" ref="C34:D34" si="3">C32*C33</f>
        <v>0</v>
      </c>
      <c r="D34" s="591">
        <f t="shared" si="3"/>
        <v>31.945675640000001</v>
      </c>
      <c r="E34" s="588"/>
      <c r="F34" s="494"/>
      <c r="G34" s="479"/>
      <c r="H34" s="447"/>
    </row>
    <row r="35" spans="1:8" ht="28.5" customHeight="1" x14ac:dyDescent="0.3">
      <c r="A35" s="447"/>
      <c r="B35" s="498" t="s">
        <v>320</v>
      </c>
      <c r="C35" s="592" t="s">
        <v>321</v>
      </c>
      <c r="D35" s="592" t="s">
        <v>321</v>
      </c>
      <c r="E35" s="593"/>
      <c r="F35" s="501"/>
      <c r="G35" s="500"/>
      <c r="H35" s="447"/>
    </row>
    <row r="36" spans="1:8" ht="24" customHeight="1" x14ac:dyDescent="0.3">
      <c r="B36" s="502" t="s">
        <v>322</v>
      </c>
      <c r="C36" s="673">
        <v>3</v>
      </c>
      <c r="D36" s="594">
        <v>3</v>
      </c>
      <c r="E36" s="504"/>
      <c r="F36" s="505"/>
      <c r="G36" s="504"/>
    </row>
    <row r="37" spans="1:8" ht="33" customHeight="1" x14ac:dyDescent="0.3">
      <c r="A37" s="447"/>
      <c r="B37" s="506" t="s">
        <v>323</v>
      </c>
      <c r="C37" s="496" t="s">
        <v>324</v>
      </c>
      <c r="D37" s="595" t="s">
        <v>324</v>
      </c>
      <c r="E37" s="479"/>
      <c r="F37" s="496"/>
      <c r="G37" s="479"/>
      <c r="H37" s="447"/>
    </row>
    <row r="38" spans="1:8" ht="33" customHeight="1" x14ac:dyDescent="0.3">
      <c r="A38" s="447"/>
      <c r="B38" s="508" t="s">
        <v>325</v>
      </c>
      <c r="C38" s="674" t="s">
        <v>326</v>
      </c>
      <c r="D38" s="596" t="s">
        <v>326</v>
      </c>
      <c r="E38" s="479"/>
      <c r="F38" s="496"/>
      <c r="G38" s="479"/>
      <c r="H38" s="447"/>
    </row>
    <row r="39" spans="1:8" ht="33" customHeight="1" x14ac:dyDescent="0.3">
      <c r="A39" s="447"/>
      <c r="B39" s="506" t="s">
        <v>327</v>
      </c>
      <c r="C39" s="595" t="s">
        <v>328</v>
      </c>
      <c r="D39" s="595" t="s">
        <v>328</v>
      </c>
      <c r="E39" s="479"/>
      <c r="F39" s="496"/>
      <c r="G39" s="479"/>
      <c r="H39" s="447"/>
    </row>
    <row r="40" spans="1:8" ht="21" customHeight="1" x14ac:dyDescent="0.3">
      <c r="B40" s="510" t="s">
        <v>329</v>
      </c>
      <c r="C40" s="596">
        <v>1</v>
      </c>
      <c r="D40" s="596">
        <v>1</v>
      </c>
      <c r="E40" s="467"/>
      <c r="F40" s="467"/>
      <c r="G40" s="467"/>
    </row>
    <row r="41" spans="1:8" ht="21" customHeight="1" x14ac:dyDescent="0.3">
      <c r="B41" s="453" t="s">
        <v>330</v>
      </c>
      <c r="C41" s="496" t="s">
        <v>324</v>
      </c>
      <c r="D41" s="595" t="s">
        <v>324</v>
      </c>
      <c r="E41" s="483"/>
      <c r="F41" s="495"/>
      <c r="G41" s="483"/>
    </row>
    <row r="42" spans="1:8" ht="21" customHeight="1" x14ac:dyDescent="0.3">
      <c r="B42" s="510" t="s">
        <v>331</v>
      </c>
      <c r="C42" s="674" t="s">
        <v>324</v>
      </c>
      <c r="D42" s="596" t="s">
        <v>324</v>
      </c>
      <c r="E42" s="483"/>
      <c r="F42" s="495"/>
      <c r="G42" s="483"/>
    </row>
    <row r="43" spans="1:8" ht="21" customHeight="1" x14ac:dyDescent="0.3">
      <c r="B43" s="462" t="s">
        <v>332</v>
      </c>
      <c r="C43" s="675" t="s">
        <v>333</v>
      </c>
      <c r="D43" s="555" t="s">
        <v>333</v>
      </c>
      <c r="E43" s="483"/>
      <c r="F43" s="495"/>
      <c r="G43" s="483"/>
    </row>
    <row r="44" spans="1:8" ht="15.75" customHeight="1" x14ac:dyDescent="0.3">
      <c r="B44" s="427"/>
      <c r="C44" s="427"/>
      <c r="D44" s="427"/>
      <c r="E44" s="483"/>
      <c r="F44" s="483"/>
      <c r="G44" s="483"/>
    </row>
    <row r="45" spans="1:8" ht="15.75" customHeight="1" x14ac:dyDescent="0.3">
      <c r="B45" s="512" t="s">
        <v>334</v>
      </c>
      <c r="C45" s="427"/>
      <c r="D45" s="427"/>
      <c r="E45" s="483"/>
      <c r="F45" s="483"/>
      <c r="G45" s="483"/>
    </row>
    <row r="46" spans="1:8" ht="15.75" customHeight="1" x14ac:dyDescent="0.3">
      <c r="B46" s="512" t="s">
        <v>335</v>
      </c>
      <c r="C46" s="427"/>
      <c r="D46" s="427"/>
      <c r="E46" s="483"/>
      <c r="F46" s="483"/>
      <c r="G46" s="483"/>
    </row>
    <row r="47" spans="1:8" ht="15.75" customHeight="1" x14ac:dyDescent="0.3">
      <c r="B47" s="512" t="s">
        <v>336</v>
      </c>
      <c r="C47" s="427"/>
      <c r="D47" s="427"/>
      <c r="E47" s="483"/>
      <c r="F47" s="483"/>
      <c r="G47" s="483"/>
    </row>
    <row r="48" spans="1:8" ht="15.75" customHeight="1" x14ac:dyDescent="0.3">
      <c r="B48" s="512" t="s">
        <v>337</v>
      </c>
      <c r="C48" s="427"/>
      <c r="D48" s="427"/>
      <c r="E48" s="483"/>
      <c r="F48" s="483"/>
      <c r="G48" s="483"/>
    </row>
    <row r="49" spans="2:7" ht="15.75" customHeight="1" x14ac:dyDescent="0.3">
      <c r="B49" s="512" t="s">
        <v>338</v>
      </c>
      <c r="E49" s="427"/>
      <c r="G49" s="427"/>
    </row>
    <row r="50" spans="2:7" ht="15.75" customHeight="1" x14ac:dyDescent="0.3">
      <c r="B50" s="512" t="s">
        <v>339</v>
      </c>
      <c r="E50" s="427"/>
      <c r="G50" s="427"/>
    </row>
    <row r="51" spans="2:7" ht="15.75" customHeight="1" x14ac:dyDescent="0.3">
      <c r="E51" s="427"/>
      <c r="G51" s="427"/>
    </row>
    <row r="52" spans="2:7" ht="15.75" customHeight="1" x14ac:dyDescent="0.3">
      <c r="E52" s="427"/>
      <c r="G52" s="427"/>
    </row>
    <row r="53" spans="2:7" ht="15.75" customHeight="1" x14ac:dyDescent="0.3">
      <c r="E53" s="427"/>
      <c r="G53" s="427"/>
    </row>
    <row r="54" spans="2:7" ht="15.75" customHeight="1" x14ac:dyDescent="0.3">
      <c r="E54" s="427"/>
      <c r="G54" s="427"/>
    </row>
    <row r="55" spans="2:7" ht="15.75" customHeight="1" x14ac:dyDescent="0.3">
      <c r="E55" s="427"/>
      <c r="G55" s="427"/>
    </row>
    <row r="56" spans="2:7" ht="15.75" customHeight="1" x14ac:dyDescent="0.3">
      <c r="E56" s="427"/>
      <c r="G56" s="427"/>
    </row>
    <row r="57" spans="2:7" ht="15.75" customHeight="1" x14ac:dyDescent="0.3">
      <c r="E57" s="427"/>
      <c r="G57" s="427"/>
    </row>
    <row r="58" spans="2:7" ht="15.75" customHeight="1" x14ac:dyDescent="0.3">
      <c r="E58" s="427"/>
      <c r="G58" s="427"/>
    </row>
    <row r="59" spans="2:7" ht="15.75" customHeight="1" x14ac:dyDescent="0.3">
      <c r="E59" s="427"/>
      <c r="G59" s="427"/>
    </row>
    <row r="60" spans="2:7" ht="15.75" customHeight="1" x14ac:dyDescent="0.3">
      <c r="E60" s="427"/>
      <c r="G60" s="427"/>
    </row>
    <row r="61" spans="2:7" ht="15.75" customHeight="1" x14ac:dyDescent="0.3">
      <c r="E61" s="427"/>
      <c r="G61" s="427"/>
    </row>
    <row r="62" spans="2:7" ht="15.75" customHeight="1" x14ac:dyDescent="0.3">
      <c r="E62" s="427"/>
      <c r="G62" s="427"/>
    </row>
    <row r="63" spans="2:7" ht="15.75" customHeight="1" x14ac:dyDescent="0.3">
      <c r="E63" s="427"/>
      <c r="G63" s="427"/>
    </row>
    <row r="64" spans="2:7" ht="15.75" customHeight="1" x14ac:dyDescent="0.3">
      <c r="E64" s="427"/>
      <c r="G64" s="427"/>
    </row>
    <row r="65" spans="5:7" ht="15.75" customHeight="1" x14ac:dyDescent="0.3">
      <c r="E65" s="427"/>
      <c r="G65" s="427"/>
    </row>
    <row r="66" spans="5:7" ht="15.75" customHeight="1" x14ac:dyDescent="0.3">
      <c r="E66" s="427"/>
      <c r="G66" s="427"/>
    </row>
    <row r="67" spans="5:7" ht="15.75" customHeight="1" x14ac:dyDescent="0.3">
      <c r="E67" s="427"/>
      <c r="G67" s="427"/>
    </row>
    <row r="68" spans="5:7" ht="15.75" customHeight="1" x14ac:dyDescent="0.3">
      <c r="E68" s="427"/>
      <c r="G68" s="427"/>
    </row>
    <row r="69" spans="5:7" ht="15.75" customHeight="1" x14ac:dyDescent="0.3">
      <c r="E69" s="427"/>
      <c r="G69" s="427"/>
    </row>
    <row r="70" spans="5:7" ht="15.75" customHeight="1" x14ac:dyDescent="0.3">
      <c r="E70" s="427"/>
      <c r="G70" s="427"/>
    </row>
    <row r="71" spans="5:7" ht="15.75" customHeight="1" x14ac:dyDescent="0.3">
      <c r="E71" s="427"/>
      <c r="G71" s="427"/>
    </row>
    <row r="72" spans="5:7" ht="15.75" customHeight="1" x14ac:dyDescent="0.3">
      <c r="E72" s="427"/>
      <c r="G72" s="427"/>
    </row>
    <row r="73" spans="5:7" ht="15.75" customHeight="1" x14ac:dyDescent="0.3">
      <c r="E73" s="427"/>
      <c r="G73" s="427"/>
    </row>
    <row r="74" spans="5:7" ht="15.75" customHeight="1" x14ac:dyDescent="0.3">
      <c r="E74" s="427"/>
      <c r="G74" s="427"/>
    </row>
    <row r="75" spans="5:7" ht="15.75" customHeight="1" x14ac:dyDescent="0.3">
      <c r="E75" s="427"/>
      <c r="G75" s="427"/>
    </row>
    <row r="76" spans="5:7" ht="15.75" customHeight="1" x14ac:dyDescent="0.3">
      <c r="E76" s="427"/>
      <c r="G76" s="427"/>
    </row>
    <row r="77" spans="5:7" ht="15.75" customHeight="1" x14ac:dyDescent="0.3">
      <c r="E77" s="427"/>
      <c r="G77" s="427"/>
    </row>
    <row r="78" spans="5:7" ht="15.75" customHeight="1" x14ac:dyDescent="0.3">
      <c r="E78" s="427"/>
      <c r="G78" s="427"/>
    </row>
    <row r="79" spans="5:7" ht="15.75" customHeight="1" x14ac:dyDescent="0.3">
      <c r="E79" s="427"/>
      <c r="G79" s="427"/>
    </row>
    <row r="80" spans="5:7" ht="15.75" customHeight="1" x14ac:dyDescent="0.3">
      <c r="E80" s="427"/>
      <c r="G80" s="427"/>
    </row>
    <row r="81" spans="5:7" ht="15.75" customHeight="1" x14ac:dyDescent="0.3">
      <c r="E81" s="427"/>
      <c r="G81" s="427"/>
    </row>
    <row r="82" spans="5:7" ht="15.75" customHeight="1" x14ac:dyDescent="0.3">
      <c r="E82" s="427"/>
      <c r="G82" s="427"/>
    </row>
    <row r="83" spans="5:7" ht="15.75" customHeight="1" x14ac:dyDescent="0.3">
      <c r="E83" s="427"/>
      <c r="G83" s="427"/>
    </row>
    <row r="84" spans="5:7" ht="15.75" customHeight="1" x14ac:dyDescent="0.3">
      <c r="E84" s="427"/>
      <c r="G84" s="427"/>
    </row>
    <row r="85" spans="5:7" ht="15.75" customHeight="1" x14ac:dyDescent="0.3">
      <c r="E85" s="427"/>
      <c r="G85" s="427"/>
    </row>
    <row r="86" spans="5:7" ht="15.75" customHeight="1" x14ac:dyDescent="0.3">
      <c r="E86" s="427"/>
      <c r="G86" s="427"/>
    </row>
    <row r="87" spans="5:7" ht="15.75" customHeight="1" x14ac:dyDescent="0.3">
      <c r="E87" s="427"/>
      <c r="G87" s="427"/>
    </row>
    <row r="88" spans="5:7" ht="15.75" customHeight="1" x14ac:dyDescent="0.3">
      <c r="E88" s="427"/>
      <c r="G88" s="427"/>
    </row>
    <row r="89" spans="5:7" ht="15.75" customHeight="1" x14ac:dyDescent="0.3">
      <c r="E89" s="427"/>
      <c r="G89" s="427"/>
    </row>
    <row r="90" spans="5:7" ht="15.75" customHeight="1" x14ac:dyDescent="0.3">
      <c r="E90" s="427"/>
      <c r="G90" s="427"/>
    </row>
    <row r="91" spans="5:7" ht="15.75" customHeight="1" x14ac:dyDescent="0.3">
      <c r="E91" s="427"/>
      <c r="G91" s="427"/>
    </row>
    <row r="92" spans="5:7" ht="15.75" customHeight="1" x14ac:dyDescent="0.3">
      <c r="E92" s="427"/>
      <c r="G92" s="427"/>
    </row>
    <row r="93" spans="5:7" ht="15.75" customHeight="1" x14ac:dyDescent="0.3">
      <c r="E93" s="427"/>
      <c r="G93" s="427"/>
    </row>
    <row r="94" spans="5:7" ht="15.75" customHeight="1" x14ac:dyDescent="0.3">
      <c r="E94" s="427"/>
      <c r="G94" s="427"/>
    </row>
    <row r="95" spans="5:7" ht="15.75" customHeight="1" x14ac:dyDescent="0.3">
      <c r="E95" s="427"/>
      <c r="G95" s="427"/>
    </row>
    <row r="96" spans="5:7" ht="15.75" customHeight="1" x14ac:dyDescent="0.3">
      <c r="E96" s="427"/>
      <c r="G96" s="427"/>
    </row>
    <row r="97" spans="5:7" ht="15.75" customHeight="1" x14ac:dyDescent="0.3">
      <c r="E97" s="427"/>
      <c r="G97" s="427"/>
    </row>
    <row r="98" spans="5:7" ht="15.75" customHeight="1" x14ac:dyDescent="0.3">
      <c r="E98" s="427"/>
      <c r="G98" s="427"/>
    </row>
    <row r="99" spans="5:7" ht="15.75" customHeight="1" x14ac:dyDescent="0.3">
      <c r="E99" s="427"/>
      <c r="G99" s="427"/>
    </row>
    <row r="100" spans="5:7" ht="15.75" customHeight="1" x14ac:dyDescent="0.3">
      <c r="E100" s="427"/>
      <c r="G100" s="427"/>
    </row>
    <row r="101" spans="5:7" ht="15.75" customHeight="1" x14ac:dyDescent="0.3">
      <c r="E101" s="427"/>
      <c r="G101" s="427"/>
    </row>
    <row r="102" spans="5:7" ht="15.75" customHeight="1" x14ac:dyDescent="0.3">
      <c r="E102" s="427"/>
      <c r="G102" s="427"/>
    </row>
    <row r="103" spans="5:7" ht="15.75" customHeight="1" x14ac:dyDescent="0.3">
      <c r="E103" s="427"/>
      <c r="G103" s="427"/>
    </row>
    <row r="104" spans="5:7" ht="15.75" customHeight="1" x14ac:dyDescent="0.3">
      <c r="E104" s="427"/>
      <c r="G104" s="427"/>
    </row>
    <row r="105" spans="5:7" ht="15.75" customHeight="1" x14ac:dyDescent="0.3">
      <c r="E105" s="427"/>
      <c r="G105" s="427"/>
    </row>
    <row r="106" spans="5:7" ht="15.75" customHeight="1" x14ac:dyDescent="0.3">
      <c r="E106" s="427"/>
      <c r="G106" s="427"/>
    </row>
    <row r="107" spans="5:7" ht="15.75" customHeight="1" x14ac:dyDescent="0.3">
      <c r="E107" s="427"/>
      <c r="G107" s="427"/>
    </row>
    <row r="108" spans="5:7" ht="15.75" customHeight="1" x14ac:dyDescent="0.3">
      <c r="E108" s="427"/>
      <c r="G108" s="427"/>
    </row>
    <row r="109" spans="5:7" ht="15.75" customHeight="1" x14ac:dyDescent="0.3">
      <c r="E109" s="427"/>
      <c r="G109" s="427"/>
    </row>
    <row r="110" spans="5:7" ht="15.75" customHeight="1" x14ac:dyDescent="0.3">
      <c r="E110" s="427"/>
      <c r="G110" s="427"/>
    </row>
    <row r="111" spans="5:7" ht="15.75" customHeight="1" x14ac:dyDescent="0.3">
      <c r="E111" s="427"/>
      <c r="G111" s="427"/>
    </row>
    <row r="112" spans="5:7" ht="15.75" customHeight="1" x14ac:dyDescent="0.3">
      <c r="E112" s="427"/>
      <c r="G112" s="427"/>
    </row>
    <row r="113" spans="5:7" ht="15.75" customHeight="1" x14ac:dyDescent="0.3">
      <c r="E113" s="427"/>
      <c r="G113" s="427"/>
    </row>
    <row r="114" spans="5:7" ht="15.75" customHeight="1" x14ac:dyDescent="0.3">
      <c r="E114" s="427"/>
      <c r="G114" s="427"/>
    </row>
    <row r="115" spans="5:7" ht="15.75" customHeight="1" x14ac:dyDescent="0.3">
      <c r="E115" s="427"/>
      <c r="G115" s="427"/>
    </row>
    <row r="116" spans="5:7" ht="15.75" customHeight="1" x14ac:dyDescent="0.3">
      <c r="E116" s="427"/>
      <c r="G116" s="427"/>
    </row>
    <row r="117" spans="5:7" ht="15.75" customHeight="1" x14ac:dyDescent="0.3">
      <c r="E117" s="427"/>
      <c r="G117" s="427"/>
    </row>
    <row r="118" spans="5:7" ht="15.75" customHeight="1" x14ac:dyDescent="0.3">
      <c r="E118" s="427"/>
      <c r="G118" s="427"/>
    </row>
    <row r="119" spans="5:7" ht="15.75" customHeight="1" x14ac:dyDescent="0.3">
      <c r="E119" s="427"/>
      <c r="G119" s="427"/>
    </row>
    <row r="120" spans="5:7" ht="15.75" customHeight="1" x14ac:dyDescent="0.3">
      <c r="E120" s="427"/>
      <c r="G120" s="427"/>
    </row>
    <row r="121" spans="5:7" ht="15.75" customHeight="1" x14ac:dyDescent="0.3">
      <c r="E121" s="427"/>
      <c r="G121" s="427"/>
    </row>
    <row r="122" spans="5:7" ht="15.75" customHeight="1" x14ac:dyDescent="0.3">
      <c r="E122" s="427"/>
      <c r="G122" s="427"/>
    </row>
    <row r="123" spans="5:7" ht="15.75" customHeight="1" x14ac:dyDescent="0.3">
      <c r="E123" s="427"/>
      <c r="G123" s="427"/>
    </row>
    <row r="124" spans="5:7" ht="15.75" customHeight="1" x14ac:dyDescent="0.3">
      <c r="E124" s="427"/>
      <c r="G124" s="427"/>
    </row>
    <row r="125" spans="5:7" ht="15.75" customHeight="1" x14ac:dyDescent="0.3">
      <c r="E125" s="427"/>
      <c r="G125" s="427"/>
    </row>
    <row r="126" spans="5:7" ht="15.75" customHeight="1" x14ac:dyDescent="0.3">
      <c r="E126" s="427"/>
      <c r="G126" s="427"/>
    </row>
    <row r="127" spans="5:7" ht="15.75" customHeight="1" x14ac:dyDescent="0.3">
      <c r="E127" s="427"/>
      <c r="G127" s="427"/>
    </row>
    <row r="128" spans="5:7" ht="15.75" customHeight="1" x14ac:dyDescent="0.3">
      <c r="E128" s="427"/>
      <c r="G128" s="427"/>
    </row>
    <row r="129" spans="5:7" ht="15.75" customHeight="1" x14ac:dyDescent="0.3">
      <c r="E129" s="427"/>
      <c r="G129" s="427"/>
    </row>
    <row r="130" spans="5:7" ht="15.75" customHeight="1" x14ac:dyDescent="0.3">
      <c r="E130" s="427"/>
      <c r="G130" s="427"/>
    </row>
    <row r="131" spans="5:7" ht="15.75" customHeight="1" x14ac:dyDescent="0.3">
      <c r="E131" s="427"/>
      <c r="G131" s="427"/>
    </row>
    <row r="132" spans="5:7" ht="15.75" customHeight="1" x14ac:dyDescent="0.3">
      <c r="E132" s="427"/>
      <c r="G132" s="427"/>
    </row>
    <row r="133" spans="5:7" ht="15.75" customHeight="1" x14ac:dyDescent="0.3">
      <c r="E133" s="427"/>
      <c r="G133" s="427"/>
    </row>
    <row r="134" spans="5:7" ht="15.75" customHeight="1" x14ac:dyDescent="0.3">
      <c r="E134" s="427"/>
      <c r="G134" s="427"/>
    </row>
    <row r="135" spans="5:7" ht="15.75" customHeight="1" x14ac:dyDescent="0.3">
      <c r="E135" s="427"/>
      <c r="G135" s="427"/>
    </row>
    <row r="136" spans="5:7" ht="15.75" customHeight="1" x14ac:dyDescent="0.3">
      <c r="E136" s="427"/>
      <c r="G136" s="427"/>
    </row>
    <row r="137" spans="5:7" ht="15.75" customHeight="1" x14ac:dyDescent="0.3">
      <c r="E137" s="427"/>
      <c r="G137" s="427"/>
    </row>
    <row r="138" spans="5:7" ht="15.75" customHeight="1" x14ac:dyDescent="0.3">
      <c r="E138" s="427"/>
      <c r="G138" s="427"/>
    </row>
    <row r="139" spans="5:7" ht="15.75" customHeight="1" x14ac:dyDescent="0.3">
      <c r="E139" s="427"/>
      <c r="G139" s="427"/>
    </row>
    <row r="140" spans="5:7" ht="15.75" customHeight="1" x14ac:dyDescent="0.3">
      <c r="E140" s="427"/>
      <c r="G140" s="427"/>
    </row>
    <row r="141" spans="5:7" ht="15.75" customHeight="1" x14ac:dyDescent="0.3">
      <c r="E141" s="427"/>
      <c r="G141" s="427"/>
    </row>
    <row r="142" spans="5:7" ht="15.75" customHeight="1" x14ac:dyDescent="0.3">
      <c r="E142" s="427"/>
      <c r="G142" s="427"/>
    </row>
    <row r="143" spans="5:7" ht="15.75" customHeight="1" x14ac:dyDescent="0.3">
      <c r="E143" s="427"/>
      <c r="G143" s="427"/>
    </row>
    <row r="144" spans="5:7" ht="15.75" customHeight="1" x14ac:dyDescent="0.3">
      <c r="E144" s="427"/>
      <c r="G144" s="427"/>
    </row>
    <row r="145" spans="5:7" ht="15.75" customHeight="1" x14ac:dyDescent="0.3">
      <c r="E145" s="427"/>
      <c r="G145" s="427"/>
    </row>
    <row r="146" spans="5:7" ht="15.75" customHeight="1" x14ac:dyDescent="0.3">
      <c r="E146" s="427"/>
      <c r="G146" s="427"/>
    </row>
    <row r="147" spans="5:7" ht="15.75" customHeight="1" x14ac:dyDescent="0.3">
      <c r="E147" s="427"/>
      <c r="G147" s="427"/>
    </row>
    <row r="148" spans="5:7" ht="15.75" customHeight="1" x14ac:dyDescent="0.3">
      <c r="E148" s="427"/>
      <c r="G148" s="427"/>
    </row>
    <row r="149" spans="5:7" ht="15.75" customHeight="1" x14ac:dyDescent="0.3">
      <c r="E149" s="427"/>
      <c r="G149" s="427"/>
    </row>
    <row r="150" spans="5:7" ht="15.75" customHeight="1" x14ac:dyDescent="0.3">
      <c r="E150" s="427"/>
      <c r="G150" s="427"/>
    </row>
    <row r="151" spans="5:7" ht="15.75" customHeight="1" x14ac:dyDescent="0.3">
      <c r="E151" s="427"/>
      <c r="G151" s="427"/>
    </row>
    <row r="152" spans="5:7" ht="15.75" customHeight="1" x14ac:dyDescent="0.3">
      <c r="E152" s="427"/>
      <c r="G152" s="427"/>
    </row>
    <row r="153" spans="5:7" ht="15.75" customHeight="1" x14ac:dyDescent="0.3">
      <c r="E153" s="427"/>
      <c r="G153" s="427"/>
    </row>
    <row r="154" spans="5:7" ht="15.75" customHeight="1" x14ac:dyDescent="0.3">
      <c r="E154" s="427"/>
      <c r="G154" s="427"/>
    </row>
    <row r="155" spans="5:7" ht="15.75" customHeight="1" x14ac:dyDescent="0.3">
      <c r="E155" s="427"/>
      <c r="G155" s="427"/>
    </row>
    <row r="156" spans="5:7" ht="15.75" customHeight="1" x14ac:dyDescent="0.3">
      <c r="E156" s="427"/>
      <c r="G156" s="427"/>
    </row>
    <row r="157" spans="5:7" ht="15.75" customHeight="1" x14ac:dyDescent="0.3">
      <c r="E157" s="427"/>
      <c r="G157" s="427"/>
    </row>
    <row r="158" spans="5:7" ht="15.75" customHeight="1" x14ac:dyDescent="0.3">
      <c r="E158" s="427"/>
      <c r="G158" s="427"/>
    </row>
    <row r="159" spans="5:7" ht="15.75" customHeight="1" x14ac:dyDescent="0.3">
      <c r="E159" s="427"/>
      <c r="G159" s="427"/>
    </row>
    <row r="160" spans="5:7" ht="15.75" customHeight="1" x14ac:dyDescent="0.3">
      <c r="E160" s="427"/>
      <c r="G160" s="427"/>
    </row>
    <row r="161" spans="5:7" ht="15.75" customHeight="1" x14ac:dyDescent="0.3">
      <c r="E161" s="427"/>
      <c r="G161" s="427"/>
    </row>
    <row r="162" spans="5:7" ht="15.75" customHeight="1" x14ac:dyDescent="0.3">
      <c r="E162" s="427"/>
      <c r="G162" s="427"/>
    </row>
    <row r="163" spans="5:7" ht="15.75" customHeight="1" x14ac:dyDescent="0.3">
      <c r="E163" s="427"/>
      <c r="G163" s="427"/>
    </row>
    <row r="164" spans="5:7" ht="15.75" customHeight="1" x14ac:dyDescent="0.3">
      <c r="E164" s="427"/>
      <c r="G164" s="427"/>
    </row>
    <row r="165" spans="5:7" ht="15.75" customHeight="1" x14ac:dyDescent="0.3">
      <c r="E165" s="427"/>
      <c r="G165" s="427"/>
    </row>
    <row r="166" spans="5:7" ht="15.75" customHeight="1" x14ac:dyDescent="0.3">
      <c r="E166" s="427"/>
      <c r="G166" s="427"/>
    </row>
    <row r="167" spans="5:7" ht="15.75" customHeight="1" x14ac:dyDescent="0.3">
      <c r="E167" s="427"/>
      <c r="G167" s="427"/>
    </row>
    <row r="168" spans="5:7" ht="15.75" customHeight="1" x14ac:dyDescent="0.3">
      <c r="E168" s="427"/>
      <c r="G168" s="427"/>
    </row>
    <row r="169" spans="5:7" ht="15.75" customHeight="1" x14ac:dyDescent="0.3">
      <c r="E169" s="427"/>
      <c r="G169" s="427"/>
    </row>
    <row r="170" spans="5:7" ht="15.75" customHeight="1" x14ac:dyDescent="0.3">
      <c r="E170" s="427"/>
      <c r="G170" s="427"/>
    </row>
    <row r="171" spans="5:7" ht="15.75" customHeight="1" x14ac:dyDescent="0.3">
      <c r="E171" s="427"/>
      <c r="G171" s="427"/>
    </row>
    <row r="172" spans="5:7" ht="15.75" customHeight="1" x14ac:dyDescent="0.3">
      <c r="E172" s="427"/>
      <c r="G172" s="427"/>
    </row>
    <row r="173" spans="5:7" ht="15.75" customHeight="1" x14ac:dyDescent="0.3">
      <c r="E173" s="427"/>
      <c r="G173" s="427"/>
    </row>
    <row r="174" spans="5:7" ht="15.75" customHeight="1" x14ac:dyDescent="0.3">
      <c r="E174" s="427"/>
      <c r="G174" s="427"/>
    </row>
    <row r="175" spans="5:7" ht="15.75" customHeight="1" x14ac:dyDescent="0.3">
      <c r="E175" s="427"/>
      <c r="G175" s="427"/>
    </row>
    <row r="176" spans="5:7" ht="15.75" customHeight="1" x14ac:dyDescent="0.3">
      <c r="E176" s="427"/>
      <c r="G176" s="427"/>
    </row>
    <row r="177" spans="5:7" ht="15.75" customHeight="1" x14ac:dyDescent="0.3">
      <c r="E177" s="427"/>
      <c r="G177" s="427"/>
    </row>
    <row r="178" spans="5:7" ht="15.75" customHeight="1" x14ac:dyDescent="0.3">
      <c r="E178" s="427"/>
      <c r="G178" s="427"/>
    </row>
    <row r="179" spans="5:7" ht="15.75" customHeight="1" x14ac:dyDescent="0.3">
      <c r="E179" s="427"/>
      <c r="G179" s="427"/>
    </row>
    <row r="180" spans="5:7" ht="15.75" customHeight="1" x14ac:dyDescent="0.3">
      <c r="E180" s="427"/>
      <c r="G180" s="427"/>
    </row>
    <row r="181" spans="5:7" ht="15.75" customHeight="1" x14ac:dyDescent="0.3">
      <c r="E181" s="427"/>
      <c r="G181" s="427"/>
    </row>
    <row r="182" spans="5:7" ht="15.75" customHeight="1" x14ac:dyDescent="0.3">
      <c r="E182" s="427"/>
      <c r="G182" s="427"/>
    </row>
    <row r="183" spans="5:7" ht="15.75" customHeight="1" x14ac:dyDescent="0.3">
      <c r="E183" s="427"/>
      <c r="G183" s="427"/>
    </row>
    <row r="184" spans="5:7" ht="15.75" customHeight="1" x14ac:dyDescent="0.3">
      <c r="E184" s="427"/>
      <c r="G184" s="427"/>
    </row>
    <row r="185" spans="5:7" ht="15.75" customHeight="1" x14ac:dyDescent="0.3">
      <c r="E185" s="427"/>
      <c r="G185" s="427"/>
    </row>
    <row r="186" spans="5:7" ht="15.75" customHeight="1" x14ac:dyDescent="0.3">
      <c r="E186" s="427"/>
      <c r="G186" s="427"/>
    </row>
    <row r="187" spans="5:7" ht="15.75" customHeight="1" x14ac:dyDescent="0.3">
      <c r="E187" s="427"/>
      <c r="G187" s="427"/>
    </row>
    <row r="188" spans="5:7" ht="15.75" customHeight="1" x14ac:dyDescent="0.3">
      <c r="E188" s="427"/>
      <c r="G188" s="427"/>
    </row>
    <row r="189" spans="5:7" ht="15.75" customHeight="1" x14ac:dyDescent="0.3">
      <c r="E189" s="427"/>
      <c r="G189" s="427"/>
    </row>
    <row r="190" spans="5:7" ht="15.75" customHeight="1" x14ac:dyDescent="0.3">
      <c r="E190" s="427"/>
      <c r="G190" s="427"/>
    </row>
    <row r="191" spans="5:7" ht="15.75" customHeight="1" x14ac:dyDescent="0.3">
      <c r="E191" s="427"/>
      <c r="G191" s="427"/>
    </row>
    <row r="192" spans="5:7" ht="15.75" customHeight="1" x14ac:dyDescent="0.3">
      <c r="E192" s="427"/>
      <c r="G192" s="427"/>
    </row>
    <row r="193" spans="5:7" ht="15.75" customHeight="1" x14ac:dyDescent="0.3">
      <c r="E193" s="427"/>
      <c r="G193" s="427"/>
    </row>
    <row r="194" spans="5:7" ht="15.75" customHeight="1" x14ac:dyDescent="0.3">
      <c r="E194" s="427"/>
      <c r="G194" s="427"/>
    </row>
    <row r="195" spans="5:7" ht="15.75" customHeight="1" x14ac:dyDescent="0.3">
      <c r="E195" s="427"/>
      <c r="G195" s="427"/>
    </row>
    <row r="196" spans="5:7" ht="15.75" customHeight="1" x14ac:dyDescent="0.3">
      <c r="E196" s="427"/>
      <c r="G196" s="427"/>
    </row>
    <row r="197" spans="5:7" ht="15.75" customHeight="1" x14ac:dyDescent="0.3">
      <c r="E197" s="427"/>
      <c r="G197" s="427"/>
    </row>
    <row r="198" spans="5:7" ht="15.75" customHeight="1" x14ac:dyDescent="0.3">
      <c r="E198" s="427"/>
      <c r="G198" s="427"/>
    </row>
    <row r="199" spans="5:7" ht="15.75" customHeight="1" x14ac:dyDescent="0.3">
      <c r="E199" s="427"/>
      <c r="G199" s="427"/>
    </row>
    <row r="200" spans="5:7" ht="15.75" customHeight="1" x14ac:dyDescent="0.3">
      <c r="E200" s="427"/>
      <c r="G200" s="427"/>
    </row>
    <row r="201" spans="5:7" ht="15.75" customHeight="1" x14ac:dyDescent="0.3">
      <c r="E201" s="427"/>
      <c r="G201" s="427"/>
    </row>
    <row r="202" spans="5:7" ht="15.75" customHeight="1" x14ac:dyDescent="0.3">
      <c r="E202" s="427"/>
      <c r="G202" s="427"/>
    </row>
    <row r="203" spans="5:7" ht="15.75" customHeight="1" x14ac:dyDescent="0.3">
      <c r="E203" s="427"/>
      <c r="G203" s="427"/>
    </row>
    <row r="204" spans="5:7" ht="15.75" customHeight="1" x14ac:dyDescent="0.3">
      <c r="E204" s="427"/>
      <c r="G204" s="427"/>
    </row>
    <row r="205" spans="5:7" ht="15.75" customHeight="1" x14ac:dyDescent="0.3">
      <c r="E205" s="427"/>
      <c r="G205" s="427"/>
    </row>
    <row r="206" spans="5:7" ht="15.75" customHeight="1" x14ac:dyDescent="0.3">
      <c r="E206" s="427"/>
      <c r="G206" s="427"/>
    </row>
    <row r="207" spans="5:7" ht="15.75" customHeight="1" x14ac:dyDescent="0.3">
      <c r="E207" s="427"/>
      <c r="G207" s="427"/>
    </row>
    <row r="208" spans="5:7" ht="15.75" customHeight="1" x14ac:dyDescent="0.3">
      <c r="E208" s="427"/>
      <c r="G208" s="427"/>
    </row>
    <row r="209" spans="5:7" ht="15.75" customHeight="1" x14ac:dyDescent="0.3">
      <c r="E209" s="427"/>
      <c r="G209" s="427"/>
    </row>
    <row r="210" spans="5:7" ht="15.75" customHeight="1" x14ac:dyDescent="0.3">
      <c r="E210" s="427"/>
      <c r="G210" s="427"/>
    </row>
    <row r="211" spans="5:7" ht="15.75" customHeight="1" x14ac:dyDescent="0.3">
      <c r="E211" s="427"/>
      <c r="G211" s="427"/>
    </row>
    <row r="212" spans="5:7" ht="15.75" customHeight="1" x14ac:dyDescent="0.3">
      <c r="E212" s="427"/>
      <c r="G212" s="427"/>
    </row>
    <row r="213" spans="5:7" ht="15.75" customHeight="1" x14ac:dyDescent="0.3">
      <c r="E213" s="427"/>
      <c r="G213" s="427"/>
    </row>
    <row r="214" spans="5:7" ht="15.75" customHeight="1" x14ac:dyDescent="0.3">
      <c r="E214" s="427"/>
      <c r="G214" s="427"/>
    </row>
    <row r="215" spans="5:7" ht="15.75" customHeight="1" x14ac:dyDescent="0.3">
      <c r="E215" s="427"/>
      <c r="G215" s="427"/>
    </row>
    <row r="216" spans="5:7" ht="15.75" customHeight="1" x14ac:dyDescent="0.3">
      <c r="E216" s="427"/>
      <c r="G216" s="427"/>
    </row>
    <row r="217" spans="5:7" ht="15.75" customHeight="1" x14ac:dyDescent="0.3">
      <c r="E217" s="427"/>
      <c r="G217" s="427"/>
    </row>
    <row r="218" spans="5:7" ht="15.75" customHeight="1" x14ac:dyDescent="0.3">
      <c r="E218" s="427"/>
      <c r="G218" s="427"/>
    </row>
    <row r="219" spans="5:7" ht="15.75" customHeight="1" x14ac:dyDescent="0.3">
      <c r="E219" s="427"/>
      <c r="G219" s="427"/>
    </row>
    <row r="220" spans="5:7" ht="15.75" customHeight="1" x14ac:dyDescent="0.3">
      <c r="E220" s="427"/>
      <c r="G220" s="427"/>
    </row>
    <row r="221" spans="5:7" ht="15.75" customHeight="1" x14ac:dyDescent="0.3">
      <c r="E221" s="427"/>
      <c r="G221" s="427"/>
    </row>
    <row r="222" spans="5:7" ht="15.75" customHeight="1" x14ac:dyDescent="0.3">
      <c r="E222" s="427"/>
      <c r="G222" s="427"/>
    </row>
    <row r="223" spans="5:7" ht="15.75" customHeight="1" x14ac:dyDescent="0.3">
      <c r="E223" s="427"/>
      <c r="G223" s="427"/>
    </row>
    <row r="224" spans="5:7" ht="15.75" customHeight="1" x14ac:dyDescent="0.3">
      <c r="E224" s="427"/>
      <c r="G224" s="427"/>
    </row>
    <row r="225" spans="5:7" ht="15.75" customHeight="1" x14ac:dyDescent="0.3">
      <c r="E225" s="427"/>
      <c r="G225" s="427"/>
    </row>
    <row r="226" spans="5:7" ht="15.75" customHeight="1" x14ac:dyDescent="0.3">
      <c r="E226" s="427"/>
      <c r="G226" s="427"/>
    </row>
    <row r="227" spans="5:7" ht="15.75" customHeight="1" x14ac:dyDescent="0.3">
      <c r="E227" s="427"/>
      <c r="G227" s="427"/>
    </row>
    <row r="228" spans="5:7" ht="15.75" customHeight="1" x14ac:dyDescent="0.3">
      <c r="E228" s="427"/>
      <c r="G228" s="427"/>
    </row>
    <row r="229" spans="5:7" ht="15.75" customHeight="1" x14ac:dyDescent="0.3">
      <c r="E229" s="427"/>
      <c r="G229" s="427"/>
    </row>
    <row r="230" spans="5:7" ht="15.75" customHeight="1" x14ac:dyDescent="0.3">
      <c r="E230" s="427"/>
      <c r="G230" s="427"/>
    </row>
    <row r="231" spans="5:7" ht="15.75" customHeight="1" x14ac:dyDescent="0.3">
      <c r="E231" s="427"/>
      <c r="G231" s="427"/>
    </row>
    <row r="232" spans="5:7" ht="15.75" customHeight="1" x14ac:dyDescent="0.3">
      <c r="E232" s="427"/>
      <c r="G232" s="427"/>
    </row>
    <row r="233" spans="5:7" ht="15.75" customHeight="1" x14ac:dyDescent="0.3">
      <c r="E233" s="427"/>
      <c r="G233" s="427"/>
    </row>
    <row r="234" spans="5:7" ht="15.75" customHeight="1" x14ac:dyDescent="0.3">
      <c r="E234" s="427"/>
      <c r="G234" s="427"/>
    </row>
    <row r="235" spans="5:7" ht="15.75" customHeight="1" x14ac:dyDescent="0.3">
      <c r="E235" s="427"/>
      <c r="G235" s="427"/>
    </row>
    <row r="236" spans="5:7" ht="15.75" customHeight="1" x14ac:dyDescent="0.3">
      <c r="E236" s="427"/>
      <c r="G236" s="427"/>
    </row>
    <row r="237" spans="5:7" ht="15.75" customHeight="1" x14ac:dyDescent="0.3">
      <c r="E237" s="427"/>
      <c r="G237" s="427"/>
    </row>
    <row r="238" spans="5:7" ht="15.75" customHeight="1" x14ac:dyDescent="0.3">
      <c r="E238" s="427"/>
      <c r="G238" s="427"/>
    </row>
    <row r="239" spans="5:7" ht="15.75" customHeight="1" x14ac:dyDescent="0.3">
      <c r="E239" s="427"/>
      <c r="G239" s="427"/>
    </row>
    <row r="240" spans="5:7" ht="15.75" customHeight="1" x14ac:dyDescent="0.3">
      <c r="E240" s="427"/>
      <c r="G240" s="427"/>
    </row>
    <row r="241" spans="5:7" ht="15.75" customHeight="1" x14ac:dyDescent="0.3">
      <c r="E241" s="427"/>
      <c r="G241" s="427"/>
    </row>
    <row r="242" spans="5:7" ht="15.75" customHeight="1" x14ac:dyDescent="0.3">
      <c r="E242" s="427"/>
      <c r="G242" s="427"/>
    </row>
    <row r="243" spans="5:7" ht="15.75" customHeight="1" x14ac:dyDescent="0.3">
      <c r="E243" s="427"/>
      <c r="G243" s="427"/>
    </row>
    <row r="244" spans="5:7" ht="15.75" customHeight="1" x14ac:dyDescent="0.3">
      <c r="E244" s="427"/>
      <c r="G244" s="427"/>
    </row>
    <row r="245" spans="5:7" ht="15.75" customHeight="1" x14ac:dyDescent="0.3">
      <c r="E245" s="427"/>
      <c r="G245" s="427"/>
    </row>
    <row r="246" spans="5:7" ht="15.75" customHeight="1" x14ac:dyDescent="0.3">
      <c r="E246" s="427"/>
      <c r="G246" s="427"/>
    </row>
    <row r="247" spans="5:7" ht="15.75" customHeight="1" x14ac:dyDescent="0.3">
      <c r="E247" s="427"/>
      <c r="G247" s="427"/>
    </row>
    <row r="248" spans="5:7" ht="15.75" customHeight="1" x14ac:dyDescent="0.3">
      <c r="E248" s="427"/>
      <c r="G248" s="427"/>
    </row>
    <row r="249" spans="5:7" ht="15.75" customHeight="1" x14ac:dyDescent="0.3">
      <c r="E249" s="427"/>
      <c r="G249" s="427"/>
    </row>
    <row r="250" spans="5:7" ht="15.75" customHeight="1" x14ac:dyDescent="0.3">
      <c r="E250" s="427"/>
      <c r="G250" s="427"/>
    </row>
    <row r="251" spans="5:7" ht="15.75" customHeight="1" x14ac:dyDescent="0.3"/>
    <row r="252" spans="5:7" ht="15.75" customHeight="1" x14ac:dyDescent="0.3"/>
    <row r="253" spans="5:7" ht="15.75" customHeight="1" x14ac:dyDescent="0.3"/>
    <row r="254" spans="5:7" ht="15.75" customHeight="1" x14ac:dyDescent="0.3"/>
    <row r="255" spans="5:7" ht="15.75" customHeight="1" x14ac:dyDescent="0.3"/>
    <row r="256" spans="5:7"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1">
    <mergeCell ref="C7:D7"/>
  </mergeCells>
  <dataValidations count="1">
    <dataValidation type="list" allowBlank="1" showErrorMessage="1" sqref="B17 B22 B27 B32" xr:uid="{91F8E2F5-9188-496E-9B39-329B843F05E6}">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80DCB-71F4-4679-9A49-7ACE50A06D62}">
  <dimension ref="A1:AD889"/>
  <sheetViews>
    <sheetView zoomScale="70" workbookViewId="0">
      <selection activeCell="AD18" sqref="AD18"/>
    </sheetView>
  </sheetViews>
  <sheetFormatPr defaultColWidth="12.44140625" defaultRowHeight="15" customHeight="1" x14ac:dyDescent="0.3"/>
  <cols>
    <col min="1" max="1" width="2.6640625" style="428" customWidth="1"/>
    <col min="2" max="2" width="5.109375" style="428" customWidth="1"/>
    <col min="3" max="3" width="33.664062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1" width="11.5546875" style="428" hidden="1" customWidth="1"/>
    <col min="22" max="23" width="11.5546875" style="428" customWidth="1"/>
    <col min="24" max="25" width="11.5546875" style="428" hidden="1" customWidth="1"/>
    <col min="26" max="26" width="11.5546875" style="428" customWidth="1"/>
    <col min="27" max="30" width="11.6640625" style="428" customWidth="1"/>
    <col min="31" max="16384" width="12.44140625" style="428"/>
  </cols>
  <sheetData>
    <row r="1" spans="1:30" ht="23.25" customHeight="1" x14ac:dyDescent="0.35">
      <c r="A1" s="513"/>
      <c r="B1" s="514" t="s">
        <v>2387</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1026</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474</v>
      </c>
      <c r="D10" s="531" t="s">
        <v>1112</v>
      </c>
      <c r="E10" s="532" t="s">
        <v>350</v>
      </c>
      <c r="F10" s="533"/>
      <c r="G10" s="534">
        <v>2011</v>
      </c>
      <c r="H10" s="535"/>
      <c r="I10" s="536">
        <v>57205.7</v>
      </c>
      <c r="J10" s="1235">
        <v>78261.899999999994</v>
      </c>
      <c r="K10" s="1235">
        <v>67187.7</v>
      </c>
      <c r="L10" s="1235">
        <v>87679.3</v>
      </c>
      <c r="M10" s="1235">
        <v>66599.3</v>
      </c>
      <c r="N10" s="1235">
        <v>76397.2</v>
      </c>
      <c r="O10" s="1235">
        <v>81473.2</v>
      </c>
      <c r="P10" s="1235">
        <v>89465.5</v>
      </c>
      <c r="Q10" s="1235">
        <v>55744.2</v>
      </c>
      <c r="R10" s="1235">
        <v>85704</v>
      </c>
      <c r="S10" s="1235">
        <v>104772.4</v>
      </c>
      <c r="T10" s="1235">
        <v>83382.81</v>
      </c>
      <c r="U10" s="1236">
        <v>99775.1</v>
      </c>
      <c r="V10" s="677">
        <v>157921.9</v>
      </c>
      <c r="W10" s="1236">
        <v>100304.4</v>
      </c>
      <c r="X10" s="1235">
        <v>91353.3</v>
      </c>
      <c r="Y10" s="542"/>
      <c r="Z10" s="535"/>
      <c r="AA10" s="528"/>
      <c r="AB10" s="528"/>
      <c r="AC10" s="528"/>
      <c r="AD10" s="528"/>
    </row>
    <row r="11" spans="1:30" ht="24" customHeight="1" x14ac:dyDescent="0.3">
      <c r="A11" s="528"/>
      <c r="B11" s="529">
        <v>2</v>
      </c>
      <c r="C11" s="453" t="s">
        <v>474</v>
      </c>
      <c r="D11" s="453" t="s">
        <v>1107</v>
      </c>
      <c r="E11" s="543" t="s">
        <v>350</v>
      </c>
      <c r="F11" s="506" t="s">
        <v>1113</v>
      </c>
      <c r="G11" s="496">
        <v>2010</v>
      </c>
      <c r="H11" s="544"/>
      <c r="I11" s="545">
        <v>25037.8</v>
      </c>
      <c r="J11" s="1238">
        <v>32515.7</v>
      </c>
      <c r="K11" s="1238">
        <v>26486.5</v>
      </c>
      <c r="L11" s="1238">
        <v>16985.400000000001</v>
      </c>
      <c r="M11" s="1238">
        <v>35008.5</v>
      </c>
      <c r="N11" s="1238">
        <v>29386.400000000001</v>
      </c>
      <c r="O11" s="1238">
        <v>34333.699999999997</v>
      </c>
      <c r="P11" s="1238">
        <v>40094</v>
      </c>
      <c r="Q11" s="1238">
        <v>64384.13</v>
      </c>
      <c r="R11" s="1238">
        <v>62668.9</v>
      </c>
      <c r="S11" s="1238">
        <v>66216.06</v>
      </c>
      <c r="T11" s="1238">
        <v>77154.87</v>
      </c>
      <c r="U11" s="1239">
        <v>84790.6</v>
      </c>
      <c r="V11" s="1238">
        <v>77999.89</v>
      </c>
      <c r="W11" s="1688">
        <v>89469.42</v>
      </c>
      <c r="X11" s="1238">
        <v>82043.509999999995</v>
      </c>
      <c r="Y11" s="548"/>
      <c r="Z11" s="544"/>
      <c r="AA11" s="528"/>
      <c r="AB11" s="528"/>
      <c r="AC11" s="528"/>
      <c r="AD11" s="528"/>
    </row>
    <row r="12" spans="1:30" ht="30" customHeight="1" x14ac:dyDescent="0.3">
      <c r="A12" s="528"/>
      <c r="B12" s="529">
        <v>2</v>
      </c>
      <c r="C12" s="531" t="s">
        <v>474</v>
      </c>
      <c r="D12" s="531" t="s">
        <v>1108</v>
      </c>
      <c r="E12" s="532" t="s">
        <v>350</v>
      </c>
      <c r="F12" s="533" t="s">
        <v>1113</v>
      </c>
      <c r="G12" s="549">
        <v>2010</v>
      </c>
      <c r="H12" s="550"/>
      <c r="I12" s="602">
        <v>10797.2</v>
      </c>
      <c r="J12" s="1240">
        <v>15437.1</v>
      </c>
      <c r="K12" s="1240">
        <v>26487</v>
      </c>
      <c r="L12" s="1240">
        <v>16985</v>
      </c>
      <c r="M12" s="1240">
        <v>16822.7</v>
      </c>
      <c r="N12" s="1240">
        <v>20308.313999999998</v>
      </c>
      <c r="O12" s="1240">
        <v>38934</v>
      </c>
      <c r="P12" s="1240">
        <v>45450</v>
      </c>
      <c r="Q12" s="1240">
        <v>44646</v>
      </c>
      <c r="R12" s="1240">
        <v>39425.89</v>
      </c>
      <c r="S12" s="1240">
        <v>40259.800000000003</v>
      </c>
      <c r="T12" s="1240">
        <v>84446.9</v>
      </c>
      <c r="U12" s="1236">
        <v>75581</v>
      </c>
      <c r="V12" s="1240">
        <v>83204.61</v>
      </c>
      <c r="W12" s="1689">
        <v>114793.37</v>
      </c>
      <c r="X12" s="1240">
        <v>87417</v>
      </c>
      <c r="Y12" s="542"/>
      <c r="Z12" s="550"/>
      <c r="AA12" s="528"/>
      <c r="AB12" s="528"/>
      <c r="AC12" s="528"/>
      <c r="AD12" s="528"/>
    </row>
    <row r="13" spans="1:30" ht="30" customHeight="1" x14ac:dyDescent="0.3">
      <c r="A13" s="528"/>
      <c r="B13" s="529"/>
      <c r="C13" s="453" t="s">
        <v>374</v>
      </c>
      <c r="D13" s="453" t="s">
        <v>1114</v>
      </c>
      <c r="E13" s="543" t="s">
        <v>1115</v>
      </c>
      <c r="F13" s="506"/>
      <c r="G13" s="496">
        <v>2010</v>
      </c>
      <c r="H13" s="544"/>
      <c r="I13" s="544">
        <v>11432</v>
      </c>
      <c r="J13" s="1238">
        <v>11432</v>
      </c>
      <c r="K13" s="1238">
        <v>11432</v>
      </c>
      <c r="L13" s="1238">
        <v>11432</v>
      </c>
      <c r="M13" s="1238">
        <v>11432</v>
      </c>
      <c r="N13" s="1238">
        <v>11432</v>
      </c>
      <c r="O13" s="1238">
        <v>11432</v>
      </c>
      <c r="P13" s="1238">
        <v>11432</v>
      </c>
      <c r="Q13" s="1238">
        <v>11432</v>
      </c>
      <c r="R13" s="1238">
        <v>11432</v>
      </c>
      <c r="S13" s="1238">
        <v>11432</v>
      </c>
      <c r="T13" s="1238">
        <v>11432</v>
      </c>
      <c r="U13" s="1239">
        <v>11432</v>
      </c>
      <c r="V13" s="1238">
        <v>11432</v>
      </c>
      <c r="W13" s="1239">
        <v>11432</v>
      </c>
      <c r="X13" s="1238">
        <v>11432</v>
      </c>
      <c r="Y13" s="548"/>
      <c r="Z13" s="544"/>
      <c r="AA13" s="528"/>
      <c r="AB13" s="528"/>
      <c r="AC13" s="528"/>
      <c r="AD13" s="528"/>
    </row>
    <row r="14" spans="1:30" ht="24" customHeight="1" x14ac:dyDescent="0.3">
      <c r="A14" s="528"/>
      <c r="B14" s="529"/>
      <c r="C14" s="531" t="s">
        <v>374</v>
      </c>
      <c r="D14" s="531" t="s">
        <v>848</v>
      </c>
      <c r="E14" s="532" t="s">
        <v>453</v>
      </c>
      <c r="F14" s="533" t="s">
        <v>1116</v>
      </c>
      <c r="G14" s="549">
        <v>2010</v>
      </c>
      <c r="H14" s="550"/>
      <c r="I14" s="1097">
        <f>I13/X13</f>
        <v>1</v>
      </c>
      <c r="J14" s="1240"/>
      <c r="K14" s="1240"/>
      <c r="L14" s="1690">
        <v>1</v>
      </c>
      <c r="M14" s="1690">
        <v>1</v>
      </c>
      <c r="N14" s="1690">
        <v>1</v>
      </c>
      <c r="O14" s="1690">
        <v>1</v>
      </c>
      <c r="P14" s="1690">
        <v>1</v>
      </c>
      <c r="Q14" s="1690">
        <v>1</v>
      </c>
      <c r="R14" s="1690">
        <v>1</v>
      </c>
      <c r="S14" s="1690">
        <v>1</v>
      </c>
      <c r="T14" s="1690">
        <v>1</v>
      </c>
      <c r="U14" s="1691">
        <v>1</v>
      </c>
      <c r="V14" s="1690">
        <v>1</v>
      </c>
      <c r="W14" s="1691">
        <v>1</v>
      </c>
      <c r="X14" s="1240"/>
      <c r="Y14" s="542"/>
      <c r="Z14" s="550"/>
      <c r="AA14" s="528"/>
      <c r="AB14" s="528"/>
      <c r="AC14" s="528"/>
      <c r="AD14" s="528"/>
    </row>
    <row r="15" spans="1:30" ht="24" customHeight="1" x14ac:dyDescent="0.3">
      <c r="A15" s="528"/>
      <c r="B15" s="529"/>
      <c r="C15" s="453" t="s">
        <v>474</v>
      </c>
      <c r="D15" s="453" t="s">
        <v>1117</v>
      </c>
      <c r="E15" s="543"/>
      <c r="F15" s="506"/>
      <c r="G15" s="496"/>
      <c r="H15" s="544"/>
      <c r="I15" s="544">
        <v>42</v>
      </c>
      <c r="J15" s="1238">
        <v>36</v>
      </c>
      <c r="K15" s="1238">
        <v>36</v>
      </c>
      <c r="L15" s="1238">
        <v>36</v>
      </c>
      <c r="M15" s="1238">
        <v>36</v>
      </c>
      <c r="N15" s="1238">
        <v>36</v>
      </c>
      <c r="O15" s="1238">
        <v>54</v>
      </c>
      <c r="P15" s="1238">
        <v>60</v>
      </c>
      <c r="Q15" s="1238">
        <v>60</v>
      </c>
      <c r="R15" s="1238">
        <v>60</v>
      </c>
      <c r="S15" s="1238">
        <v>60</v>
      </c>
      <c r="T15" s="1238">
        <v>60</v>
      </c>
      <c r="U15" s="1239"/>
      <c r="V15" s="1238"/>
      <c r="W15" s="1239"/>
      <c r="X15" s="1238"/>
      <c r="Y15" s="548"/>
      <c r="Z15" s="544"/>
      <c r="AA15" s="528"/>
      <c r="AB15" s="528"/>
      <c r="AC15" s="528"/>
      <c r="AD15" s="528"/>
    </row>
    <row r="16" spans="1:30" ht="29.4" customHeight="1" x14ac:dyDescent="0.3">
      <c r="A16" s="528"/>
      <c r="B16" s="529"/>
      <c r="C16" s="531" t="s">
        <v>374</v>
      </c>
      <c r="D16" s="531" t="s">
        <v>1118</v>
      </c>
      <c r="E16" s="532" t="s">
        <v>453</v>
      </c>
      <c r="F16" s="533" t="s">
        <v>1119</v>
      </c>
      <c r="G16" s="551"/>
      <c r="H16" s="550"/>
      <c r="I16" s="1692">
        <f>I15/T15</f>
        <v>0.7</v>
      </c>
      <c r="J16" s="550"/>
      <c r="K16" s="550"/>
      <c r="L16" s="550"/>
      <c r="M16" s="550"/>
      <c r="N16" s="550"/>
      <c r="O16" s="550"/>
      <c r="P16" s="550"/>
      <c r="Q16" s="550"/>
      <c r="R16" s="550"/>
      <c r="S16" s="550"/>
      <c r="T16" s="550"/>
      <c r="U16" s="542"/>
      <c r="V16" s="550"/>
      <c r="W16" s="542"/>
      <c r="X16" s="550"/>
      <c r="Y16" s="542"/>
      <c r="Z16" s="550"/>
      <c r="AA16" s="528"/>
      <c r="AB16" s="528"/>
      <c r="AC16" s="528"/>
      <c r="AD16" s="528"/>
    </row>
    <row r="17" spans="1:30" ht="24" customHeight="1" x14ac:dyDescent="0.3">
      <c r="A17" s="528"/>
      <c r="B17" s="552"/>
      <c r="C17" s="462"/>
      <c r="D17" s="462"/>
      <c r="E17" s="553"/>
      <c r="F17" s="554"/>
      <c r="G17" s="555"/>
      <c r="H17" s="556"/>
      <c r="I17" s="556"/>
      <c r="J17" s="556"/>
      <c r="K17" s="556"/>
      <c r="L17" s="556"/>
      <c r="M17" s="556"/>
      <c r="N17" s="556"/>
      <c r="O17" s="556"/>
      <c r="P17" s="556"/>
      <c r="Q17" s="556"/>
      <c r="R17" s="556"/>
      <c r="S17" s="556"/>
      <c r="T17" s="556"/>
      <c r="U17" s="557"/>
      <c r="V17" s="556"/>
      <c r="W17" s="557"/>
      <c r="X17" s="556"/>
      <c r="Y17" s="557"/>
      <c r="Z17" s="556"/>
      <c r="AA17" s="528"/>
      <c r="AB17" s="528"/>
      <c r="AC17" s="528"/>
      <c r="AD17" s="528"/>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560" t="s">
        <v>355</v>
      </c>
      <c r="C19" s="561" t="s">
        <v>356</v>
      </c>
      <c r="D19" s="528"/>
      <c r="E19" s="528"/>
      <c r="F19" s="528"/>
      <c r="G19" s="479"/>
      <c r="H19" s="479"/>
      <c r="I19" s="479"/>
      <c r="J19" s="479"/>
      <c r="K19" s="479"/>
      <c r="L19" s="479"/>
      <c r="M19" s="559"/>
      <c r="N19" s="559"/>
      <c r="O19" s="559"/>
      <c r="P19" s="559"/>
      <c r="Q19" s="559"/>
      <c r="R19" s="559"/>
      <c r="S19" s="559"/>
      <c r="T19" s="559"/>
      <c r="U19" s="559"/>
      <c r="V19" s="559"/>
      <c r="W19" s="559"/>
      <c r="X19" s="559"/>
      <c r="Y19" s="559"/>
      <c r="Z19" s="559"/>
      <c r="AA19" s="528"/>
      <c r="AB19" s="528"/>
      <c r="AC19" s="528"/>
      <c r="AD19" s="528"/>
    </row>
    <row r="20" spans="1:30" ht="15.75" customHeight="1" x14ac:dyDescent="0.3">
      <c r="A20" s="528"/>
      <c r="B20" s="558"/>
      <c r="C20" s="528"/>
      <c r="D20" s="528"/>
      <c r="E20" s="528"/>
      <c r="F20" s="528"/>
      <c r="G20" s="479"/>
      <c r="H20" s="479"/>
      <c r="I20" s="479"/>
      <c r="J20" s="479"/>
      <c r="K20" s="479"/>
      <c r="L20" s="479"/>
      <c r="M20" s="559"/>
      <c r="N20" s="559"/>
      <c r="O20" s="559"/>
      <c r="P20" s="559"/>
      <c r="Q20" s="559"/>
      <c r="R20" s="559"/>
      <c r="S20" s="559"/>
      <c r="T20" s="559"/>
      <c r="U20" s="559"/>
      <c r="V20" s="559"/>
      <c r="W20" s="559"/>
      <c r="X20" s="559"/>
      <c r="Y20" s="559"/>
      <c r="Z20" s="559"/>
      <c r="AA20" s="528"/>
      <c r="AB20" s="528"/>
      <c r="AC20" s="528"/>
      <c r="AD20" s="528"/>
    </row>
    <row r="21" spans="1:30" ht="15.75" customHeight="1" x14ac:dyDescent="0.3">
      <c r="A21" s="528"/>
      <c r="B21" s="4383" t="s">
        <v>357</v>
      </c>
      <c r="C21" s="4384"/>
      <c r="D21" s="528"/>
      <c r="E21" s="528"/>
      <c r="F21" s="528"/>
      <c r="G21" s="479"/>
      <c r="H21" s="479"/>
      <c r="I21" s="479"/>
      <c r="J21" s="479"/>
      <c r="K21" s="479"/>
      <c r="L21" s="479"/>
      <c r="M21" s="559"/>
      <c r="N21" s="559"/>
      <c r="O21" s="559"/>
      <c r="P21" s="559"/>
      <c r="Q21" s="559"/>
      <c r="R21" s="559"/>
      <c r="S21" s="559"/>
      <c r="T21" s="559"/>
      <c r="U21" s="559"/>
      <c r="V21" s="559"/>
      <c r="W21" s="559"/>
      <c r="X21" s="559"/>
      <c r="Y21" s="559"/>
      <c r="Z21" s="559"/>
      <c r="AA21" s="528"/>
      <c r="AB21" s="528"/>
      <c r="AC21" s="528"/>
      <c r="AD21" s="528"/>
    </row>
    <row r="22" spans="1:30" ht="15.75" customHeight="1" x14ac:dyDescent="0.3">
      <c r="A22" s="528"/>
      <c r="B22" s="562" t="s">
        <v>301</v>
      </c>
      <c r="C22" s="528" t="s">
        <v>1120</v>
      </c>
      <c r="D22" s="528"/>
      <c r="E22" s="528"/>
      <c r="F22" s="528"/>
      <c r="G22" s="479"/>
      <c r="H22" s="479"/>
      <c r="I22" s="479"/>
      <c r="J22" s="479"/>
      <c r="K22" s="479"/>
      <c r="L22" s="479"/>
      <c r="M22" s="559"/>
      <c r="N22" s="559"/>
      <c r="O22" s="559"/>
      <c r="P22" s="559"/>
      <c r="Q22" s="559"/>
      <c r="R22" s="559"/>
      <c r="S22" s="559"/>
      <c r="T22" s="559"/>
      <c r="U22" s="559"/>
      <c r="V22" s="559"/>
      <c r="W22" s="559"/>
      <c r="X22" s="559"/>
      <c r="Y22" s="559"/>
      <c r="Z22" s="559"/>
      <c r="AA22" s="528"/>
      <c r="AB22" s="528"/>
      <c r="AC22" s="528"/>
      <c r="AD22" s="528"/>
    </row>
    <row r="23" spans="1:30" ht="15.75" customHeight="1" x14ac:dyDescent="0.3">
      <c r="A23" s="528"/>
      <c r="B23" s="562" t="s">
        <v>301</v>
      </c>
      <c r="C23" s="528"/>
      <c r="D23" s="528"/>
      <c r="E23" s="528"/>
      <c r="F23" s="528"/>
      <c r="G23" s="479"/>
      <c r="H23" s="479"/>
      <c r="I23" s="479"/>
      <c r="J23" s="479"/>
      <c r="K23" s="479"/>
      <c r="L23" s="479"/>
      <c r="M23" s="559"/>
      <c r="N23" s="559"/>
      <c r="O23" s="559"/>
      <c r="P23" s="559"/>
      <c r="Q23" s="559"/>
      <c r="R23" s="559"/>
      <c r="S23" s="559"/>
      <c r="T23" s="559"/>
      <c r="U23" s="559"/>
      <c r="V23" s="559"/>
      <c r="W23" s="559"/>
      <c r="X23" s="559"/>
      <c r="Y23" s="559"/>
      <c r="Z23" s="559"/>
      <c r="AA23" s="528"/>
      <c r="AB23" s="528"/>
      <c r="AC23" s="528"/>
      <c r="AD23" s="528"/>
    </row>
    <row r="24" spans="1:30" ht="15.75" customHeight="1" x14ac:dyDescent="0.3"/>
    <row r="25" spans="1:30" ht="15.75" customHeight="1" x14ac:dyDescent="0.3"/>
    <row r="26" spans="1:30" ht="15.75" customHeight="1" x14ac:dyDescent="0.3"/>
    <row r="27" spans="1:30" ht="15.75" customHeight="1" x14ac:dyDescent="0.3"/>
    <row r="28" spans="1:30" ht="15.75" customHeight="1" x14ac:dyDescent="0.3"/>
    <row r="29" spans="1:30" ht="15.75" customHeight="1" x14ac:dyDescent="0.3"/>
    <row r="30" spans="1:30" ht="15.75" customHeight="1" x14ac:dyDescent="0.3"/>
    <row r="31" spans="1:30" ht="15.75" customHeight="1" x14ac:dyDescent="0.3"/>
    <row r="32" spans="1:3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sheetData>
  <mergeCells count="1">
    <mergeCell ref="B21:C21"/>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476A-B64E-4656-9D3E-5037DE89FF63}">
  <dimension ref="A1:F986"/>
  <sheetViews>
    <sheetView workbookViewId="0">
      <selection activeCell="B1" sqref="B1"/>
    </sheetView>
  </sheetViews>
  <sheetFormatPr defaultColWidth="12.44140625" defaultRowHeight="15" customHeight="1" x14ac:dyDescent="0.3"/>
  <cols>
    <col min="1" max="1" width="2.6640625" style="428" customWidth="1"/>
    <col min="2" max="2" width="34" style="428" customWidth="1"/>
    <col min="3" max="3" width="21.77734375" style="428" customWidth="1"/>
    <col min="4" max="4" width="1.5546875" style="428" customWidth="1"/>
    <col min="5" max="5" width="15.21875" style="428" customWidth="1"/>
    <col min="6" max="6" width="11.6640625" style="428" customWidth="1"/>
    <col min="7" max="16384" width="12.44140625" style="428"/>
  </cols>
  <sheetData>
    <row r="1" spans="1:6" ht="21.75" customHeight="1" x14ac:dyDescent="0.35">
      <c r="A1" s="424"/>
      <c r="B1" s="425" t="s">
        <v>549</v>
      </c>
      <c r="D1" s="427"/>
    </row>
    <row r="2" spans="1:6" ht="15.75" customHeight="1" x14ac:dyDescent="0.3">
      <c r="A2" s="424"/>
      <c r="B2" s="429" t="s">
        <v>299</v>
      </c>
      <c r="C2" s="430"/>
      <c r="D2" s="430"/>
      <c r="E2" s="430"/>
    </row>
    <row r="3" spans="1:6" ht="9.75" customHeight="1" x14ac:dyDescent="0.3">
      <c r="A3" s="427"/>
      <c r="D3" s="427"/>
    </row>
    <row r="4" spans="1:6" ht="6" customHeight="1" x14ac:dyDescent="0.3">
      <c r="D4" s="427"/>
    </row>
    <row r="5" spans="1:6" ht="6" customHeight="1" x14ac:dyDescent="0.3">
      <c r="A5" s="431"/>
      <c r="D5" s="427"/>
    </row>
    <row r="6" spans="1:6" ht="15.75" customHeight="1" x14ac:dyDescent="0.3">
      <c r="D6" s="427"/>
    </row>
    <row r="7" spans="1:6" ht="37.200000000000003" customHeight="1" x14ac:dyDescent="0.3">
      <c r="A7" s="432"/>
      <c r="B7" s="433">
        <v>2024</v>
      </c>
      <c r="C7" s="686" t="s">
        <v>23</v>
      </c>
      <c r="D7" s="609"/>
      <c r="E7" s="435" t="s">
        <v>300</v>
      </c>
      <c r="F7" s="432"/>
    </row>
    <row r="8" spans="1:6" ht="18" customHeight="1" x14ac:dyDescent="0.35">
      <c r="B8" s="436" t="s">
        <v>301</v>
      </c>
      <c r="C8" s="648">
        <v>1</v>
      </c>
      <c r="D8" s="610"/>
      <c r="E8" s="438"/>
    </row>
    <row r="9" spans="1:6" ht="46.5" customHeight="1" x14ac:dyDescent="0.3">
      <c r="B9" s="439" t="s">
        <v>302</v>
      </c>
      <c r="C9" s="573" t="s">
        <v>2388</v>
      </c>
      <c r="D9" s="611"/>
      <c r="E9" s="442"/>
    </row>
    <row r="10" spans="1:6" ht="46.5" customHeight="1" x14ac:dyDescent="0.3">
      <c r="B10" s="444" t="s">
        <v>304</v>
      </c>
      <c r="C10" s="445" t="s">
        <v>2389</v>
      </c>
      <c r="D10" s="612"/>
      <c r="E10" s="446"/>
    </row>
    <row r="11" spans="1:6" ht="18.75" customHeight="1" x14ac:dyDescent="0.3">
      <c r="A11" s="447"/>
      <c r="B11" s="448" t="s">
        <v>306</v>
      </c>
      <c r="C11" s="449">
        <f>(C17*C18)</f>
        <v>536.54631175262318</v>
      </c>
      <c r="D11" s="614"/>
      <c r="E11" s="451">
        <f>SUM(C11:C11)</f>
        <v>536.54631175262318</v>
      </c>
      <c r="F11" s="447"/>
    </row>
    <row r="12" spans="1:6" ht="18.75" customHeight="1" x14ac:dyDescent="0.3">
      <c r="A12" s="447"/>
      <c r="B12" s="453" t="s">
        <v>307</v>
      </c>
      <c r="C12" s="577">
        <f>(C22*C23)</f>
        <v>0</v>
      </c>
      <c r="D12" s="614"/>
      <c r="E12" s="456">
        <f>SUM(C12:C12)</f>
        <v>0</v>
      </c>
      <c r="F12" s="447"/>
    </row>
    <row r="13" spans="1:6" ht="18.75" customHeight="1" x14ac:dyDescent="0.3">
      <c r="A13" s="447"/>
      <c r="B13" s="448" t="s">
        <v>308</v>
      </c>
      <c r="C13" s="654" t="s">
        <v>8</v>
      </c>
      <c r="D13" s="615"/>
      <c r="E13" s="460"/>
      <c r="F13" s="447"/>
    </row>
    <row r="14" spans="1:6" ht="18.75" customHeight="1" x14ac:dyDescent="0.3">
      <c r="A14" s="447"/>
      <c r="B14" s="462" t="s">
        <v>309</v>
      </c>
      <c r="C14" s="655">
        <f t="shared" ref="C14" si="0">C11-C12</f>
        <v>536.54631175262318</v>
      </c>
      <c r="D14" s="614"/>
      <c r="E14" s="464">
        <f>SUM(C14:C14)</f>
        <v>536.54631175262318</v>
      </c>
      <c r="F14" s="447"/>
    </row>
    <row r="15" spans="1:6" ht="19.5" customHeight="1" x14ac:dyDescent="0.4">
      <c r="B15" s="616" t="s">
        <v>395</v>
      </c>
      <c r="C15" s="659"/>
      <c r="D15" s="618"/>
      <c r="E15" s="468"/>
      <c r="F15" s="427"/>
    </row>
    <row r="16" spans="1:6" ht="35.4" customHeight="1" x14ac:dyDescent="0.3">
      <c r="A16" s="447"/>
      <c r="B16" s="469" t="s">
        <v>311</v>
      </c>
      <c r="C16" s="601" t="s">
        <v>2390</v>
      </c>
      <c r="D16" s="619"/>
      <c r="E16" s="620"/>
      <c r="F16" s="447"/>
    </row>
    <row r="17" spans="1:6" ht="21" customHeight="1" x14ac:dyDescent="0.3">
      <c r="A17" s="447"/>
      <c r="B17" s="472" t="s">
        <v>398</v>
      </c>
      <c r="C17" s="662">
        <f>'CF-1207|GDS'!I13</f>
        <v>744.93</v>
      </c>
      <c r="D17" s="622"/>
      <c r="E17" s="623"/>
      <c r="F17" s="447"/>
    </row>
    <row r="18" spans="1:6" ht="18.75" customHeight="1" x14ac:dyDescent="0.3">
      <c r="A18" s="447"/>
      <c r="B18" s="476" t="s">
        <v>314</v>
      </c>
      <c r="C18" s="584">
        <v>0.7202640674326759</v>
      </c>
      <c r="D18" s="614"/>
      <c r="E18" s="491"/>
      <c r="F18" s="647"/>
    </row>
    <row r="19" spans="1:6" ht="19.5" customHeight="1" x14ac:dyDescent="0.3">
      <c r="A19" s="447"/>
      <c r="B19" s="480" t="s">
        <v>315</v>
      </c>
      <c r="C19" s="664">
        <f>C17*C18</f>
        <v>536.54631175262318</v>
      </c>
      <c r="D19" s="614"/>
      <c r="E19" s="494"/>
      <c r="F19" s="447"/>
    </row>
    <row r="20" spans="1:6" ht="21" customHeight="1" x14ac:dyDescent="0.4">
      <c r="B20" s="465" t="s">
        <v>316</v>
      </c>
      <c r="C20" s="665"/>
      <c r="D20" s="618"/>
      <c r="E20" s="495"/>
    </row>
    <row r="21" spans="1:6" ht="32.4" customHeight="1" x14ac:dyDescent="0.3">
      <c r="A21" s="447"/>
      <c r="B21" s="469" t="s">
        <v>183</v>
      </c>
      <c r="C21" s="601" t="s">
        <v>2391</v>
      </c>
      <c r="D21" s="614"/>
      <c r="E21" s="496"/>
      <c r="F21" s="447"/>
    </row>
    <row r="22" spans="1:6" ht="21" customHeight="1" x14ac:dyDescent="0.3">
      <c r="A22" s="447"/>
      <c r="B22" s="486" t="s">
        <v>398</v>
      </c>
      <c r="C22" s="666">
        <f>C17</f>
        <v>744.93</v>
      </c>
      <c r="D22" s="622"/>
      <c r="E22" s="623"/>
      <c r="F22" s="447"/>
    </row>
    <row r="23" spans="1:6" ht="21" customHeight="1" x14ac:dyDescent="0.3">
      <c r="A23" s="447"/>
      <c r="B23" s="489" t="s">
        <v>314</v>
      </c>
      <c r="C23" s="590">
        <v>0</v>
      </c>
      <c r="D23" s="614"/>
      <c r="E23" s="491"/>
      <c r="F23" s="447"/>
    </row>
    <row r="24" spans="1:6" ht="21" customHeight="1" x14ac:dyDescent="0.3">
      <c r="A24" s="447"/>
      <c r="B24" s="492" t="s">
        <v>315</v>
      </c>
      <c r="C24" s="668">
        <f t="shared" ref="C24" si="1">C22*C23</f>
        <v>0</v>
      </c>
      <c r="D24" s="614"/>
      <c r="E24" s="494"/>
      <c r="F24" s="447"/>
    </row>
    <row r="25" spans="1:6" ht="28.5" customHeight="1" x14ac:dyDescent="0.3">
      <c r="A25" s="447"/>
      <c r="B25" s="498" t="s">
        <v>320</v>
      </c>
      <c r="C25" s="626" t="s">
        <v>401</v>
      </c>
      <c r="D25" s="614"/>
      <c r="E25" s="496"/>
      <c r="F25" s="447"/>
    </row>
    <row r="26" spans="1:6" ht="24" customHeight="1" x14ac:dyDescent="0.3">
      <c r="B26" s="502" t="s">
        <v>322</v>
      </c>
      <c r="C26" s="674">
        <v>13</v>
      </c>
      <c r="D26" s="618"/>
      <c r="E26" s="495"/>
    </row>
    <row r="27" spans="1:6" ht="33" customHeight="1" x14ac:dyDescent="0.3">
      <c r="A27" s="447"/>
      <c r="B27" s="506" t="s">
        <v>323</v>
      </c>
      <c r="C27" s="496" t="s">
        <v>324</v>
      </c>
      <c r="D27" s="614"/>
      <c r="E27" s="496"/>
      <c r="F27" s="447"/>
    </row>
    <row r="28" spans="1:6" ht="33" customHeight="1" x14ac:dyDescent="0.3">
      <c r="A28" s="447"/>
      <c r="B28" s="508" t="s">
        <v>325</v>
      </c>
      <c r="C28" s="674" t="s">
        <v>326</v>
      </c>
      <c r="D28" s="614"/>
      <c r="E28" s="496"/>
      <c r="F28" s="447"/>
    </row>
    <row r="29" spans="1:6" ht="33" customHeight="1" x14ac:dyDescent="0.3">
      <c r="A29" s="447"/>
      <c r="B29" s="506" t="s">
        <v>327</v>
      </c>
      <c r="C29" s="595" t="s">
        <v>402</v>
      </c>
      <c r="D29" s="614"/>
      <c r="E29" s="496"/>
      <c r="F29" s="447"/>
    </row>
    <row r="30" spans="1:6" ht="21" customHeight="1" x14ac:dyDescent="0.3">
      <c r="B30" s="510" t="s">
        <v>329</v>
      </c>
      <c r="C30" s="596">
        <v>1</v>
      </c>
      <c r="D30" s="618"/>
      <c r="E30" s="467"/>
    </row>
    <row r="31" spans="1:6" ht="21" customHeight="1" x14ac:dyDescent="0.3">
      <c r="B31" s="453" t="s">
        <v>330</v>
      </c>
      <c r="C31" s="496" t="s">
        <v>324</v>
      </c>
      <c r="D31" s="618"/>
      <c r="E31" s="495"/>
    </row>
    <row r="32" spans="1:6" ht="21" customHeight="1" x14ac:dyDescent="0.3">
      <c r="B32" s="510" t="s">
        <v>331</v>
      </c>
      <c r="C32" s="674" t="s">
        <v>324</v>
      </c>
      <c r="D32" s="618"/>
      <c r="E32" s="495"/>
    </row>
    <row r="33" spans="2:5" ht="21" customHeight="1" x14ac:dyDescent="0.3">
      <c r="B33" s="462" t="s">
        <v>332</v>
      </c>
      <c r="C33" s="675" t="s">
        <v>333</v>
      </c>
      <c r="D33" s="618"/>
      <c r="E33" s="495"/>
    </row>
    <row r="34" spans="2:5" ht="15.75" customHeight="1" x14ac:dyDescent="0.3">
      <c r="B34" s="427"/>
      <c r="D34" s="427"/>
      <c r="E34" s="427"/>
    </row>
    <row r="35" spans="2:5" ht="15.75" customHeight="1" x14ac:dyDescent="0.3">
      <c r="D35" s="427"/>
      <c r="E35" s="427"/>
    </row>
    <row r="36" spans="2:5" ht="15.75" customHeight="1" x14ac:dyDescent="0.3">
      <c r="D36" s="427"/>
      <c r="E36" s="427"/>
    </row>
    <row r="37" spans="2:5" ht="15.75" customHeight="1" x14ac:dyDescent="0.3">
      <c r="D37" s="427"/>
      <c r="E37" s="427"/>
    </row>
    <row r="38" spans="2:5" ht="15.75" customHeight="1" x14ac:dyDescent="0.3">
      <c r="D38" s="427"/>
      <c r="E38" s="427"/>
    </row>
    <row r="39" spans="2:5" ht="15.75" customHeight="1" x14ac:dyDescent="0.3">
      <c r="D39" s="427"/>
      <c r="E39" s="427"/>
    </row>
    <row r="40" spans="2:5" ht="15.75" customHeight="1" x14ac:dyDescent="0.3">
      <c r="D40" s="427"/>
      <c r="E40" s="427"/>
    </row>
    <row r="41" spans="2:5" ht="15.75" customHeight="1" x14ac:dyDescent="0.3">
      <c r="D41" s="427"/>
      <c r="E41" s="427"/>
    </row>
    <row r="42" spans="2:5" ht="15.75" customHeight="1" x14ac:dyDescent="0.3">
      <c r="D42" s="427"/>
      <c r="E42" s="427"/>
    </row>
    <row r="43" spans="2:5" ht="15.75" customHeight="1" x14ac:dyDescent="0.3">
      <c r="D43" s="427"/>
      <c r="E43" s="427"/>
    </row>
    <row r="44" spans="2:5" ht="15.75" customHeight="1" x14ac:dyDescent="0.3">
      <c r="D44" s="427"/>
    </row>
    <row r="45" spans="2:5" ht="15.75" customHeight="1" x14ac:dyDescent="0.3">
      <c r="D45" s="427"/>
    </row>
    <row r="46" spans="2:5" ht="15.75" customHeight="1" x14ac:dyDescent="0.3">
      <c r="D46" s="427"/>
    </row>
    <row r="47" spans="2:5" ht="15.75" customHeight="1" x14ac:dyDescent="0.3">
      <c r="D47" s="427"/>
    </row>
    <row r="48" spans="2:5" ht="15.75" customHeight="1" x14ac:dyDescent="0.3">
      <c r="D48" s="427"/>
    </row>
    <row r="49" spans="4:4" ht="15.75" customHeight="1" x14ac:dyDescent="0.3">
      <c r="D49" s="427"/>
    </row>
    <row r="50" spans="4:4" ht="15.75" customHeight="1" x14ac:dyDescent="0.3">
      <c r="D50" s="427"/>
    </row>
    <row r="51" spans="4:4" ht="15.75" customHeight="1" x14ac:dyDescent="0.3">
      <c r="D51" s="427"/>
    </row>
    <row r="52" spans="4:4" ht="15.75" customHeight="1" x14ac:dyDescent="0.3">
      <c r="D52" s="427"/>
    </row>
    <row r="53" spans="4:4" ht="15.75" customHeight="1" x14ac:dyDescent="0.3">
      <c r="D53" s="427"/>
    </row>
    <row r="54" spans="4:4" ht="15.75" customHeight="1" x14ac:dyDescent="0.3">
      <c r="D54" s="427"/>
    </row>
    <row r="55" spans="4:4" ht="15.75" customHeight="1" x14ac:dyDescent="0.3">
      <c r="D55" s="427"/>
    </row>
    <row r="56" spans="4:4" ht="15.75" customHeight="1" x14ac:dyDescent="0.3">
      <c r="D56" s="427"/>
    </row>
    <row r="57" spans="4:4" ht="15.75" customHeight="1" x14ac:dyDescent="0.3">
      <c r="D57" s="427"/>
    </row>
    <row r="58" spans="4:4" ht="15.75" customHeight="1" x14ac:dyDescent="0.3">
      <c r="D58" s="427"/>
    </row>
    <row r="59" spans="4:4" ht="15.75" customHeight="1" x14ac:dyDescent="0.3">
      <c r="D59" s="427"/>
    </row>
    <row r="60" spans="4:4" ht="15.75" customHeight="1" x14ac:dyDescent="0.3">
      <c r="D60" s="427"/>
    </row>
    <row r="61" spans="4:4" ht="15.75" customHeight="1" x14ac:dyDescent="0.3">
      <c r="D61" s="427"/>
    </row>
    <row r="62" spans="4:4" ht="15.75" customHeight="1" x14ac:dyDescent="0.3">
      <c r="D62" s="427"/>
    </row>
    <row r="63" spans="4:4" ht="15.75" customHeight="1" x14ac:dyDescent="0.3">
      <c r="D63" s="427"/>
    </row>
    <row r="64" spans="4:4" ht="15.75" customHeight="1" x14ac:dyDescent="0.3">
      <c r="D64" s="427"/>
    </row>
    <row r="65" spans="4:4" ht="15.75" customHeight="1" x14ac:dyDescent="0.3">
      <c r="D65" s="427"/>
    </row>
    <row r="66" spans="4:4" ht="15.75" customHeight="1" x14ac:dyDescent="0.3">
      <c r="D66" s="427"/>
    </row>
    <row r="67" spans="4:4" ht="15.75" customHeight="1" x14ac:dyDescent="0.3">
      <c r="D67" s="427"/>
    </row>
    <row r="68" spans="4:4" ht="15.75" customHeight="1" x14ac:dyDescent="0.3">
      <c r="D68" s="427"/>
    </row>
    <row r="69" spans="4:4" ht="15.75" customHeight="1" x14ac:dyDescent="0.3">
      <c r="D69" s="427"/>
    </row>
    <row r="70" spans="4:4" ht="15.75" customHeight="1" x14ac:dyDescent="0.3">
      <c r="D70" s="427"/>
    </row>
    <row r="71" spans="4:4" ht="15.75" customHeight="1" x14ac:dyDescent="0.3">
      <c r="D71" s="427"/>
    </row>
    <row r="72" spans="4:4" ht="15.75" customHeight="1" x14ac:dyDescent="0.3">
      <c r="D72" s="427"/>
    </row>
    <row r="73" spans="4:4" ht="15.75" customHeight="1" x14ac:dyDescent="0.3">
      <c r="D73" s="427"/>
    </row>
    <row r="74" spans="4:4" ht="15.75" customHeight="1" x14ac:dyDescent="0.3">
      <c r="D74" s="427"/>
    </row>
    <row r="75" spans="4:4" ht="15.75" customHeight="1" x14ac:dyDescent="0.3">
      <c r="D75" s="427"/>
    </row>
    <row r="76" spans="4:4" ht="15.75" customHeight="1" x14ac:dyDescent="0.3">
      <c r="D76" s="427"/>
    </row>
    <row r="77" spans="4:4" ht="15.75" customHeight="1" x14ac:dyDescent="0.3">
      <c r="D77" s="427"/>
    </row>
    <row r="78" spans="4:4" ht="15.75" customHeight="1" x14ac:dyDescent="0.3">
      <c r="D78" s="427"/>
    </row>
    <row r="79" spans="4:4" ht="15.75" customHeight="1" x14ac:dyDescent="0.3">
      <c r="D79" s="427"/>
    </row>
    <row r="80" spans="4:4" ht="15.75" customHeight="1" x14ac:dyDescent="0.3">
      <c r="D80" s="427"/>
    </row>
    <row r="81" spans="4:4" ht="15.75" customHeight="1" x14ac:dyDescent="0.3">
      <c r="D81" s="427"/>
    </row>
    <row r="82" spans="4:4" ht="15.75" customHeight="1" x14ac:dyDescent="0.3">
      <c r="D82" s="427"/>
    </row>
    <row r="83" spans="4:4" ht="15.75" customHeight="1" x14ac:dyDescent="0.3">
      <c r="D83" s="427"/>
    </row>
    <row r="84" spans="4:4" ht="15.75" customHeight="1" x14ac:dyDescent="0.3">
      <c r="D84" s="427"/>
    </row>
    <row r="85" spans="4:4" ht="15.75" customHeight="1" x14ac:dyDescent="0.3">
      <c r="D85" s="427"/>
    </row>
    <row r="86" spans="4:4" ht="15.75" customHeight="1" x14ac:dyDescent="0.3">
      <c r="D86" s="427"/>
    </row>
    <row r="87" spans="4:4" ht="15.75" customHeight="1" x14ac:dyDescent="0.3">
      <c r="D87" s="427"/>
    </row>
    <row r="88" spans="4:4" ht="15.75" customHeight="1" x14ac:dyDescent="0.3">
      <c r="D88" s="427"/>
    </row>
    <row r="89" spans="4:4" ht="15.75" customHeight="1" x14ac:dyDescent="0.3">
      <c r="D89" s="427"/>
    </row>
    <row r="90" spans="4:4" ht="15.75" customHeight="1" x14ac:dyDescent="0.3">
      <c r="D90" s="427"/>
    </row>
    <row r="91" spans="4:4" ht="15.75" customHeight="1" x14ac:dyDescent="0.3">
      <c r="D91" s="427"/>
    </row>
    <row r="92" spans="4:4" ht="15.75" customHeight="1" x14ac:dyDescent="0.3">
      <c r="D92" s="427"/>
    </row>
    <row r="93" spans="4:4" ht="15.75" customHeight="1" x14ac:dyDescent="0.3">
      <c r="D93" s="427"/>
    </row>
    <row r="94" spans="4:4" ht="15.75" customHeight="1" x14ac:dyDescent="0.3">
      <c r="D94" s="427"/>
    </row>
    <row r="95" spans="4:4" ht="15.75" customHeight="1" x14ac:dyDescent="0.3">
      <c r="D95" s="427"/>
    </row>
    <row r="96" spans="4:4" ht="15.75" customHeight="1" x14ac:dyDescent="0.3">
      <c r="D96" s="427"/>
    </row>
    <row r="97" spans="4:4" ht="15.75" customHeight="1" x14ac:dyDescent="0.3">
      <c r="D97" s="427"/>
    </row>
    <row r="98" spans="4:4" ht="15.75" customHeight="1" x14ac:dyDescent="0.3">
      <c r="D98" s="427"/>
    </row>
    <row r="99" spans="4:4" ht="15.75" customHeight="1" x14ac:dyDescent="0.3">
      <c r="D99" s="427"/>
    </row>
    <row r="100" spans="4:4" ht="15.75" customHeight="1" x14ac:dyDescent="0.3">
      <c r="D100" s="427"/>
    </row>
    <row r="101" spans="4:4" ht="15.75" customHeight="1" x14ac:dyDescent="0.3">
      <c r="D101" s="427"/>
    </row>
    <row r="102" spans="4:4" ht="15.75" customHeight="1" x14ac:dyDescent="0.3">
      <c r="D102" s="427"/>
    </row>
    <row r="103" spans="4:4" ht="15.75" customHeight="1" x14ac:dyDescent="0.3">
      <c r="D103" s="427"/>
    </row>
    <row r="104" spans="4:4" ht="15.75" customHeight="1" x14ac:dyDescent="0.3">
      <c r="D104" s="427"/>
    </row>
    <row r="105" spans="4:4" ht="15.75" customHeight="1" x14ac:dyDescent="0.3">
      <c r="D105" s="427"/>
    </row>
    <row r="106" spans="4:4" ht="15.75" customHeight="1" x14ac:dyDescent="0.3">
      <c r="D106" s="427"/>
    </row>
    <row r="107" spans="4:4" ht="15.75" customHeight="1" x14ac:dyDescent="0.3">
      <c r="D107" s="427"/>
    </row>
    <row r="108" spans="4:4" ht="15.75" customHeight="1" x14ac:dyDescent="0.3">
      <c r="D108" s="427"/>
    </row>
    <row r="109" spans="4:4" ht="15.75" customHeight="1" x14ac:dyDescent="0.3">
      <c r="D109" s="427"/>
    </row>
    <row r="110" spans="4:4" ht="15.75" customHeight="1" x14ac:dyDescent="0.3">
      <c r="D110" s="427"/>
    </row>
    <row r="111" spans="4:4" ht="15.75" customHeight="1" x14ac:dyDescent="0.3">
      <c r="D111" s="427"/>
    </row>
    <row r="112" spans="4:4" ht="15.75" customHeight="1" x14ac:dyDescent="0.3">
      <c r="D112" s="427"/>
    </row>
    <row r="113" spans="4:4" ht="15.75" customHeight="1" x14ac:dyDescent="0.3">
      <c r="D113" s="427"/>
    </row>
    <row r="114" spans="4:4" ht="15.75" customHeight="1" x14ac:dyDescent="0.3">
      <c r="D114" s="427"/>
    </row>
    <row r="115" spans="4:4" ht="15.75" customHeight="1" x14ac:dyDescent="0.3">
      <c r="D115" s="427"/>
    </row>
    <row r="116" spans="4:4" ht="15.75" customHeight="1" x14ac:dyDescent="0.3">
      <c r="D116" s="427"/>
    </row>
    <row r="117" spans="4:4" ht="15.75" customHeight="1" x14ac:dyDescent="0.3">
      <c r="D117" s="427"/>
    </row>
    <row r="118" spans="4:4" ht="15.75" customHeight="1" x14ac:dyDescent="0.3">
      <c r="D118" s="427"/>
    </row>
    <row r="119" spans="4:4" ht="15.75" customHeight="1" x14ac:dyDescent="0.3">
      <c r="D119" s="427"/>
    </row>
    <row r="120" spans="4:4" ht="15.75" customHeight="1" x14ac:dyDescent="0.3">
      <c r="D120" s="427"/>
    </row>
    <row r="121" spans="4:4" ht="15.75" customHeight="1" x14ac:dyDescent="0.3">
      <c r="D121" s="427"/>
    </row>
    <row r="122" spans="4:4" ht="15.75" customHeight="1" x14ac:dyDescent="0.3">
      <c r="D122" s="427"/>
    </row>
    <row r="123" spans="4:4" ht="15.75" customHeight="1" x14ac:dyDescent="0.3">
      <c r="D123" s="427"/>
    </row>
    <row r="124" spans="4:4" ht="15.75" customHeight="1" x14ac:dyDescent="0.3">
      <c r="D124" s="427"/>
    </row>
    <row r="125" spans="4:4" ht="15.75" customHeight="1" x14ac:dyDescent="0.3">
      <c r="D125" s="427"/>
    </row>
    <row r="126" spans="4:4" ht="15.75" customHeight="1" x14ac:dyDescent="0.3">
      <c r="D126" s="427"/>
    </row>
    <row r="127" spans="4:4" ht="15.75" customHeight="1" x14ac:dyDescent="0.3">
      <c r="D127" s="427"/>
    </row>
    <row r="128" spans="4:4" ht="15.75" customHeight="1" x14ac:dyDescent="0.3">
      <c r="D128" s="427"/>
    </row>
    <row r="129" spans="4:4" ht="15.75" customHeight="1" x14ac:dyDescent="0.3">
      <c r="D129" s="427"/>
    </row>
    <row r="130" spans="4:4" ht="15.75" customHeight="1" x14ac:dyDescent="0.3">
      <c r="D130" s="427"/>
    </row>
    <row r="131" spans="4:4" ht="15.75" customHeight="1" x14ac:dyDescent="0.3">
      <c r="D131" s="427"/>
    </row>
    <row r="132" spans="4:4" ht="15.75" customHeight="1" x14ac:dyDescent="0.3">
      <c r="D132" s="427"/>
    </row>
    <row r="133" spans="4:4" ht="15.75" customHeight="1" x14ac:dyDescent="0.3">
      <c r="D133" s="427"/>
    </row>
    <row r="134" spans="4:4" ht="15.75" customHeight="1" x14ac:dyDescent="0.3">
      <c r="D134" s="427"/>
    </row>
    <row r="135" spans="4:4" ht="15.75" customHeight="1" x14ac:dyDescent="0.3">
      <c r="D135" s="427"/>
    </row>
    <row r="136" spans="4:4" ht="15.75" customHeight="1" x14ac:dyDescent="0.3">
      <c r="D136" s="427"/>
    </row>
    <row r="137" spans="4:4" ht="15.75" customHeight="1" x14ac:dyDescent="0.3">
      <c r="D137" s="427"/>
    </row>
    <row r="138" spans="4:4" ht="15.75" customHeight="1" x14ac:dyDescent="0.3">
      <c r="D138" s="427"/>
    </row>
    <row r="139" spans="4:4" ht="15.75" customHeight="1" x14ac:dyDescent="0.3">
      <c r="D139" s="427"/>
    </row>
    <row r="140" spans="4:4" ht="15.75" customHeight="1" x14ac:dyDescent="0.3">
      <c r="D140" s="427"/>
    </row>
    <row r="141" spans="4:4" ht="15.75" customHeight="1" x14ac:dyDescent="0.3">
      <c r="D141" s="427"/>
    </row>
    <row r="142" spans="4:4" ht="15.75" customHeight="1" x14ac:dyDescent="0.3">
      <c r="D142" s="427"/>
    </row>
    <row r="143" spans="4:4" ht="15.75" customHeight="1" x14ac:dyDescent="0.3">
      <c r="D143" s="427"/>
    </row>
    <row r="144" spans="4:4" ht="15.75" customHeight="1" x14ac:dyDescent="0.3">
      <c r="D144" s="427"/>
    </row>
    <row r="145" spans="4:4" ht="15.75" customHeight="1" x14ac:dyDescent="0.3">
      <c r="D145" s="427"/>
    </row>
    <row r="146" spans="4:4" ht="15.75" customHeight="1" x14ac:dyDescent="0.3">
      <c r="D146" s="427"/>
    </row>
    <row r="147" spans="4:4" ht="15.75" customHeight="1" x14ac:dyDescent="0.3">
      <c r="D147" s="427"/>
    </row>
    <row r="148" spans="4:4" ht="15.75" customHeight="1" x14ac:dyDescent="0.3">
      <c r="D148" s="427"/>
    </row>
    <row r="149" spans="4:4" ht="15.75" customHeight="1" x14ac:dyDescent="0.3">
      <c r="D149" s="427"/>
    </row>
    <row r="150" spans="4:4" ht="15.75" customHeight="1" x14ac:dyDescent="0.3">
      <c r="D150" s="427"/>
    </row>
    <row r="151" spans="4:4" ht="15.75" customHeight="1" x14ac:dyDescent="0.3">
      <c r="D151" s="427"/>
    </row>
    <row r="152" spans="4:4" ht="15.75" customHeight="1" x14ac:dyDescent="0.3">
      <c r="D152" s="427"/>
    </row>
    <row r="153" spans="4:4" ht="15.75" customHeight="1" x14ac:dyDescent="0.3">
      <c r="D153" s="427"/>
    </row>
    <row r="154" spans="4:4" ht="15.75" customHeight="1" x14ac:dyDescent="0.3">
      <c r="D154" s="427"/>
    </row>
    <row r="155" spans="4:4" ht="15.75" customHeight="1" x14ac:dyDescent="0.3">
      <c r="D155" s="427"/>
    </row>
    <row r="156" spans="4:4" ht="15.75" customHeight="1" x14ac:dyDescent="0.3">
      <c r="D156" s="427"/>
    </row>
    <row r="157" spans="4:4" ht="15.75" customHeight="1" x14ac:dyDescent="0.3">
      <c r="D157" s="427"/>
    </row>
    <row r="158" spans="4:4" ht="15.75" customHeight="1" x14ac:dyDescent="0.3">
      <c r="D158" s="427"/>
    </row>
    <row r="159" spans="4:4" ht="15.75" customHeight="1" x14ac:dyDescent="0.3">
      <c r="D159" s="427"/>
    </row>
    <row r="160" spans="4:4" ht="15.75" customHeight="1" x14ac:dyDescent="0.3">
      <c r="D160" s="427"/>
    </row>
    <row r="161" spans="4:4" ht="15.75" customHeight="1" x14ac:dyDescent="0.3">
      <c r="D161" s="427"/>
    </row>
    <row r="162" spans="4:4" ht="15.75" customHeight="1" x14ac:dyDescent="0.3">
      <c r="D162" s="427"/>
    </row>
    <row r="163" spans="4:4" ht="15.75" customHeight="1" x14ac:dyDescent="0.3">
      <c r="D163" s="427"/>
    </row>
    <row r="164" spans="4:4" ht="15.75" customHeight="1" x14ac:dyDescent="0.3">
      <c r="D164" s="427"/>
    </row>
    <row r="165" spans="4:4" ht="15.75" customHeight="1" x14ac:dyDescent="0.3">
      <c r="D165" s="427"/>
    </row>
    <row r="166" spans="4:4" ht="15.75" customHeight="1" x14ac:dyDescent="0.3">
      <c r="D166" s="427"/>
    </row>
    <row r="167" spans="4:4" ht="15.75" customHeight="1" x14ac:dyDescent="0.3">
      <c r="D167" s="427"/>
    </row>
    <row r="168" spans="4:4" ht="15.75" customHeight="1" x14ac:dyDescent="0.3">
      <c r="D168" s="427"/>
    </row>
    <row r="169" spans="4:4" ht="15.75" customHeight="1" x14ac:dyDescent="0.3">
      <c r="D169" s="427"/>
    </row>
    <row r="170" spans="4:4" ht="15.75" customHeight="1" x14ac:dyDescent="0.3">
      <c r="D170" s="427"/>
    </row>
    <row r="171" spans="4:4" ht="15.75" customHeight="1" x14ac:dyDescent="0.3">
      <c r="D171" s="427"/>
    </row>
    <row r="172" spans="4:4" ht="15.75" customHeight="1" x14ac:dyDescent="0.3">
      <c r="D172" s="427"/>
    </row>
    <row r="173" spans="4:4" ht="15.75" customHeight="1" x14ac:dyDescent="0.3">
      <c r="D173" s="427"/>
    </row>
    <row r="174" spans="4:4" ht="15.75" customHeight="1" x14ac:dyDescent="0.3">
      <c r="D174" s="427"/>
    </row>
    <row r="175" spans="4:4" ht="15.75" customHeight="1" x14ac:dyDescent="0.3">
      <c r="D175" s="427"/>
    </row>
    <row r="176" spans="4:4" ht="15.75" customHeight="1" x14ac:dyDescent="0.3">
      <c r="D176" s="427"/>
    </row>
    <row r="177" spans="4:4" ht="15.75" customHeight="1" x14ac:dyDescent="0.3">
      <c r="D177" s="427"/>
    </row>
    <row r="178" spans="4:4" ht="15.75" customHeight="1" x14ac:dyDescent="0.3">
      <c r="D178" s="427"/>
    </row>
    <row r="179" spans="4:4" ht="15.75" customHeight="1" x14ac:dyDescent="0.3">
      <c r="D179" s="427"/>
    </row>
    <row r="180" spans="4:4" ht="15.75" customHeight="1" x14ac:dyDescent="0.3">
      <c r="D180" s="427"/>
    </row>
    <row r="181" spans="4:4" ht="15.75" customHeight="1" x14ac:dyDescent="0.3">
      <c r="D181" s="427"/>
    </row>
    <row r="182" spans="4:4" ht="15.75" customHeight="1" x14ac:dyDescent="0.3">
      <c r="D182" s="427"/>
    </row>
    <row r="183" spans="4:4" ht="15.75" customHeight="1" x14ac:dyDescent="0.3">
      <c r="D183" s="427"/>
    </row>
    <row r="184" spans="4:4" ht="15.75" customHeight="1" x14ac:dyDescent="0.3">
      <c r="D184" s="427"/>
    </row>
    <row r="185" spans="4:4" ht="15.75" customHeight="1" x14ac:dyDescent="0.3">
      <c r="D185" s="427"/>
    </row>
    <row r="186" spans="4:4" ht="15.75" customHeight="1" x14ac:dyDescent="0.3">
      <c r="D186" s="427"/>
    </row>
    <row r="187" spans="4:4" ht="15.75" customHeight="1" x14ac:dyDescent="0.3">
      <c r="D187" s="427"/>
    </row>
    <row r="188" spans="4:4" ht="15.75" customHeight="1" x14ac:dyDescent="0.3">
      <c r="D188" s="427"/>
    </row>
    <row r="189" spans="4:4" ht="15.75" customHeight="1" x14ac:dyDescent="0.3">
      <c r="D189" s="427"/>
    </row>
    <row r="190" spans="4:4" ht="15.75" customHeight="1" x14ac:dyDescent="0.3">
      <c r="D190" s="427"/>
    </row>
    <row r="191" spans="4:4" ht="15.75" customHeight="1" x14ac:dyDescent="0.3">
      <c r="D191" s="427"/>
    </row>
    <row r="192" spans="4:4" ht="15.75" customHeight="1" x14ac:dyDescent="0.3">
      <c r="D192" s="427"/>
    </row>
    <row r="193" spans="4:4" ht="15.75" customHeight="1" x14ac:dyDescent="0.3">
      <c r="D193" s="427"/>
    </row>
    <row r="194" spans="4:4" ht="15.75" customHeight="1" x14ac:dyDescent="0.3">
      <c r="D194" s="427"/>
    </row>
    <row r="195" spans="4:4" ht="15.75" customHeight="1" x14ac:dyDescent="0.3">
      <c r="D195" s="427"/>
    </row>
    <row r="196" spans="4:4" ht="15.75" customHeight="1" x14ac:dyDescent="0.3">
      <c r="D196" s="427"/>
    </row>
    <row r="197" spans="4:4" ht="15.75" customHeight="1" x14ac:dyDescent="0.3">
      <c r="D197" s="427"/>
    </row>
    <row r="198" spans="4:4" ht="15.75" customHeight="1" x14ac:dyDescent="0.3">
      <c r="D198" s="427"/>
    </row>
    <row r="199" spans="4:4" ht="15.75" customHeight="1" x14ac:dyDescent="0.3">
      <c r="D199" s="427"/>
    </row>
    <row r="200" spans="4:4" ht="15.75" customHeight="1" x14ac:dyDescent="0.3">
      <c r="D200" s="427"/>
    </row>
    <row r="201" spans="4:4" ht="15.75" customHeight="1" x14ac:dyDescent="0.3">
      <c r="D201" s="427"/>
    </row>
    <row r="202" spans="4:4" ht="15.75" customHeight="1" x14ac:dyDescent="0.3">
      <c r="D202" s="427"/>
    </row>
    <row r="203" spans="4:4" ht="15.75" customHeight="1" x14ac:dyDescent="0.3">
      <c r="D203" s="427"/>
    </row>
    <row r="204" spans="4:4" ht="15.75" customHeight="1" x14ac:dyDescent="0.3">
      <c r="D204" s="427"/>
    </row>
    <row r="205" spans="4:4" ht="15.75" customHeight="1" x14ac:dyDescent="0.3">
      <c r="D205" s="427"/>
    </row>
    <row r="206" spans="4:4" ht="15.75" customHeight="1" x14ac:dyDescent="0.3">
      <c r="D206" s="427"/>
    </row>
    <row r="207" spans="4:4" ht="15.75" customHeight="1" x14ac:dyDescent="0.3">
      <c r="D207" s="427"/>
    </row>
    <row r="208" spans="4:4" ht="15.75" customHeight="1" x14ac:dyDescent="0.3">
      <c r="D208" s="427"/>
    </row>
    <row r="209" spans="4:4" ht="15.75" customHeight="1" x14ac:dyDescent="0.3">
      <c r="D209" s="427"/>
    </row>
    <row r="210" spans="4:4" ht="15.75" customHeight="1" x14ac:dyDescent="0.3">
      <c r="D210" s="427"/>
    </row>
    <row r="211" spans="4:4" ht="15.75" customHeight="1" x14ac:dyDescent="0.3">
      <c r="D211" s="427"/>
    </row>
    <row r="212" spans="4:4" ht="15.75" customHeight="1" x14ac:dyDescent="0.3">
      <c r="D212" s="427"/>
    </row>
    <row r="213" spans="4:4" ht="15.75" customHeight="1" x14ac:dyDescent="0.3">
      <c r="D213" s="427"/>
    </row>
    <row r="214" spans="4:4" ht="15.75" customHeight="1" x14ac:dyDescent="0.3">
      <c r="D214" s="427"/>
    </row>
    <row r="215" spans="4:4" ht="15.75" customHeight="1" x14ac:dyDescent="0.3">
      <c r="D215" s="427"/>
    </row>
    <row r="216" spans="4:4" ht="15.75" customHeight="1" x14ac:dyDescent="0.3">
      <c r="D216" s="427"/>
    </row>
    <row r="217" spans="4:4" ht="15.75" customHeight="1" x14ac:dyDescent="0.3">
      <c r="D217" s="427"/>
    </row>
    <row r="218" spans="4:4" ht="15.75" customHeight="1" x14ac:dyDescent="0.3">
      <c r="D218" s="427"/>
    </row>
    <row r="219" spans="4:4" ht="15.75" customHeight="1" x14ac:dyDescent="0.3">
      <c r="D219" s="427"/>
    </row>
    <row r="220" spans="4:4" ht="15.75" customHeight="1" x14ac:dyDescent="0.3">
      <c r="D220" s="427"/>
    </row>
    <row r="221" spans="4:4" ht="15.75" customHeight="1" x14ac:dyDescent="0.3">
      <c r="D221" s="427"/>
    </row>
    <row r="222" spans="4:4" ht="15.75" customHeight="1" x14ac:dyDescent="0.3">
      <c r="D222" s="427"/>
    </row>
    <row r="223" spans="4:4" ht="15.75" customHeight="1" x14ac:dyDescent="0.3">
      <c r="D223" s="427"/>
    </row>
    <row r="224" spans="4:4" ht="15.75" customHeight="1" x14ac:dyDescent="0.3">
      <c r="D224" s="427"/>
    </row>
    <row r="225" spans="4:4" ht="15.75" customHeight="1" x14ac:dyDescent="0.3">
      <c r="D225" s="427"/>
    </row>
    <row r="226" spans="4:4" ht="15.75" customHeight="1" x14ac:dyDescent="0.3">
      <c r="D226" s="427"/>
    </row>
    <row r="227" spans="4:4" ht="15.75" customHeight="1" x14ac:dyDescent="0.3">
      <c r="D227" s="427"/>
    </row>
    <row r="228" spans="4:4" ht="15.75" customHeight="1" x14ac:dyDescent="0.3">
      <c r="D228" s="427"/>
    </row>
    <row r="229" spans="4:4" ht="15.75" customHeight="1" x14ac:dyDescent="0.3">
      <c r="D229" s="427"/>
    </row>
    <row r="230" spans="4:4" ht="15.75" customHeight="1" x14ac:dyDescent="0.3">
      <c r="D230" s="427"/>
    </row>
    <row r="231" spans="4:4" ht="15.75" customHeight="1" x14ac:dyDescent="0.3">
      <c r="D231" s="427"/>
    </row>
    <row r="232" spans="4:4" ht="15.75" customHeight="1" x14ac:dyDescent="0.3">
      <c r="D232" s="427"/>
    </row>
    <row r="233" spans="4:4" ht="15.75" customHeight="1" x14ac:dyDescent="0.3">
      <c r="D233" s="427"/>
    </row>
    <row r="234" spans="4:4" ht="15.75" customHeight="1" x14ac:dyDescent="0.3">
      <c r="D234" s="427"/>
    </row>
    <row r="235" spans="4:4" ht="15.75" customHeight="1" x14ac:dyDescent="0.3">
      <c r="D235" s="427"/>
    </row>
    <row r="236" spans="4:4" ht="15.75" customHeight="1" x14ac:dyDescent="0.3">
      <c r="D236" s="427"/>
    </row>
    <row r="237" spans="4:4" ht="15.75" customHeight="1" x14ac:dyDescent="0.3">
      <c r="D237" s="427"/>
    </row>
    <row r="238" spans="4:4" ht="15.75" customHeight="1" x14ac:dyDescent="0.3">
      <c r="D238" s="427"/>
    </row>
    <row r="239" spans="4:4" ht="15.75" customHeight="1" x14ac:dyDescent="0.3">
      <c r="D239" s="427"/>
    </row>
    <row r="240" spans="4:4" ht="15.75" customHeight="1" x14ac:dyDescent="0.3">
      <c r="D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7FF85-7F5D-4D21-8BA9-A09346770127}">
  <dimension ref="A1:S888"/>
  <sheetViews>
    <sheetView zoomScale="63" workbookViewId="0">
      <selection activeCell="U30" sqref="U30"/>
    </sheetView>
  </sheetViews>
  <sheetFormatPr defaultColWidth="12.44140625" defaultRowHeight="15" customHeight="1" x14ac:dyDescent="0.3"/>
  <cols>
    <col min="1" max="1" width="2.6640625" style="428" customWidth="1"/>
    <col min="2" max="2" width="5.109375" style="428" customWidth="1"/>
    <col min="3" max="3" width="31.8867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18" width="11.5546875" style="428" hidden="1" customWidth="1"/>
    <col min="19" max="19" width="11.5546875" style="428" customWidth="1"/>
    <col min="20" max="23" width="11.6640625" style="428" customWidth="1"/>
    <col min="24" max="16384" width="12.44140625" style="428"/>
  </cols>
  <sheetData>
    <row r="1" spans="1:19" ht="23.25" customHeight="1" x14ac:dyDescent="0.35">
      <c r="A1" s="513"/>
      <c r="B1" s="514" t="s">
        <v>2338</v>
      </c>
    </row>
    <row r="2" spans="1:19" ht="13.5" customHeight="1" x14ac:dyDescent="0.3">
      <c r="A2" s="513"/>
      <c r="B2" s="515" t="s">
        <v>340</v>
      </c>
      <c r="C2" s="430"/>
      <c r="D2" s="430"/>
      <c r="E2" s="430"/>
      <c r="F2" s="430"/>
      <c r="G2" s="430"/>
      <c r="H2" s="430"/>
      <c r="I2" s="430"/>
      <c r="J2" s="430"/>
      <c r="K2" s="430"/>
      <c r="L2" s="430"/>
      <c r="M2" s="430"/>
      <c r="N2" s="430"/>
      <c r="O2" s="430"/>
      <c r="P2" s="430"/>
      <c r="Q2" s="430"/>
      <c r="R2" s="430"/>
      <c r="S2" s="430"/>
    </row>
    <row r="3" spans="1:19" ht="15.75" customHeight="1" x14ac:dyDescent="0.3">
      <c r="B3" s="516"/>
    </row>
    <row r="4" spans="1:19" ht="19.2" customHeight="1" x14ac:dyDescent="0.3">
      <c r="B4" s="517" t="s">
        <v>899</v>
      </c>
      <c r="C4" s="518"/>
      <c r="D4" s="518"/>
    </row>
    <row r="5" spans="1:19" ht="19.2" customHeight="1" x14ac:dyDescent="0.3">
      <c r="B5" s="517" t="s">
        <v>341</v>
      </c>
      <c r="C5" s="518"/>
      <c r="D5" s="518"/>
    </row>
    <row r="6" spans="1:19" ht="15.75" customHeight="1" x14ac:dyDescent="0.3">
      <c r="B6" s="516"/>
    </row>
    <row r="7" spans="1:19" ht="15.75" customHeight="1" x14ac:dyDescent="0.3"/>
    <row r="8" spans="1:19" ht="21" customHeight="1" x14ac:dyDescent="0.3">
      <c r="B8" s="519" t="s">
        <v>409</v>
      </c>
    </row>
    <row r="9" spans="1:19" ht="9" customHeight="1" x14ac:dyDescent="0.3">
      <c r="B9" s="519"/>
    </row>
    <row r="10" spans="1:19" ht="21" customHeight="1" x14ac:dyDescent="0.3">
      <c r="B10" s="517" t="s">
        <v>410</v>
      </c>
      <c r="C10" s="518"/>
      <c r="D10" s="518"/>
    </row>
    <row r="11" spans="1:19" ht="12" customHeight="1" x14ac:dyDescent="0.3"/>
    <row r="12" spans="1:19" ht="15.75" customHeight="1" x14ac:dyDescent="0.3">
      <c r="B12" s="521" t="s">
        <v>301</v>
      </c>
      <c r="C12" s="522" t="s">
        <v>343</v>
      </c>
      <c r="D12" s="523" t="s">
        <v>344</v>
      </c>
      <c r="E12" s="523" t="s">
        <v>345</v>
      </c>
      <c r="F12" s="523" t="s">
        <v>346</v>
      </c>
      <c r="G12" s="524" t="s">
        <v>347</v>
      </c>
      <c r="H12" s="525">
        <v>2025</v>
      </c>
      <c r="I12" s="525">
        <v>2024</v>
      </c>
      <c r="J12" s="525">
        <v>2023</v>
      </c>
      <c r="K12" s="525">
        <v>2022</v>
      </c>
      <c r="L12" s="525">
        <v>2021</v>
      </c>
      <c r="M12" s="525">
        <v>2020</v>
      </c>
      <c r="N12" s="525">
        <v>2019</v>
      </c>
      <c r="O12" s="526">
        <v>2018</v>
      </c>
      <c r="P12" s="526">
        <v>2017</v>
      </c>
      <c r="Q12" s="526">
        <v>2016</v>
      </c>
      <c r="R12" s="526">
        <v>2015</v>
      </c>
      <c r="S12" s="527" t="s">
        <v>332</v>
      </c>
    </row>
    <row r="13" spans="1:19" ht="24" customHeight="1" x14ac:dyDescent="0.3">
      <c r="B13" s="529">
        <v>1</v>
      </c>
      <c r="C13" s="530" t="s">
        <v>1673</v>
      </c>
      <c r="D13" s="531" t="s">
        <v>1674</v>
      </c>
      <c r="E13" s="532" t="s">
        <v>383</v>
      </c>
      <c r="F13" s="531" t="s">
        <v>1675</v>
      </c>
      <c r="G13" s="534">
        <v>2019</v>
      </c>
      <c r="H13" s="635"/>
      <c r="I13" s="536">
        <f>874.28-129.35</f>
        <v>744.93</v>
      </c>
      <c r="J13" s="537">
        <f>845.72-75.46</f>
        <v>770.26</v>
      </c>
      <c r="K13" s="537">
        <f>800.69-70.97</f>
        <v>729.72</v>
      </c>
      <c r="L13" s="537">
        <f>829.87-73.37</f>
        <v>756.5</v>
      </c>
      <c r="M13" s="537">
        <f>693.15-65.48</f>
        <v>627.66999999999996</v>
      </c>
      <c r="N13" s="535"/>
      <c r="O13" s="535"/>
      <c r="P13" s="535"/>
      <c r="Q13" s="535"/>
      <c r="R13" s="535"/>
      <c r="S13" s="535"/>
    </row>
    <row r="14" spans="1:19" ht="24" customHeight="1" x14ac:dyDescent="0.3">
      <c r="B14" s="529"/>
      <c r="C14" s="453"/>
      <c r="D14" s="453"/>
      <c r="E14" s="543"/>
      <c r="F14" s="453"/>
      <c r="G14" s="496"/>
      <c r="H14" s="638"/>
      <c r="I14" s="544"/>
      <c r="J14" s="545"/>
      <c r="K14" s="544"/>
      <c r="L14" s="544"/>
      <c r="M14" s="544"/>
      <c r="N14" s="544"/>
      <c r="O14" s="544"/>
      <c r="P14" s="544"/>
      <c r="Q14" s="544"/>
      <c r="R14" s="544"/>
      <c r="S14" s="544"/>
    </row>
    <row r="15" spans="1:19" ht="24" customHeight="1" x14ac:dyDescent="0.3">
      <c r="B15" s="529"/>
      <c r="C15" s="531"/>
      <c r="D15" s="531"/>
      <c r="E15" s="532"/>
      <c r="F15" s="531"/>
      <c r="G15" s="639"/>
      <c r="H15" s="640"/>
      <c r="I15" s="640"/>
      <c r="J15" s="550"/>
      <c r="K15" s="550"/>
      <c r="L15" s="550"/>
      <c r="M15" s="550"/>
      <c r="N15" s="550"/>
      <c r="O15" s="550"/>
      <c r="P15" s="550"/>
      <c r="Q15" s="550"/>
      <c r="R15" s="550"/>
      <c r="S15" s="550"/>
    </row>
    <row r="16" spans="1:19" ht="24" customHeight="1" x14ac:dyDescent="0.3">
      <c r="B16" s="529"/>
      <c r="C16" s="453"/>
      <c r="D16" s="453"/>
      <c r="E16" s="543"/>
      <c r="F16" s="453"/>
      <c r="G16" s="479"/>
      <c r="H16" s="638"/>
      <c r="I16" s="638"/>
      <c r="J16" s="544"/>
      <c r="K16" s="544"/>
      <c r="L16" s="544"/>
      <c r="M16" s="544"/>
      <c r="N16" s="544"/>
      <c r="O16" s="544"/>
      <c r="P16" s="544"/>
      <c r="Q16" s="544"/>
      <c r="R16" s="544"/>
      <c r="S16" s="544"/>
    </row>
    <row r="17" spans="2:19" ht="24" customHeight="1" x14ac:dyDescent="0.3">
      <c r="B17" s="529"/>
      <c r="C17" s="531"/>
      <c r="D17" s="531"/>
      <c r="E17" s="532"/>
      <c r="F17" s="531"/>
      <c r="G17" s="641"/>
      <c r="H17" s="640"/>
      <c r="I17" s="640"/>
      <c r="J17" s="642"/>
      <c r="K17" s="642"/>
      <c r="L17" s="642"/>
      <c r="M17" s="642"/>
      <c r="N17" s="642"/>
      <c r="O17" s="642"/>
      <c r="P17" s="642"/>
      <c r="Q17" s="642"/>
      <c r="R17" s="642"/>
      <c r="S17" s="550"/>
    </row>
    <row r="18" spans="2:19" ht="24" customHeight="1" x14ac:dyDescent="0.3">
      <c r="B18" s="552"/>
      <c r="C18" s="462"/>
      <c r="D18" s="462"/>
      <c r="E18" s="553"/>
      <c r="F18" s="462"/>
      <c r="G18" s="645"/>
      <c r="H18" s="646"/>
      <c r="I18" s="646"/>
      <c r="J18" s="556"/>
      <c r="K18" s="556"/>
      <c r="L18" s="556"/>
      <c r="M18" s="556"/>
      <c r="N18" s="556"/>
      <c r="O18" s="556"/>
      <c r="P18" s="556"/>
      <c r="Q18" s="556"/>
      <c r="R18" s="556"/>
      <c r="S18" s="556"/>
    </row>
    <row r="19" spans="2:19" ht="15.75" customHeight="1" x14ac:dyDescent="0.3"/>
    <row r="20" spans="2:19" ht="15.75" customHeight="1" x14ac:dyDescent="0.3">
      <c r="B20" s="560" t="s">
        <v>355</v>
      </c>
      <c r="C20" s="561" t="s">
        <v>356</v>
      </c>
    </row>
    <row r="21" spans="2:19" ht="15.75" customHeight="1" x14ac:dyDescent="0.3"/>
    <row r="22" spans="2:19" ht="15.75" customHeight="1" x14ac:dyDescent="0.3">
      <c r="B22" s="4383" t="s">
        <v>357</v>
      </c>
      <c r="C22" s="4384"/>
    </row>
    <row r="23" spans="2:19" ht="15.75" customHeight="1" x14ac:dyDescent="0.3">
      <c r="B23" s="562" t="s">
        <v>301</v>
      </c>
      <c r="C23" s="428" t="s">
        <v>1676</v>
      </c>
    </row>
    <row r="24" spans="2:19" ht="15.75" customHeight="1" x14ac:dyDescent="0.3">
      <c r="B24" s="562" t="s">
        <v>301</v>
      </c>
    </row>
    <row r="25" spans="2:19" ht="15.75" customHeight="1" x14ac:dyDescent="0.3"/>
    <row r="26" spans="2:19" ht="15.75" customHeight="1" x14ac:dyDescent="0.3"/>
    <row r="27" spans="2:19" ht="15.75" customHeight="1" x14ac:dyDescent="0.3"/>
    <row r="28" spans="2:19" ht="15.75" customHeight="1" x14ac:dyDescent="0.3"/>
    <row r="29" spans="2:19" ht="15.75" customHeight="1" x14ac:dyDescent="0.3"/>
    <row r="30" spans="2:19" ht="15.75" customHeight="1" x14ac:dyDescent="0.3"/>
    <row r="31" spans="2:19" ht="15.75" customHeight="1" x14ac:dyDescent="0.3"/>
    <row r="32" spans="2:19"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sheetData>
  <mergeCells count="1">
    <mergeCell ref="B22:C22"/>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91C2C-071D-4E24-AA22-444F373EC0F8}">
  <dimension ref="A1:Y994"/>
  <sheetViews>
    <sheetView showGridLines="0" topLeftCell="B22" zoomScale="89" workbookViewId="0">
      <selection activeCell="C38" sqref="C38"/>
    </sheetView>
  </sheetViews>
  <sheetFormatPr defaultColWidth="12.44140625" defaultRowHeight="15" customHeight="1" x14ac:dyDescent="0.3"/>
  <cols>
    <col min="1" max="1" width="2.6640625" style="428" customWidth="1"/>
    <col min="2" max="2" width="35.109375" style="428" customWidth="1"/>
    <col min="3" max="9" width="18.44140625" style="428" customWidth="1"/>
    <col min="10" max="14" width="16.44140625" style="428" hidden="1" customWidth="1"/>
    <col min="15" max="15" width="1.5546875" style="428" customWidth="1"/>
    <col min="16" max="16" width="13.44140625" style="428" customWidth="1"/>
    <col min="17" max="17" width="7.33203125" style="428" customWidth="1"/>
    <col min="18" max="18" width="34" style="428" hidden="1" customWidth="1"/>
    <col min="19" max="22" width="15.21875" style="428" hidden="1" customWidth="1"/>
    <col min="23" max="23" width="1.5546875" style="428" hidden="1" customWidth="1"/>
    <col min="24" max="24" width="13.44140625" style="428" hidden="1" customWidth="1"/>
    <col min="25" max="25" width="11.6640625" style="428" customWidth="1"/>
    <col min="26" max="16384" width="12.44140625" style="428"/>
  </cols>
  <sheetData>
    <row r="1" spans="1:25" ht="21.75" customHeight="1" x14ac:dyDescent="0.35">
      <c r="A1" s="424"/>
      <c r="B1" s="425" t="s">
        <v>549</v>
      </c>
      <c r="C1" s="426"/>
      <c r="O1" s="427"/>
      <c r="Q1" s="427"/>
      <c r="W1" s="427"/>
    </row>
    <row r="2" spans="1:25" ht="15.75" customHeight="1" x14ac:dyDescent="0.3">
      <c r="A2" s="424"/>
      <c r="B2" s="429" t="s">
        <v>299</v>
      </c>
      <c r="C2" s="430"/>
      <c r="D2" s="430"/>
      <c r="E2" s="430"/>
      <c r="F2" s="430"/>
      <c r="G2" s="430"/>
      <c r="H2" s="430"/>
      <c r="I2" s="430"/>
      <c r="J2" s="430"/>
      <c r="K2" s="430"/>
      <c r="L2" s="430"/>
      <c r="M2" s="430"/>
      <c r="N2" s="430"/>
      <c r="O2" s="430"/>
      <c r="P2" s="430"/>
      <c r="Q2" s="430"/>
      <c r="R2" s="430"/>
      <c r="S2" s="430"/>
      <c r="T2" s="430"/>
      <c r="U2" s="430"/>
      <c r="V2" s="430"/>
      <c r="W2" s="430"/>
      <c r="X2" s="430"/>
    </row>
    <row r="3" spans="1:25" ht="9.75" customHeight="1" x14ac:dyDescent="0.3">
      <c r="A3" s="427"/>
      <c r="B3" s="431"/>
      <c r="O3" s="427"/>
      <c r="Q3" s="427"/>
      <c r="W3" s="427"/>
    </row>
    <row r="4" spans="1:25" ht="6" customHeight="1" x14ac:dyDescent="0.3">
      <c r="B4" s="427"/>
      <c r="O4" s="427"/>
      <c r="Q4" s="427"/>
      <c r="W4" s="427"/>
    </row>
    <row r="5" spans="1:25" ht="6" customHeight="1" x14ac:dyDescent="0.3">
      <c r="A5" s="431"/>
      <c r="O5" s="427"/>
      <c r="Q5" s="427"/>
      <c r="W5" s="427"/>
    </row>
    <row r="6" spans="1:25" ht="15.75" customHeight="1" x14ac:dyDescent="0.3">
      <c r="C6" s="4091">
        <v>1000000</v>
      </c>
      <c r="O6" s="427"/>
      <c r="P6" s="427"/>
      <c r="Q6" s="427"/>
      <c r="W6" s="427"/>
    </row>
    <row r="7" spans="1:25" ht="40.5" customHeight="1" x14ac:dyDescent="0.3">
      <c r="A7" s="432"/>
      <c r="B7" s="433">
        <v>2024</v>
      </c>
      <c r="C7" s="4385" t="s">
        <v>22</v>
      </c>
      <c r="D7" s="4386"/>
      <c r="E7" s="4386"/>
      <c r="F7" s="4386"/>
      <c r="G7" s="4386"/>
      <c r="H7" s="4386"/>
      <c r="I7" s="4386"/>
      <c r="J7" s="4386"/>
      <c r="K7" s="4386"/>
      <c r="L7" s="4386"/>
      <c r="M7" s="4386"/>
      <c r="N7" s="4386"/>
      <c r="O7" s="1980"/>
      <c r="P7" s="435" t="s">
        <v>300</v>
      </c>
      <c r="Q7" s="432"/>
      <c r="R7" s="433">
        <v>2020</v>
      </c>
      <c r="S7" s="4385" t="s">
        <v>23</v>
      </c>
      <c r="T7" s="4386"/>
      <c r="U7" s="4386"/>
      <c r="V7" s="4386"/>
      <c r="W7" s="609"/>
      <c r="X7" s="435" t="s">
        <v>300</v>
      </c>
      <c r="Y7" s="432"/>
    </row>
    <row r="8" spans="1:25" ht="18" customHeight="1" x14ac:dyDescent="0.35">
      <c r="B8" s="436" t="s">
        <v>301</v>
      </c>
      <c r="C8" s="648">
        <v>1</v>
      </c>
      <c r="D8" s="572">
        <v>2</v>
      </c>
      <c r="E8" s="649">
        <v>3</v>
      </c>
      <c r="F8" s="648">
        <v>4</v>
      </c>
      <c r="G8" s="572">
        <v>5</v>
      </c>
      <c r="H8" s="648">
        <v>7</v>
      </c>
      <c r="I8" s="437">
        <v>9</v>
      </c>
      <c r="J8" s="1120">
        <v>11</v>
      </c>
      <c r="K8" s="649">
        <v>12</v>
      </c>
      <c r="L8" s="648">
        <v>13</v>
      </c>
      <c r="M8" s="572">
        <v>14</v>
      </c>
      <c r="N8" s="649">
        <v>15</v>
      </c>
      <c r="O8" s="427"/>
      <c r="P8" s="438"/>
      <c r="Q8" s="427"/>
      <c r="R8" s="436" t="s">
        <v>301</v>
      </c>
      <c r="S8" s="648">
        <v>1</v>
      </c>
      <c r="T8" s="572">
        <v>2</v>
      </c>
      <c r="U8" s="649">
        <v>3</v>
      </c>
      <c r="V8" s="572">
        <v>4</v>
      </c>
      <c r="W8" s="610"/>
      <c r="X8" s="438"/>
    </row>
    <row r="9" spans="1:25" ht="46.5" customHeight="1" x14ac:dyDescent="0.3">
      <c r="B9" s="439" t="s">
        <v>302</v>
      </c>
      <c r="C9" s="573" t="s">
        <v>2315</v>
      </c>
      <c r="D9" s="573" t="s">
        <v>2315</v>
      </c>
      <c r="E9" s="573" t="s">
        <v>2315</v>
      </c>
      <c r="F9" s="573" t="s">
        <v>2315</v>
      </c>
      <c r="G9" s="573" t="s">
        <v>2315</v>
      </c>
      <c r="H9" s="573" t="s">
        <v>2315</v>
      </c>
      <c r="I9" s="573" t="s">
        <v>2315</v>
      </c>
      <c r="J9" s="573" t="s">
        <v>2315</v>
      </c>
      <c r="K9" s="573" t="s">
        <v>2315</v>
      </c>
      <c r="L9" s="573" t="s">
        <v>2315</v>
      </c>
      <c r="M9" s="573" t="s">
        <v>2315</v>
      </c>
      <c r="N9" s="573" t="s">
        <v>2315</v>
      </c>
      <c r="O9" s="574"/>
      <c r="P9" s="442"/>
      <c r="Q9" s="443"/>
      <c r="R9" s="439" t="s">
        <v>302</v>
      </c>
      <c r="S9" s="573" t="s">
        <v>2356</v>
      </c>
      <c r="T9" s="573" t="s">
        <v>2356</v>
      </c>
      <c r="U9" s="573" t="s">
        <v>2356</v>
      </c>
      <c r="V9" s="573" t="s">
        <v>2356</v>
      </c>
      <c r="W9" s="611"/>
      <c r="X9" s="442"/>
    </row>
    <row r="10" spans="1:25" ht="57.6" customHeight="1" x14ac:dyDescent="0.3">
      <c r="B10" s="444" t="s">
        <v>304</v>
      </c>
      <c r="C10" s="445" t="str">
        <f>'CF-1301|GDS'!F10</f>
        <v>Building 1</v>
      </c>
      <c r="D10" s="445" t="s">
        <v>2318</v>
      </c>
      <c r="E10" s="445" t="s">
        <v>2319</v>
      </c>
      <c r="F10" s="445" t="s">
        <v>2320</v>
      </c>
      <c r="G10" s="445" t="s">
        <v>2321</v>
      </c>
      <c r="H10" s="445" t="s">
        <v>2322</v>
      </c>
      <c r="I10" s="445" t="s">
        <v>2323</v>
      </c>
      <c r="J10" s="445"/>
      <c r="K10" s="445"/>
      <c r="L10" s="445"/>
      <c r="M10" s="445"/>
      <c r="N10" s="445" t="s">
        <v>2357</v>
      </c>
      <c r="O10" s="574"/>
      <c r="P10" s="446"/>
      <c r="Q10" s="443"/>
      <c r="R10" s="444" t="s">
        <v>304</v>
      </c>
      <c r="S10" s="445" t="s">
        <v>2357</v>
      </c>
      <c r="T10" s="445" t="s">
        <v>2357</v>
      </c>
      <c r="U10" s="445" t="s">
        <v>2357</v>
      </c>
      <c r="V10" s="445" t="s">
        <v>2357</v>
      </c>
      <c r="W10" s="612"/>
      <c r="X10" s="446"/>
    </row>
    <row r="11" spans="1:25" ht="18.75" customHeight="1" x14ac:dyDescent="0.3">
      <c r="A11" s="447"/>
      <c r="B11" s="448" t="s">
        <v>306</v>
      </c>
      <c r="C11" s="575">
        <f>(C17*C18)+(C22*C23)</f>
        <v>331.74509867521004</v>
      </c>
      <c r="D11" s="575">
        <f>(D17*D18)+(D22*D23)</f>
        <v>1285.3711385670001</v>
      </c>
      <c r="E11" s="575">
        <f>(E17*E18)+(E22*E23)</f>
        <v>97.635985492700016</v>
      </c>
      <c r="F11" s="575">
        <f t="shared" ref="F11:N11" si="0">(F17*F18)+(F22*F23)</f>
        <v>397.17289438740005</v>
      </c>
      <c r="G11" s="575">
        <f t="shared" si="0"/>
        <v>225.20484281100002</v>
      </c>
      <c r="H11" s="575">
        <f t="shared" si="0"/>
        <v>188.26139390654546</v>
      </c>
      <c r="I11" s="575">
        <f t="shared" si="0"/>
        <v>521.10251980551868</v>
      </c>
      <c r="J11" s="575">
        <f t="shared" si="0"/>
        <v>0</v>
      </c>
      <c r="K11" s="575">
        <f t="shared" si="0"/>
        <v>0</v>
      </c>
      <c r="L11" s="575">
        <f t="shared" si="0"/>
        <v>0</v>
      </c>
      <c r="M11" s="575">
        <f t="shared" si="0"/>
        <v>0</v>
      </c>
      <c r="N11" s="575">
        <f t="shared" si="0"/>
        <v>0</v>
      </c>
      <c r="O11" s="576"/>
      <c r="P11" s="451">
        <f>SUM(C11:I11)</f>
        <v>3046.4938736453746</v>
      </c>
      <c r="Q11" s="452"/>
      <c r="R11" s="448" t="s">
        <v>306</v>
      </c>
      <c r="S11" s="449">
        <f>(S17*S18)</f>
        <v>0</v>
      </c>
      <c r="T11" s="1089">
        <f>(T17*T18)</f>
        <v>0</v>
      </c>
      <c r="U11" s="1313">
        <f>(U17*U18)</f>
        <v>0</v>
      </c>
      <c r="V11" s="651">
        <f>(V17*V18)</f>
        <v>0</v>
      </c>
      <c r="W11" s="614"/>
      <c r="X11" s="451">
        <f t="shared" ref="X11:X12" si="1">SUM(S11:V11)</f>
        <v>0</v>
      </c>
      <c r="Y11" s="447"/>
    </row>
    <row r="12" spans="1:25" ht="18.75" customHeight="1" x14ac:dyDescent="0.3">
      <c r="A12" s="447"/>
      <c r="B12" s="453" t="s">
        <v>307</v>
      </c>
      <c r="C12" s="577">
        <f>(C27*C28)+(C32*C33)</f>
        <v>54.165821152619998</v>
      </c>
      <c r="D12" s="652">
        <f t="shared" ref="D12:N12" si="2">(D27*D28)+(D32*D33)</f>
        <v>424.44297073563001</v>
      </c>
      <c r="E12" s="653">
        <f t="shared" si="2"/>
        <v>74.445678120090022</v>
      </c>
      <c r="F12" s="653">
        <f t="shared" si="2"/>
        <v>211.03560248238003</v>
      </c>
      <c r="G12" s="653">
        <f t="shared" si="2"/>
        <v>134.48864562260999</v>
      </c>
      <c r="H12" s="653">
        <f t="shared" si="2"/>
        <v>131.52243275991432</v>
      </c>
      <c r="I12" s="653">
        <f t="shared" si="2"/>
        <v>295.84481728823533</v>
      </c>
      <c r="J12" s="653">
        <f t="shared" si="2"/>
        <v>0</v>
      </c>
      <c r="K12" s="653">
        <f t="shared" si="2"/>
        <v>0</v>
      </c>
      <c r="L12" s="653">
        <f t="shared" si="2"/>
        <v>0</v>
      </c>
      <c r="M12" s="653">
        <f t="shared" si="2"/>
        <v>0</v>
      </c>
      <c r="N12" s="454">
        <f t="shared" si="2"/>
        <v>0</v>
      </c>
      <c r="O12" s="2946"/>
      <c r="P12" s="456">
        <f>SUM(C12:I12)</f>
        <v>1325.9459681614799</v>
      </c>
      <c r="Q12" s="457"/>
      <c r="R12" s="453" t="s">
        <v>307</v>
      </c>
      <c r="S12" s="577">
        <f>(S27*S28)</f>
        <v>0</v>
      </c>
      <c r="T12" s="577">
        <f t="shared" ref="T12:V12" si="3">(T27*T28)</f>
        <v>0</v>
      </c>
      <c r="U12" s="577">
        <f t="shared" si="3"/>
        <v>0</v>
      </c>
      <c r="V12" s="577">
        <f t="shared" si="3"/>
        <v>0</v>
      </c>
      <c r="W12" s="614"/>
      <c r="X12" s="456">
        <f t="shared" si="1"/>
        <v>0</v>
      </c>
      <c r="Y12" s="447"/>
    </row>
    <row r="13" spans="1:25" ht="18.75" customHeight="1" x14ac:dyDescent="0.3">
      <c r="A13" s="447"/>
      <c r="B13" s="448" t="s">
        <v>308</v>
      </c>
      <c r="C13" s="654" t="s">
        <v>8</v>
      </c>
      <c r="D13" s="578" t="s">
        <v>8</v>
      </c>
      <c r="E13" s="458" t="s">
        <v>8</v>
      </c>
      <c r="F13" s="3420" t="s">
        <v>8</v>
      </c>
      <c r="G13" s="3420" t="s">
        <v>8</v>
      </c>
      <c r="H13" s="3420" t="s">
        <v>8</v>
      </c>
      <c r="I13" s="3420" t="s">
        <v>8</v>
      </c>
      <c r="J13" s="3420" t="s">
        <v>8</v>
      </c>
      <c r="K13" s="3420" t="s">
        <v>8</v>
      </c>
      <c r="L13" s="3420" t="s">
        <v>8</v>
      </c>
      <c r="M13" s="3420" t="s">
        <v>8</v>
      </c>
      <c r="N13" s="1130" t="s">
        <v>8</v>
      </c>
      <c r="O13" s="459"/>
      <c r="P13" s="460"/>
      <c r="Q13" s="461"/>
      <c r="R13" s="448" t="s">
        <v>308</v>
      </c>
      <c r="S13" s="654" t="s">
        <v>8</v>
      </c>
      <c r="T13" s="578" t="s">
        <v>8</v>
      </c>
      <c r="U13" s="654" t="s">
        <v>8</v>
      </c>
      <c r="V13" s="578" t="s">
        <v>8</v>
      </c>
      <c r="W13" s="615"/>
      <c r="X13" s="460"/>
      <c r="Y13" s="447"/>
    </row>
    <row r="14" spans="1:25" ht="18.75" customHeight="1" x14ac:dyDescent="0.3">
      <c r="A14" s="447"/>
      <c r="B14" s="462" t="s">
        <v>309</v>
      </c>
      <c r="C14" s="655">
        <f t="shared" ref="C14:N14" si="4">C11-C12</f>
        <v>277.57927752259002</v>
      </c>
      <c r="D14" s="579">
        <f t="shared" si="4"/>
        <v>860.92816783137005</v>
      </c>
      <c r="E14" s="463">
        <f t="shared" si="4"/>
        <v>23.190307372609993</v>
      </c>
      <c r="F14" s="4092">
        <f t="shared" si="4"/>
        <v>186.13729190502002</v>
      </c>
      <c r="G14" s="4092">
        <f t="shared" si="4"/>
        <v>90.716197188390026</v>
      </c>
      <c r="H14" s="4092">
        <f t="shared" si="4"/>
        <v>56.738961146631141</v>
      </c>
      <c r="I14" s="4092">
        <f t="shared" si="4"/>
        <v>225.25770251728335</v>
      </c>
      <c r="J14" s="4092">
        <f t="shared" si="4"/>
        <v>0</v>
      </c>
      <c r="K14" s="4092">
        <f t="shared" si="4"/>
        <v>0</v>
      </c>
      <c r="L14" s="4092">
        <f t="shared" si="4"/>
        <v>0</v>
      </c>
      <c r="M14" s="4092">
        <f t="shared" si="4"/>
        <v>0</v>
      </c>
      <c r="N14" s="1132">
        <f t="shared" si="4"/>
        <v>0</v>
      </c>
      <c r="O14" s="455"/>
      <c r="P14" s="464">
        <f>SUM(C14:I14)</f>
        <v>1720.5479054838945</v>
      </c>
      <c r="Q14" s="457"/>
      <c r="R14" s="462" t="s">
        <v>309</v>
      </c>
      <c r="S14" s="655">
        <f t="shared" ref="S14:V14" si="5">S11-S12</f>
        <v>0</v>
      </c>
      <c r="T14" s="579">
        <f t="shared" si="5"/>
        <v>0</v>
      </c>
      <c r="U14" s="655">
        <f t="shared" si="5"/>
        <v>0</v>
      </c>
      <c r="V14" s="579">
        <f t="shared" si="5"/>
        <v>0</v>
      </c>
      <c r="W14" s="614"/>
      <c r="X14" s="464">
        <f>SUM(S14:V14)</f>
        <v>0</v>
      </c>
      <c r="Y14" s="447"/>
    </row>
    <row r="15" spans="1:25" ht="19.5" customHeight="1" x14ac:dyDescent="0.4">
      <c r="B15" s="465" t="s">
        <v>310</v>
      </c>
      <c r="C15" s="656"/>
      <c r="D15" s="657"/>
      <c r="E15" s="658"/>
      <c r="F15" s="580"/>
      <c r="G15" s="580"/>
      <c r="H15" s="580"/>
      <c r="I15" s="3427"/>
      <c r="J15" s="580"/>
      <c r="K15" s="580"/>
      <c r="L15" s="580"/>
      <c r="M15" s="580"/>
      <c r="N15" s="580"/>
      <c r="O15" s="467"/>
      <c r="P15" s="468"/>
      <c r="Q15" s="467"/>
      <c r="R15" s="616" t="s">
        <v>395</v>
      </c>
      <c r="S15" s="659"/>
      <c r="T15" s="617"/>
      <c r="U15" s="659"/>
      <c r="V15" s="617"/>
      <c r="W15" s="618"/>
      <c r="X15" s="468"/>
      <c r="Y15" s="427"/>
    </row>
    <row r="16" spans="1:25" ht="30" customHeight="1" x14ac:dyDescent="0.3">
      <c r="A16" s="447"/>
      <c r="B16" s="469" t="s">
        <v>311</v>
      </c>
      <c r="C16" s="601" t="s">
        <v>641</v>
      </c>
      <c r="D16" s="601" t="s">
        <v>641</v>
      </c>
      <c r="E16" s="601" t="s">
        <v>641</v>
      </c>
      <c r="F16" s="601" t="s">
        <v>641</v>
      </c>
      <c r="G16" s="601" t="s">
        <v>641</v>
      </c>
      <c r="H16" s="601" t="s">
        <v>641</v>
      </c>
      <c r="I16" s="601" t="s">
        <v>641</v>
      </c>
      <c r="J16" s="601" t="s">
        <v>641</v>
      </c>
      <c r="K16" s="601" t="s">
        <v>641</v>
      </c>
      <c r="L16" s="601" t="s">
        <v>641</v>
      </c>
      <c r="M16" s="601" t="s">
        <v>641</v>
      </c>
      <c r="N16" s="601" t="s">
        <v>641</v>
      </c>
      <c r="O16" s="581"/>
      <c r="P16" s="471"/>
      <c r="Q16" s="457"/>
      <c r="R16" s="469" t="s">
        <v>311</v>
      </c>
      <c r="S16" s="601" t="s">
        <v>2358</v>
      </c>
      <c r="T16" s="601" t="s">
        <v>2358</v>
      </c>
      <c r="U16" s="601" t="s">
        <v>2358</v>
      </c>
      <c r="V16" s="601" t="s">
        <v>2358</v>
      </c>
      <c r="W16" s="619"/>
      <c r="X16" s="620"/>
      <c r="Y16" s="447"/>
    </row>
    <row r="17" spans="1:25" ht="21" customHeight="1" x14ac:dyDescent="0.3">
      <c r="A17" s="447"/>
      <c r="B17" s="472" t="s">
        <v>636</v>
      </c>
      <c r="C17" s="582">
        <f>'CF-1301|GDS'!R11</f>
        <v>168603.11</v>
      </c>
      <c r="D17" s="660">
        <v>655697</v>
      </c>
      <c r="E17" s="660">
        <v>49955.7</v>
      </c>
      <c r="F17" s="660">
        <f>'CF-1301|GDS'!N17</f>
        <v>203033.4</v>
      </c>
      <c r="G17" s="660">
        <f>'CF-1301|GDS'!P19</f>
        <v>115901</v>
      </c>
      <c r="H17" s="660">
        <v>95555.310023310027</v>
      </c>
      <c r="I17" s="660">
        <v>267985.19</v>
      </c>
      <c r="J17" s="660"/>
      <c r="K17" s="660"/>
      <c r="L17" s="660"/>
      <c r="M17" s="660"/>
      <c r="N17" s="661">
        <v>0</v>
      </c>
      <c r="O17" s="583"/>
      <c r="Q17" s="475"/>
      <c r="R17" s="472" t="s">
        <v>398</v>
      </c>
      <c r="S17" s="661">
        <v>0</v>
      </c>
      <c r="T17" s="661">
        <v>0</v>
      </c>
      <c r="U17" s="661">
        <v>0</v>
      </c>
      <c r="V17" s="582">
        <v>0</v>
      </c>
      <c r="W17" s="622"/>
      <c r="X17" s="623"/>
      <c r="Y17" s="447"/>
    </row>
    <row r="18" spans="1:25" ht="18.75" customHeight="1" x14ac:dyDescent="0.3">
      <c r="A18" s="447"/>
      <c r="B18" s="476" t="s">
        <v>314</v>
      </c>
      <c r="C18" s="584">
        <v>1.9363110000000002E-3</v>
      </c>
      <c r="D18" s="4157">
        <v>1.9363110000000002E-3</v>
      </c>
      <c r="E18" s="584">
        <v>1.9363110000000002E-3</v>
      </c>
      <c r="F18" s="584">
        <v>1.9363110000000002E-3</v>
      </c>
      <c r="G18" s="584">
        <v>1.9363110000000002E-3</v>
      </c>
      <c r="H18" s="584">
        <v>1.9363110000000002E-3</v>
      </c>
      <c r="I18" s="584">
        <v>1.9363110000000002E-3</v>
      </c>
      <c r="J18" s="584">
        <f t="shared" ref="J18:N18" si="6">I18</f>
        <v>1.9363110000000002E-3</v>
      </c>
      <c r="K18" s="584">
        <f t="shared" si="6"/>
        <v>1.9363110000000002E-3</v>
      </c>
      <c r="L18" s="584">
        <f t="shared" si="6"/>
        <v>1.9363110000000002E-3</v>
      </c>
      <c r="M18" s="584">
        <f t="shared" si="6"/>
        <v>1.9363110000000002E-3</v>
      </c>
      <c r="N18" s="584">
        <f t="shared" si="6"/>
        <v>1.9363110000000002E-3</v>
      </c>
      <c r="O18" s="478"/>
      <c r="Q18" s="479"/>
      <c r="R18" s="476" t="s">
        <v>314</v>
      </c>
      <c r="S18" s="584">
        <v>0</v>
      </c>
      <c r="T18" s="584">
        <v>0</v>
      </c>
      <c r="U18" s="584">
        <v>0</v>
      </c>
      <c r="V18" s="584">
        <v>0</v>
      </c>
      <c r="W18" s="614"/>
      <c r="X18" s="491"/>
      <c r="Y18" s="447"/>
    </row>
    <row r="19" spans="1:25" ht="19.5" customHeight="1" x14ac:dyDescent="0.3">
      <c r="A19" s="447"/>
      <c r="B19" s="480" t="s">
        <v>315</v>
      </c>
      <c r="C19" s="4093">
        <f>C17*C18</f>
        <v>326.46805652721002</v>
      </c>
      <c r="D19" s="4094">
        <f>D17*D18</f>
        <v>1269.6333137670001</v>
      </c>
      <c r="E19" s="4095">
        <f>E17*E18</f>
        <v>96.729771422700011</v>
      </c>
      <c r="F19" s="4095">
        <f t="shared" ref="F19:N19" si="7">F17*F18</f>
        <v>393.13580578740005</v>
      </c>
      <c r="G19" s="4095">
        <f t="shared" si="7"/>
        <v>224.42038121100003</v>
      </c>
      <c r="H19" s="4095">
        <f t="shared" si="7"/>
        <v>185.02479790654547</v>
      </c>
      <c r="I19" s="4095">
        <f t="shared" si="7"/>
        <v>518.90267123409012</v>
      </c>
      <c r="J19" s="4095">
        <f t="shared" si="7"/>
        <v>0</v>
      </c>
      <c r="K19" s="4095">
        <f t="shared" si="7"/>
        <v>0</v>
      </c>
      <c r="L19" s="4095">
        <f t="shared" si="7"/>
        <v>0</v>
      </c>
      <c r="M19" s="4095">
        <f t="shared" si="7"/>
        <v>0</v>
      </c>
      <c r="N19" s="4095">
        <f t="shared" si="7"/>
        <v>0</v>
      </c>
      <c r="O19" s="586"/>
      <c r="Q19" s="479"/>
      <c r="R19" s="480" t="s">
        <v>315</v>
      </c>
      <c r="S19" s="4094">
        <f>S17*S18</f>
        <v>0</v>
      </c>
      <c r="T19" s="4093">
        <f>T17*T18</f>
        <v>0</v>
      </c>
      <c r="U19" s="4094">
        <f>U17*U18</f>
        <v>0</v>
      </c>
      <c r="V19" s="4095">
        <f>V17*V18</f>
        <v>0</v>
      </c>
      <c r="W19" s="614"/>
      <c r="X19" s="494"/>
      <c r="Y19" s="447"/>
    </row>
    <row r="20" spans="1:25" ht="19.5" customHeight="1" x14ac:dyDescent="0.4">
      <c r="B20" s="465" t="s">
        <v>310</v>
      </c>
      <c r="C20" s="656"/>
      <c r="D20" s="657"/>
      <c r="E20" s="658"/>
      <c r="F20" s="580"/>
      <c r="G20" s="580"/>
      <c r="H20" s="580"/>
      <c r="I20" s="580"/>
      <c r="J20" s="580"/>
      <c r="K20" s="580"/>
      <c r="L20" s="580"/>
      <c r="M20" s="580"/>
      <c r="N20" s="580"/>
      <c r="O20" s="467"/>
      <c r="Q20" s="467"/>
      <c r="R20" s="465"/>
      <c r="S20" s="656"/>
      <c r="T20" s="657"/>
      <c r="U20" s="656"/>
      <c r="V20" s="657"/>
      <c r="W20" s="618"/>
      <c r="X20" s="467"/>
    </row>
    <row r="21" spans="1:25" ht="30" customHeight="1" x14ac:dyDescent="0.3">
      <c r="A21" s="447"/>
      <c r="B21" s="469" t="s">
        <v>311</v>
      </c>
      <c r="C21" s="601" t="s">
        <v>352</v>
      </c>
      <c r="D21" s="601" t="s">
        <v>352</v>
      </c>
      <c r="E21" s="601" t="s">
        <v>352</v>
      </c>
      <c r="F21" s="601" t="s">
        <v>352</v>
      </c>
      <c r="G21" s="601" t="s">
        <v>352</v>
      </c>
      <c r="H21" s="601" t="s">
        <v>352</v>
      </c>
      <c r="I21" s="601" t="s">
        <v>352</v>
      </c>
      <c r="J21" s="601" t="s">
        <v>352</v>
      </c>
      <c r="K21" s="601" t="s">
        <v>352</v>
      </c>
      <c r="L21" s="601" t="s">
        <v>352</v>
      </c>
      <c r="M21" s="601" t="s">
        <v>352</v>
      </c>
      <c r="N21" s="601" t="s">
        <v>352</v>
      </c>
      <c r="O21" s="1094"/>
      <c r="Q21" s="457"/>
      <c r="R21" s="469"/>
      <c r="S21" s="601"/>
      <c r="T21" s="601"/>
      <c r="U21" s="601"/>
      <c r="V21" s="601"/>
      <c r="W21" s="619"/>
      <c r="X21" s="620"/>
      <c r="Y21" s="447"/>
    </row>
    <row r="22" spans="1:25" ht="21" customHeight="1" x14ac:dyDescent="0.3">
      <c r="A22" s="447"/>
      <c r="B22" s="472" t="s">
        <v>319</v>
      </c>
      <c r="C22" s="661">
        <f>'CF-1301|GDS'!R10</f>
        <v>3104142.44</v>
      </c>
      <c r="D22" s="661">
        <v>9257544</v>
      </c>
      <c r="E22" s="661">
        <v>533067.1</v>
      </c>
      <c r="F22" s="661">
        <f>'CF-1301|GDS'!N16</f>
        <v>2374758</v>
      </c>
      <c r="G22" s="661">
        <f>'CF-1301|GDS'!P18</f>
        <v>461448</v>
      </c>
      <c r="H22" s="661">
        <v>1903880</v>
      </c>
      <c r="I22" s="661">
        <v>1294028.5714285714</v>
      </c>
      <c r="J22" s="661"/>
      <c r="K22" s="661"/>
      <c r="L22" s="661"/>
      <c r="M22" s="661"/>
      <c r="N22" s="661">
        <v>0</v>
      </c>
      <c r="O22" s="583"/>
      <c r="Q22" s="475"/>
      <c r="R22" s="472"/>
      <c r="S22" s="662"/>
      <c r="T22" s="662"/>
      <c r="U22" s="662"/>
      <c r="V22" s="621"/>
      <c r="W22" s="622"/>
      <c r="X22" s="623"/>
      <c r="Y22" s="447"/>
    </row>
    <row r="23" spans="1:25" ht="18.75" customHeight="1" x14ac:dyDescent="0.3">
      <c r="A23" s="447"/>
      <c r="B23" s="476" t="s">
        <v>314</v>
      </c>
      <c r="C23" s="584">
        <v>1.7E-6</v>
      </c>
      <c r="D23" s="584">
        <v>1.7E-6</v>
      </c>
      <c r="E23" s="584">
        <v>1.7E-6</v>
      </c>
      <c r="F23" s="584">
        <v>1.7E-6</v>
      </c>
      <c r="G23" s="584">
        <v>1.7E-6</v>
      </c>
      <c r="H23" s="584">
        <v>1.7E-6</v>
      </c>
      <c r="I23" s="584">
        <v>1.7E-6</v>
      </c>
      <c r="J23" s="584">
        <f t="shared" ref="J23:N23" si="8">I23</f>
        <v>1.7E-6</v>
      </c>
      <c r="K23" s="584">
        <f t="shared" si="8"/>
        <v>1.7E-6</v>
      </c>
      <c r="L23" s="584">
        <f t="shared" si="8"/>
        <v>1.7E-6</v>
      </c>
      <c r="M23" s="584">
        <f t="shared" si="8"/>
        <v>1.7E-6</v>
      </c>
      <c r="N23" s="584">
        <f t="shared" si="8"/>
        <v>1.7E-6</v>
      </c>
      <c r="O23" s="586"/>
      <c r="P23" s="1095"/>
      <c r="Q23" s="479"/>
      <c r="R23" s="476"/>
      <c r="S23" s="584"/>
      <c r="T23" s="584"/>
      <c r="U23" s="584"/>
      <c r="V23" s="584"/>
      <c r="W23" s="614"/>
      <c r="X23" s="491"/>
      <c r="Y23" s="447"/>
    </row>
    <row r="24" spans="1:25" ht="19.5" customHeight="1" x14ac:dyDescent="0.3">
      <c r="A24" s="447"/>
      <c r="B24" s="480" t="s">
        <v>315</v>
      </c>
      <c r="C24" s="4093">
        <f>C22*C23</f>
        <v>5.2770421479999996</v>
      </c>
      <c r="D24" s="4094">
        <f>D22*D23</f>
        <v>15.7378248</v>
      </c>
      <c r="E24" s="4095">
        <f>E22*E23</f>
        <v>0.90621406999999998</v>
      </c>
      <c r="F24" s="4095">
        <f t="shared" ref="F24:N24" si="9">F22*F23</f>
        <v>4.0370885999999997</v>
      </c>
      <c r="G24" s="4095">
        <f t="shared" si="9"/>
        <v>0.78446159999999998</v>
      </c>
      <c r="H24" s="4095">
        <f t="shared" si="9"/>
        <v>3.236596</v>
      </c>
      <c r="I24" s="4095">
        <f t="shared" si="9"/>
        <v>2.1998485714285714</v>
      </c>
      <c r="J24" s="4095">
        <f t="shared" si="9"/>
        <v>0</v>
      </c>
      <c r="K24" s="4095">
        <f t="shared" si="9"/>
        <v>0</v>
      </c>
      <c r="L24" s="4095">
        <f t="shared" si="9"/>
        <v>0</v>
      </c>
      <c r="M24" s="4095">
        <f t="shared" si="9"/>
        <v>0</v>
      </c>
      <c r="N24" s="4095">
        <f t="shared" si="9"/>
        <v>0</v>
      </c>
      <c r="O24" s="586"/>
      <c r="P24" s="1096"/>
      <c r="Q24" s="479"/>
      <c r="R24" s="480"/>
      <c r="S24" s="663"/>
      <c r="T24" s="663"/>
      <c r="U24" s="663"/>
      <c r="V24" s="664"/>
      <c r="W24" s="614"/>
      <c r="X24" s="494"/>
      <c r="Y24" s="447"/>
    </row>
    <row r="25" spans="1:25" ht="21" customHeight="1" x14ac:dyDescent="0.4">
      <c r="B25" s="465" t="s">
        <v>316</v>
      </c>
      <c r="C25" s="665"/>
      <c r="D25" s="587"/>
      <c r="E25" s="665"/>
      <c r="F25" s="3431"/>
      <c r="G25" s="4096"/>
      <c r="H25" s="4096"/>
      <c r="I25" s="4096"/>
      <c r="J25" s="4096"/>
      <c r="K25" s="4096"/>
      <c r="L25" s="4096"/>
      <c r="M25" s="665"/>
      <c r="N25" s="587"/>
      <c r="O25" s="483"/>
      <c r="P25" s="484"/>
      <c r="Q25" s="483"/>
      <c r="R25" s="465" t="s">
        <v>316</v>
      </c>
      <c r="S25" s="665"/>
      <c r="T25" s="587"/>
      <c r="U25" s="665"/>
      <c r="V25" s="587"/>
      <c r="W25" s="618"/>
      <c r="X25" s="495"/>
    </row>
    <row r="26" spans="1:25" ht="25.2" customHeight="1" x14ac:dyDescent="0.3">
      <c r="A26" s="447"/>
      <c r="B26" s="469" t="s">
        <v>183</v>
      </c>
      <c r="C26" s="601" t="s">
        <v>641</v>
      </c>
      <c r="D26" s="601" t="s">
        <v>641</v>
      </c>
      <c r="E26" s="470" t="s">
        <v>641</v>
      </c>
      <c r="F26" s="1136" t="s">
        <v>641</v>
      </c>
      <c r="G26" s="1136" t="s">
        <v>641</v>
      </c>
      <c r="H26" s="1136" t="s">
        <v>641</v>
      </c>
      <c r="I26" s="1136" t="s">
        <v>641</v>
      </c>
      <c r="J26" s="1136" t="s">
        <v>641</v>
      </c>
      <c r="K26" s="1136" t="s">
        <v>641</v>
      </c>
      <c r="L26" s="1136" t="s">
        <v>641</v>
      </c>
      <c r="M26" s="1137" t="s">
        <v>641</v>
      </c>
      <c r="N26" s="601" t="s">
        <v>641</v>
      </c>
      <c r="O26" s="588"/>
      <c r="P26" s="485"/>
      <c r="Q26" s="479"/>
      <c r="R26" s="469" t="s">
        <v>183</v>
      </c>
      <c r="S26" s="601" t="s">
        <v>2359</v>
      </c>
      <c r="T26" s="601" t="s">
        <v>2359</v>
      </c>
      <c r="U26" s="601" t="s">
        <v>2359</v>
      </c>
      <c r="V26" s="601" t="s">
        <v>2359</v>
      </c>
      <c r="W26" s="614"/>
      <c r="X26" s="496"/>
      <c r="Y26" s="447"/>
    </row>
    <row r="27" spans="1:25" ht="21" customHeight="1" x14ac:dyDescent="0.3">
      <c r="A27" s="447"/>
      <c r="B27" s="486" t="s">
        <v>636</v>
      </c>
      <c r="C27" s="666">
        <f>'CF-1301|GDS'!I11</f>
        <v>26482.42</v>
      </c>
      <c r="D27" s="589">
        <f>'CF-1301|GDS'!I13</f>
        <v>210623.33</v>
      </c>
      <c r="E27" s="487">
        <f>'CF-1301|GDS'!I15</f>
        <v>38011.19</v>
      </c>
      <c r="F27" s="1145">
        <f>'CF-1301|GDS'!I17</f>
        <v>106802.58</v>
      </c>
      <c r="G27" s="1145">
        <f>'CF-1301|GDS'!I19</f>
        <v>69139.509999999995</v>
      </c>
      <c r="H27" s="1145">
        <f>'CF-1301|GDS'!I23</f>
        <v>66406.485714285722</v>
      </c>
      <c r="I27" s="1145">
        <f>'CF-1301|GDS'!I21</f>
        <v>151935.29411764705</v>
      </c>
      <c r="J27" s="1145"/>
      <c r="K27" s="1145"/>
      <c r="L27" s="1145"/>
      <c r="M27" s="666"/>
      <c r="N27" s="589">
        <v>0</v>
      </c>
      <c r="O27" s="479"/>
      <c r="P27" s="488"/>
      <c r="Q27" s="479"/>
      <c r="R27" s="486" t="s">
        <v>398</v>
      </c>
      <c r="S27" s="666">
        <f>S17</f>
        <v>0</v>
      </c>
      <c r="T27" s="589">
        <f>T17</f>
        <v>0</v>
      </c>
      <c r="U27" s="666">
        <f>U17</f>
        <v>0</v>
      </c>
      <c r="V27" s="589">
        <f>V17</f>
        <v>0</v>
      </c>
      <c r="W27" s="622"/>
      <c r="X27" s="623"/>
      <c r="Y27" s="447"/>
    </row>
    <row r="28" spans="1:25" ht="21" customHeight="1" x14ac:dyDescent="0.3">
      <c r="A28" s="447"/>
      <c r="B28" s="489" t="s">
        <v>314</v>
      </c>
      <c r="C28" s="590">
        <v>1.9363110000000002E-3</v>
      </c>
      <c r="D28" s="590">
        <v>1.9363110000000002E-3</v>
      </c>
      <c r="E28" s="590">
        <v>1.9363110000000002E-3</v>
      </c>
      <c r="F28" s="590">
        <v>1.9363110000000002E-3</v>
      </c>
      <c r="G28" s="590">
        <v>1.9363110000000002E-3</v>
      </c>
      <c r="H28" s="590">
        <v>1.9363110000000002E-3</v>
      </c>
      <c r="I28" s="590">
        <v>1.9363110000000002E-3</v>
      </c>
      <c r="J28" s="590">
        <f t="shared" ref="J28:N28" si="10">I28</f>
        <v>1.9363110000000002E-3</v>
      </c>
      <c r="K28" s="590">
        <f t="shared" si="10"/>
        <v>1.9363110000000002E-3</v>
      </c>
      <c r="L28" s="590">
        <f t="shared" si="10"/>
        <v>1.9363110000000002E-3</v>
      </c>
      <c r="M28" s="590">
        <f t="shared" si="10"/>
        <v>1.9363110000000002E-3</v>
      </c>
      <c r="N28" s="590">
        <f t="shared" si="10"/>
        <v>1.9363110000000002E-3</v>
      </c>
      <c r="O28" s="588"/>
      <c r="P28" s="491"/>
      <c r="Q28" s="479"/>
      <c r="R28" s="489" t="s">
        <v>314</v>
      </c>
      <c r="S28" s="590">
        <v>0</v>
      </c>
      <c r="T28" s="590">
        <v>0</v>
      </c>
      <c r="U28" s="590">
        <v>0</v>
      </c>
      <c r="V28" s="590">
        <v>0</v>
      </c>
      <c r="W28" s="614"/>
      <c r="X28" s="491"/>
      <c r="Y28" s="447"/>
    </row>
    <row r="29" spans="1:25" ht="21" customHeight="1" x14ac:dyDescent="0.3">
      <c r="A29" s="447"/>
      <c r="B29" s="492" t="s">
        <v>315</v>
      </c>
      <c r="C29" s="4097">
        <f t="shared" ref="C29:N29" si="11">C27*C28</f>
        <v>51.278201152619999</v>
      </c>
      <c r="D29" s="4097">
        <f t="shared" si="11"/>
        <v>407.83227073563</v>
      </c>
      <c r="E29" s="4098">
        <f t="shared" si="11"/>
        <v>73.601485320090021</v>
      </c>
      <c r="F29" s="4099">
        <f t="shared" si="11"/>
        <v>206.80301048238002</v>
      </c>
      <c r="G29" s="4099">
        <f t="shared" si="11"/>
        <v>133.87559374761</v>
      </c>
      <c r="H29" s="4100">
        <f t="shared" si="11"/>
        <v>128.58360875991431</v>
      </c>
      <c r="I29" s="4097">
        <f t="shared" si="11"/>
        <v>294.19398128823531</v>
      </c>
      <c r="J29" s="4097">
        <f t="shared" si="11"/>
        <v>0</v>
      </c>
      <c r="K29" s="4097">
        <f t="shared" si="11"/>
        <v>0</v>
      </c>
      <c r="L29" s="4097">
        <f t="shared" si="11"/>
        <v>0</v>
      </c>
      <c r="M29" s="4097">
        <f t="shared" si="11"/>
        <v>0</v>
      </c>
      <c r="N29" s="4097">
        <f t="shared" si="11"/>
        <v>0</v>
      </c>
      <c r="O29" s="588"/>
      <c r="P29" s="494"/>
      <c r="Q29" s="479"/>
      <c r="R29" s="492" t="s">
        <v>315</v>
      </c>
      <c r="S29" s="4097">
        <f t="shared" ref="S29:V29" si="12">S27*S28</f>
        <v>0</v>
      </c>
      <c r="T29" s="4101">
        <f t="shared" si="12"/>
        <v>0</v>
      </c>
      <c r="U29" s="4102">
        <f t="shared" si="12"/>
        <v>0</v>
      </c>
      <c r="V29" s="4102">
        <f t="shared" si="12"/>
        <v>0</v>
      </c>
      <c r="W29" s="614"/>
      <c r="X29" s="494"/>
      <c r="Y29" s="447"/>
    </row>
    <row r="30" spans="1:25" ht="21" customHeight="1" x14ac:dyDescent="0.4">
      <c r="B30" s="465" t="s">
        <v>316</v>
      </c>
      <c r="C30" s="665"/>
      <c r="D30" s="587"/>
      <c r="E30" s="482"/>
      <c r="F30" s="1143"/>
      <c r="G30" s="1143"/>
      <c r="H30" s="4096"/>
      <c r="I30" s="3431"/>
      <c r="J30" s="3430"/>
      <c r="K30" s="3431"/>
      <c r="L30" s="665"/>
      <c r="M30" s="3429"/>
      <c r="N30" s="587"/>
      <c r="O30" s="483"/>
      <c r="P30" s="495"/>
      <c r="Q30" s="483"/>
      <c r="R30" s="465"/>
      <c r="S30" s="665"/>
      <c r="T30" s="587"/>
      <c r="U30" s="665"/>
      <c r="V30" s="587"/>
      <c r="W30" s="618"/>
      <c r="X30" s="495"/>
    </row>
    <row r="31" spans="1:25" ht="24.6" customHeight="1" x14ac:dyDescent="0.3">
      <c r="A31" s="447"/>
      <c r="B31" s="469" t="s">
        <v>183</v>
      </c>
      <c r="C31" s="601" t="s">
        <v>352</v>
      </c>
      <c r="D31" s="601" t="s">
        <v>352</v>
      </c>
      <c r="E31" s="470" t="s">
        <v>352</v>
      </c>
      <c r="F31" s="1136" t="s">
        <v>352</v>
      </c>
      <c r="G31" s="1136" t="s">
        <v>352</v>
      </c>
      <c r="H31" s="601" t="s">
        <v>352</v>
      </c>
      <c r="I31" s="1137" t="s">
        <v>352</v>
      </c>
      <c r="J31" s="601" t="s">
        <v>352</v>
      </c>
      <c r="K31" s="601" t="s">
        <v>352</v>
      </c>
      <c r="L31" s="601" t="s">
        <v>352</v>
      </c>
      <c r="M31" s="601" t="s">
        <v>352</v>
      </c>
      <c r="N31" s="601" t="s">
        <v>352</v>
      </c>
      <c r="O31" s="588"/>
      <c r="P31" s="496"/>
      <c r="Q31" s="479"/>
      <c r="R31" s="469"/>
      <c r="S31" s="601"/>
      <c r="T31" s="601"/>
      <c r="U31" s="601"/>
      <c r="V31" s="601"/>
      <c r="W31" s="614"/>
      <c r="X31" s="496"/>
      <c r="Y31" s="447"/>
    </row>
    <row r="32" spans="1:25" ht="21" customHeight="1" x14ac:dyDescent="0.3">
      <c r="A32" s="447"/>
      <c r="B32" s="486" t="s">
        <v>319</v>
      </c>
      <c r="C32" s="666">
        <f>'CF-1301|GDS'!I10</f>
        <v>1698600</v>
      </c>
      <c r="D32" s="589">
        <f>'CF-1301|GDS'!I12</f>
        <v>9771000</v>
      </c>
      <c r="E32" s="487">
        <f>'CF-1301|GDS'!I14</f>
        <v>496584</v>
      </c>
      <c r="F32" s="1145">
        <f>'CF-1301|GDS'!I16</f>
        <v>2489760</v>
      </c>
      <c r="G32" s="1145">
        <f>'CF-1301|GDS'!I18</f>
        <v>360618.75</v>
      </c>
      <c r="H32" s="3434">
        <f>'CF-1301|GDS'!I22</f>
        <v>1728720</v>
      </c>
      <c r="I32" s="3434">
        <f>'CF-1301|GDS'!I20</f>
        <v>971080</v>
      </c>
      <c r="J32" s="666"/>
      <c r="K32" s="3434"/>
      <c r="L32" s="3434"/>
      <c r="M32" s="3432"/>
      <c r="N32" s="589">
        <v>0</v>
      </c>
      <c r="O32" s="479"/>
      <c r="P32" s="488"/>
      <c r="Q32" s="479"/>
      <c r="R32" s="486"/>
      <c r="S32" s="666"/>
      <c r="T32" s="589"/>
      <c r="U32" s="666"/>
      <c r="V32" s="589"/>
      <c r="W32" s="622"/>
      <c r="X32" s="623"/>
      <c r="Y32" s="447"/>
    </row>
    <row r="33" spans="1:25" ht="21" customHeight="1" x14ac:dyDescent="0.3">
      <c r="A33" s="447"/>
      <c r="B33" s="489" t="s">
        <v>314</v>
      </c>
      <c r="C33" s="590">
        <f>C23</f>
        <v>1.7E-6</v>
      </c>
      <c r="D33" s="590">
        <f t="shared" ref="D33:N33" si="13">C33</f>
        <v>1.7E-6</v>
      </c>
      <c r="E33" s="590">
        <f t="shared" si="13"/>
        <v>1.7E-6</v>
      </c>
      <c r="F33" s="590">
        <f t="shared" si="13"/>
        <v>1.7E-6</v>
      </c>
      <c r="G33" s="590">
        <f t="shared" si="13"/>
        <v>1.7E-6</v>
      </c>
      <c r="H33" s="590">
        <f>G33</f>
        <v>1.7E-6</v>
      </c>
      <c r="I33" s="590">
        <f>H33</f>
        <v>1.7E-6</v>
      </c>
      <c r="J33" s="590">
        <f t="shared" si="13"/>
        <v>1.7E-6</v>
      </c>
      <c r="K33" s="590">
        <f t="shared" si="13"/>
        <v>1.7E-6</v>
      </c>
      <c r="L33" s="590">
        <f t="shared" si="13"/>
        <v>1.7E-6</v>
      </c>
      <c r="M33" s="590">
        <f t="shared" si="13"/>
        <v>1.7E-6</v>
      </c>
      <c r="N33" s="590">
        <f t="shared" si="13"/>
        <v>1.7E-6</v>
      </c>
      <c r="O33" s="588"/>
      <c r="P33" s="491"/>
      <c r="Q33" s="479"/>
      <c r="R33" s="489"/>
      <c r="S33" s="625"/>
      <c r="T33" s="590"/>
      <c r="U33" s="625"/>
      <c r="V33" s="669"/>
      <c r="W33" s="614"/>
      <c r="X33" s="491"/>
      <c r="Y33" s="447"/>
    </row>
    <row r="34" spans="1:25" ht="21" customHeight="1" x14ac:dyDescent="0.3">
      <c r="A34" s="447"/>
      <c r="B34" s="492" t="s">
        <v>315</v>
      </c>
      <c r="C34" s="4097">
        <f t="shared" ref="C34:N34" si="14">C32*C33</f>
        <v>2.8876200000000001</v>
      </c>
      <c r="D34" s="4097">
        <f t="shared" si="14"/>
        <v>16.610700000000001</v>
      </c>
      <c r="E34" s="4097">
        <f t="shared" si="14"/>
        <v>0.84419279999999997</v>
      </c>
      <c r="F34" s="4097">
        <f t="shared" si="14"/>
        <v>4.2325920000000004</v>
      </c>
      <c r="G34" s="4097">
        <f t="shared" si="14"/>
        <v>0.61305187500000002</v>
      </c>
      <c r="H34" s="4097">
        <f t="shared" si="14"/>
        <v>2.9388239999999999</v>
      </c>
      <c r="I34" s="4097">
        <f t="shared" si="14"/>
        <v>1.650836</v>
      </c>
      <c r="J34" s="4097">
        <f t="shared" si="14"/>
        <v>0</v>
      </c>
      <c r="K34" s="4097">
        <f t="shared" si="14"/>
        <v>0</v>
      </c>
      <c r="L34" s="4097">
        <f t="shared" si="14"/>
        <v>0</v>
      </c>
      <c r="M34" s="4097">
        <f t="shared" si="14"/>
        <v>0</v>
      </c>
      <c r="N34" s="4097">
        <f t="shared" si="14"/>
        <v>0</v>
      </c>
      <c r="O34" s="588"/>
      <c r="P34" s="494"/>
      <c r="Q34" s="479"/>
      <c r="R34" s="492"/>
      <c r="S34" s="591"/>
      <c r="T34" s="624"/>
      <c r="U34" s="668"/>
      <c r="V34" s="591"/>
      <c r="W34" s="614"/>
      <c r="X34" s="494"/>
      <c r="Y34" s="447"/>
    </row>
    <row r="35" spans="1:25" ht="28.5" customHeight="1" x14ac:dyDescent="0.3">
      <c r="A35" s="447"/>
      <c r="B35" s="4103" t="s">
        <v>320</v>
      </c>
      <c r="C35" s="4104" t="s">
        <v>321</v>
      </c>
      <c r="D35" s="4104" t="s">
        <v>321</v>
      </c>
      <c r="E35" s="4104" t="s">
        <v>321</v>
      </c>
      <c r="F35" s="4104" t="s">
        <v>321</v>
      </c>
      <c r="G35" s="4104" t="s">
        <v>321</v>
      </c>
      <c r="H35" s="4104" t="s">
        <v>321</v>
      </c>
      <c r="I35" s="4104" t="s">
        <v>321</v>
      </c>
      <c r="J35" s="4104" t="s">
        <v>321</v>
      </c>
      <c r="K35" s="4104" t="s">
        <v>321</v>
      </c>
      <c r="L35" s="4104" t="s">
        <v>321</v>
      </c>
      <c r="M35" s="4104" t="s">
        <v>321</v>
      </c>
      <c r="N35" s="4104" t="s">
        <v>321</v>
      </c>
      <c r="O35" s="593"/>
      <c r="P35" s="501"/>
      <c r="Q35" s="500"/>
      <c r="R35" s="4103" t="s">
        <v>320</v>
      </c>
      <c r="S35" s="4105" t="s">
        <v>1625</v>
      </c>
      <c r="T35" s="4105" t="s">
        <v>1625</v>
      </c>
      <c r="U35" s="4105" t="s">
        <v>1625</v>
      </c>
      <c r="V35" s="4105" t="s">
        <v>1625</v>
      </c>
      <c r="W35" s="614"/>
      <c r="X35" s="496"/>
      <c r="Y35" s="447"/>
    </row>
    <row r="36" spans="1:25" ht="33" customHeight="1" x14ac:dyDescent="0.3">
      <c r="A36" s="447"/>
      <c r="B36" s="506" t="s">
        <v>323</v>
      </c>
      <c r="C36" s="496" t="s">
        <v>324</v>
      </c>
      <c r="D36" s="595" t="s">
        <v>324</v>
      </c>
      <c r="E36" s="507" t="s">
        <v>324</v>
      </c>
      <c r="F36" s="4106" t="s">
        <v>324</v>
      </c>
      <c r="G36" s="4106" t="s">
        <v>324</v>
      </c>
      <c r="H36" s="4106" t="s">
        <v>324</v>
      </c>
      <c r="I36" s="4106" t="s">
        <v>324</v>
      </c>
      <c r="J36" s="4106" t="s">
        <v>324</v>
      </c>
      <c r="K36" s="4106" t="s">
        <v>324</v>
      </c>
      <c r="L36" s="4106" t="s">
        <v>324</v>
      </c>
      <c r="M36" s="4106" t="s">
        <v>324</v>
      </c>
      <c r="N36" s="4106" t="s">
        <v>324</v>
      </c>
      <c r="O36" s="479"/>
      <c r="P36" s="496"/>
      <c r="Q36" s="479"/>
      <c r="R36" s="506" t="s">
        <v>323</v>
      </c>
      <c r="S36" s="496" t="s">
        <v>324</v>
      </c>
      <c r="T36" s="595" t="s">
        <v>324</v>
      </c>
      <c r="U36" s="496" t="s">
        <v>324</v>
      </c>
      <c r="V36" s="595" t="s">
        <v>324</v>
      </c>
      <c r="W36" s="614"/>
      <c r="X36" s="496"/>
      <c r="Y36" s="447"/>
    </row>
    <row r="37" spans="1:25" ht="33" customHeight="1" x14ac:dyDescent="0.3">
      <c r="A37" s="447"/>
      <c r="B37" s="508" t="s">
        <v>325</v>
      </c>
      <c r="C37" s="674" t="s">
        <v>326</v>
      </c>
      <c r="D37" s="596" t="s">
        <v>326</v>
      </c>
      <c r="E37" s="509" t="s">
        <v>326</v>
      </c>
      <c r="F37" s="4107" t="s">
        <v>326</v>
      </c>
      <c r="G37" s="4107" t="s">
        <v>326</v>
      </c>
      <c r="H37" s="4107" t="s">
        <v>326</v>
      </c>
      <c r="I37" s="4107" t="s">
        <v>326</v>
      </c>
      <c r="J37" s="4107" t="s">
        <v>326</v>
      </c>
      <c r="K37" s="4107" t="s">
        <v>326</v>
      </c>
      <c r="L37" s="4107" t="s">
        <v>326</v>
      </c>
      <c r="M37" s="4107" t="s">
        <v>326</v>
      </c>
      <c r="N37" s="674" t="s">
        <v>326</v>
      </c>
      <c r="O37" s="479"/>
      <c r="P37" s="496"/>
      <c r="Q37" s="479"/>
      <c r="R37" s="508" t="s">
        <v>325</v>
      </c>
      <c r="S37" s="674" t="s">
        <v>326</v>
      </c>
      <c r="T37" s="596" t="s">
        <v>326</v>
      </c>
      <c r="U37" s="674" t="s">
        <v>326</v>
      </c>
      <c r="V37" s="596" t="s">
        <v>326</v>
      </c>
      <c r="W37" s="614"/>
      <c r="X37" s="496"/>
      <c r="Y37" s="447"/>
    </row>
    <row r="38" spans="1:25" ht="33" customHeight="1" x14ac:dyDescent="0.3">
      <c r="A38" s="447"/>
      <c r="B38" s="506" t="s">
        <v>327</v>
      </c>
      <c r="C38" s="595" t="s">
        <v>328</v>
      </c>
      <c r="D38" s="595" t="s">
        <v>328</v>
      </c>
      <c r="E38" s="595" t="s">
        <v>328</v>
      </c>
      <c r="F38" s="595" t="s">
        <v>328</v>
      </c>
      <c r="G38" s="595" t="s">
        <v>328</v>
      </c>
      <c r="H38" s="595" t="s">
        <v>328</v>
      </c>
      <c r="I38" s="595" t="s">
        <v>328</v>
      </c>
      <c r="J38" s="595" t="s">
        <v>328</v>
      </c>
      <c r="K38" s="595" t="s">
        <v>328</v>
      </c>
      <c r="L38" s="595" t="s">
        <v>328</v>
      </c>
      <c r="M38" s="595" t="s">
        <v>328</v>
      </c>
      <c r="N38" s="595" t="s">
        <v>328</v>
      </c>
      <c r="O38" s="479"/>
      <c r="P38" s="496"/>
      <c r="Q38" s="479"/>
      <c r="R38" s="506" t="s">
        <v>327</v>
      </c>
      <c r="S38" s="595" t="s">
        <v>402</v>
      </c>
      <c r="T38" s="595" t="s">
        <v>402</v>
      </c>
      <c r="U38" s="595" t="s">
        <v>402</v>
      </c>
      <c r="V38" s="595" t="s">
        <v>402</v>
      </c>
      <c r="W38" s="614"/>
      <c r="X38" s="496"/>
      <c r="Y38" s="447"/>
    </row>
    <row r="39" spans="1:25" ht="21" customHeight="1" x14ac:dyDescent="0.3">
      <c r="B39" s="510" t="s">
        <v>329</v>
      </c>
      <c r="C39" s="596">
        <v>1</v>
      </c>
      <c r="D39" s="596">
        <v>1</v>
      </c>
      <c r="E39" s="596">
        <v>1</v>
      </c>
      <c r="F39" s="596">
        <v>1</v>
      </c>
      <c r="G39" s="596">
        <v>1</v>
      </c>
      <c r="H39" s="596">
        <v>1</v>
      </c>
      <c r="I39" s="596">
        <v>1</v>
      </c>
      <c r="J39" s="596">
        <v>1</v>
      </c>
      <c r="K39" s="596">
        <v>1</v>
      </c>
      <c r="L39" s="596">
        <v>1</v>
      </c>
      <c r="M39" s="596">
        <v>1</v>
      </c>
      <c r="N39" s="596">
        <v>1</v>
      </c>
      <c r="O39" s="467"/>
      <c r="P39" s="467"/>
      <c r="Q39" s="467"/>
      <c r="R39" s="510" t="s">
        <v>329</v>
      </c>
      <c r="S39" s="596">
        <v>0</v>
      </c>
      <c r="T39" s="596">
        <v>0</v>
      </c>
      <c r="U39" s="596">
        <v>0</v>
      </c>
      <c r="V39" s="596">
        <v>0</v>
      </c>
      <c r="W39" s="618"/>
      <c r="X39" s="467"/>
    </row>
    <row r="40" spans="1:25" ht="21" customHeight="1" x14ac:dyDescent="0.3">
      <c r="B40" s="453" t="s">
        <v>330</v>
      </c>
      <c r="C40" s="496" t="s">
        <v>324</v>
      </c>
      <c r="D40" s="595" t="s">
        <v>324</v>
      </c>
      <c r="E40" s="595" t="s">
        <v>324</v>
      </c>
      <c r="F40" s="595" t="s">
        <v>324</v>
      </c>
      <c r="G40" s="595" t="s">
        <v>324</v>
      </c>
      <c r="H40" s="595" t="s">
        <v>324</v>
      </c>
      <c r="I40" s="595" t="s">
        <v>324</v>
      </c>
      <c r="J40" s="595" t="s">
        <v>324</v>
      </c>
      <c r="K40" s="595" t="s">
        <v>324</v>
      </c>
      <c r="L40" s="595" t="s">
        <v>324</v>
      </c>
      <c r="M40" s="595" t="s">
        <v>324</v>
      </c>
      <c r="N40" s="595" t="s">
        <v>324</v>
      </c>
      <c r="O40" s="483"/>
      <c r="P40" s="495"/>
      <c r="Q40" s="483"/>
      <c r="R40" s="453" t="s">
        <v>330</v>
      </c>
      <c r="S40" s="496" t="s">
        <v>324</v>
      </c>
      <c r="T40" s="595" t="s">
        <v>324</v>
      </c>
      <c r="U40" s="496" t="s">
        <v>324</v>
      </c>
      <c r="V40" s="595" t="s">
        <v>324</v>
      </c>
      <c r="W40" s="618"/>
      <c r="X40" s="495"/>
    </row>
    <row r="41" spans="1:25" ht="21" customHeight="1" x14ac:dyDescent="0.3">
      <c r="B41" s="4108" t="s">
        <v>331</v>
      </c>
      <c r="C41" s="4109" t="s">
        <v>324</v>
      </c>
      <c r="D41" s="4110" t="s">
        <v>324</v>
      </c>
      <c r="E41" s="4110" t="s">
        <v>324</v>
      </c>
      <c r="F41" s="4110" t="s">
        <v>324</v>
      </c>
      <c r="G41" s="4110" t="s">
        <v>324</v>
      </c>
      <c r="H41" s="4110" t="s">
        <v>324</v>
      </c>
      <c r="I41" s="4110" t="s">
        <v>324</v>
      </c>
      <c r="J41" s="4110" t="s">
        <v>324</v>
      </c>
      <c r="K41" s="4110" t="s">
        <v>324</v>
      </c>
      <c r="L41" s="4110" t="s">
        <v>324</v>
      </c>
      <c r="M41" s="4110" t="s">
        <v>324</v>
      </c>
      <c r="N41" s="4110" t="s">
        <v>324</v>
      </c>
      <c r="O41" s="483"/>
      <c r="P41" s="495"/>
      <c r="Q41" s="483"/>
      <c r="R41" s="4108" t="s">
        <v>331</v>
      </c>
      <c r="S41" s="4109" t="s">
        <v>324</v>
      </c>
      <c r="T41" s="4110" t="s">
        <v>324</v>
      </c>
      <c r="U41" s="4109" t="s">
        <v>324</v>
      </c>
      <c r="V41" s="4110" t="s">
        <v>324</v>
      </c>
      <c r="W41" s="618"/>
      <c r="X41" s="495"/>
    </row>
    <row r="42" spans="1:25" ht="15.75" customHeight="1" x14ac:dyDescent="0.3">
      <c r="B42" s="427"/>
      <c r="C42" s="427"/>
      <c r="D42" s="427"/>
      <c r="E42" s="427"/>
      <c r="F42" s="427"/>
      <c r="G42" s="427"/>
      <c r="H42" s="427"/>
      <c r="I42" s="427"/>
      <c r="J42" s="427"/>
      <c r="K42" s="427"/>
      <c r="L42" s="427"/>
      <c r="M42" s="427"/>
      <c r="N42" s="427"/>
      <c r="O42" s="483"/>
      <c r="P42" s="483"/>
      <c r="Q42" s="483"/>
      <c r="R42" s="427"/>
      <c r="W42" s="427"/>
      <c r="X42" s="427"/>
    </row>
    <row r="43" spans="1:25" ht="15.75" customHeight="1" x14ac:dyDescent="0.3">
      <c r="B43" s="512" t="s">
        <v>334</v>
      </c>
      <c r="C43" s="427"/>
      <c r="D43" s="427"/>
      <c r="E43" s="427"/>
      <c r="F43" s="427"/>
      <c r="G43" s="427"/>
      <c r="H43" s="427"/>
      <c r="I43" s="427"/>
      <c r="J43" s="427"/>
      <c r="K43" s="427"/>
      <c r="L43" s="427"/>
      <c r="M43" s="427"/>
      <c r="N43" s="427"/>
      <c r="O43" s="483"/>
      <c r="P43" s="483"/>
      <c r="Q43" s="483"/>
      <c r="W43" s="427"/>
      <c r="X43" s="427"/>
    </row>
    <row r="44" spans="1:25" ht="15.75" customHeight="1" x14ac:dyDescent="0.3">
      <c r="B44" s="512" t="s">
        <v>335</v>
      </c>
      <c r="C44" s="427"/>
      <c r="D44" s="427"/>
      <c r="E44" s="427"/>
      <c r="F44" s="427"/>
      <c r="G44" s="427"/>
      <c r="H44" s="427"/>
      <c r="I44" s="427"/>
      <c r="J44" s="427"/>
      <c r="K44" s="427"/>
      <c r="L44" s="427"/>
      <c r="M44" s="427"/>
      <c r="N44" s="427"/>
      <c r="O44" s="483"/>
      <c r="P44" s="483"/>
      <c r="Q44" s="483"/>
      <c r="W44" s="427"/>
      <c r="X44" s="427"/>
    </row>
    <row r="45" spans="1:25" ht="15.75" customHeight="1" x14ac:dyDescent="0.3">
      <c r="B45" s="512" t="s">
        <v>336</v>
      </c>
      <c r="C45" s="427"/>
      <c r="D45" s="427"/>
      <c r="E45" s="427"/>
      <c r="F45" s="427"/>
      <c r="G45" s="427"/>
      <c r="H45" s="427"/>
      <c r="I45" s="427"/>
      <c r="J45" s="427"/>
      <c r="K45" s="427"/>
      <c r="L45" s="427"/>
      <c r="M45" s="427"/>
      <c r="N45" s="427"/>
      <c r="O45" s="483"/>
      <c r="P45" s="483"/>
      <c r="Q45" s="483"/>
      <c r="W45" s="427"/>
      <c r="X45" s="427"/>
    </row>
    <row r="46" spans="1:25" ht="15.75" customHeight="1" x14ac:dyDescent="0.3">
      <c r="B46" s="512" t="s">
        <v>337</v>
      </c>
      <c r="C46" s="427"/>
      <c r="D46" s="427"/>
      <c r="E46" s="427"/>
      <c r="F46" s="427"/>
      <c r="G46" s="427"/>
      <c r="H46" s="427"/>
      <c r="I46" s="427"/>
      <c r="J46" s="427"/>
      <c r="K46" s="427"/>
      <c r="L46" s="427"/>
      <c r="M46" s="427"/>
      <c r="N46" s="427"/>
      <c r="O46" s="483"/>
      <c r="P46" s="483"/>
      <c r="Q46" s="483"/>
      <c r="W46" s="427"/>
      <c r="X46" s="427"/>
    </row>
    <row r="47" spans="1:25" ht="15.75" customHeight="1" x14ac:dyDescent="0.3">
      <c r="B47" s="512" t="s">
        <v>338</v>
      </c>
      <c r="O47" s="427"/>
      <c r="Q47" s="427"/>
      <c r="W47" s="427"/>
      <c r="X47" s="427"/>
    </row>
    <row r="48" spans="1:25" ht="15.75" customHeight="1" x14ac:dyDescent="0.3">
      <c r="B48" s="512" t="s">
        <v>339</v>
      </c>
      <c r="O48" s="427"/>
      <c r="Q48" s="427"/>
      <c r="W48" s="427"/>
      <c r="X48" s="427"/>
    </row>
    <row r="49" spans="15:24" ht="15.75" customHeight="1" x14ac:dyDescent="0.3">
      <c r="O49" s="427"/>
      <c r="Q49" s="427"/>
      <c r="W49" s="427"/>
      <c r="X49" s="427"/>
    </row>
    <row r="50" spans="15:24" ht="15.75" customHeight="1" x14ac:dyDescent="0.3">
      <c r="O50" s="427"/>
      <c r="Q50" s="427"/>
      <c r="W50" s="427"/>
      <c r="X50" s="427"/>
    </row>
    <row r="51" spans="15:24" ht="15.75" customHeight="1" x14ac:dyDescent="0.3">
      <c r="O51" s="427"/>
      <c r="Q51" s="427"/>
      <c r="W51" s="427"/>
      <c r="X51" s="427"/>
    </row>
    <row r="52" spans="15:24" ht="15.75" customHeight="1" x14ac:dyDescent="0.3">
      <c r="O52" s="427"/>
      <c r="Q52" s="427"/>
      <c r="W52" s="427"/>
    </row>
    <row r="53" spans="15:24" ht="15.75" customHeight="1" x14ac:dyDescent="0.3">
      <c r="O53" s="427"/>
      <c r="Q53" s="427"/>
      <c r="W53" s="427"/>
    </row>
    <row r="54" spans="15:24" ht="15.75" customHeight="1" x14ac:dyDescent="0.3">
      <c r="O54" s="427"/>
      <c r="Q54" s="427"/>
      <c r="W54" s="427"/>
    </row>
    <row r="55" spans="15:24" ht="15.75" customHeight="1" x14ac:dyDescent="0.3">
      <c r="O55" s="427"/>
      <c r="Q55" s="427"/>
      <c r="W55" s="427"/>
    </row>
    <row r="56" spans="15:24" ht="15.75" customHeight="1" x14ac:dyDescent="0.3">
      <c r="O56" s="427"/>
      <c r="Q56" s="427"/>
      <c r="W56" s="427"/>
    </row>
    <row r="57" spans="15:24" ht="15.75" customHeight="1" x14ac:dyDescent="0.3">
      <c r="O57" s="427"/>
      <c r="Q57" s="427"/>
      <c r="W57" s="427"/>
    </row>
    <row r="58" spans="15:24" ht="15.75" customHeight="1" x14ac:dyDescent="0.3">
      <c r="O58" s="427"/>
      <c r="Q58" s="427"/>
      <c r="W58" s="427"/>
    </row>
    <row r="59" spans="15:24" ht="15.75" customHeight="1" x14ac:dyDescent="0.3">
      <c r="O59" s="427"/>
      <c r="Q59" s="427"/>
      <c r="W59" s="427"/>
    </row>
    <row r="60" spans="15:24" ht="15.75" customHeight="1" x14ac:dyDescent="0.3">
      <c r="O60" s="427"/>
      <c r="Q60" s="427"/>
      <c r="W60" s="427"/>
    </row>
    <row r="61" spans="15:24" ht="15.75" customHeight="1" x14ac:dyDescent="0.3">
      <c r="O61" s="427"/>
      <c r="Q61" s="427"/>
      <c r="W61" s="427"/>
    </row>
    <row r="62" spans="15:24" ht="15.75" customHeight="1" x14ac:dyDescent="0.3">
      <c r="O62" s="427"/>
      <c r="Q62" s="427"/>
      <c r="W62" s="427"/>
    </row>
    <row r="63" spans="15:24" ht="15.75" customHeight="1" x14ac:dyDescent="0.3">
      <c r="O63" s="427"/>
      <c r="Q63" s="427"/>
      <c r="W63" s="427"/>
    </row>
    <row r="64" spans="15:24" ht="15.75" customHeight="1" x14ac:dyDescent="0.3">
      <c r="O64" s="427"/>
      <c r="Q64" s="427"/>
      <c r="W64" s="427"/>
    </row>
    <row r="65" spans="15:23" ht="15.75" customHeight="1" x14ac:dyDescent="0.3">
      <c r="O65" s="427"/>
      <c r="Q65" s="427"/>
      <c r="W65" s="427"/>
    </row>
    <row r="66" spans="15:23" ht="15.75" customHeight="1" x14ac:dyDescent="0.3">
      <c r="O66" s="427"/>
      <c r="Q66" s="427"/>
      <c r="W66" s="427"/>
    </row>
    <row r="67" spans="15:23" ht="15.75" customHeight="1" x14ac:dyDescent="0.3">
      <c r="O67" s="427"/>
      <c r="Q67" s="427"/>
      <c r="W67" s="427"/>
    </row>
    <row r="68" spans="15:23" ht="15.75" customHeight="1" x14ac:dyDescent="0.3">
      <c r="O68" s="427"/>
      <c r="Q68" s="427"/>
      <c r="W68" s="427"/>
    </row>
    <row r="69" spans="15:23" ht="15.75" customHeight="1" x14ac:dyDescent="0.3">
      <c r="O69" s="427"/>
      <c r="Q69" s="427"/>
      <c r="W69" s="427"/>
    </row>
    <row r="70" spans="15:23" ht="15.75" customHeight="1" x14ac:dyDescent="0.3">
      <c r="O70" s="427"/>
      <c r="Q70" s="427"/>
      <c r="W70" s="427"/>
    </row>
    <row r="71" spans="15:23" ht="15.75" customHeight="1" x14ac:dyDescent="0.3">
      <c r="O71" s="427"/>
      <c r="Q71" s="427"/>
      <c r="W71" s="427"/>
    </row>
    <row r="72" spans="15:23" ht="15.75" customHeight="1" x14ac:dyDescent="0.3">
      <c r="O72" s="427"/>
      <c r="Q72" s="427"/>
      <c r="W72" s="427"/>
    </row>
    <row r="73" spans="15:23" ht="15.75" customHeight="1" x14ac:dyDescent="0.3">
      <c r="O73" s="427"/>
      <c r="Q73" s="427"/>
      <c r="W73" s="427"/>
    </row>
    <row r="74" spans="15:23" ht="15.75" customHeight="1" x14ac:dyDescent="0.3">
      <c r="O74" s="427"/>
      <c r="Q74" s="427"/>
      <c r="W74" s="427"/>
    </row>
    <row r="75" spans="15:23" ht="15.75" customHeight="1" x14ac:dyDescent="0.3">
      <c r="O75" s="427"/>
      <c r="Q75" s="427"/>
      <c r="W75" s="427"/>
    </row>
    <row r="76" spans="15:23" ht="15.75" customHeight="1" x14ac:dyDescent="0.3">
      <c r="O76" s="427"/>
      <c r="Q76" s="427"/>
      <c r="W76" s="427"/>
    </row>
    <row r="77" spans="15:23" ht="15.75" customHeight="1" x14ac:dyDescent="0.3">
      <c r="O77" s="427"/>
      <c r="Q77" s="427"/>
      <c r="W77" s="427"/>
    </row>
    <row r="78" spans="15:23" ht="15.75" customHeight="1" x14ac:dyDescent="0.3">
      <c r="O78" s="427"/>
      <c r="Q78" s="427"/>
      <c r="W78" s="427"/>
    </row>
    <row r="79" spans="15:23" ht="15.75" customHeight="1" x14ac:dyDescent="0.3">
      <c r="O79" s="427"/>
      <c r="Q79" s="427"/>
      <c r="W79" s="427"/>
    </row>
    <row r="80" spans="15:23" ht="15.75" customHeight="1" x14ac:dyDescent="0.3">
      <c r="O80" s="427"/>
      <c r="Q80" s="427"/>
      <c r="W80" s="427"/>
    </row>
    <row r="81" spans="15:23" ht="15.75" customHeight="1" x14ac:dyDescent="0.3">
      <c r="O81" s="427"/>
      <c r="Q81" s="427"/>
      <c r="W81" s="427"/>
    </row>
    <row r="82" spans="15:23" ht="15.75" customHeight="1" x14ac:dyDescent="0.3">
      <c r="O82" s="427"/>
      <c r="Q82" s="427"/>
      <c r="W82" s="427"/>
    </row>
    <row r="83" spans="15:23" ht="15.75" customHeight="1" x14ac:dyDescent="0.3">
      <c r="O83" s="427"/>
      <c r="Q83" s="427"/>
      <c r="W83" s="427"/>
    </row>
    <row r="84" spans="15:23" ht="15.75" customHeight="1" x14ac:dyDescent="0.3">
      <c r="O84" s="427"/>
      <c r="Q84" s="427"/>
      <c r="W84" s="427"/>
    </row>
    <row r="85" spans="15:23" ht="15.75" customHeight="1" x14ac:dyDescent="0.3">
      <c r="O85" s="427"/>
      <c r="Q85" s="427"/>
      <c r="W85" s="427"/>
    </row>
    <row r="86" spans="15:23" ht="15.75" customHeight="1" x14ac:dyDescent="0.3">
      <c r="O86" s="427"/>
      <c r="Q86" s="427"/>
      <c r="W86" s="427"/>
    </row>
    <row r="87" spans="15:23" ht="15.75" customHeight="1" x14ac:dyDescent="0.3">
      <c r="O87" s="427"/>
      <c r="Q87" s="427"/>
      <c r="W87" s="427"/>
    </row>
    <row r="88" spans="15:23" ht="15.75" customHeight="1" x14ac:dyDescent="0.3">
      <c r="O88" s="427"/>
      <c r="Q88" s="427"/>
      <c r="W88" s="427"/>
    </row>
    <row r="89" spans="15:23" ht="15.75" customHeight="1" x14ac:dyDescent="0.3">
      <c r="O89" s="427"/>
      <c r="Q89" s="427"/>
      <c r="W89" s="427"/>
    </row>
    <row r="90" spans="15:23" ht="15.75" customHeight="1" x14ac:dyDescent="0.3">
      <c r="O90" s="427"/>
      <c r="Q90" s="427"/>
      <c r="W90" s="427"/>
    </row>
    <row r="91" spans="15:23" ht="15.75" customHeight="1" x14ac:dyDescent="0.3">
      <c r="O91" s="427"/>
      <c r="Q91" s="427"/>
      <c r="W91" s="427"/>
    </row>
    <row r="92" spans="15:23" ht="15.75" customHeight="1" x14ac:dyDescent="0.3">
      <c r="O92" s="427"/>
      <c r="Q92" s="427"/>
      <c r="W92" s="427"/>
    </row>
    <row r="93" spans="15:23" ht="15.75" customHeight="1" x14ac:dyDescent="0.3">
      <c r="O93" s="427"/>
      <c r="Q93" s="427"/>
      <c r="W93" s="427"/>
    </row>
    <row r="94" spans="15:23" ht="15.75" customHeight="1" x14ac:dyDescent="0.3">
      <c r="O94" s="427"/>
      <c r="Q94" s="427"/>
      <c r="W94" s="427"/>
    </row>
    <row r="95" spans="15:23" ht="15.75" customHeight="1" x14ac:dyDescent="0.3">
      <c r="O95" s="427"/>
      <c r="Q95" s="427"/>
      <c r="W95" s="427"/>
    </row>
    <row r="96" spans="15:23" ht="15.75" customHeight="1" x14ac:dyDescent="0.3">
      <c r="O96" s="427"/>
      <c r="Q96" s="427"/>
      <c r="W96" s="427"/>
    </row>
    <row r="97" spans="15:23" ht="15.75" customHeight="1" x14ac:dyDescent="0.3">
      <c r="O97" s="427"/>
      <c r="Q97" s="427"/>
      <c r="W97" s="427"/>
    </row>
    <row r="98" spans="15:23" ht="15.75" customHeight="1" x14ac:dyDescent="0.3">
      <c r="O98" s="427"/>
      <c r="Q98" s="427"/>
      <c r="W98" s="427"/>
    </row>
    <row r="99" spans="15:23" ht="15.75" customHeight="1" x14ac:dyDescent="0.3">
      <c r="O99" s="427"/>
      <c r="Q99" s="427"/>
      <c r="W99" s="427"/>
    </row>
    <row r="100" spans="15:23" ht="15.75" customHeight="1" x14ac:dyDescent="0.3">
      <c r="O100" s="427"/>
      <c r="Q100" s="427"/>
      <c r="W100" s="427"/>
    </row>
    <row r="101" spans="15:23" ht="15.75" customHeight="1" x14ac:dyDescent="0.3">
      <c r="O101" s="427"/>
      <c r="Q101" s="427"/>
      <c r="W101" s="427"/>
    </row>
    <row r="102" spans="15:23" ht="15.75" customHeight="1" x14ac:dyDescent="0.3">
      <c r="O102" s="427"/>
      <c r="Q102" s="427"/>
      <c r="W102" s="427"/>
    </row>
    <row r="103" spans="15:23" ht="15.75" customHeight="1" x14ac:dyDescent="0.3">
      <c r="O103" s="427"/>
      <c r="Q103" s="427"/>
      <c r="W103" s="427"/>
    </row>
    <row r="104" spans="15:23" ht="15.75" customHeight="1" x14ac:dyDescent="0.3">
      <c r="O104" s="427"/>
      <c r="Q104" s="427"/>
      <c r="W104" s="427"/>
    </row>
    <row r="105" spans="15:23" ht="15.75" customHeight="1" x14ac:dyDescent="0.3">
      <c r="O105" s="427"/>
      <c r="Q105" s="427"/>
      <c r="W105" s="427"/>
    </row>
    <row r="106" spans="15:23" ht="15.75" customHeight="1" x14ac:dyDescent="0.3">
      <c r="O106" s="427"/>
      <c r="Q106" s="427"/>
      <c r="W106" s="427"/>
    </row>
    <row r="107" spans="15:23" ht="15.75" customHeight="1" x14ac:dyDescent="0.3">
      <c r="O107" s="427"/>
      <c r="Q107" s="427"/>
      <c r="W107" s="427"/>
    </row>
    <row r="108" spans="15:23" ht="15.75" customHeight="1" x14ac:dyDescent="0.3">
      <c r="O108" s="427"/>
      <c r="Q108" s="427"/>
      <c r="W108" s="427"/>
    </row>
    <row r="109" spans="15:23" ht="15.75" customHeight="1" x14ac:dyDescent="0.3">
      <c r="O109" s="427"/>
      <c r="Q109" s="427"/>
      <c r="W109" s="427"/>
    </row>
    <row r="110" spans="15:23" ht="15.75" customHeight="1" x14ac:dyDescent="0.3">
      <c r="O110" s="427"/>
      <c r="Q110" s="427"/>
      <c r="W110" s="427"/>
    </row>
    <row r="111" spans="15:23" ht="15.75" customHeight="1" x14ac:dyDescent="0.3">
      <c r="O111" s="427"/>
      <c r="Q111" s="427"/>
      <c r="W111" s="427"/>
    </row>
    <row r="112" spans="15:23" ht="15.75" customHeight="1" x14ac:dyDescent="0.3">
      <c r="O112" s="427"/>
      <c r="Q112" s="427"/>
      <c r="W112" s="427"/>
    </row>
    <row r="113" spans="15:23" ht="15.75" customHeight="1" x14ac:dyDescent="0.3">
      <c r="O113" s="427"/>
      <c r="Q113" s="427"/>
      <c r="W113" s="427"/>
    </row>
    <row r="114" spans="15:23" ht="15.75" customHeight="1" x14ac:dyDescent="0.3">
      <c r="O114" s="427"/>
      <c r="Q114" s="427"/>
      <c r="W114" s="427"/>
    </row>
    <row r="115" spans="15:23" ht="15.75" customHeight="1" x14ac:dyDescent="0.3">
      <c r="O115" s="427"/>
      <c r="Q115" s="427"/>
      <c r="W115" s="427"/>
    </row>
    <row r="116" spans="15:23" ht="15.75" customHeight="1" x14ac:dyDescent="0.3">
      <c r="O116" s="427"/>
      <c r="Q116" s="427"/>
      <c r="W116" s="427"/>
    </row>
    <row r="117" spans="15:23" ht="15.75" customHeight="1" x14ac:dyDescent="0.3">
      <c r="O117" s="427"/>
      <c r="Q117" s="427"/>
      <c r="W117" s="427"/>
    </row>
    <row r="118" spans="15:23" ht="15.75" customHeight="1" x14ac:dyDescent="0.3">
      <c r="O118" s="427"/>
      <c r="Q118" s="427"/>
      <c r="W118" s="427"/>
    </row>
    <row r="119" spans="15:23" ht="15.75" customHeight="1" x14ac:dyDescent="0.3">
      <c r="O119" s="427"/>
      <c r="Q119" s="427"/>
      <c r="W119" s="427"/>
    </row>
    <row r="120" spans="15:23" ht="15.75" customHeight="1" x14ac:dyDescent="0.3">
      <c r="O120" s="427"/>
      <c r="Q120" s="427"/>
      <c r="W120" s="427"/>
    </row>
    <row r="121" spans="15:23" ht="15.75" customHeight="1" x14ac:dyDescent="0.3">
      <c r="O121" s="427"/>
      <c r="Q121" s="427"/>
      <c r="W121" s="427"/>
    </row>
    <row r="122" spans="15:23" ht="15.75" customHeight="1" x14ac:dyDescent="0.3">
      <c r="O122" s="427"/>
      <c r="Q122" s="427"/>
      <c r="W122" s="427"/>
    </row>
    <row r="123" spans="15:23" ht="15.75" customHeight="1" x14ac:dyDescent="0.3">
      <c r="O123" s="427"/>
      <c r="Q123" s="427"/>
      <c r="W123" s="427"/>
    </row>
    <row r="124" spans="15:23" ht="15.75" customHeight="1" x14ac:dyDescent="0.3">
      <c r="O124" s="427"/>
      <c r="Q124" s="427"/>
      <c r="W124" s="427"/>
    </row>
    <row r="125" spans="15:23" ht="15.75" customHeight="1" x14ac:dyDescent="0.3">
      <c r="O125" s="427"/>
      <c r="Q125" s="427"/>
      <c r="W125" s="427"/>
    </row>
    <row r="126" spans="15:23" ht="15.75" customHeight="1" x14ac:dyDescent="0.3">
      <c r="O126" s="427"/>
      <c r="Q126" s="427"/>
      <c r="W126" s="427"/>
    </row>
    <row r="127" spans="15:23" ht="15.75" customHeight="1" x14ac:dyDescent="0.3">
      <c r="O127" s="427"/>
      <c r="Q127" s="427"/>
      <c r="W127" s="427"/>
    </row>
    <row r="128" spans="15:23" ht="15.75" customHeight="1" x14ac:dyDescent="0.3">
      <c r="O128" s="427"/>
      <c r="Q128" s="427"/>
      <c r="W128" s="427"/>
    </row>
    <row r="129" spans="15:23" ht="15.75" customHeight="1" x14ac:dyDescent="0.3">
      <c r="O129" s="427"/>
      <c r="Q129" s="427"/>
      <c r="W129" s="427"/>
    </row>
    <row r="130" spans="15:23" ht="15.75" customHeight="1" x14ac:dyDescent="0.3">
      <c r="O130" s="427"/>
      <c r="Q130" s="427"/>
      <c r="W130" s="427"/>
    </row>
    <row r="131" spans="15:23" ht="15.75" customHeight="1" x14ac:dyDescent="0.3">
      <c r="O131" s="427"/>
      <c r="Q131" s="427"/>
      <c r="W131" s="427"/>
    </row>
    <row r="132" spans="15:23" ht="15.75" customHeight="1" x14ac:dyDescent="0.3">
      <c r="O132" s="427"/>
      <c r="Q132" s="427"/>
      <c r="W132" s="427"/>
    </row>
    <row r="133" spans="15:23" ht="15.75" customHeight="1" x14ac:dyDescent="0.3">
      <c r="O133" s="427"/>
      <c r="Q133" s="427"/>
      <c r="W133" s="427"/>
    </row>
    <row r="134" spans="15:23" ht="15.75" customHeight="1" x14ac:dyDescent="0.3">
      <c r="O134" s="427"/>
      <c r="Q134" s="427"/>
      <c r="W134" s="427"/>
    </row>
    <row r="135" spans="15:23" ht="15.75" customHeight="1" x14ac:dyDescent="0.3">
      <c r="O135" s="427"/>
      <c r="Q135" s="427"/>
      <c r="W135" s="427"/>
    </row>
    <row r="136" spans="15:23" ht="15.75" customHeight="1" x14ac:dyDescent="0.3">
      <c r="O136" s="427"/>
      <c r="Q136" s="427"/>
      <c r="W136" s="427"/>
    </row>
    <row r="137" spans="15:23" ht="15.75" customHeight="1" x14ac:dyDescent="0.3">
      <c r="O137" s="427"/>
      <c r="Q137" s="427"/>
      <c r="W137" s="427"/>
    </row>
    <row r="138" spans="15:23" ht="15.75" customHeight="1" x14ac:dyDescent="0.3">
      <c r="O138" s="427"/>
      <c r="Q138" s="427"/>
      <c r="W138" s="427"/>
    </row>
    <row r="139" spans="15:23" ht="15.75" customHeight="1" x14ac:dyDescent="0.3">
      <c r="O139" s="427"/>
      <c r="Q139" s="427"/>
      <c r="W139" s="427"/>
    </row>
    <row r="140" spans="15:23" ht="15.75" customHeight="1" x14ac:dyDescent="0.3">
      <c r="O140" s="427"/>
      <c r="Q140" s="427"/>
      <c r="W140" s="427"/>
    </row>
    <row r="141" spans="15:23" ht="15.75" customHeight="1" x14ac:dyDescent="0.3">
      <c r="O141" s="427"/>
      <c r="Q141" s="427"/>
      <c r="W141" s="427"/>
    </row>
    <row r="142" spans="15:23" ht="15.75" customHeight="1" x14ac:dyDescent="0.3">
      <c r="O142" s="427"/>
      <c r="Q142" s="427"/>
      <c r="W142" s="427"/>
    </row>
    <row r="143" spans="15:23" ht="15.75" customHeight="1" x14ac:dyDescent="0.3">
      <c r="O143" s="427"/>
      <c r="Q143" s="427"/>
      <c r="W143" s="427"/>
    </row>
    <row r="144" spans="15:23" ht="15.75" customHeight="1" x14ac:dyDescent="0.3">
      <c r="O144" s="427"/>
      <c r="Q144" s="427"/>
      <c r="W144" s="427"/>
    </row>
    <row r="145" spans="15:23" ht="15.75" customHeight="1" x14ac:dyDescent="0.3">
      <c r="O145" s="427"/>
      <c r="Q145" s="427"/>
      <c r="W145" s="427"/>
    </row>
    <row r="146" spans="15:23" ht="15.75" customHeight="1" x14ac:dyDescent="0.3">
      <c r="O146" s="427"/>
      <c r="Q146" s="427"/>
      <c r="W146" s="427"/>
    </row>
    <row r="147" spans="15:23" ht="15.75" customHeight="1" x14ac:dyDescent="0.3">
      <c r="O147" s="427"/>
      <c r="Q147" s="427"/>
      <c r="W147" s="427"/>
    </row>
    <row r="148" spans="15:23" ht="15.75" customHeight="1" x14ac:dyDescent="0.3">
      <c r="O148" s="427"/>
      <c r="Q148" s="427"/>
      <c r="W148" s="427"/>
    </row>
    <row r="149" spans="15:23" ht="15.75" customHeight="1" x14ac:dyDescent="0.3">
      <c r="O149" s="427"/>
      <c r="Q149" s="427"/>
      <c r="W149" s="427"/>
    </row>
    <row r="150" spans="15:23" ht="15.75" customHeight="1" x14ac:dyDescent="0.3">
      <c r="O150" s="427"/>
      <c r="Q150" s="427"/>
      <c r="W150" s="427"/>
    </row>
    <row r="151" spans="15:23" ht="15.75" customHeight="1" x14ac:dyDescent="0.3">
      <c r="O151" s="427"/>
      <c r="Q151" s="427"/>
      <c r="W151" s="427"/>
    </row>
    <row r="152" spans="15:23" ht="15.75" customHeight="1" x14ac:dyDescent="0.3">
      <c r="O152" s="427"/>
      <c r="Q152" s="427"/>
      <c r="W152" s="427"/>
    </row>
    <row r="153" spans="15:23" ht="15.75" customHeight="1" x14ac:dyDescent="0.3">
      <c r="O153" s="427"/>
      <c r="Q153" s="427"/>
      <c r="W153" s="427"/>
    </row>
    <row r="154" spans="15:23" ht="15.75" customHeight="1" x14ac:dyDescent="0.3">
      <c r="O154" s="427"/>
      <c r="Q154" s="427"/>
      <c r="W154" s="427"/>
    </row>
    <row r="155" spans="15:23" ht="15.75" customHeight="1" x14ac:dyDescent="0.3">
      <c r="O155" s="427"/>
      <c r="Q155" s="427"/>
      <c r="W155" s="427"/>
    </row>
    <row r="156" spans="15:23" ht="15.75" customHeight="1" x14ac:dyDescent="0.3">
      <c r="O156" s="427"/>
      <c r="Q156" s="427"/>
      <c r="W156" s="427"/>
    </row>
    <row r="157" spans="15:23" ht="15.75" customHeight="1" x14ac:dyDescent="0.3">
      <c r="O157" s="427"/>
      <c r="Q157" s="427"/>
      <c r="W157" s="427"/>
    </row>
    <row r="158" spans="15:23" ht="15.75" customHeight="1" x14ac:dyDescent="0.3">
      <c r="O158" s="427"/>
      <c r="Q158" s="427"/>
      <c r="W158" s="427"/>
    </row>
    <row r="159" spans="15:23" ht="15.75" customHeight="1" x14ac:dyDescent="0.3">
      <c r="O159" s="427"/>
      <c r="Q159" s="427"/>
      <c r="W159" s="427"/>
    </row>
    <row r="160" spans="15:23" ht="15.75" customHeight="1" x14ac:dyDescent="0.3">
      <c r="O160" s="427"/>
      <c r="Q160" s="427"/>
      <c r="W160" s="427"/>
    </row>
    <row r="161" spans="15:23" ht="15.75" customHeight="1" x14ac:dyDescent="0.3">
      <c r="O161" s="427"/>
      <c r="Q161" s="427"/>
      <c r="W161" s="427"/>
    </row>
    <row r="162" spans="15:23" ht="15.75" customHeight="1" x14ac:dyDescent="0.3">
      <c r="O162" s="427"/>
      <c r="Q162" s="427"/>
      <c r="W162" s="427"/>
    </row>
    <row r="163" spans="15:23" ht="15.75" customHeight="1" x14ac:dyDescent="0.3">
      <c r="O163" s="427"/>
      <c r="Q163" s="427"/>
      <c r="W163" s="427"/>
    </row>
    <row r="164" spans="15:23" ht="15.75" customHeight="1" x14ac:dyDescent="0.3">
      <c r="O164" s="427"/>
      <c r="Q164" s="427"/>
      <c r="W164" s="427"/>
    </row>
    <row r="165" spans="15:23" ht="15.75" customHeight="1" x14ac:dyDescent="0.3">
      <c r="O165" s="427"/>
      <c r="Q165" s="427"/>
      <c r="W165" s="427"/>
    </row>
    <row r="166" spans="15:23" ht="15.75" customHeight="1" x14ac:dyDescent="0.3">
      <c r="O166" s="427"/>
      <c r="Q166" s="427"/>
      <c r="W166" s="427"/>
    </row>
    <row r="167" spans="15:23" ht="15.75" customHeight="1" x14ac:dyDescent="0.3">
      <c r="O167" s="427"/>
      <c r="Q167" s="427"/>
      <c r="W167" s="427"/>
    </row>
    <row r="168" spans="15:23" ht="15.75" customHeight="1" x14ac:dyDescent="0.3">
      <c r="O168" s="427"/>
      <c r="Q168" s="427"/>
      <c r="W168" s="427"/>
    </row>
    <row r="169" spans="15:23" ht="15.75" customHeight="1" x14ac:dyDescent="0.3">
      <c r="O169" s="427"/>
      <c r="Q169" s="427"/>
      <c r="W169" s="427"/>
    </row>
    <row r="170" spans="15:23" ht="15.75" customHeight="1" x14ac:dyDescent="0.3">
      <c r="O170" s="427"/>
      <c r="Q170" s="427"/>
      <c r="W170" s="427"/>
    </row>
    <row r="171" spans="15:23" ht="15.75" customHeight="1" x14ac:dyDescent="0.3">
      <c r="O171" s="427"/>
      <c r="Q171" s="427"/>
      <c r="W171" s="427"/>
    </row>
    <row r="172" spans="15:23" ht="15.75" customHeight="1" x14ac:dyDescent="0.3">
      <c r="O172" s="427"/>
      <c r="Q172" s="427"/>
      <c r="W172" s="427"/>
    </row>
    <row r="173" spans="15:23" ht="15.75" customHeight="1" x14ac:dyDescent="0.3">
      <c r="O173" s="427"/>
      <c r="Q173" s="427"/>
      <c r="W173" s="427"/>
    </row>
    <row r="174" spans="15:23" ht="15.75" customHeight="1" x14ac:dyDescent="0.3">
      <c r="O174" s="427"/>
      <c r="Q174" s="427"/>
      <c r="W174" s="427"/>
    </row>
    <row r="175" spans="15:23" ht="15.75" customHeight="1" x14ac:dyDescent="0.3">
      <c r="O175" s="427"/>
      <c r="Q175" s="427"/>
      <c r="W175" s="427"/>
    </row>
    <row r="176" spans="15:23" ht="15.75" customHeight="1" x14ac:dyDescent="0.3">
      <c r="O176" s="427"/>
      <c r="Q176" s="427"/>
      <c r="W176" s="427"/>
    </row>
    <row r="177" spans="15:23" ht="15.75" customHeight="1" x14ac:dyDescent="0.3">
      <c r="O177" s="427"/>
      <c r="Q177" s="427"/>
      <c r="W177" s="427"/>
    </row>
    <row r="178" spans="15:23" ht="15.75" customHeight="1" x14ac:dyDescent="0.3">
      <c r="O178" s="427"/>
      <c r="Q178" s="427"/>
      <c r="W178" s="427"/>
    </row>
    <row r="179" spans="15:23" ht="15.75" customHeight="1" x14ac:dyDescent="0.3">
      <c r="O179" s="427"/>
      <c r="Q179" s="427"/>
      <c r="W179" s="427"/>
    </row>
    <row r="180" spans="15:23" ht="15.75" customHeight="1" x14ac:dyDescent="0.3">
      <c r="O180" s="427"/>
      <c r="Q180" s="427"/>
      <c r="W180" s="427"/>
    </row>
    <row r="181" spans="15:23" ht="15.75" customHeight="1" x14ac:dyDescent="0.3">
      <c r="O181" s="427"/>
      <c r="Q181" s="427"/>
      <c r="W181" s="427"/>
    </row>
    <row r="182" spans="15:23" ht="15.75" customHeight="1" x14ac:dyDescent="0.3">
      <c r="O182" s="427"/>
      <c r="Q182" s="427"/>
      <c r="W182" s="427"/>
    </row>
    <row r="183" spans="15:23" ht="15.75" customHeight="1" x14ac:dyDescent="0.3">
      <c r="O183" s="427"/>
      <c r="Q183" s="427"/>
      <c r="W183" s="427"/>
    </row>
    <row r="184" spans="15:23" ht="15.75" customHeight="1" x14ac:dyDescent="0.3">
      <c r="O184" s="427"/>
      <c r="Q184" s="427"/>
      <c r="W184" s="427"/>
    </row>
    <row r="185" spans="15:23" ht="15.75" customHeight="1" x14ac:dyDescent="0.3">
      <c r="O185" s="427"/>
      <c r="Q185" s="427"/>
      <c r="W185" s="427"/>
    </row>
    <row r="186" spans="15:23" ht="15.75" customHeight="1" x14ac:dyDescent="0.3">
      <c r="O186" s="427"/>
      <c r="Q186" s="427"/>
      <c r="W186" s="427"/>
    </row>
    <row r="187" spans="15:23" ht="15.75" customHeight="1" x14ac:dyDescent="0.3">
      <c r="O187" s="427"/>
      <c r="Q187" s="427"/>
      <c r="W187" s="427"/>
    </row>
    <row r="188" spans="15:23" ht="15.75" customHeight="1" x14ac:dyDescent="0.3">
      <c r="O188" s="427"/>
      <c r="Q188" s="427"/>
      <c r="W188" s="427"/>
    </row>
    <row r="189" spans="15:23" ht="15.75" customHeight="1" x14ac:dyDescent="0.3">
      <c r="O189" s="427"/>
      <c r="Q189" s="427"/>
      <c r="W189" s="427"/>
    </row>
    <row r="190" spans="15:23" ht="15.75" customHeight="1" x14ac:dyDescent="0.3">
      <c r="O190" s="427"/>
      <c r="Q190" s="427"/>
      <c r="W190" s="427"/>
    </row>
    <row r="191" spans="15:23" ht="15.75" customHeight="1" x14ac:dyDescent="0.3">
      <c r="O191" s="427"/>
      <c r="Q191" s="427"/>
      <c r="W191" s="427"/>
    </row>
    <row r="192" spans="15:23" ht="15.75" customHeight="1" x14ac:dyDescent="0.3">
      <c r="O192" s="427"/>
      <c r="Q192" s="427"/>
      <c r="W192" s="427"/>
    </row>
    <row r="193" spans="15:23" ht="15.75" customHeight="1" x14ac:dyDescent="0.3">
      <c r="O193" s="427"/>
      <c r="Q193" s="427"/>
      <c r="W193" s="427"/>
    </row>
    <row r="194" spans="15:23" ht="15.75" customHeight="1" x14ac:dyDescent="0.3">
      <c r="O194" s="427"/>
      <c r="Q194" s="427"/>
      <c r="W194" s="427"/>
    </row>
    <row r="195" spans="15:23" ht="15.75" customHeight="1" x14ac:dyDescent="0.3">
      <c r="O195" s="427"/>
      <c r="Q195" s="427"/>
      <c r="W195" s="427"/>
    </row>
    <row r="196" spans="15:23" ht="15.75" customHeight="1" x14ac:dyDescent="0.3">
      <c r="O196" s="427"/>
      <c r="Q196" s="427"/>
      <c r="W196" s="427"/>
    </row>
    <row r="197" spans="15:23" ht="15.75" customHeight="1" x14ac:dyDescent="0.3">
      <c r="O197" s="427"/>
      <c r="Q197" s="427"/>
      <c r="W197" s="427"/>
    </row>
    <row r="198" spans="15:23" ht="15.75" customHeight="1" x14ac:dyDescent="0.3">
      <c r="O198" s="427"/>
      <c r="Q198" s="427"/>
      <c r="W198" s="427"/>
    </row>
    <row r="199" spans="15:23" ht="15.75" customHeight="1" x14ac:dyDescent="0.3">
      <c r="O199" s="427"/>
      <c r="Q199" s="427"/>
      <c r="W199" s="427"/>
    </row>
    <row r="200" spans="15:23" ht="15.75" customHeight="1" x14ac:dyDescent="0.3">
      <c r="O200" s="427"/>
      <c r="Q200" s="427"/>
      <c r="W200" s="427"/>
    </row>
    <row r="201" spans="15:23" ht="15.75" customHeight="1" x14ac:dyDescent="0.3">
      <c r="O201" s="427"/>
      <c r="Q201" s="427"/>
      <c r="W201" s="427"/>
    </row>
    <row r="202" spans="15:23" ht="15.75" customHeight="1" x14ac:dyDescent="0.3">
      <c r="O202" s="427"/>
      <c r="Q202" s="427"/>
      <c r="W202" s="427"/>
    </row>
    <row r="203" spans="15:23" ht="15.75" customHeight="1" x14ac:dyDescent="0.3">
      <c r="O203" s="427"/>
      <c r="Q203" s="427"/>
      <c r="W203" s="427"/>
    </row>
    <row r="204" spans="15:23" ht="15.75" customHeight="1" x14ac:dyDescent="0.3">
      <c r="O204" s="427"/>
      <c r="Q204" s="427"/>
      <c r="W204" s="427"/>
    </row>
    <row r="205" spans="15:23" ht="15.75" customHeight="1" x14ac:dyDescent="0.3">
      <c r="O205" s="427"/>
      <c r="Q205" s="427"/>
      <c r="W205" s="427"/>
    </row>
    <row r="206" spans="15:23" ht="15.75" customHeight="1" x14ac:dyDescent="0.3">
      <c r="O206" s="427"/>
      <c r="Q206" s="427"/>
      <c r="W206" s="427"/>
    </row>
    <row r="207" spans="15:23" ht="15.75" customHeight="1" x14ac:dyDescent="0.3">
      <c r="O207" s="427"/>
      <c r="Q207" s="427"/>
      <c r="W207" s="427"/>
    </row>
    <row r="208" spans="15:23" ht="15.75" customHeight="1" x14ac:dyDescent="0.3">
      <c r="O208" s="427"/>
      <c r="Q208" s="427"/>
      <c r="W208" s="427"/>
    </row>
    <row r="209" spans="15:23" ht="15.75" customHeight="1" x14ac:dyDescent="0.3">
      <c r="O209" s="427"/>
      <c r="Q209" s="427"/>
      <c r="W209" s="427"/>
    </row>
    <row r="210" spans="15:23" ht="15.75" customHeight="1" x14ac:dyDescent="0.3">
      <c r="O210" s="427"/>
      <c r="Q210" s="427"/>
      <c r="W210" s="427"/>
    </row>
    <row r="211" spans="15:23" ht="15.75" customHeight="1" x14ac:dyDescent="0.3">
      <c r="O211" s="427"/>
      <c r="Q211" s="427"/>
      <c r="W211" s="427"/>
    </row>
    <row r="212" spans="15:23" ht="15.75" customHeight="1" x14ac:dyDescent="0.3">
      <c r="O212" s="427"/>
      <c r="Q212" s="427"/>
      <c r="W212" s="427"/>
    </row>
    <row r="213" spans="15:23" ht="15.75" customHeight="1" x14ac:dyDescent="0.3">
      <c r="O213" s="427"/>
      <c r="Q213" s="427"/>
      <c r="W213" s="427"/>
    </row>
    <row r="214" spans="15:23" ht="15.75" customHeight="1" x14ac:dyDescent="0.3">
      <c r="O214" s="427"/>
      <c r="Q214" s="427"/>
      <c r="W214" s="427"/>
    </row>
    <row r="215" spans="15:23" ht="15.75" customHeight="1" x14ac:dyDescent="0.3">
      <c r="O215" s="427"/>
      <c r="Q215" s="427"/>
      <c r="W215" s="427"/>
    </row>
    <row r="216" spans="15:23" ht="15.75" customHeight="1" x14ac:dyDescent="0.3">
      <c r="O216" s="427"/>
      <c r="Q216" s="427"/>
      <c r="W216" s="427"/>
    </row>
    <row r="217" spans="15:23" ht="15.75" customHeight="1" x14ac:dyDescent="0.3">
      <c r="O217" s="427"/>
      <c r="Q217" s="427"/>
      <c r="W217" s="427"/>
    </row>
    <row r="218" spans="15:23" ht="15.75" customHeight="1" x14ac:dyDescent="0.3">
      <c r="O218" s="427"/>
      <c r="Q218" s="427"/>
      <c r="W218" s="427"/>
    </row>
    <row r="219" spans="15:23" ht="15.75" customHeight="1" x14ac:dyDescent="0.3">
      <c r="O219" s="427"/>
      <c r="Q219" s="427"/>
      <c r="W219" s="427"/>
    </row>
    <row r="220" spans="15:23" ht="15.75" customHeight="1" x14ac:dyDescent="0.3">
      <c r="O220" s="427"/>
      <c r="Q220" s="427"/>
      <c r="W220" s="427"/>
    </row>
    <row r="221" spans="15:23" ht="15.75" customHeight="1" x14ac:dyDescent="0.3">
      <c r="O221" s="427"/>
      <c r="Q221" s="427"/>
      <c r="W221" s="427"/>
    </row>
    <row r="222" spans="15:23" ht="15.75" customHeight="1" x14ac:dyDescent="0.3">
      <c r="O222" s="427"/>
      <c r="Q222" s="427"/>
      <c r="W222" s="427"/>
    </row>
    <row r="223" spans="15:23" ht="15.75" customHeight="1" x14ac:dyDescent="0.3">
      <c r="O223" s="427"/>
      <c r="Q223" s="427"/>
      <c r="W223" s="427"/>
    </row>
    <row r="224" spans="15:23" ht="15.75" customHeight="1" x14ac:dyDescent="0.3">
      <c r="O224" s="427"/>
      <c r="Q224" s="427"/>
      <c r="W224" s="427"/>
    </row>
    <row r="225" spans="15:23" ht="15.75" customHeight="1" x14ac:dyDescent="0.3">
      <c r="O225" s="427"/>
      <c r="Q225" s="427"/>
      <c r="W225" s="427"/>
    </row>
    <row r="226" spans="15:23" ht="15.75" customHeight="1" x14ac:dyDescent="0.3">
      <c r="O226" s="427"/>
      <c r="Q226" s="427"/>
      <c r="W226" s="427"/>
    </row>
    <row r="227" spans="15:23" ht="15.75" customHeight="1" x14ac:dyDescent="0.3">
      <c r="O227" s="427"/>
      <c r="Q227" s="427"/>
      <c r="W227" s="427"/>
    </row>
    <row r="228" spans="15:23" ht="15.75" customHeight="1" x14ac:dyDescent="0.3">
      <c r="O228" s="427"/>
      <c r="Q228" s="427"/>
      <c r="W228" s="427"/>
    </row>
    <row r="229" spans="15:23" ht="15.75" customHeight="1" x14ac:dyDescent="0.3">
      <c r="O229" s="427"/>
      <c r="Q229" s="427"/>
      <c r="W229" s="427"/>
    </row>
    <row r="230" spans="15:23" ht="15.75" customHeight="1" x14ac:dyDescent="0.3">
      <c r="O230" s="427"/>
      <c r="Q230" s="427"/>
      <c r="W230" s="427"/>
    </row>
    <row r="231" spans="15:23" ht="15.75" customHeight="1" x14ac:dyDescent="0.3">
      <c r="O231" s="427"/>
      <c r="Q231" s="427"/>
      <c r="W231" s="427"/>
    </row>
    <row r="232" spans="15:23" ht="15.75" customHeight="1" x14ac:dyDescent="0.3">
      <c r="O232" s="427"/>
      <c r="Q232" s="427"/>
      <c r="W232" s="427"/>
    </row>
    <row r="233" spans="15:23" ht="15.75" customHeight="1" x14ac:dyDescent="0.3">
      <c r="O233" s="427"/>
      <c r="Q233" s="427"/>
      <c r="W233" s="427"/>
    </row>
    <row r="234" spans="15:23" ht="15.75" customHeight="1" x14ac:dyDescent="0.3">
      <c r="O234" s="427"/>
      <c r="Q234" s="427"/>
      <c r="W234" s="427"/>
    </row>
    <row r="235" spans="15:23" ht="15.75" customHeight="1" x14ac:dyDescent="0.3">
      <c r="O235" s="427"/>
      <c r="Q235" s="427"/>
      <c r="W235" s="427"/>
    </row>
    <row r="236" spans="15:23" ht="15.75" customHeight="1" x14ac:dyDescent="0.3">
      <c r="O236" s="427"/>
      <c r="Q236" s="427"/>
      <c r="W236" s="427"/>
    </row>
    <row r="237" spans="15:23" ht="15.75" customHeight="1" x14ac:dyDescent="0.3">
      <c r="O237" s="427"/>
      <c r="Q237" s="427"/>
      <c r="W237" s="427"/>
    </row>
    <row r="238" spans="15:23" ht="15.75" customHeight="1" x14ac:dyDescent="0.3">
      <c r="O238" s="427"/>
      <c r="Q238" s="427"/>
      <c r="W238" s="427"/>
    </row>
    <row r="239" spans="15:23" ht="15.75" customHeight="1" x14ac:dyDescent="0.3">
      <c r="O239" s="427"/>
      <c r="Q239" s="427"/>
      <c r="W239" s="427"/>
    </row>
    <row r="240" spans="15:23" ht="15.75" customHeight="1" x14ac:dyDescent="0.3">
      <c r="O240" s="427"/>
      <c r="Q240" s="427"/>
      <c r="W240" s="427"/>
    </row>
    <row r="241" spans="15:23" ht="15.75" customHeight="1" x14ac:dyDescent="0.3">
      <c r="O241" s="427"/>
      <c r="Q241" s="427"/>
      <c r="W241" s="427"/>
    </row>
    <row r="242" spans="15:23" ht="15.75" customHeight="1" x14ac:dyDescent="0.3">
      <c r="O242" s="427"/>
      <c r="Q242" s="427"/>
      <c r="W242" s="427"/>
    </row>
    <row r="243" spans="15:23" ht="15.75" customHeight="1" x14ac:dyDescent="0.3">
      <c r="O243" s="427"/>
      <c r="Q243" s="427"/>
      <c r="W243" s="427"/>
    </row>
    <row r="244" spans="15:23" ht="15.75" customHeight="1" x14ac:dyDescent="0.3">
      <c r="O244" s="427"/>
      <c r="Q244" s="427"/>
      <c r="W244" s="427"/>
    </row>
    <row r="245" spans="15:23" ht="15.75" customHeight="1" x14ac:dyDescent="0.3">
      <c r="O245" s="427"/>
      <c r="Q245" s="427"/>
      <c r="W245" s="427"/>
    </row>
    <row r="246" spans="15:23" ht="15.75" customHeight="1" x14ac:dyDescent="0.3">
      <c r="O246" s="427"/>
      <c r="Q246" s="427"/>
      <c r="W246" s="427"/>
    </row>
    <row r="247" spans="15:23" ht="15.75" customHeight="1" x14ac:dyDescent="0.3">
      <c r="O247" s="427"/>
      <c r="Q247" s="427"/>
      <c r="W247" s="427"/>
    </row>
    <row r="248" spans="15:23" ht="15.75" customHeight="1" x14ac:dyDescent="0.3">
      <c r="O248" s="427"/>
      <c r="Q248" s="427"/>
      <c r="W248" s="427"/>
    </row>
    <row r="249" spans="15:23" ht="15.75" customHeight="1" x14ac:dyDescent="0.3">
      <c r="Q249" s="4111"/>
    </row>
    <row r="250" spans="15:23" ht="15.75" customHeight="1" x14ac:dyDescent="0.3">
      <c r="Q250" s="4111"/>
    </row>
    <row r="251" spans="15:23" ht="15.75" customHeight="1" x14ac:dyDescent="0.3">
      <c r="Q251" s="4111"/>
    </row>
    <row r="252" spans="15:23" ht="15.75" customHeight="1" x14ac:dyDescent="0.3">
      <c r="Q252" s="4111"/>
    </row>
    <row r="253" spans="15:23" ht="15.75" customHeight="1" x14ac:dyDescent="0.3">
      <c r="Q253" s="4111"/>
    </row>
    <row r="254" spans="15:23" ht="15.75" customHeight="1" x14ac:dyDescent="0.3">
      <c r="Q254" s="4111"/>
    </row>
    <row r="255" spans="15:23" ht="15.75" customHeight="1" x14ac:dyDescent="0.3">
      <c r="Q255" s="4111"/>
    </row>
    <row r="256" spans="15:23" ht="15.75" customHeight="1" x14ac:dyDescent="0.3">
      <c r="Q256" s="4111"/>
    </row>
    <row r="257" spans="17:17" ht="15.75" customHeight="1" x14ac:dyDescent="0.3">
      <c r="Q257" s="4111"/>
    </row>
    <row r="258" spans="17:17" ht="15.75" customHeight="1" x14ac:dyDescent="0.3">
      <c r="Q258" s="4111"/>
    </row>
    <row r="259" spans="17:17" ht="15.75" customHeight="1" x14ac:dyDescent="0.3">
      <c r="Q259" s="4111"/>
    </row>
    <row r="260" spans="17:17" ht="15.75" customHeight="1" x14ac:dyDescent="0.3">
      <c r="Q260" s="4111"/>
    </row>
    <row r="261" spans="17:17" ht="15.75" customHeight="1" x14ac:dyDescent="0.3">
      <c r="Q261" s="4111"/>
    </row>
    <row r="262" spans="17:17" ht="15.75" customHeight="1" x14ac:dyDescent="0.3">
      <c r="Q262" s="4111"/>
    </row>
    <row r="263" spans="17:17" ht="15.75" customHeight="1" x14ac:dyDescent="0.3">
      <c r="Q263" s="4111"/>
    </row>
    <row r="264" spans="17:17" ht="15.75" customHeight="1" x14ac:dyDescent="0.3">
      <c r="Q264" s="4111"/>
    </row>
    <row r="265" spans="17:17" ht="15.75" customHeight="1" x14ac:dyDescent="0.3">
      <c r="Q265" s="4111"/>
    </row>
    <row r="266" spans="17:17" ht="15.75" customHeight="1" x14ac:dyDescent="0.3">
      <c r="Q266" s="4111"/>
    </row>
    <row r="267" spans="17:17" ht="15.75" customHeight="1" x14ac:dyDescent="0.3">
      <c r="Q267" s="4111"/>
    </row>
    <row r="268" spans="17:17" ht="15.75" customHeight="1" x14ac:dyDescent="0.3">
      <c r="Q268" s="4111"/>
    </row>
    <row r="269" spans="17:17" ht="15.75" customHeight="1" x14ac:dyDescent="0.3">
      <c r="Q269" s="4111"/>
    </row>
    <row r="270" spans="17:17" ht="15.75" customHeight="1" x14ac:dyDescent="0.3">
      <c r="Q270" s="4111"/>
    </row>
    <row r="271" spans="17:17" ht="15.75" customHeight="1" x14ac:dyDescent="0.3">
      <c r="Q271" s="4111"/>
    </row>
    <row r="272" spans="17:17" ht="15.75" customHeight="1" x14ac:dyDescent="0.3">
      <c r="Q272" s="4111"/>
    </row>
    <row r="273" spans="17:17" ht="15.75" customHeight="1" x14ac:dyDescent="0.3">
      <c r="Q273" s="4111"/>
    </row>
    <row r="274" spans="17:17" ht="15.75" customHeight="1" x14ac:dyDescent="0.3">
      <c r="Q274" s="4111"/>
    </row>
    <row r="275" spans="17:17" ht="15.75" customHeight="1" x14ac:dyDescent="0.3">
      <c r="Q275" s="4111"/>
    </row>
    <row r="276" spans="17:17" ht="15.75" customHeight="1" x14ac:dyDescent="0.3">
      <c r="Q276" s="4111"/>
    </row>
    <row r="277" spans="17:17" ht="15.75" customHeight="1" x14ac:dyDescent="0.3">
      <c r="Q277" s="4111"/>
    </row>
    <row r="278" spans="17:17" ht="15.75" customHeight="1" x14ac:dyDescent="0.3">
      <c r="Q278" s="4111"/>
    </row>
    <row r="279" spans="17:17" ht="15.75" customHeight="1" x14ac:dyDescent="0.3">
      <c r="Q279" s="4111"/>
    </row>
    <row r="280" spans="17:17" ht="15.75" customHeight="1" x14ac:dyDescent="0.3">
      <c r="Q280" s="4111"/>
    </row>
    <row r="281" spans="17:17" ht="15.75" customHeight="1" x14ac:dyDescent="0.3">
      <c r="Q281" s="4111"/>
    </row>
    <row r="282" spans="17:17" ht="15.75" customHeight="1" x14ac:dyDescent="0.3">
      <c r="Q282" s="4111"/>
    </row>
    <row r="283" spans="17:17" ht="15.75" customHeight="1" x14ac:dyDescent="0.3">
      <c r="Q283" s="4111"/>
    </row>
    <row r="284" spans="17:17" ht="15.75" customHeight="1" x14ac:dyDescent="0.3">
      <c r="Q284" s="4111"/>
    </row>
    <row r="285" spans="17:17" ht="15.75" customHeight="1" x14ac:dyDescent="0.3">
      <c r="Q285" s="4111"/>
    </row>
    <row r="286" spans="17:17" ht="15.75" customHeight="1" x14ac:dyDescent="0.3">
      <c r="Q286" s="4111"/>
    </row>
    <row r="287" spans="17:17" ht="15.75" customHeight="1" x14ac:dyDescent="0.3">
      <c r="Q287" s="4111"/>
    </row>
    <row r="288" spans="17:17" ht="15.75" customHeight="1" x14ac:dyDescent="0.3">
      <c r="Q288" s="4111"/>
    </row>
    <row r="289" spans="17:17" ht="15.75" customHeight="1" x14ac:dyDescent="0.3">
      <c r="Q289" s="4111"/>
    </row>
    <row r="290" spans="17:17" ht="15.75" customHeight="1" x14ac:dyDescent="0.3">
      <c r="Q290" s="4111"/>
    </row>
    <row r="291" spans="17:17" ht="15.75" customHeight="1" x14ac:dyDescent="0.3">
      <c r="Q291" s="4111"/>
    </row>
    <row r="292" spans="17:17" ht="15.75" customHeight="1" x14ac:dyDescent="0.3">
      <c r="Q292" s="4111"/>
    </row>
    <row r="293" spans="17:17" ht="15.75" customHeight="1" x14ac:dyDescent="0.3">
      <c r="Q293" s="4111"/>
    </row>
    <row r="294" spans="17:17" ht="15.75" customHeight="1" x14ac:dyDescent="0.3">
      <c r="Q294" s="4111"/>
    </row>
    <row r="295" spans="17:17" ht="15.75" customHeight="1" x14ac:dyDescent="0.3">
      <c r="Q295" s="4111"/>
    </row>
    <row r="296" spans="17:17" ht="15.75" customHeight="1" x14ac:dyDescent="0.3">
      <c r="Q296" s="4111"/>
    </row>
    <row r="297" spans="17:17" ht="15.75" customHeight="1" x14ac:dyDescent="0.3">
      <c r="Q297" s="4111"/>
    </row>
    <row r="298" spans="17:17" ht="15.75" customHeight="1" x14ac:dyDescent="0.3">
      <c r="Q298" s="4111"/>
    </row>
    <row r="299" spans="17:17" ht="15.75" customHeight="1" x14ac:dyDescent="0.3">
      <c r="Q299" s="4111"/>
    </row>
    <row r="300" spans="17:17" ht="15.75" customHeight="1" x14ac:dyDescent="0.3">
      <c r="Q300" s="4111"/>
    </row>
    <row r="301" spans="17:17" ht="15.75" customHeight="1" x14ac:dyDescent="0.3">
      <c r="Q301" s="4111"/>
    </row>
    <row r="302" spans="17:17" ht="15.75" customHeight="1" x14ac:dyDescent="0.3">
      <c r="Q302" s="4111"/>
    </row>
    <row r="303" spans="17:17" ht="15.75" customHeight="1" x14ac:dyDescent="0.3">
      <c r="Q303" s="4111"/>
    </row>
    <row r="304" spans="17:17" ht="15.75" customHeight="1" x14ac:dyDescent="0.3">
      <c r="Q304" s="4111"/>
    </row>
    <row r="305" spans="17:17" ht="15.75" customHeight="1" x14ac:dyDescent="0.3">
      <c r="Q305" s="4111"/>
    </row>
    <row r="306" spans="17:17" ht="15.75" customHeight="1" x14ac:dyDescent="0.3">
      <c r="Q306" s="4111"/>
    </row>
    <row r="307" spans="17:17" ht="15.75" customHeight="1" x14ac:dyDescent="0.3">
      <c r="Q307" s="4111"/>
    </row>
    <row r="308" spans="17:17" ht="15.75" customHeight="1" x14ac:dyDescent="0.3">
      <c r="Q308" s="4111"/>
    </row>
    <row r="309" spans="17:17" ht="15.75" customHeight="1" x14ac:dyDescent="0.3">
      <c r="Q309" s="4111"/>
    </row>
    <row r="310" spans="17:17" ht="15.75" customHeight="1" x14ac:dyDescent="0.3">
      <c r="Q310" s="4111"/>
    </row>
    <row r="311" spans="17:17" ht="15.75" customHeight="1" x14ac:dyDescent="0.3">
      <c r="Q311" s="4111"/>
    </row>
    <row r="312" spans="17:17" ht="15.75" customHeight="1" x14ac:dyDescent="0.3">
      <c r="Q312" s="4111"/>
    </row>
    <row r="313" spans="17:17" ht="15.75" customHeight="1" x14ac:dyDescent="0.3">
      <c r="Q313" s="4111"/>
    </row>
    <row r="314" spans="17:17" ht="15.75" customHeight="1" x14ac:dyDescent="0.3">
      <c r="Q314" s="4111"/>
    </row>
    <row r="315" spans="17:17" ht="15.75" customHeight="1" x14ac:dyDescent="0.3">
      <c r="Q315" s="4111"/>
    </row>
    <row r="316" spans="17:17" ht="15.75" customHeight="1" x14ac:dyDescent="0.3">
      <c r="Q316" s="4111"/>
    </row>
    <row r="317" spans="17:17" ht="15.75" customHeight="1" x14ac:dyDescent="0.3">
      <c r="Q317" s="4111"/>
    </row>
    <row r="318" spans="17:17" ht="15.75" customHeight="1" x14ac:dyDescent="0.3">
      <c r="Q318" s="4111"/>
    </row>
    <row r="319" spans="17:17" ht="15.75" customHeight="1" x14ac:dyDescent="0.3">
      <c r="Q319" s="4111"/>
    </row>
    <row r="320" spans="17:17" ht="15.75" customHeight="1" x14ac:dyDescent="0.3">
      <c r="Q320" s="4111"/>
    </row>
    <row r="321" spans="17:17" ht="15.75" customHeight="1" x14ac:dyDescent="0.3">
      <c r="Q321" s="4111"/>
    </row>
    <row r="322" spans="17:17" ht="15.75" customHeight="1" x14ac:dyDescent="0.3">
      <c r="Q322" s="4111"/>
    </row>
    <row r="323" spans="17:17" ht="15.75" customHeight="1" x14ac:dyDescent="0.3">
      <c r="Q323" s="4111"/>
    </row>
    <row r="324" spans="17:17" ht="15.75" customHeight="1" x14ac:dyDescent="0.3">
      <c r="Q324" s="4111"/>
    </row>
    <row r="325" spans="17:17" ht="15.75" customHeight="1" x14ac:dyDescent="0.3">
      <c r="Q325" s="4111"/>
    </row>
    <row r="326" spans="17:17" ht="15.75" customHeight="1" x14ac:dyDescent="0.3">
      <c r="Q326" s="4111"/>
    </row>
    <row r="327" spans="17:17" ht="15.75" customHeight="1" x14ac:dyDescent="0.3">
      <c r="Q327" s="4111"/>
    </row>
    <row r="328" spans="17:17" ht="15.75" customHeight="1" x14ac:dyDescent="0.3">
      <c r="Q328" s="4111"/>
    </row>
    <row r="329" spans="17:17" ht="15.75" customHeight="1" x14ac:dyDescent="0.3">
      <c r="Q329" s="4111"/>
    </row>
    <row r="330" spans="17:17" ht="15.75" customHeight="1" x14ac:dyDescent="0.3">
      <c r="Q330" s="4111"/>
    </row>
    <row r="331" spans="17:17" ht="15.75" customHeight="1" x14ac:dyDescent="0.3">
      <c r="Q331" s="4111"/>
    </row>
    <row r="332" spans="17:17" ht="15.75" customHeight="1" x14ac:dyDescent="0.3">
      <c r="Q332" s="4111"/>
    </row>
    <row r="333" spans="17:17" ht="15.75" customHeight="1" x14ac:dyDescent="0.3">
      <c r="Q333" s="4111"/>
    </row>
    <row r="334" spans="17:17" ht="15.75" customHeight="1" x14ac:dyDescent="0.3">
      <c r="Q334" s="4111"/>
    </row>
    <row r="335" spans="17:17" ht="15.75" customHeight="1" x14ac:dyDescent="0.3">
      <c r="Q335" s="4111"/>
    </row>
    <row r="336" spans="17:17" ht="15.75" customHeight="1" x14ac:dyDescent="0.3">
      <c r="Q336" s="4111"/>
    </row>
    <row r="337" spans="17:17" ht="15.75" customHeight="1" x14ac:dyDescent="0.3">
      <c r="Q337" s="4111"/>
    </row>
    <row r="338" spans="17:17" ht="15.75" customHeight="1" x14ac:dyDescent="0.3">
      <c r="Q338" s="4111"/>
    </row>
    <row r="339" spans="17:17" ht="15.75" customHeight="1" x14ac:dyDescent="0.3">
      <c r="Q339" s="4111"/>
    </row>
    <row r="340" spans="17:17" ht="15.75" customHeight="1" x14ac:dyDescent="0.3">
      <c r="Q340" s="4111"/>
    </row>
    <row r="341" spans="17:17" ht="15.75" customHeight="1" x14ac:dyDescent="0.3">
      <c r="Q341" s="4111"/>
    </row>
    <row r="342" spans="17:17" ht="15.75" customHeight="1" x14ac:dyDescent="0.3">
      <c r="Q342" s="4111"/>
    </row>
    <row r="343" spans="17:17" ht="15.75" customHeight="1" x14ac:dyDescent="0.3">
      <c r="Q343" s="4111"/>
    </row>
    <row r="344" spans="17:17" ht="15.75" customHeight="1" x14ac:dyDescent="0.3">
      <c r="Q344" s="4111"/>
    </row>
    <row r="345" spans="17:17" ht="15.75" customHeight="1" x14ac:dyDescent="0.3">
      <c r="Q345" s="4111"/>
    </row>
    <row r="346" spans="17:17" ht="15.75" customHeight="1" x14ac:dyDescent="0.3">
      <c r="Q346" s="4111"/>
    </row>
    <row r="347" spans="17:17" ht="15.75" customHeight="1" x14ac:dyDescent="0.3">
      <c r="Q347" s="4111"/>
    </row>
    <row r="348" spans="17:17" ht="15.75" customHeight="1" x14ac:dyDescent="0.3">
      <c r="Q348" s="4111"/>
    </row>
    <row r="349" spans="17:17" ht="15.75" customHeight="1" x14ac:dyDescent="0.3">
      <c r="Q349" s="4111"/>
    </row>
    <row r="350" spans="17:17" ht="15.75" customHeight="1" x14ac:dyDescent="0.3">
      <c r="Q350" s="4111"/>
    </row>
    <row r="351" spans="17:17" ht="15.75" customHeight="1" x14ac:dyDescent="0.3">
      <c r="Q351" s="4111"/>
    </row>
    <row r="352" spans="17:17" ht="15.75" customHeight="1" x14ac:dyDescent="0.3">
      <c r="Q352" s="4111"/>
    </row>
    <row r="353" spans="17:17" ht="15.75" customHeight="1" x14ac:dyDescent="0.3">
      <c r="Q353" s="4111"/>
    </row>
    <row r="354" spans="17:17" ht="15.75" customHeight="1" x14ac:dyDescent="0.3">
      <c r="Q354" s="4111"/>
    </row>
    <row r="355" spans="17:17" ht="15.75" customHeight="1" x14ac:dyDescent="0.3">
      <c r="Q355" s="4111"/>
    </row>
    <row r="356" spans="17:17" ht="15.75" customHeight="1" x14ac:dyDescent="0.3">
      <c r="Q356" s="4111"/>
    </row>
    <row r="357" spans="17:17" ht="15.75" customHeight="1" x14ac:dyDescent="0.3">
      <c r="Q357" s="4111"/>
    </row>
    <row r="358" spans="17:17" ht="15.75" customHeight="1" x14ac:dyDescent="0.3">
      <c r="Q358" s="4111"/>
    </row>
    <row r="359" spans="17:17" ht="15.75" customHeight="1" x14ac:dyDescent="0.3">
      <c r="Q359" s="4111"/>
    </row>
    <row r="360" spans="17:17" ht="15.75" customHeight="1" x14ac:dyDescent="0.3">
      <c r="Q360" s="4111"/>
    </row>
    <row r="361" spans="17:17" ht="15.75" customHeight="1" x14ac:dyDescent="0.3">
      <c r="Q361" s="4111"/>
    </row>
    <row r="362" spans="17:17" ht="15.75" customHeight="1" x14ac:dyDescent="0.3">
      <c r="Q362" s="4111"/>
    </row>
    <row r="363" spans="17:17" ht="15.75" customHeight="1" x14ac:dyDescent="0.3">
      <c r="Q363" s="4111"/>
    </row>
    <row r="364" spans="17:17" ht="15.75" customHeight="1" x14ac:dyDescent="0.3">
      <c r="Q364" s="4111"/>
    </row>
    <row r="365" spans="17:17" ht="15.75" customHeight="1" x14ac:dyDescent="0.3">
      <c r="Q365" s="4111"/>
    </row>
    <row r="366" spans="17:17" ht="15.75" customHeight="1" x14ac:dyDescent="0.3">
      <c r="Q366" s="4111"/>
    </row>
    <row r="367" spans="17:17" ht="15.75" customHeight="1" x14ac:dyDescent="0.3">
      <c r="Q367" s="4111"/>
    </row>
    <row r="368" spans="17:17" ht="15.75" customHeight="1" x14ac:dyDescent="0.3">
      <c r="Q368" s="4111"/>
    </row>
    <row r="369" spans="17:17" ht="15.75" customHeight="1" x14ac:dyDescent="0.3">
      <c r="Q369" s="4111"/>
    </row>
    <row r="370" spans="17:17" ht="15.75" customHeight="1" x14ac:dyDescent="0.3">
      <c r="Q370" s="4111"/>
    </row>
    <row r="371" spans="17:17" ht="15.75" customHeight="1" x14ac:dyDescent="0.3">
      <c r="Q371" s="4111"/>
    </row>
    <row r="372" spans="17:17" ht="15.75" customHeight="1" x14ac:dyDescent="0.3">
      <c r="Q372" s="4111"/>
    </row>
    <row r="373" spans="17:17" ht="15.75" customHeight="1" x14ac:dyDescent="0.3">
      <c r="Q373" s="4111"/>
    </row>
    <row r="374" spans="17:17" ht="15.75" customHeight="1" x14ac:dyDescent="0.3">
      <c r="Q374" s="4111"/>
    </row>
    <row r="375" spans="17:17" ht="15.75" customHeight="1" x14ac:dyDescent="0.3">
      <c r="Q375" s="4111"/>
    </row>
    <row r="376" spans="17:17" ht="15.75" customHeight="1" x14ac:dyDescent="0.3">
      <c r="Q376" s="4111"/>
    </row>
    <row r="377" spans="17:17" ht="15.75" customHeight="1" x14ac:dyDescent="0.3">
      <c r="Q377" s="4111"/>
    </row>
    <row r="378" spans="17:17" ht="15.75" customHeight="1" x14ac:dyDescent="0.3">
      <c r="Q378" s="4111"/>
    </row>
    <row r="379" spans="17:17" ht="15.75" customHeight="1" x14ac:dyDescent="0.3">
      <c r="Q379" s="4111"/>
    </row>
    <row r="380" spans="17:17" ht="15.75" customHeight="1" x14ac:dyDescent="0.3">
      <c r="Q380" s="4111"/>
    </row>
    <row r="381" spans="17:17" ht="15.75" customHeight="1" x14ac:dyDescent="0.3">
      <c r="Q381" s="4111"/>
    </row>
    <row r="382" spans="17:17" ht="15.75" customHeight="1" x14ac:dyDescent="0.3">
      <c r="Q382" s="4111"/>
    </row>
    <row r="383" spans="17:17" ht="15.75" customHeight="1" x14ac:dyDescent="0.3">
      <c r="Q383" s="4111"/>
    </row>
    <row r="384" spans="17:17" ht="15.75" customHeight="1" x14ac:dyDescent="0.3">
      <c r="Q384" s="4111"/>
    </row>
    <row r="385" spans="17:17" ht="15.75" customHeight="1" x14ac:dyDescent="0.3">
      <c r="Q385" s="4111"/>
    </row>
    <row r="386" spans="17:17" ht="15.75" customHeight="1" x14ac:dyDescent="0.3">
      <c r="Q386" s="4111"/>
    </row>
    <row r="387" spans="17:17" ht="15.75" customHeight="1" x14ac:dyDescent="0.3">
      <c r="Q387" s="4111"/>
    </row>
    <row r="388" spans="17:17" ht="15.75" customHeight="1" x14ac:dyDescent="0.3">
      <c r="Q388" s="4111"/>
    </row>
    <row r="389" spans="17:17" ht="15.75" customHeight="1" x14ac:dyDescent="0.3">
      <c r="Q389" s="4111"/>
    </row>
    <row r="390" spans="17:17" ht="15.75" customHeight="1" x14ac:dyDescent="0.3">
      <c r="Q390" s="4111"/>
    </row>
    <row r="391" spans="17:17" ht="15.75" customHeight="1" x14ac:dyDescent="0.3">
      <c r="Q391" s="4111"/>
    </row>
    <row r="392" spans="17:17" ht="15.75" customHeight="1" x14ac:dyDescent="0.3">
      <c r="Q392" s="4111"/>
    </row>
    <row r="393" spans="17:17" ht="15.75" customHeight="1" x14ac:dyDescent="0.3">
      <c r="Q393" s="4111"/>
    </row>
    <row r="394" spans="17:17" ht="15.75" customHeight="1" x14ac:dyDescent="0.3">
      <c r="Q394" s="4111"/>
    </row>
    <row r="395" spans="17:17" ht="15.75" customHeight="1" x14ac:dyDescent="0.3">
      <c r="Q395" s="4111"/>
    </row>
    <row r="396" spans="17:17" ht="15.75" customHeight="1" x14ac:dyDescent="0.3">
      <c r="Q396" s="4111"/>
    </row>
    <row r="397" spans="17:17" ht="15.75" customHeight="1" x14ac:dyDescent="0.3">
      <c r="Q397" s="4111"/>
    </row>
    <row r="398" spans="17:17" ht="15.75" customHeight="1" x14ac:dyDescent="0.3">
      <c r="Q398" s="4111"/>
    </row>
    <row r="399" spans="17:17" ht="15.75" customHeight="1" x14ac:dyDescent="0.3">
      <c r="Q399" s="4111"/>
    </row>
    <row r="400" spans="17:17" ht="15.75" customHeight="1" x14ac:dyDescent="0.3">
      <c r="Q400" s="4111"/>
    </row>
    <row r="401" spans="17:17" ht="15.75" customHeight="1" x14ac:dyDescent="0.3">
      <c r="Q401" s="4111"/>
    </row>
    <row r="402" spans="17:17" ht="15.75" customHeight="1" x14ac:dyDescent="0.3">
      <c r="Q402" s="4111"/>
    </row>
    <row r="403" spans="17:17" ht="15.75" customHeight="1" x14ac:dyDescent="0.3">
      <c r="Q403" s="4111"/>
    </row>
    <row r="404" spans="17:17" ht="15.75" customHeight="1" x14ac:dyDescent="0.3">
      <c r="Q404" s="4111"/>
    </row>
    <row r="405" spans="17:17" ht="15.75" customHeight="1" x14ac:dyDescent="0.3">
      <c r="Q405" s="4111"/>
    </row>
    <row r="406" spans="17:17" ht="15.75" customHeight="1" x14ac:dyDescent="0.3">
      <c r="Q406" s="4111"/>
    </row>
    <row r="407" spans="17:17" ht="15.75" customHeight="1" x14ac:dyDescent="0.3">
      <c r="Q407" s="4111"/>
    </row>
    <row r="408" spans="17:17" ht="15.75" customHeight="1" x14ac:dyDescent="0.3">
      <c r="Q408" s="4111"/>
    </row>
    <row r="409" spans="17:17" ht="15.75" customHeight="1" x14ac:dyDescent="0.3">
      <c r="Q409" s="4111"/>
    </row>
    <row r="410" spans="17:17" ht="15.75" customHeight="1" x14ac:dyDescent="0.3">
      <c r="Q410" s="4111"/>
    </row>
    <row r="411" spans="17:17" ht="15.75" customHeight="1" x14ac:dyDescent="0.3">
      <c r="Q411" s="4111"/>
    </row>
    <row r="412" spans="17:17" ht="15.75" customHeight="1" x14ac:dyDescent="0.3">
      <c r="Q412" s="4111"/>
    </row>
    <row r="413" spans="17:17" ht="15.75" customHeight="1" x14ac:dyDescent="0.3">
      <c r="Q413" s="4111"/>
    </row>
    <row r="414" spans="17:17" ht="15.75" customHeight="1" x14ac:dyDescent="0.3">
      <c r="Q414" s="4111"/>
    </row>
    <row r="415" spans="17:17" ht="15.75" customHeight="1" x14ac:dyDescent="0.3">
      <c r="Q415" s="4111"/>
    </row>
    <row r="416" spans="17:17" ht="15.75" customHeight="1" x14ac:dyDescent="0.3">
      <c r="Q416" s="4111"/>
    </row>
    <row r="417" spans="17:17" ht="15.75" customHeight="1" x14ac:dyDescent="0.3">
      <c r="Q417" s="4111"/>
    </row>
    <row r="418" spans="17:17" ht="15.75" customHeight="1" x14ac:dyDescent="0.3">
      <c r="Q418" s="4111"/>
    </row>
    <row r="419" spans="17:17" ht="15.75" customHeight="1" x14ac:dyDescent="0.3">
      <c r="Q419" s="4111"/>
    </row>
    <row r="420" spans="17:17" ht="15.75" customHeight="1" x14ac:dyDescent="0.3">
      <c r="Q420" s="4111"/>
    </row>
    <row r="421" spans="17:17" ht="15.75" customHeight="1" x14ac:dyDescent="0.3">
      <c r="Q421" s="4111"/>
    </row>
    <row r="422" spans="17:17" ht="15.75" customHeight="1" x14ac:dyDescent="0.3">
      <c r="Q422" s="4111"/>
    </row>
    <row r="423" spans="17:17" ht="15.75" customHeight="1" x14ac:dyDescent="0.3">
      <c r="Q423" s="4111"/>
    </row>
    <row r="424" spans="17:17" ht="15.75" customHeight="1" x14ac:dyDescent="0.3">
      <c r="Q424" s="4111"/>
    </row>
    <row r="425" spans="17:17" ht="15.75" customHeight="1" x14ac:dyDescent="0.3">
      <c r="Q425" s="4111"/>
    </row>
    <row r="426" spans="17:17" ht="15.75" customHeight="1" x14ac:dyDescent="0.3">
      <c r="Q426" s="4111"/>
    </row>
    <row r="427" spans="17:17" ht="15.75" customHeight="1" x14ac:dyDescent="0.3">
      <c r="Q427" s="4111"/>
    </row>
    <row r="428" spans="17:17" ht="15.75" customHeight="1" x14ac:dyDescent="0.3">
      <c r="Q428" s="4111"/>
    </row>
    <row r="429" spans="17:17" ht="15.75" customHeight="1" x14ac:dyDescent="0.3">
      <c r="Q429" s="4111"/>
    </row>
    <row r="430" spans="17:17" ht="15.75" customHeight="1" x14ac:dyDescent="0.3">
      <c r="Q430" s="4111"/>
    </row>
    <row r="431" spans="17:17" ht="15.75" customHeight="1" x14ac:dyDescent="0.3">
      <c r="Q431" s="4111"/>
    </row>
    <row r="432" spans="17:17" ht="15.75" customHeight="1" x14ac:dyDescent="0.3">
      <c r="Q432" s="4111"/>
    </row>
    <row r="433" spans="17:17" ht="15.75" customHeight="1" x14ac:dyDescent="0.3">
      <c r="Q433" s="4111"/>
    </row>
    <row r="434" spans="17:17" ht="15.75" customHeight="1" x14ac:dyDescent="0.3">
      <c r="Q434" s="4111"/>
    </row>
    <row r="435" spans="17:17" ht="15.75" customHeight="1" x14ac:dyDescent="0.3">
      <c r="Q435" s="4111"/>
    </row>
    <row r="436" spans="17:17" ht="15.75" customHeight="1" x14ac:dyDescent="0.3">
      <c r="Q436" s="4111"/>
    </row>
    <row r="437" spans="17:17" ht="15.75" customHeight="1" x14ac:dyDescent="0.3">
      <c r="Q437" s="4111"/>
    </row>
    <row r="438" spans="17:17" ht="15.75" customHeight="1" x14ac:dyDescent="0.3">
      <c r="Q438" s="4111"/>
    </row>
    <row r="439" spans="17:17" ht="15.75" customHeight="1" x14ac:dyDescent="0.3">
      <c r="Q439" s="4111"/>
    </row>
    <row r="440" spans="17:17" ht="15.75" customHeight="1" x14ac:dyDescent="0.3">
      <c r="Q440" s="4111"/>
    </row>
    <row r="441" spans="17:17" ht="15.75" customHeight="1" x14ac:dyDescent="0.3">
      <c r="Q441" s="4111"/>
    </row>
    <row r="442" spans="17:17" ht="15.75" customHeight="1" x14ac:dyDescent="0.3">
      <c r="Q442" s="4111"/>
    </row>
    <row r="443" spans="17:17" ht="15.75" customHeight="1" x14ac:dyDescent="0.3">
      <c r="Q443" s="4111"/>
    </row>
    <row r="444" spans="17:17" ht="15.75" customHeight="1" x14ac:dyDescent="0.3">
      <c r="Q444" s="4111"/>
    </row>
    <row r="445" spans="17:17" ht="15.75" customHeight="1" x14ac:dyDescent="0.3">
      <c r="Q445" s="4111"/>
    </row>
    <row r="446" spans="17:17" ht="15.75" customHeight="1" x14ac:dyDescent="0.3">
      <c r="Q446" s="4111"/>
    </row>
    <row r="447" spans="17:17" ht="15.75" customHeight="1" x14ac:dyDescent="0.3">
      <c r="Q447" s="4111"/>
    </row>
    <row r="448" spans="17:17" ht="15.75" customHeight="1" x14ac:dyDescent="0.3">
      <c r="Q448" s="4111"/>
    </row>
    <row r="449" spans="17:17" ht="15.75" customHeight="1" x14ac:dyDescent="0.3">
      <c r="Q449" s="4111"/>
    </row>
    <row r="450" spans="17:17" ht="15.75" customHeight="1" x14ac:dyDescent="0.3">
      <c r="Q450" s="4111"/>
    </row>
    <row r="451" spans="17:17" ht="15.75" customHeight="1" x14ac:dyDescent="0.3">
      <c r="Q451" s="4111"/>
    </row>
    <row r="452" spans="17:17" ht="15.75" customHeight="1" x14ac:dyDescent="0.3">
      <c r="Q452" s="4111"/>
    </row>
    <row r="453" spans="17:17" ht="15.75" customHeight="1" x14ac:dyDescent="0.3">
      <c r="Q453" s="4111"/>
    </row>
    <row r="454" spans="17:17" ht="15.75" customHeight="1" x14ac:dyDescent="0.3">
      <c r="Q454" s="4111"/>
    </row>
    <row r="455" spans="17:17" ht="15.75" customHeight="1" x14ac:dyDescent="0.3">
      <c r="Q455" s="4111"/>
    </row>
    <row r="456" spans="17:17" ht="15.75" customHeight="1" x14ac:dyDescent="0.3">
      <c r="Q456" s="4111"/>
    </row>
    <row r="457" spans="17:17" ht="15.75" customHeight="1" x14ac:dyDescent="0.3">
      <c r="Q457" s="4111"/>
    </row>
    <row r="458" spans="17:17" ht="15.75" customHeight="1" x14ac:dyDescent="0.3">
      <c r="Q458" s="4111"/>
    </row>
    <row r="459" spans="17:17" ht="15.75" customHeight="1" x14ac:dyDescent="0.3">
      <c r="Q459" s="4111"/>
    </row>
    <row r="460" spans="17:17" ht="15.75" customHeight="1" x14ac:dyDescent="0.3">
      <c r="Q460" s="4111"/>
    </row>
    <row r="461" spans="17:17" ht="15.75" customHeight="1" x14ac:dyDescent="0.3">
      <c r="Q461" s="4111"/>
    </row>
    <row r="462" spans="17:17" ht="15.75" customHeight="1" x14ac:dyDescent="0.3">
      <c r="Q462" s="4111"/>
    </row>
    <row r="463" spans="17:17" ht="15.75" customHeight="1" x14ac:dyDescent="0.3">
      <c r="Q463" s="4111"/>
    </row>
    <row r="464" spans="17:17" ht="15.75" customHeight="1" x14ac:dyDescent="0.3">
      <c r="Q464" s="4111"/>
    </row>
    <row r="465" spans="17:17" ht="15.75" customHeight="1" x14ac:dyDescent="0.3">
      <c r="Q465" s="4111"/>
    </row>
    <row r="466" spans="17:17" ht="15.75" customHeight="1" x14ac:dyDescent="0.3">
      <c r="Q466" s="4111"/>
    </row>
    <row r="467" spans="17:17" ht="15.75" customHeight="1" x14ac:dyDescent="0.3">
      <c r="Q467" s="4111"/>
    </row>
    <row r="468" spans="17:17" ht="15.75" customHeight="1" x14ac:dyDescent="0.3">
      <c r="Q468" s="4111"/>
    </row>
    <row r="469" spans="17:17" ht="15.75" customHeight="1" x14ac:dyDescent="0.3">
      <c r="Q469" s="4111"/>
    </row>
    <row r="470" spans="17:17" ht="15.75" customHeight="1" x14ac:dyDescent="0.3">
      <c r="Q470" s="4111"/>
    </row>
    <row r="471" spans="17:17" ht="15.75" customHeight="1" x14ac:dyDescent="0.3">
      <c r="Q471" s="4111"/>
    </row>
    <row r="472" spans="17:17" ht="15.75" customHeight="1" x14ac:dyDescent="0.3">
      <c r="Q472" s="4111"/>
    </row>
    <row r="473" spans="17:17" ht="15.75" customHeight="1" x14ac:dyDescent="0.3">
      <c r="Q473" s="4111"/>
    </row>
    <row r="474" spans="17:17" ht="15.75" customHeight="1" x14ac:dyDescent="0.3">
      <c r="Q474" s="4111"/>
    </row>
    <row r="475" spans="17:17" ht="15.75" customHeight="1" x14ac:dyDescent="0.3">
      <c r="Q475" s="4111"/>
    </row>
    <row r="476" spans="17:17" ht="15.75" customHeight="1" x14ac:dyDescent="0.3">
      <c r="Q476" s="4111"/>
    </row>
    <row r="477" spans="17:17" ht="15.75" customHeight="1" x14ac:dyDescent="0.3">
      <c r="Q477" s="4111"/>
    </row>
    <row r="478" spans="17:17" ht="15.75" customHeight="1" x14ac:dyDescent="0.3">
      <c r="Q478" s="4111"/>
    </row>
    <row r="479" spans="17:17" ht="15.75" customHeight="1" x14ac:dyDescent="0.3">
      <c r="Q479" s="4111"/>
    </row>
    <row r="480" spans="17:17" ht="15.75" customHeight="1" x14ac:dyDescent="0.3">
      <c r="Q480" s="4111"/>
    </row>
    <row r="481" spans="17:17" ht="15.75" customHeight="1" x14ac:dyDescent="0.3">
      <c r="Q481" s="4111"/>
    </row>
    <row r="482" spans="17:17" ht="15.75" customHeight="1" x14ac:dyDescent="0.3">
      <c r="Q482" s="4111"/>
    </row>
    <row r="483" spans="17:17" ht="15.75" customHeight="1" x14ac:dyDescent="0.3">
      <c r="Q483" s="4111"/>
    </row>
    <row r="484" spans="17:17" ht="15.75" customHeight="1" x14ac:dyDescent="0.3">
      <c r="Q484" s="4111"/>
    </row>
    <row r="485" spans="17:17" ht="15.75" customHeight="1" x14ac:dyDescent="0.3">
      <c r="Q485" s="4111"/>
    </row>
    <row r="486" spans="17:17" ht="15.75" customHeight="1" x14ac:dyDescent="0.3">
      <c r="Q486" s="4111"/>
    </row>
    <row r="487" spans="17:17" ht="15.75" customHeight="1" x14ac:dyDescent="0.3">
      <c r="Q487" s="4111"/>
    </row>
    <row r="488" spans="17:17" ht="15.75" customHeight="1" x14ac:dyDescent="0.3">
      <c r="Q488" s="4111"/>
    </row>
    <row r="489" spans="17:17" ht="15.75" customHeight="1" x14ac:dyDescent="0.3">
      <c r="Q489" s="4111"/>
    </row>
    <row r="490" spans="17:17" ht="15.75" customHeight="1" x14ac:dyDescent="0.3">
      <c r="Q490" s="4111"/>
    </row>
    <row r="491" spans="17:17" ht="15.75" customHeight="1" x14ac:dyDescent="0.3">
      <c r="Q491" s="4111"/>
    </row>
    <row r="492" spans="17:17" ht="15.75" customHeight="1" x14ac:dyDescent="0.3">
      <c r="Q492" s="4111"/>
    </row>
    <row r="493" spans="17:17" ht="15.75" customHeight="1" x14ac:dyDescent="0.3">
      <c r="Q493" s="4111"/>
    </row>
    <row r="494" spans="17:17" ht="15.75" customHeight="1" x14ac:dyDescent="0.3">
      <c r="Q494" s="4111"/>
    </row>
    <row r="495" spans="17:17" ht="15.75" customHeight="1" x14ac:dyDescent="0.3">
      <c r="Q495" s="4111"/>
    </row>
    <row r="496" spans="17:17" ht="15.75" customHeight="1" x14ac:dyDescent="0.3">
      <c r="Q496" s="4111"/>
    </row>
    <row r="497" spans="17:17" ht="15.75" customHeight="1" x14ac:dyDescent="0.3">
      <c r="Q497" s="4111"/>
    </row>
    <row r="498" spans="17:17" ht="15.75" customHeight="1" x14ac:dyDescent="0.3">
      <c r="Q498" s="4111"/>
    </row>
    <row r="499" spans="17:17" ht="15.75" customHeight="1" x14ac:dyDescent="0.3">
      <c r="Q499" s="4111"/>
    </row>
    <row r="500" spans="17:17" ht="15.75" customHeight="1" x14ac:dyDescent="0.3">
      <c r="Q500" s="4111"/>
    </row>
    <row r="501" spans="17:17" ht="15.75" customHeight="1" x14ac:dyDescent="0.3">
      <c r="Q501" s="4111"/>
    </row>
    <row r="502" spans="17:17" ht="15.75" customHeight="1" x14ac:dyDescent="0.3">
      <c r="Q502" s="4111"/>
    </row>
    <row r="503" spans="17:17" ht="15.75" customHeight="1" x14ac:dyDescent="0.3">
      <c r="Q503" s="4111"/>
    </row>
    <row r="504" spans="17:17" ht="15.75" customHeight="1" x14ac:dyDescent="0.3">
      <c r="Q504" s="4111"/>
    </row>
    <row r="505" spans="17:17" ht="15.75" customHeight="1" x14ac:dyDescent="0.3">
      <c r="Q505" s="4111"/>
    </row>
    <row r="506" spans="17:17" ht="15.75" customHeight="1" x14ac:dyDescent="0.3">
      <c r="Q506" s="4111"/>
    </row>
    <row r="507" spans="17:17" ht="15.75" customHeight="1" x14ac:dyDescent="0.3">
      <c r="Q507" s="4111"/>
    </row>
    <row r="508" spans="17:17" ht="15.75" customHeight="1" x14ac:dyDescent="0.3">
      <c r="Q508" s="4111"/>
    </row>
    <row r="509" spans="17:17" ht="15.75" customHeight="1" x14ac:dyDescent="0.3">
      <c r="Q509" s="4111"/>
    </row>
    <row r="510" spans="17:17" ht="15.75" customHeight="1" x14ac:dyDescent="0.3">
      <c r="Q510" s="4111"/>
    </row>
    <row r="511" spans="17:17" ht="15.75" customHeight="1" x14ac:dyDescent="0.3">
      <c r="Q511" s="4111"/>
    </row>
    <row r="512" spans="17:17" ht="15.75" customHeight="1" x14ac:dyDescent="0.3">
      <c r="Q512" s="4111"/>
    </row>
    <row r="513" spans="17:17" ht="15.75" customHeight="1" x14ac:dyDescent="0.3">
      <c r="Q513" s="4111"/>
    </row>
    <row r="514" spans="17:17" ht="15.75" customHeight="1" x14ac:dyDescent="0.3">
      <c r="Q514" s="4111"/>
    </row>
    <row r="515" spans="17:17" ht="15.75" customHeight="1" x14ac:dyDescent="0.3">
      <c r="Q515" s="4111"/>
    </row>
    <row r="516" spans="17:17" ht="15.75" customHeight="1" x14ac:dyDescent="0.3">
      <c r="Q516" s="4111"/>
    </row>
    <row r="517" spans="17:17" ht="15.75" customHeight="1" x14ac:dyDescent="0.3">
      <c r="Q517" s="4111"/>
    </row>
    <row r="518" spans="17:17" ht="15.75" customHeight="1" x14ac:dyDescent="0.3">
      <c r="Q518" s="4111"/>
    </row>
    <row r="519" spans="17:17" ht="15.75" customHeight="1" x14ac:dyDescent="0.3">
      <c r="Q519" s="4111"/>
    </row>
    <row r="520" spans="17:17" ht="15.75" customHeight="1" x14ac:dyDescent="0.3">
      <c r="Q520" s="4111"/>
    </row>
    <row r="521" spans="17:17" ht="15.75" customHeight="1" x14ac:dyDescent="0.3">
      <c r="Q521" s="4111"/>
    </row>
    <row r="522" spans="17:17" ht="15.75" customHeight="1" x14ac:dyDescent="0.3">
      <c r="Q522" s="4111"/>
    </row>
    <row r="523" spans="17:17" ht="15.75" customHeight="1" x14ac:dyDescent="0.3">
      <c r="Q523" s="4111"/>
    </row>
    <row r="524" spans="17:17" ht="15.75" customHeight="1" x14ac:dyDescent="0.3">
      <c r="Q524" s="4111"/>
    </row>
    <row r="525" spans="17:17" ht="15.75" customHeight="1" x14ac:dyDescent="0.3">
      <c r="Q525" s="4111"/>
    </row>
    <row r="526" spans="17:17" ht="15.75" customHeight="1" x14ac:dyDescent="0.3">
      <c r="Q526" s="4111"/>
    </row>
    <row r="527" spans="17:17" ht="15.75" customHeight="1" x14ac:dyDescent="0.3">
      <c r="Q527" s="4111"/>
    </row>
    <row r="528" spans="17:17" ht="15.75" customHeight="1" x14ac:dyDescent="0.3">
      <c r="Q528" s="4111"/>
    </row>
    <row r="529" spans="17:17" ht="15.75" customHeight="1" x14ac:dyDescent="0.3">
      <c r="Q529" s="4111"/>
    </row>
    <row r="530" spans="17:17" ht="15.75" customHeight="1" x14ac:dyDescent="0.3">
      <c r="Q530" s="4111"/>
    </row>
    <row r="531" spans="17:17" ht="15.75" customHeight="1" x14ac:dyDescent="0.3">
      <c r="Q531" s="4111"/>
    </row>
    <row r="532" spans="17:17" ht="15.75" customHeight="1" x14ac:dyDescent="0.3">
      <c r="Q532" s="4111"/>
    </row>
    <row r="533" spans="17:17" ht="15.75" customHeight="1" x14ac:dyDescent="0.3">
      <c r="Q533" s="4111"/>
    </row>
    <row r="534" spans="17:17" ht="15.75" customHeight="1" x14ac:dyDescent="0.3">
      <c r="Q534" s="4111"/>
    </row>
    <row r="535" spans="17:17" ht="15.75" customHeight="1" x14ac:dyDescent="0.3">
      <c r="Q535" s="4111"/>
    </row>
    <row r="536" spans="17:17" ht="15.75" customHeight="1" x14ac:dyDescent="0.3">
      <c r="Q536" s="4111"/>
    </row>
    <row r="537" spans="17:17" ht="15.75" customHeight="1" x14ac:dyDescent="0.3">
      <c r="Q537" s="4111"/>
    </row>
    <row r="538" spans="17:17" ht="15.75" customHeight="1" x14ac:dyDescent="0.3">
      <c r="Q538" s="4111"/>
    </row>
    <row r="539" spans="17:17" ht="15.75" customHeight="1" x14ac:dyDescent="0.3">
      <c r="Q539" s="4111"/>
    </row>
    <row r="540" spans="17:17" ht="15.75" customHeight="1" x14ac:dyDescent="0.3">
      <c r="Q540" s="4111"/>
    </row>
    <row r="541" spans="17:17" ht="15.75" customHeight="1" x14ac:dyDescent="0.3">
      <c r="Q541" s="4111"/>
    </row>
    <row r="542" spans="17:17" ht="15.75" customHeight="1" x14ac:dyDescent="0.3">
      <c r="Q542" s="4111"/>
    </row>
    <row r="543" spans="17:17" ht="15.75" customHeight="1" x14ac:dyDescent="0.3">
      <c r="Q543" s="4111"/>
    </row>
    <row r="544" spans="17:17" ht="15.75" customHeight="1" x14ac:dyDescent="0.3">
      <c r="Q544" s="4111"/>
    </row>
    <row r="545" spans="17:17" ht="15.75" customHeight="1" x14ac:dyDescent="0.3">
      <c r="Q545" s="4111"/>
    </row>
    <row r="546" spans="17:17" ht="15.75" customHeight="1" x14ac:dyDescent="0.3">
      <c r="Q546" s="4111"/>
    </row>
    <row r="547" spans="17:17" ht="15.75" customHeight="1" x14ac:dyDescent="0.3">
      <c r="Q547" s="4111"/>
    </row>
    <row r="548" spans="17:17" ht="15.75" customHeight="1" x14ac:dyDescent="0.3">
      <c r="Q548" s="4111"/>
    </row>
    <row r="549" spans="17:17" ht="15.75" customHeight="1" x14ac:dyDescent="0.3">
      <c r="Q549" s="4111"/>
    </row>
    <row r="550" spans="17:17" ht="15.75" customHeight="1" x14ac:dyDescent="0.3">
      <c r="Q550" s="4111"/>
    </row>
    <row r="551" spans="17:17" ht="15.75" customHeight="1" x14ac:dyDescent="0.3">
      <c r="Q551" s="4111"/>
    </row>
    <row r="552" spans="17:17" ht="15.75" customHeight="1" x14ac:dyDescent="0.3">
      <c r="Q552" s="4111"/>
    </row>
    <row r="553" spans="17:17" ht="15.75" customHeight="1" x14ac:dyDescent="0.3">
      <c r="Q553" s="4111"/>
    </row>
    <row r="554" spans="17:17" ht="15.75" customHeight="1" x14ac:dyDescent="0.3">
      <c r="Q554" s="4111"/>
    </row>
    <row r="555" spans="17:17" ht="15.75" customHeight="1" x14ac:dyDescent="0.3">
      <c r="Q555" s="4111"/>
    </row>
    <row r="556" spans="17:17" ht="15.75" customHeight="1" x14ac:dyDescent="0.3">
      <c r="Q556" s="4111"/>
    </row>
    <row r="557" spans="17:17" ht="15.75" customHeight="1" x14ac:dyDescent="0.3">
      <c r="Q557" s="4111"/>
    </row>
    <row r="558" spans="17:17" ht="15.75" customHeight="1" x14ac:dyDescent="0.3">
      <c r="Q558" s="4111"/>
    </row>
    <row r="559" spans="17:17" ht="15.75" customHeight="1" x14ac:dyDescent="0.3">
      <c r="Q559" s="4111"/>
    </row>
    <row r="560" spans="17:17" ht="15.75" customHeight="1" x14ac:dyDescent="0.3">
      <c r="Q560" s="4111"/>
    </row>
    <row r="561" spans="17:17" ht="15.75" customHeight="1" x14ac:dyDescent="0.3">
      <c r="Q561" s="4111"/>
    </row>
    <row r="562" spans="17:17" ht="15.75" customHeight="1" x14ac:dyDescent="0.3">
      <c r="Q562" s="4111"/>
    </row>
    <row r="563" spans="17:17" ht="15.75" customHeight="1" x14ac:dyDescent="0.3">
      <c r="Q563" s="4111"/>
    </row>
    <row r="564" spans="17:17" ht="15.75" customHeight="1" x14ac:dyDescent="0.3">
      <c r="Q564" s="4111"/>
    </row>
    <row r="565" spans="17:17" ht="15.75" customHeight="1" x14ac:dyDescent="0.3">
      <c r="Q565" s="4111"/>
    </row>
    <row r="566" spans="17:17" ht="15.75" customHeight="1" x14ac:dyDescent="0.3">
      <c r="Q566" s="4111"/>
    </row>
    <row r="567" spans="17:17" ht="15.75" customHeight="1" x14ac:dyDescent="0.3">
      <c r="Q567" s="4111"/>
    </row>
    <row r="568" spans="17:17" ht="15.75" customHeight="1" x14ac:dyDescent="0.3">
      <c r="Q568" s="4111"/>
    </row>
    <row r="569" spans="17:17" ht="15.75" customHeight="1" x14ac:dyDescent="0.3">
      <c r="Q569" s="4111"/>
    </row>
    <row r="570" spans="17:17" ht="15.75" customHeight="1" x14ac:dyDescent="0.3">
      <c r="Q570" s="4111"/>
    </row>
    <row r="571" spans="17:17" ht="15.75" customHeight="1" x14ac:dyDescent="0.3">
      <c r="Q571" s="4111"/>
    </row>
    <row r="572" spans="17:17" ht="15.75" customHeight="1" x14ac:dyDescent="0.3">
      <c r="Q572" s="4111"/>
    </row>
    <row r="573" spans="17:17" ht="15.75" customHeight="1" x14ac:dyDescent="0.3">
      <c r="Q573" s="4111"/>
    </row>
    <row r="574" spans="17:17" ht="15.75" customHeight="1" x14ac:dyDescent="0.3">
      <c r="Q574" s="4111"/>
    </row>
    <row r="575" spans="17:17" ht="15.75" customHeight="1" x14ac:dyDescent="0.3">
      <c r="Q575" s="4111"/>
    </row>
    <row r="576" spans="17:17" ht="15.75" customHeight="1" x14ac:dyDescent="0.3">
      <c r="Q576" s="4111"/>
    </row>
    <row r="577" spans="17:17" ht="15.75" customHeight="1" x14ac:dyDescent="0.3">
      <c r="Q577" s="4111"/>
    </row>
    <row r="578" spans="17:17" ht="15.75" customHeight="1" x14ac:dyDescent="0.3">
      <c r="Q578" s="4111"/>
    </row>
    <row r="579" spans="17:17" ht="15.75" customHeight="1" x14ac:dyDescent="0.3">
      <c r="Q579" s="4111"/>
    </row>
    <row r="580" spans="17:17" ht="15.75" customHeight="1" x14ac:dyDescent="0.3">
      <c r="Q580" s="4111"/>
    </row>
    <row r="581" spans="17:17" ht="15.75" customHeight="1" x14ac:dyDescent="0.3">
      <c r="Q581" s="4111"/>
    </row>
    <row r="582" spans="17:17" ht="15.75" customHeight="1" x14ac:dyDescent="0.3">
      <c r="Q582" s="4111"/>
    </row>
    <row r="583" spans="17:17" ht="15.75" customHeight="1" x14ac:dyDescent="0.3">
      <c r="Q583" s="4111"/>
    </row>
    <row r="584" spans="17:17" ht="15.75" customHeight="1" x14ac:dyDescent="0.3">
      <c r="Q584" s="4111"/>
    </row>
    <row r="585" spans="17:17" ht="15.75" customHeight="1" x14ac:dyDescent="0.3">
      <c r="Q585" s="4111"/>
    </row>
    <row r="586" spans="17:17" ht="15.75" customHeight="1" x14ac:dyDescent="0.3">
      <c r="Q586" s="4111"/>
    </row>
    <row r="587" spans="17:17" ht="15.75" customHeight="1" x14ac:dyDescent="0.3">
      <c r="Q587" s="4111"/>
    </row>
    <row r="588" spans="17:17" ht="15.75" customHeight="1" x14ac:dyDescent="0.3">
      <c r="Q588" s="4111"/>
    </row>
    <row r="589" spans="17:17" ht="15.75" customHeight="1" x14ac:dyDescent="0.3">
      <c r="Q589" s="4111"/>
    </row>
    <row r="590" spans="17:17" ht="15.75" customHeight="1" x14ac:dyDescent="0.3">
      <c r="Q590" s="4111"/>
    </row>
    <row r="591" spans="17:17" ht="15.75" customHeight="1" x14ac:dyDescent="0.3">
      <c r="Q591" s="4111"/>
    </row>
    <row r="592" spans="17:17" ht="15.75" customHeight="1" x14ac:dyDescent="0.3">
      <c r="Q592" s="4111"/>
    </row>
    <row r="593" spans="17:17" ht="15.75" customHeight="1" x14ac:dyDescent="0.3">
      <c r="Q593" s="4111"/>
    </row>
    <row r="594" spans="17:17" ht="15.75" customHeight="1" x14ac:dyDescent="0.3">
      <c r="Q594" s="4111"/>
    </row>
    <row r="595" spans="17:17" ht="15.75" customHeight="1" x14ac:dyDescent="0.3">
      <c r="Q595" s="4111"/>
    </row>
    <row r="596" spans="17:17" ht="15.75" customHeight="1" x14ac:dyDescent="0.3">
      <c r="Q596" s="4111"/>
    </row>
    <row r="597" spans="17:17" ht="15.75" customHeight="1" x14ac:dyDescent="0.3">
      <c r="Q597" s="4111"/>
    </row>
    <row r="598" spans="17:17" ht="15.75" customHeight="1" x14ac:dyDescent="0.3">
      <c r="Q598" s="4111"/>
    </row>
    <row r="599" spans="17:17" ht="15.75" customHeight="1" x14ac:dyDescent="0.3">
      <c r="Q599" s="4111"/>
    </row>
    <row r="600" spans="17:17" ht="15.75" customHeight="1" x14ac:dyDescent="0.3">
      <c r="Q600" s="4111"/>
    </row>
    <row r="601" spans="17:17" ht="15.75" customHeight="1" x14ac:dyDescent="0.3">
      <c r="Q601" s="4111"/>
    </row>
    <row r="602" spans="17:17" ht="15.75" customHeight="1" x14ac:dyDescent="0.3">
      <c r="Q602" s="4111"/>
    </row>
    <row r="603" spans="17:17" ht="15.75" customHeight="1" x14ac:dyDescent="0.3">
      <c r="Q603" s="4111"/>
    </row>
    <row r="604" spans="17:17" ht="15.75" customHeight="1" x14ac:dyDescent="0.3">
      <c r="Q604" s="4111"/>
    </row>
    <row r="605" spans="17:17" ht="15.75" customHeight="1" x14ac:dyDescent="0.3">
      <c r="Q605" s="4111"/>
    </row>
    <row r="606" spans="17:17" ht="15.75" customHeight="1" x14ac:dyDescent="0.3">
      <c r="Q606" s="4111"/>
    </row>
    <row r="607" spans="17:17" ht="15.75" customHeight="1" x14ac:dyDescent="0.3">
      <c r="Q607" s="4111"/>
    </row>
    <row r="608" spans="17:17" ht="15.75" customHeight="1" x14ac:dyDescent="0.3">
      <c r="Q608" s="4111"/>
    </row>
    <row r="609" spans="17:17" ht="15.75" customHeight="1" x14ac:dyDescent="0.3">
      <c r="Q609" s="4111"/>
    </row>
    <row r="610" spans="17:17" ht="15.75" customHeight="1" x14ac:dyDescent="0.3">
      <c r="Q610" s="4111"/>
    </row>
    <row r="611" spans="17:17" ht="15.75" customHeight="1" x14ac:dyDescent="0.3">
      <c r="Q611" s="4111"/>
    </row>
    <row r="612" spans="17:17" ht="15.75" customHeight="1" x14ac:dyDescent="0.3">
      <c r="Q612" s="4111"/>
    </row>
    <row r="613" spans="17:17" ht="15.75" customHeight="1" x14ac:dyDescent="0.3">
      <c r="Q613" s="4111"/>
    </row>
    <row r="614" spans="17:17" ht="15.75" customHeight="1" x14ac:dyDescent="0.3">
      <c r="Q614" s="4111"/>
    </row>
    <row r="615" spans="17:17" ht="15.75" customHeight="1" x14ac:dyDescent="0.3">
      <c r="Q615" s="4111"/>
    </row>
    <row r="616" spans="17:17" ht="15.75" customHeight="1" x14ac:dyDescent="0.3">
      <c r="Q616" s="4111"/>
    </row>
    <row r="617" spans="17:17" ht="15.75" customHeight="1" x14ac:dyDescent="0.3">
      <c r="Q617" s="4111"/>
    </row>
    <row r="618" spans="17:17" ht="15.75" customHeight="1" x14ac:dyDescent="0.3">
      <c r="Q618" s="4111"/>
    </row>
    <row r="619" spans="17:17" ht="15.75" customHeight="1" x14ac:dyDescent="0.3">
      <c r="Q619" s="4111"/>
    </row>
    <row r="620" spans="17:17" ht="15.75" customHeight="1" x14ac:dyDescent="0.3">
      <c r="Q620" s="4111"/>
    </row>
    <row r="621" spans="17:17" ht="15.75" customHeight="1" x14ac:dyDescent="0.3">
      <c r="Q621" s="4111"/>
    </row>
    <row r="622" spans="17:17" ht="15.75" customHeight="1" x14ac:dyDescent="0.3">
      <c r="Q622" s="4111"/>
    </row>
    <row r="623" spans="17:17" ht="15.75" customHeight="1" x14ac:dyDescent="0.3">
      <c r="Q623" s="4111"/>
    </row>
    <row r="624" spans="17:17" ht="15.75" customHeight="1" x14ac:dyDescent="0.3">
      <c r="Q624" s="4111"/>
    </row>
    <row r="625" spans="17:17" ht="15.75" customHeight="1" x14ac:dyDescent="0.3">
      <c r="Q625" s="4111"/>
    </row>
    <row r="626" spans="17:17" ht="15.75" customHeight="1" x14ac:dyDescent="0.3">
      <c r="Q626" s="4111"/>
    </row>
    <row r="627" spans="17:17" ht="15.75" customHeight="1" x14ac:dyDescent="0.3">
      <c r="Q627" s="4111"/>
    </row>
    <row r="628" spans="17:17" ht="15.75" customHeight="1" x14ac:dyDescent="0.3">
      <c r="Q628" s="4111"/>
    </row>
    <row r="629" spans="17:17" ht="15.75" customHeight="1" x14ac:dyDescent="0.3">
      <c r="Q629" s="4111"/>
    </row>
    <row r="630" spans="17:17" ht="15.75" customHeight="1" x14ac:dyDescent="0.3">
      <c r="Q630" s="4111"/>
    </row>
    <row r="631" spans="17:17" ht="15.75" customHeight="1" x14ac:dyDescent="0.3">
      <c r="Q631" s="4111"/>
    </row>
    <row r="632" spans="17:17" ht="15.75" customHeight="1" x14ac:dyDescent="0.3">
      <c r="Q632" s="4111"/>
    </row>
    <row r="633" spans="17:17" ht="15.75" customHeight="1" x14ac:dyDescent="0.3">
      <c r="Q633" s="4111"/>
    </row>
    <row r="634" spans="17:17" ht="15.75" customHeight="1" x14ac:dyDescent="0.3">
      <c r="Q634" s="4111"/>
    </row>
    <row r="635" spans="17:17" ht="15.75" customHeight="1" x14ac:dyDescent="0.3">
      <c r="Q635" s="4111"/>
    </row>
    <row r="636" spans="17:17" ht="15.75" customHeight="1" x14ac:dyDescent="0.3">
      <c r="Q636" s="4111"/>
    </row>
    <row r="637" spans="17:17" ht="15.75" customHeight="1" x14ac:dyDescent="0.3">
      <c r="Q637" s="4111"/>
    </row>
    <row r="638" spans="17:17" ht="15.75" customHeight="1" x14ac:dyDescent="0.3">
      <c r="Q638" s="4111"/>
    </row>
    <row r="639" spans="17:17" ht="15.75" customHeight="1" x14ac:dyDescent="0.3">
      <c r="Q639" s="4111"/>
    </row>
    <row r="640" spans="17:17" ht="15.75" customHeight="1" x14ac:dyDescent="0.3">
      <c r="Q640" s="4111"/>
    </row>
    <row r="641" spans="17:17" ht="15.75" customHeight="1" x14ac:dyDescent="0.3">
      <c r="Q641" s="4111"/>
    </row>
    <row r="642" spans="17:17" ht="15.75" customHeight="1" x14ac:dyDescent="0.3">
      <c r="Q642" s="4111"/>
    </row>
    <row r="643" spans="17:17" ht="15.75" customHeight="1" x14ac:dyDescent="0.3">
      <c r="Q643" s="4111"/>
    </row>
    <row r="644" spans="17:17" ht="15.75" customHeight="1" x14ac:dyDescent="0.3">
      <c r="Q644" s="4111"/>
    </row>
    <row r="645" spans="17:17" ht="15.75" customHeight="1" x14ac:dyDescent="0.3">
      <c r="Q645" s="4111"/>
    </row>
    <row r="646" spans="17:17" ht="15.75" customHeight="1" x14ac:dyDescent="0.3">
      <c r="Q646" s="4111"/>
    </row>
    <row r="647" spans="17:17" ht="15.75" customHeight="1" x14ac:dyDescent="0.3">
      <c r="Q647" s="4111"/>
    </row>
    <row r="648" spans="17:17" ht="15.75" customHeight="1" x14ac:dyDescent="0.3">
      <c r="Q648" s="4111"/>
    </row>
    <row r="649" spans="17:17" ht="15.75" customHeight="1" x14ac:dyDescent="0.3">
      <c r="Q649" s="4111"/>
    </row>
    <row r="650" spans="17:17" ht="15.75" customHeight="1" x14ac:dyDescent="0.3">
      <c r="Q650" s="4111"/>
    </row>
    <row r="651" spans="17:17" ht="15.75" customHeight="1" x14ac:dyDescent="0.3">
      <c r="Q651" s="4111"/>
    </row>
    <row r="652" spans="17:17" ht="15.75" customHeight="1" x14ac:dyDescent="0.3">
      <c r="Q652" s="4111"/>
    </row>
    <row r="653" spans="17:17" ht="15.75" customHeight="1" x14ac:dyDescent="0.3">
      <c r="Q653" s="4111"/>
    </row>
    <row r="654" spans="17:17" ht="15.75" customHeight="1" x14ac:dyDescent="0.3">
      <c r="Q654" s="4111"/>
    </row>
    <row r="655" spans="17:17" ht="15.75" customHeight="1" x14ac:dyDescent="0.3">
      <c r="Q655" s="4111"/>
    </row>
    <row r="656" spans="17:17" ht="15.75" customHeight="1" x14ac:dyDescent="0.3">
      <c r="Q656" s="4111"/>
    </row>
    <row r="657" spans="17:17" ht="15.75" customHeight="1" x14ac:dyDescent="0.3">
      <c r="Q657" s="4111"/>
    </row>
    <row r="658" spans="17:17" ht="15.75" customHeight="1" x14ac:dyDescent="0.3">
      <c r="Q658" s="4111"/>
    </row>
    <row r="659" spans="17:17" ht="15.75" customHeight="1" x14ac:dyDescent="0.3">
      <c r="Q659" s="4111"/>
    </row>
    <row r="660" spans="17:17" ht="15.75" customHeight="1" x14ac:dyDescent="0.3">
      <c r="Q660" s="4111"/>
    </row>
    <row r="661" spans="17:17" ht="15.75" customHeight="1" x14ac:dyDescent="0.3">
      <c r="Q661" s="4111"/>
    </row>
    <row r="662" spans="17:17" ht="15.75" customHeight="1" x14ac:dyDescent="0.3">
      <c r="Q662" s="4111"/>
    </row>
    <row r="663" spans="17:17" ht="15.75" customHeight="1" x14ac:dyDescent="0.3">
      <c r="Q663" s="4111"/>
    </row>
    <row r="664" spans="17:17" ht="15.75" customHeight="1" x14ac:dyDescent="0.3">
      <c r="Q664" s="4111"/>
    </row>
    <row r="665" spans="17:17" ht="15.75" customHeight="1" x14ac:dyDescent="0.3">
      <c r="Q665" s="4111"/>
    </row>
    <row r="666" spans="17:17" ht="15.75" customHeight="1" x14ac:dyDescent="0.3">
      <c r="Q666" s="4111"/>
    </row>
    <row r="667" spans="17:17" ht="15.75" customHeight="1" x14ac:dyDescent="0.3">
      <c r="Q667" s="4111"/>
    </row>
    <row r="668" spans="17:17" ht="15.75" customHeight="1" x14ac:dyDescent="0.3">
      <c r="Q668" s="4111"/>
    </row>
    <row r="669" spans="17:17" ht="15.75" customHeight="1" x14ac:dyDescent="0.3">
      <c r="Q669" s="4111"/>
    </row>
    <row r="670" spans="17:17" ht="15.75" customHeight="1" x14ac:dyDescent="0.3">
      <c r="Q670" s="4111"/>
    </row>
    <row r="671" spans="17:17" ht="15.75" customHeight="1" x14ac:dyDescent="0.3">
      <c r="Q671" s="4111"/>
    </row>
    <row r="672" spans="17:17" ht="15.75" customHeight="1" x14ac:dyDescent="0.3">
      <c r="Q672" s="4111"/>
    </row>
    <row r="673" spans="17:17" ht="15.75" customHeight="1" x14ac:dyDescent="0.3">
      <c r="Q673" s="4111"/>
    </row>
    <row r="674" spans="17:17" ht="15.75" customHeight="1" x14ac:dyDescent="0.3">
      <c r="Q674" s="4111"/>
    </row>
    <row r="675" spans="17:17" ht="15.75" customHeight="1" x14ac:dyDescent="0.3">
      <c r="Q675" s="4111"/>
    </row>
    <row r="676" spans="17:17" ht="15.75" customHeight="1" x14ac:dyDescent="0.3">
      <c r="Q676" s="4111"/>
    </row>
    <row r="677" spans="17:17" ht="15.75" customHeight="1" x14ac:dyDescent="0.3">
      <c r="Q677" s="4111"/>
    </row>
    <row r="678" spans="17:17" ht="15.75" customHeight="1" x14ac:dyDescent="0.3">
      <c r="Q678" s="4111"/>
    </row>
    <row r="679" spans="17:17" ht="15.75" customHeight="1" x14ac:dyDescent="0.3">
      <c r="Q679" s="4111"/>
    </row>
    <row r="680" spans="17:17" ht="15.75" customHeight="1" x14ac:dyDescent="0.3">
      <c r="Q680" s="4111"/>
    </row>
    <row r="681" spans="17:17" ht="15.75" customHeight="1" x14ac:dyDescent="0.3">
      <c r="Q681" s="4111"/>
    </row>
    <row r="682" spans="17:17" ht="15.75" customHeight="1" x14ac:dyDescent="0.3">
      <c r="Q682" s="4111"/>
    </row>
    <row r="683" spans="17:17" ht="15.75" customHeight="1" x14ac:dyDescent="0.3">
      <c r="Q683" s="4111"/>
    </row>
    <row r="684" spans="17:17" ht="15.75" customHeight="1" x14ac:dyDescent="0.3">
      <c r="Q684" s="4111"/>
    </row>
    <row r="685" spans="17:17" ht="15.75" customHeight="1" x14ac:dyDescent="0.3">
      <c r="Q685" s="4111"/>
    </row>
    <row r="686" spans="17:17" ht="15.75" customHeight="1" x14ac:dyDescent="0.3">
      <c r="Q686" s="4111"/>
    </row>
    <row r="687" spans="17:17" ht="15.75" customHeight="1" x14ac:dyDescent="0.3">
      <c r="Q687" s="4111"/>
    </row>
    <row r="688" spans="17:17" ht="15.75" customHeight="1" x14ac:dyDescent="0.3">
      <c r="Q688" s="4111"/>
    </row>
    <row r="689" spans="17:17" ht="15.75" customHeight="1" x14ac:dyDescent="0.3">
      <c r="Q689" s="4111"/>
    </row>
    <row r="690" spans="17:17" ht="15.75" customHeight="1" x14ac:dyDescent="0.3">
      <c r="Q690" s="4111"/>
    </row>
    <row r="691" spans="17:17" ht="15.75" customHeight="1" x14ac:dyDescent="0.3">
      <c r="Q691" s="4111"/>
    </row>
    <row r="692" spans="17:17" ht="15.75" customHeight="1" x14ac:dyDescent="0.3">
      <c r="Q692" s="4111"/>
    </row>
    <row r="693" spans="17:17" ht="15.75" customHeight="1" x14ac:dyDescent="0.3">
      <c r="Q693" s="4111"/>
    </row>
    <row r="694" spans="17:17" ht="15.75" customHeight="1" x14ac:dyDescent="0.3">
      <c r="Q694" s="4111"/>
    </row>
    <row r="695" spans="17:17" ht="15.75" customHeight="1" x14ac:dyDescent="0.3">
      <c r="Q695" s="4111"/>
    </row>
    <row r="696" spans="17:17" ht="15.75" customHeight="1" x14ac:dyDescent="0.3">
      <c r="Q696" s="4111"/>
    </row>
    <row r="697" spans="17:17" ht="15.75" customHeight="1" x14ac:dyDescent="0.3">
      <c r="Q697" s="4111"/>
    </row>
    <row r="698" spans="17:17" ht="15.75" customHeight="1" x14ac:dyDescent="0.3">
      <c r="Q698" s="4111"/>
    </row>
    <row r="699" spans="17:17" ht="15.75" customHeight="1" x14ac:dyDescent="0.3">
      <c r="Q699" s="4111"/>
    </row>
    <row r="700" spans="17:17" ht="15.75" customHeight="1" x14ac:dyDescent="0.3">
      <c r="Q700" s="4111"/>
    </row>
    <row r="701" spans="17:17" ht="15.75" customHeight="1" x14ac:dyDescent="0.3">
      <c r="Q701" s="4111"/>
    </row>
    <row r="702" spans="17:17" ht="15.75" customHeight="1" x14ac:dyDescent="0.3">
      <c r="Q702" s="4111"/>
    </row>
    <row r="703" spans="17:17" ht="15.75" customHeight="1" x14ac:dyDescent="0.3">
      <c r="Q703" s="4111"/>
    </row>
    <row r="704" spans="17:17" ht="15.75" customHeight="1" x14ac:dyDescent="0.3">
      <c r="Q704" s="4111"/>
    </row>
    <row r="705" spans="17:17" ht="15.75" customHeight="1" x14ac:dyDescent="0.3">
      <c r="Q705" s="4111"/>
    </row>
    <row r="706" spans="17:17" ht="15.75" customHeight="1" x14ac:dyDescent="0.3">
      <c r="Q706" s="4111"/>
    </row>
    <row r="707" spans="17:17" ht="15.75" customHeight="1" x14ac:dyDescent="0.3">
      <c r="Q707" s="4111"/>
    </row>
    <row r="708" spans="17:17" ht="15.75" customHeight="1" x14ac:dyDescent="0.3">
      <c r="Q708" s="4111"/>
    </row>
    <row r="709" spans="17:17" ht="15.75" customHeight="1" x14ac:dyDescent="0.3">
      <c r="Q709" s="4111"/>
    </row>
    <row r="710" spans="17:17" ht="15.75" customHeight="1" x14ac:dyDescent="0.3">
      <c r="Q710" s="4111"/>
    </row>
    <row r="711" spans="17:17" ht="15.75" customHeight="1" x14ac:dyDescent="0.3">
      <c r="Q711" s="4111"/>
    </row>
    <row r="712" spans="17:17" ht="15.75" customHeight="1" x14ac:dyDescent="0.3">
      <c r="Q712" s="4111"/>
    </row>
    <row r="713" spans="17:17" ht="15.75" customHeight="1" x14ac:dyDescent="0.3">
      <c r="Q713" s="4111"/>
    </row>
    <row r="714" spans="17:17" ht="15.75" customHeight="1" x14ac:dyDescent="0.3">
      <c r="Q714" s="4111"/>
    </row>
    <row r="715" spans="17:17" ht="15.75" customHeight="1" x14ac:dyDescent="0.3">
      <c r="Q715" s="4111"/>
    </row>
    <row r="716" spans="17:17" ht="15.75" customHeight="1" x14ac:dyDescent="0.3">
      <c r="Q716" s="4111"/>
    </row>
    <row r="717" spans="17:17" ht="15.75" customHeight="1" x14ac:dyDescent="0.3">
      <c r="Q717" s="4111"/>
    </row>
    <row r="718" spans="17:17" ht="15.75" customHeight="1" x14ac:dyDescent="0.3">
      <c r="Q718" s="4111"/>
    </row>
    <row r="719" spans="17:17" ht="15.75" customHeight="1" x14ac:dyDescent="0.3">
      <c r="Q719" s="4111"/>
    </row>
    <row r="720" spans="17:17" ht="15.75" customHeight="1" x14ac:dyDescent="0.3">
      <c r="Q720" s="4111"/>
    </row>
    <row r="721" spans="17:17" ht="15.75" customHeight="1" x14ac:dyDescent="0.3">
      <c r="Q721" s="4111"/>
    </row>
    <row r="722" spans="17:17" ht="15.75" customHeight="1" x14ac:dyDescent="0.3">
      <c r="Q722" s="4111"/>
    </row>
    <row r="723" spans="17:17" ht="15.75" customHeight="1" x14ac:dyDescent="0.3">
      <c r="Q723" s="4111"/>
    </row>
    <row r="724" spans="17:17" ht="15.75" customHeight="1" x14ac:dyDescent="0.3">
      <c r="Q724" s="4111"/>
    </row>
    <row r="725" spans="17:17" ht="15.75" customHeight="1" x14ac:dyDescent="0.3">
      <c r="Q725" s="4111"/>
    </row>
    <row r="726" spans="17:17" ht="15.75" customHeight="1" x14ac:dyDescent="0.3">
      <c r="Q726" s="4111"/>
    </row>
    <row r="727" spans="17:17" ht="15.75" customHeight="1" x14ac:dyDescent="0.3">
      <c r="Q727" s="4111"/>
    </row>
    <row r="728" spans="17:17" ht="15.75" customHeight="1" x14ac:dyDescent="0.3">
      <c r="Q728" s="4111"/>
    </row>
    <row r="729" spans="17:17" ht="15.75" customHeight="1" x14ac:dyDescent="0.3">
      <c r="Q729" s="4111"/>
    </row>
    <row r="730" spans="17:17" ht="15.75" customHeight="1" x14ac:dyDescent="0.3">
      <c r="Q730" s="4111"/>
    </row>
    <row r="731" spans="17:17" ht="15.75" customHeight="1" x14ac:dyDescent="0.3">
      <c r="Q731" s="4111"/>
    </row>
    <row r="732" spans="17:17" ht="15.75" customHeight="1" x14ac:dyDescent="0.3">
      <c r="Q732" s="4111"/>
    </row>
    <row r="733" spans="17:17" ht="15.75" customHeight="1" x14ac:dyDescent="0.3">
      <c r="Q733" s="4111"/>
    </row>
    <row r="734" spans="17:17" ht="15.75" customHeight="1" x14ac:dyDescent="0.3">
      <c r="Q734" s="4111"/>
    </row>
    <row r="735" spans="17:17" ht="15.75" customHeight="1" x14ac:dyDescent="0.3">
      <c r="Q735" s="4111"/>
    </row>
    <row r="736" spans="17:17" ht="15.75" customHeight="1" x14ac:dyDescent="0.3">
      <c r="Q736" s="4111"/>
    </row>
    <row r="737" spans="17:17" ht="15.75" customHeight="1" x14ac:dyDescent="0.3">
      <c r="Q737" s="4111"/>
    </row>
    <row r="738" spans="17:17" ht="15.75" customHeight="1" x14ac:dyDescent="0.3">
      <c r="Q738" s="4111"/>
    </row>
    <row r="739" spans="17:17" ht="15.75" customHeight="1" x14ac:dyDescent="0.3">
      <c r="Q739" s="4111"/>
    </row>
    <row r="740" spans="17:17" ht="15.75" customHeight="1" x14ac:dyDescent="0.3">
      <c r="Q740" s="4111"/>
    </row>
    <row r="741" spans="17:17" ht="15.75" customHeight="1" x14ac:dyDescent="0.3">
      <c r="Q741" s="4111"/>
    </row>
    <row r="742" spans="17:17" ht="15.75" customHeight="1" x14ac:dyDescent="0.3">
      <c r="Q742" s="4111"/>
    </row>
    <row r="743" spans="17:17" ht="15.75" customHeight="1" x14ac:dyDescent="0.3">
      <c r="Q743" s="4111"/>
    </row>
    <row r="744" spans="17:17" ht="15.75" customHeight="1" x14ac:dyDescent="0.3">
      <c r="Q744" s="4111"/>
    </row>
    <row r="745" spans="17:17" ht="15.75" customHeight="1" x14ac:dyDescent="0.3">
      <c r="Q745" s="4111"/>
    </row>
    <row r="746" spans="17:17" ht="15.75" customHeight="1" x14ac:dyDescent="0.3">
      <c r="Q746" s="4111"/>
    </row>
    <row r="747" spans="17:17" ht="15.75" customHeight="1" x14ac:dyDescent="0.3">
      <c r="Q747" s="4111"/>
    </row>
    <row r="748" spans="17:17" ht="15.75" customHeight="1" x14ac:dyDescent="0.3">
      <c r="Q748" s="4111"/>
    </row>
    <row r="749" spans="17:17" ht="15.75" customHeight="1" x14ac:dyDescent="0.3">
      <c r="Q749" s="4111"/>
    </row>
    <row r="750" spans="17:17" ht="15.75" customHeight="1" x14ac:dyDescent="0.3">
      <c r="Q750" s="4111"/>
    </row>
    <row r="751" spans="17:17" ht="15.75" customHeight="1" x14ac:dyDescent="0.3">
      <c r="Q751" s="4111"/>
    </row>
    <row r="752" spans="17:17" ht="15.75" customHeight="1" x14ac:dyDescent="0.3">
      <c r="Q752" s="4111"/>
    </row>
    <row r="753" spans="17:17" ht="15.75" customHeight="1" x14ac:dyDescent="0.3">
      <c r="Q753" s="4111"/>
    </row>
    <row r="754" spans="17:17" ht="15.75" customHeight="1" x14ac:dyDescent="0.3">
      <c r="Q754" s="4111"/>
    </row>
    <row r="755" spans="17:17" ht="15.75" customHeight="1" x14ac:dyDescent="0.3">
      <c r="Q755" s="4111"/>
    </row>
    <row r="756" spans="17:17" ht="15.75" customHeight="1" x14ac:dyDescent="0.3">
      <c r="Q756" s="4111"/>
    </row>
    <row r="757" spans="17:17" ht="15.75" customHeight="1" x14ac:dyDescent="0.3">
      <c r="Q757" s="4111"/>
    </row>
    <row r="758" spans="17:17" ht="15.75" customHeight="1" x14ac:dyDescent="0.3">
      <c r="Q758" s="4111"/>
    </row>
    <row r="759" spans="17:17" ht="15.75" customHeight="1" x14ac:dyDescent="0.3">
      <c r="Q759" s="4111"/>
    </row>
    <row r="760" spans="17:17" ht="15.75" customHeight="1" x14ac:dyDescent="0.3">
      <c r="Q760" s="4111"/>
    </row>
    <row r="761" spans="17:17" ht="15.75" customHeight="1" x14ac:dyDescent="0.3">
      <c r="Q761" s="4111"/>
    </row>
    <row r="762" spans="17:17" ht="15.75" customHeight="1" x14ac:dyDescent="0.3">
      <c r="Q762" s="4111"/>
    </row>
    <row r="763" spans="17:17" ht="15.75" customHeight="1" x14ac:dyDescent="0.3">
      <c r="Q763" s="4111"/>
    </row>
    <row r="764" spans="17:17" ht="15.75" customHeight="1" x14ac:dyDescent="0.3">
      <c r="Q764" s="4111"/>
    </row>
    <row r="765" spans="17:17" ht="15.75" customHeight="1" x14ac:dyDescent="0.3">
      <c r="Q765" s="4111"/>
    </row>
    <row r="766" spans="17:17" ht="15.75" customHeight="1" x14ac:dyDescent="0.3">
      <c r="Q766" s="4111"/>
    </row>
    <row r="767" spans="17:17" ht="15.75" customHeight="1" x14ac:dyDescent="0.3">
      <c r="Q767" s="4111"/>
    </row>
    <row r="768" spans="17:17" ht="15.75" customHeight="1" x14ac:dyDescent="0.3">
      <c r="Q768" s="4111"/>
    </row>
    <row r="769" spans="17:17" ht="15.75" customHeight="1" x14ac:dyDescent="0.3">
      <c r="Q769" s="4111"/>
    </row>
    <row r="770" spans="17:17" ht="15.75" customHeight="1" x14ac:dyDescent="0.3">
      <c r="Q770" s="4111"/>
    </row>
    <row r="771" spans="17:17" ht="15.75" customHeight="1" x14ac:dyDescent="0.3">
      <c r="Q771" s="4111"/>
    </row>
    <row r="772" spans="17:17" ht="15.75" customHeight="1" x14ac:dyDescent="0.3">
      <c r="Q772" s="4111"/>
    </row>
    <row r="773" spans="17:17" ht="15.75" customHeight="1" x14ac:dyDescent="0.3">
      <c r="Q773" s="4111"/>
    </row>
    <row r="774" spans="17:17" ht="15.75" customHeight="1" x14ac:dyDescent="0.3">
      <c r="Q774" s="4111"/>
    </row>
    <row r="775" spans="17:17" ht="15.75" customHeight="1" x14ac:dyDescent="0.3">
      <c r="Q775" s="4111"/>
    </row>
    <row r="776" spans="17:17" ht="15.75" customHeight="1" x14ac:dyDescent="0.3">
      <c r="Q776" s="4111"/>
    </row>
    <row r="777" spans="17:17" ht="15.75" customHeight="1" x14ac:dyDescent="0.3">
      <c r="Q777" s="4111"/>
    </row>
    <row r="778" spans="17:17" ht="15.75" customHeight="1" x14ac:dyDescent="0.3">
      <c r="Q778" s="4111"/>
    </row>
    <row r="779" spans="17:17" ht="15.75" customHeight="1" x14ac:dyDescent="0.3">
      <c r="Q779" s="4111"/>
    </row>
    <row r="780" spans="17:17" ht="15.75" customHeight="1" x14ac:dyDescent="0.3">
      <c r="Q780" s="4111"/>
    </row>
    <row r="781" spans="17:17" ht="15.75" customHeight="1" x14ac:dyDescent="0.3">
      <c r="Q781" s="4111"/>
    </row>
    <row r="782" spans="17:17" ht="15.75" customHeight="1" x14ac:dyDescent="0.3">
      <c r="Q782" s="4111"/>
    </row>
    <row r="783" spans="17:17" ht="15.75" customHeight="1" x14ac:dyDescent="0.3">
      <c r="Q783" s="4111"/>
    </row>
    <row r="784" spans="17:17" ht="15.75" customHeight="1" x14ac:dyDescent="0.3">
      <c r="Q784" s="4111"/>
    </row>
    <row r="785" spans="17:17" ht="15.75" customHeight="1" x14ac:dyDescent="0.3">
      <c r="Q785" s="4111"/>
    </row>
    <row r="786" spans="17:17" ht="15.75" customHeight="1" x14ac:dyDescent="0.3">
      <c r="Q786" s="4111"/>
    </row>
    <row r="787" spans="17:17" ht="15.75" customHeight="1" x14ac:dyDescent="0.3">
      <c r="Q787" s="4111"/>
    </row>
    <row r="788" spans="17:17" ht="15.75" customHeight="1" x14ac:dyDescent="0.3">
      <c r="Q788" s="4111"/>
    </row>
    <row r="789" spans="17:17" ht="15.75" customHeight="1" x14ac:dyDescent="0.3">
      <c r="Q789" s="4111"/>
    </row>
    <row r="790" spans="17:17" ht="15.75" customHeight="1" x14ac:dyDescent="0.3">
      <c r="Q790" s="4111"/>
    </row>
    <row r="791" spans="17:17" ht="15.75" customHeight="1" x14ac:dyDescent="0.3">
      <c r="Q791" s="4111"/>
    </row>
    <row r="792" spans="17:17" ht="15.75" customHeight="1" x14ac:dyDescent="0.3">
      <c r="Q792" s="4111"/>
    </row>
    <row r="793" spans="17:17" ht="15.75" customHeight="1" x14ac:dyDescent="0.3">
      <c r="Q793" s="4111"/>
    </row>
    <row r="794" spans="17:17" ht="15.75" customHeight="1" x14ac:dyDescent="0.3">
      <c r="Q794" s="4111"/>
    </row>
    <row r="795" spans="17:17" ht="15.75" customHeight="1" x14ac:dyDescent="0.3">
      <c r="Q795" s="4111"/>
    </row>
    <row r="796" spans="17:17" ht="15.75" customHeight="1" x14ac:dyDescent="0.3">
      <c r="Q796" s="4111"/>
    </row>
    <row r="797" spans="17:17" ht="15.75" customHeight="1" x14ac:dyDescent="0.3">
      <c r="Q797" s="4111"/>
    </row>
    <row r="798" spans="17:17" ht="15.75" customHeight="1" x14ac:dyDescent="0.3">
      <c r="Q798" s="4111"/>
    </row>
    <row r="799" spans="17:17" ht="15.75" customHeight="1" x14ac:dyDescent="0.3">
      <c r="Q799" s="4111"/>
    </row>
    <row r="800" spans="17:17" ht="15.75" customHeight="1" x14ac:dyDescent="0.3">
      <c r="Q800" s="4111"/>
    </row>
    <row r="801" spans="17:17" ht="15.75" customHeight="1" x14ac:dyDescent="0.3">
      <c r="Q801" s="4111"/>
    </row>
    <row r="802" spans="17:17" ht="15.75" customHeight="1" x14ac:dyDescent="0.3">
      <c r="Q802" s="4111"/>
    </row>
    <row r="803" spans="17:17" ht="15.75" customHeight="1" x14ac:dyDescent="0.3">
      <c r="Q803" s="4111"/>
    </row>
    <row r="804" spans="17:17" ht="15.75" customHeight="1" x14ac:dyDescent="0.3">
      <c r="Q804" s="4111"/>
    </row>
    <row r="805" spans="17:17" ht="15.75" customHeight="1" x14ac:dyDescent="0.3">
      <c r="Q805" s="4111"/>
    </row>
    <row r="806" spans="17:17" ht="15.75" customHeight="1" x14ac:dyDescent="0.3">
      <c r="Q806" s="4111"/>
    </row>
    <row r="807" spans="17:17" ht="15.75" customHeight="1" x14ac:dyDescent="0.3">
      <c r="Q807" s="4111"/>
    </row>
    <row r="808" spans="17:17" ht="15.75" customHeight="1" x14ac:dyDescent="0.3">
      <c r="Q808" s="4111"/>
    </row>
    <row r="809" spans="17:17" ht="15.75" customHeight="1" x14ac:dyDescent="0.3">
      <c r="Q809" s="4111"/>
    </row>
    <row r="810" spans="17:17" ht="15.75" customHeight="1" x14ac:dyDescent="0.3">
      <c r="Q810" s="4111"/>
    </row>
    <row r="811" spans="17:17" ht="15.75" customHeight="1" x14ac:dyDescent="0.3">
      <c r="Q811" s="4111"/>
    </row>
    <row r="812" spans="17:17" ht="15.75" customHeight="1" x14ac:dyDescent="0.3">
      <c r="Q812" s="4111"/>
    </row>
    <row r="813" spans="17:17" ht="15.75" customHeight="1" x14ac:dyDescent="0.3">
      <c r="Q813" s="4111"/>
    </row>
    <row r="814" spans="17:17" ht="15.75" customHeight="1" x14ac:dyDescent="0.3">
      <c r="Q814" s="4111"/>
    </row>
    <row r="815" spans="17:17" ht="15.75" customHeight="1" x14ac:dyDescent="0.3">
      <c r="Q815" s="4111"/>
    </row>
    <row r="816" spans="17:17" ht="15.75" customHeight="1" x14ac:dyDescent="0.3">
      <c r="Q816" s="4111"/>
    </row>
    <row r="817" spans="17:17" ht="15.75" customHeight="1" x14ac:dyDescent="0.3">
      <c r="Q817" s="4111"/>
    </row>
    <row r="818" spans="17:17" ht="15.75" customHeight="1" x14ac:dyDescent="0.3">
      <c r="Q818" s="4111"/>
    </row>
    <row r="819" spans="17:17" ht="15.75" customHeight="1" x14ac:dyDescent="0.3">
      <c r="Q819" s="4111"/>
    </row>
    <row r="820" spans="17:17" ht="15.75" customHeight="1" x14ac:dyDescent="0.3">
      <c r="Q820" s="4111"/>
    </row>
    <row r="821" spans="17:17" ht="15.75" customHeight="1" x14ac:dyDescent="0.3">
      <c r="Q821" s="4111"/>
    </row>
    <row r="822" spans="17:17" ht="15.75" customHeight="1" x14ac:dyDescent="0.3">
      <c r="Q822" s="4111"/>
    </row>
    <row r="823" spans="17:17" ht="15.75" customHeight="1" x14ac:dyDescent="0.3">
      <c r="Q823" s="4111"/>
    </row>
    <row r="824" spans="17:17" ht="15.75" customHeight="1" x14ac:dyDescent="0.3">
      <c r="Q824" s="4111"/>
    </row>
    <row r="825" spans="17:17" ht="15.75" customHeight="1" x14ac:dyDescent="0.3">
      <c r="Q825" s="4111"/>
    </row>
    <row r="826" spans="17:17" ht="15.75" customHeight="1" x14ac:dyDescent="0.3">
      <c r="Q826" s="4111"/>
    </row>
    <row r="827" spans="17:17" ht="15.75" customHeight="1" x14ac:dyDescent="0.3">
      <c r="Q827" s="4111"/>
    </row>
    <row r="828" spans="17:17" ht="15.75" customHeight="1" x14ac:dyDescent="0.3">
      <c r="Q828" s="4111"/>
    </row>
    <row r="829" spans="17:17" ht="15.75" customHeight="1" x14ac:dyDescent="0.3">
      <c r="Q829" s="4111"/>
    </row>
    <row r="830" spans="17:17" ht="15.75" customHeight="1" x14ac:dyDescent="0.3">
      <c r="Q830" s="4111"/>
    </row>
    <row r="831" spans="17:17" ht="15.75" customHeight="1" x14ac:dyDescent="0.3">
      <c r="Q831" s="4111"/>
    </row>
    <row r="832" spans="17:17" ht="15.75" customHeight="1" x14ac:dyDescent="0.3">
      <c r="Q832" s="4111"/>
    </row>
    <row r="833" spans="17:17" ht="15.75" customHeight="1" x14ac:dyDescent="0.3">
      <c r="Q833" s="4111"/>
    </row>
    <row r="834" spans="17:17" ht="15.75" customHeight="1" x14ac:dyDescent="0.3">
      <c r="Q834" s="4111"/>
    </row>
    <row r="835" spans="17:17" ht="15.75" customHeight="1" x14ac:dyDescent="0.3">
      <c r="Q835" s="4111"/>
    </row>
    <row r="836" spans="17:17" ht="15.75" customHeight="1" x14ac:dyDescent="0.3">
      <c r="Q836" s="4111"/>
    </row>
    <row r="837" spans="17:17" ht="15.75" customHeight="1" x14ac:dyDescent="0.3">
      <c r="Q837" s="4111"/>
    </row>
    <row r="838" spans="17:17" ht="15.75" customHeight="1" x14ac:dyDescent="0.3">
      <c r="Q838" s="4111"/>
    </row>
    <row r="839" spans="17:17" ht="15.75" customHeight="1" x14ac:dyDescent="0.3">
      <c r="Q839" s="4111"/>
    </row>
    <row r="840" spans="17:17" ht="15.75" customHeight="1" x14ac:dyDescent="0.3">
      <c r="Q840" s="4111"/>
    </row>
    <row r="841" spans="17:17" ht="15.75" customHeight="1" x14ac:dyDescent="0.3">
      <c r="Q841" s="4111"/>
    </row>
    <row r="842" spans="17:17" ht="15.75" customHeight="1" x14ac:dyDescent="0.3">
      <c r="Q842" s="4111"/>
    </row>
    <row r="843" spans="17:17" ht="15.75" customHeight="1" x14ac:dyDescent="0.3">
      <c r="Q843" s="4111"/>
    </row>
    <row r="844" spans="17:17" ht="15.75" customHeight="1" x14ac:dyDescent="0.3">
      <c r="Q844" s="4111"/>
    </row>
    <row r="845" spans="17:17" ht="15.75" customHeight="1" x14ac:dyDescent="0.3">
      <c r="Q845" s="4111"/>
    </row>
    <row r="846" spans="17:17" ht="15.75" customHeight="1" x14ac:dyDescent="0.3">
      <c r="Q846" s="4111"/>
    </row>
    <row r="847" spans="17:17" ht="15.75" customHeight="1" x14ac:dyDescent="0.3">
      <c r="Q847" s="4111"/>
    </row>
    <row r="848" spans="17:17" ht="15.75" customHeight="1" x14ac:dyDescent="0.3">
      <c r="Q848" s="4111"/>
    </row>
    <row r="849" spans="17:17" ht="15.75" customHeight="1" x14ac:dyDescent="0.3">
      <c r="Q849" s="4111"/>
    </row>
    <row r="850" spans="17:17" ht="15.75" customHeight="1" x14ac:dyDescent="0.3">
      <c r="Q850" s="4111"/>
    </row>
    <row r="851" spans="17:17" ht="15.75" customHeight="1" x14ac:dyDescent="0.3">
      <c r="Q851" s="4111"/>
    </row>
    <row r="852" spans="17:17" ht="15.75" customHeight="1" x14ac:dyDescent="0.3">
      <c r="Q852" s="4111"/>
    </row>
    <row r="853" spans="17:17" ht="15.75" customHeight="1" x14ac:dyDescent="0.3">
      <c r="Q853" s="4111"/>
    </row>
    <row r="854" spans="17:17" ht="15.75" customHeight="1" x14ac:dyDescent="0.3">
      <c r="Q854" s="4111"/>
    </row>
    <row r="855" spans="17:17" ht="15.75" customHeight="1" x14ac:dyDescent="0.3">
      <c r="Q855" s="4111"/>
    </row>
    <row r="856" spans="17:17" ht="15.75" customHeight="1" x14ac:dyDescent="0.3">
      <c r="Q856" s="4111"/>
    </row>
    <row r="857" spans="17:17" ht="15.75" customHeight="1" x14ac:dyDescent="0.3">
      <c r="Q857" s="4111"/>
    </row>
    <row r="858" spans="17:17" ht="15.75" customHeight="1" x14ac:dyDescent="0.3">
      <c r="Q858" s="4111"/>
    </row>
    <row r="859" spans="17:17" ht="15.75" customHeight="1" x14ac:dyDescent="0.3">
      <c r="Q859" s="4111"/>
    </row>
    <row r="860" spans="17:17" ht="15.75" customHeight="1" x14ac:dyDescent="0.3">
      <c r="Q860" s="4111"/>
    </row>
    <row r="861" spans="17:17" ht="15.75" customHeight="1" x14ac:dyDescent="0.3">
      <c r="Q861" s="4111"/>
    </row>
    <row r="862" spans="17:17" ht="15.75" customHeight="1" x14ac:dyDescent="0.3">
      <c r="Q862" s="4111"/>
    </row>
    <row r="863" spans="17:17" ht="15.75" customHeight="1" x14ac:dyDescent="0.3">
      <c r="Q863" s="4111"/>
    </row>
    <row r="864" spans="17:17" ht="15.75" customHeight="1" x14ac:dyDescent="0.3">
      <c r="Q864" s="4111"/>
    </row>
    <row r="865" spans="17:17" ht="15.75" customHeight="1" x14ac:dyDescent="0.3">
      <c r="Q865" s="4111"/>
    </row>
    <row r="866" spans="17:17" ht="15.75" customHeight="1" x14ac:dyDescent="0.3">
      <c r="Q866" s="4111"/>
    </row>
    <row r="867" spans="17:17" ht="15.75" customHeight="1" x14ac:dyDescent="0.3">
      <c r="Q867" s="4111"/>
    </row>
    <row r="868" spans="17:17" ht="15.75" customHeight="1" x14ac:dyDescent="0.3">
      <c r="Q868" s="4111"/>
    </row>
    <row r="869" spans="17:17" ht="15.75" customHeight="1" x14ac:dyDescent="0.3">
      <c r="Q869" s="4111"/>
    </row>
    <row r="870" spans="17:17" ht="15.75" customHeight="1" x14ac:dyDescent="0.3">
      <c r="Q870" s="4111"/>
    </row>
    <row r="871" spans="17:17" ht="15.75" customHeight="1" x14ac:dyDescent="0.3">
      <c r="Q871" s="4111"/>
    </row>
    <row r="872" spans="17:17" ht="15.75" customHeight="1" x14ac:dyDescent="0.3">
      <c r="Q872" s="4111"/>
    </row>
    <row r="873" spans="17:17" ht="15.75" customHeight="1" x14ac:dyDescent="0.3">
      <c r="Q873" s="4111"/>
    </row>
    <row r="874" spans="17:17" ht="15.75" customHeight="1" x14ac:dyDescent="0.3">
      <c r="Q874" s="4111"/>
    </row>
    <row r="875" spans="17:17" ht="15.75" customHeight="1" x14ac:dyDescent="0.3">
      <c r="Q875" s="4111"/>
    </row>
    <row r="876" spans="17:17" ht="15.75" customHeight="1" x14ac:dyDescent="0.3">
      <c r="Q876" s="4111"/>
    </row>
    <row r="877" spans="17:17" ht="15.75" customHeight="1" x14ac:dyDescent="0.3">
      <c r="Q877" s="4111"/>
    </row>
    <row r="878" spans="17:17" ht="15.75" customHeight="1" x14ac:dyDescent="0.3">
      <c r="Q878" s="4111"/>
    </row>
    <row r="879" spans="17:17" ht="15.75" customHeight="1" x14ac:dyDescent="0.3">
      <c r="Q879" s="4111"/>
    </row>
    <row r="880" spans="17:17" ht="15.75" customHeight="1" x14ac:dyDescent="0.3">
      <c r="Q880" s="4111"/>
    </row>
    <row r="881" spans="17:17" ht="15.75" customHeight="1" x14ac:dyDescent="0.3">
      <c r="Q881" s="4111"/>
    </row>
    <row r="882" spans="17:17" ht="15.75" customHeight="1" x14ac:dyDescent="0.3">
      <c r="Q882" s="4111"/>
    </row>
    <row r="883" spans="17:17" ht="15.75" customHeight="1" x14ac:dyDescent="0.3">
      <c r="Q883" s="4111"/>
    </row>
    <row r="884" spans="17:17" ht="15.75" customHeight="1" x14ac:dyDescent="0.3">
      <c r="Q884" s="4111"/>
    </row>
    <row r="885" spans="17:17" ht="15.75" customHeight="1" x14ac:dyDescent="0.3">
      <c r="Q885" s="4111"/>
    </row>
    <row r="886" spans="17:17" ht="15.75" customHeight="1" x14ac:dyDescent="0.3">
      <c r="Q886" s="4111"/>
    </row>
    <row r="887" spans="17:17" ht="15.75" customHeight="1" x14ac:dyDescent="0.3">
      <c r="Q887" s="4111"/>
    </row>
    <row r="888" spans="17:17" ht="15.75" customHeight="1" x14ac:dyDescent="0.3">
      <c r="Q888" s="4111"/>
    </row>
    <row r="889" spans="17:17" ht="15.75" customHeight="1" x14ac:dyDescent="0.3">
      <c r="Q889" s="4111"/>
    </row>
    <row r="890" spans="17:17" ht="15.75" customHeight="1" x14ac:dyDescent="0.3">
      <c r="Q890" s="4111"/>
    </row>
    <row r="891" spans="17:17" ht="15.75" customHeight="1" x14ac:dyDescent="0.3">
      <c r="Q891" s="4111"/>
    </row>
    <row r="892" spans="17:17" ht="15.75" customHeight="1" x14ac:dyDescent="0.3">
      <c r="Q892" s="4111"/>
    </row>
    <row r="893" spans="17:17" ht="15.75" customHeight="1" x14ac:dyDescent="0.3">
      <c r="Q893" s="4111"/>
    </row>
    <row r="894" spans="17:17" ht="15.75" customHeight="1" x14ac:dyDescent="0.3">
      <c r="Q894" s="4111"/>
    </row>
    <row r="895" spans="17:17" ht="15.75" customHeight="1" x14ac:dyDescent="0.3">
      <c r="Q895" s="4111"/>
    </row>
    <row r="896" spans="17:17" ht="15.75" customHeight="1" x14ac:dyDescent="0.3">
      <c r="Q896" s="4111"/>
    </row>
    <row r="897" spans="17:17" ht="15.75" customHeight="1" x14ac:dyDescent="0.3">
      <c r="Q897" s="4111"/>
    </row>
    <row r="898" spans="17:17" ht="15.75" customHeight="1" x14ac:dyDescent="0.3">
      <c r="Q898" s="4111"/>
    </row>
    <row r="899" spans="17:17" ht="15.75" customHeight="1" x14ac:dyDescent="0.3">
      <c r="Q899" s="4111"/>
    </row>
    <row r="900" spans="17:17" ht="15.75" customHeight="1" x14ac:dyDescent="0.3">
      <c r="Q900" s="4111"/>
    </row>
    <row r="901" spans="17:17" ht="15.75" customHeight="1" x14ac:dyDescent="0.3">
      <c r="Q901" s="4111"/>
    </row>
    <row r="902" spans="17:17" ht="15.75" customHeight="1" x14ac:dyDescent="0.3">
      <c r="Q902" s="4111"/>
    </row>
    <row r="903" spans="17:17" ht="15.75" customHeight="1" x14ac:dyDescent="0.3">
      <c r="Q903" s="4111"/>
    </row>
    <row r="904" spans="17:17" ht="15.75" customHeight="1" x14ac:dyDescent="0.3">
      <c r="Q904" s="4111"/>
    </row>
    <row r="905" spans="17:17" ht="15.75" customHeight="1" x14ac:dyDescent="0.3">
      <c r="Q905" s="4111"/>
    </row>
    <row r="906" spans="17:17" ht="15.75" customHeight="1" x14ac:dyDescent="0.3">
      <c r="Q906" s="4111"/>
    </row>
    <row r="907" spans="17:17" ht="15.75" customHeight="1" x14ac:dyDescent="0.3">
      <c r="Q907" s="4111"/>
    </row>
    <row r="908" spans="17:17" ht="15.75" customHeight="1" x14ac:dyDescent="0.3">
      <c r="Q908" s="4111"/>
    </row>
    <row r="909" spans="17:17" ht="15.75" customHeight="1" x14ac:dyDescent="0.3">
      <c r="Q909" s="4111"/>
    </row>
    <row r="910" spans="17:17" ht="15.75" customHeight="1" x14ac:dyDescent="0.3">
      <c r="Q910" s="4111"/>
    </row>
    <row r="911" spans="17:17" ht="15.75" customHeight="1" x14ac:dyDescent="0.3">
      <c r="Q911" s="4111"/>
    </row>
    <row r="912" spans="17:17" ht="15.75" customHeight="1" x14ac:dyDescent="0.3">
      <c r="Q912" s="4111"/>
    </row>
    <row r="913" spans="17:17" ht="15.75" customHeight="1" x14ac:dyDescent="0.3">
      <c r="Q913" s="4111"/>
    </row>
    <row r="914" spans="17:17" ht="15.75" customHeight="1" x14ac:dyDescent="0.3">
      <c r="Q914" s="4111"/>
    </row>
    <row r="915" spans="17:17" ht="15.75" customHeight="1" x14ac:dyDescent="0.3">
      <c r="Q915" s="4111"/>
    </row>
    <row r="916" spans="17:17" ht="15.75" customHeight="1" x14ac:dyDescent="0.3">
      <c r="Q916" s="4111"/>
    </row>
    <row r="917" spans="17:17" ht="15.75" customHeight="1" x14ac:dyDescent="0.3">
      <c r="Q917" s="4111"/>
    </row>
    <row r="918" spans="17:17" ht="15.75" customHeight="1" x14ac:dyDescent="0.3">
      <c r="Q918" s="4111"/>
    </row>
    <row r="919" spans="17:17" ht="15.75" customHeight="1" x14ac:dyDescent="0.3">
      <c r="Q919" s="4111"/>
    </row>
    <row r="920" spans="17:17" ht="15.75" customHeight="1" x14ac:dyDescent="0.3">
      <c r="Q920" s="4111"/>
    </row>
    <row r="921" spans="17:17" ht="15.75" customHeight="1" x14ac:dyDescent="0.3">
      <c r="Q921" s="4111"/>
    </row>
    <row r="922" spans="17:17" ht="15.75" customHeight="1" x14ac:dyDescent="0.3">
      <c r="Q922" s="4111"/>
    </row>
    <row r="923" spans="17:17" ht="15.75" customHeight="1" x14ac:dyDescent="0.3">
      <c r="Q923" s="4111"/>
    </row>
    <row r="924" spans="17:17" ht="15.75" customHeight="1" x14ac:dyDescent="0.3">
      <c r="Q924" s="4111"/>
    </row>
    <row r="925" spans="17:17" ht="15.75" customHeight="1" x14ac:dyDescent="0.3">
      <c r="Q925" s="4111"/>
    </row>
    <row r="926" spans="17:17" ht="15.75" customHeight="1" x14ac:dyDescent="0.3">
      <c r="Q926" s="4111"/>
    </row>
    <row r="927" spans="17:17" ht="15.75" customHeight="1" x14ac:dyDescent="0.3">
      <c r="Q927" s="4111"/>
    </row>
    <row r="928" spans="17:17" ht="15.75" customHeight="1" x14ac:dyDescent="0.3">
      <c r="Q928" s="4111"/>
    </row>
    <row r="929" spans="17:17" ht="15.75" customHeight="1" x14ac:dyDescent="0.3">
      <c r="Q929" s="4111"/>
    </row>
    <row r="930" spans="17:17" ht="15.75" customHeight="1" x14ac:dyDescent="0.3">
      <c r="Q930" s="4111"/>
    </row>
    <row r="931" spans="17:17" ht="15.75" customHeight="1" x14ac:dyDescent="0.3">
      <c r="Q931" s="4111"/>
    </row>
    <row r="932" spans="17:17" ht="15.75" customHeight="1" x14ac:dyDescent="0.3">
      <c r="Q932" s="4111"/>
    </row>
    <row r="933" spans="17:17" ht="15.75" customHeight="1" x14ac:dyDescent="0.3">
      <c r="Q933" s="4111"/>
    </row>
    <row r="934" spans="17:17" ht="15.75" customHeight="1" x14ac:dyDescent="0.3">
      <c r="Q934" s="4111"/>
    </row>
    <row r="935" spans="17:17" ht="15.75" customHeight="1" x14ac:dyDescent="0.3">
      <c r="Q935" s="4111"/>
    </row>
    <row r="936" spans="17:17" ht="15.75" customHeight="1" x14ac:dyDescent="0.3">
      <c r="Q936" s="4111"/>
    </row>
    <row r="937" spans="17:17" ht="15.75" customHeight="1" x14ac:dyDescent="0.3">
      <c r="Q937" s="4111"/>
    </row>
    <row r="938" spans="17:17" ht="15.75" customHeight="1" x14ac:dyDescent="0.3">
      <c r="Q938" s="4111"/>
    </row>
    <row r="939" spans="17:17" ht="15.75" customHeight="1" x14ac:dyDescent="0.3">
      <c r="Q939" s="4111"/>
    </row>
    <row r="940" spans="17:17" ht="15.75" customHeight="1" x14ac:dyDescent="0.3">
      <c r="Q940" s="4111"/>
    </row>
    <row r="941" spans="17:17" ht="15.75" customHeight="1" x14ac:dyDescent="0.3">
      <c r="Q941" s="4111"/>
    </row>
    <row r="942" spans="17:17" ht="15.75" customHeight="1" x14ac:dyDescent="0.3">
      <c r="Q942" s="4111"/>
    </row>
    <row r="943" spans="17:17" ht="15.75" customHeight="1" x14ac:dyDescent="0.3">
      <c r="Q943" s="4111"/>
    </row>
    <row r="944" spans="17:17" ht="15.75" customHeight="1" x14ac:dyDescent="0.3">
      <c r="Q944" s="4111"/>
    </row>
    <row r="945" spans="17:17" ht="15.75" customHeight="1" x14ac:dyDescent="0.3">
      <c r="Q945" s="4111"/>
    </row>
    <row r="946" spans="17:17" ht="15.75" customHeight="1" x14ac:dyDescent="0.3">
      <c r="Q946" s="4111"/>
    </row>
    <row r="947" spans="17:17" ht="15.75" customHeight="1" x14ac:dyDescent="0.3">
      <c r="Q947" s="4111"/>
    </row>
    <row r="948" spans="17:17" ht="15.75" customHeight="1" x14ac:dyDescent="0.3">
      <c r="Q948" s="4111"/>
    </row>
    <row r="949" spans="17:17" ht="15.75" customHeight="1" x14ac:dyDescent="0.3">
      <c r="Q949" s="4111"/>
    </row>
    <row r="950" spans="17:17" ht="15.75" customHeight="1" x14ac:dyDescent="0.3">
      <c r="Q950" s="4111"/>
    </row>
    <row r="951" spans="17:17" ht="15.75" customHeight="1" x14ac:dyDescent="0.3">
      <c r="Q951" s="4111"/>
    </row>
    <row r="952" spans="17:17" ht="15.75" customHeight="1" x14ac:dyDescent="0.3">
      <c r="Q952" s="4111"/>
    </row>
    <row r="953" spans="17:17" ht="15.75" customHeight="1" x14ac:dyDescent="0.3">
      <c r="Q953" s="4111"/>
    </row>
    <row r="954" spans="17:17" ht="15.75" customHeight="1" x14ac:dyDescent="0.3">
      <c r="Q954" s="4111"/>
    </row>
    <row r="955" spans="17:17" ht="15.75" customHeight="1" x14ac:dyDescent="0.3">
      <c r="Q955" s="4111"/>
    </row>
    <row r="956" spans="17:17" ht="15.75" customHeight="1" x14ac:dyDescent="0.3">
      <c r="Q956" s="4111"/>
    </row>
    <row r="957" spans="17:17" ht="15.75" customHeight="1" x14ac:dyDescent="0.3">
      <c r="Q957" s="4111"/>
    </row>
    <row r="958" spans="17:17" ht="15.75" customHeight="1" x14ac:dyDescent="0.3">
      <c r="Q958" s="4111"/>
    </row>
    <row r="959" spans="17:17" ht="15.75" customHeight="1" x14ac:dyDescent="0.3">
      <c r="Q959" s="4111"/>
    </row>
    <row r="960" spans="17:17" ht="15.75" customHeight="1" x14ac:dyDescent="0.3">
      <c r="Q960" s="4111"/>
    </row>
    <row r="961" spans="17:17" ht="15.75" customHeight="1" x14ac:dyDescent="0.3">
      <c r="Q961" s="4111"/>
    </row>
    <row r="962" spans="17:17" ht="15.75" customHeight="1" x14ac:dyDescent="0.3">
      <c r="Q962" s="4111"/>
    </row>
    <row r="963" spans="17:17" ht="15.75" customHeight="1" x14ac:dyDescent="0.3">
      <c r="Q963" s="4111"/>
    </row>
    <row r="964" spans="17:17" ht="15.75" customHeight="1" x14ac:dyDescent="0.3">
      <c r="Q964" s="4111"/>
    </row>
    <row r="965" spans="17:17" ht="15.75" customHeight="1" x14ac:dyDescent="0.3">
      <c r="Q965" s="4111"/>
    </row>
    <row r="966" spans="17:17" ht="15.75" customHeight="1" x14ac:dyDescent="0.3">
      <c r="Q966" s="4111"/>
    </row>
    <row r="967" spans="17:17" ht="15.75" customHeight="1" x14ac:dyDescent="0.3">
      <c r="Q967" s="4111"/>
    </row>
    <row r="968" spans="17:17" ht="15.75" customHeight="1" x14ac:dyDescent="0.3">
      <c r="Q968" s="4111"/>
    </row>
    <row r="969" spans="17:17" ht="15.75" customHeight="1" x14ac:dyDescent="0.3">
      <c r="Q969" s="4111"/>
    </row>
    <row r="970" spans="17:17" ht="15.75" customHeight="1" x14ac:dyDescent="0.3">
      <c r="Q970" s="4111"/>
    </row>
    <row r="971" spans="17:17" ht="15.75" customHeight="1" x14ac:dyDescent="0.3">
      <c r="Q971" s="4111"/>
    </row>
    <row r="972" spans="17:17" ht="15.75" customHeight="1" x14ac:dyDescent="0.3">
      <c r="Q972" s="4111"/>
    </row>
    <row r="973" spans="17:17" ht="15.75" customHeight="1" x14ac:dyDescent="0.3">
      <c r="Q973" s="4111"/>
    </row>
    <row r="974" spans="17:17" ht="15.75" customHeight="1" x14ac:dyDescent="0.3">
      <c r="Q974" s="4111"/>
    </row>
    <row r="975" spans="17:17" ht="15.75" customHeight="1" x14ac:dyDescent="0.3">
      <c r="Q975" s="4111"/>
    </row>
    <row r="976" spans="17:17" ht="15.75" customHeight="1" x14ac:dyDescent="0.3">
      <c r="Q976" s="4111"/>
    </row>
    <row r="977" spans="17:17" ht="15.75" customHeight="1" x14ac:dyDescent="0.3">
      <c r="Q977" s="4111"/>
    </row>
    <row r="978" spans="17:17" ht="15.75" customHeight="1" x14ac:dyDescent="0.3">
      <c r="Q978" s="4111"/>
    </row>
    <row r="979" spans="17:17" ht="15.75" customHeight="1" x14ac:dyDescent="0.3">
      <c r="Q979" s="4111"/>
    </row>
    <row r="980" spans="17:17" ht="15.75" customHeight="1" x14ac:dyDescent="0.3">
      <c r="Q980" s="4111"/>
    </row>
    <row r="981" spans="17:17" ht="15.75" customHeight="1" x14ac:dyDescent="0.3">
      <c r="Q981" s="4111"/>
    </row>
    <row r="982" spans="17:17" ht="15.75" customHeight="1" x14ac:dyDescent="0.3">
      <c r="Q982" s="4111"/>
    </row>
    <row r="983" spans="17:17" ht="15.75" customHeight="1" x14ac:dyDescent="0.3">
      <c r="Q983" s="4111"/>
    </row>
    <row r="984" spans="17:17" ht="15.75" customHeight="1" x14ac:dyDescent="0.3">
      <c r="Q984" s="4111"/>
    </row>
    <row r="985" spans="17:17" ht="15.75" customHeight="1" x14ac:dyDescent="0.3">
      <c r="Q985" s="4111"/>
    </row>
    <row r="986" spans="17:17" ht="15.75" customHeight="1" x14ac:dyDescent="0.3">
      <c r="Q986" s="4111"/>
    </row>
    <row r="987" spans="17:17" ht="15.75" customHeight="1" x14ac:dyDescent="0.3">
      <c r="Q987" s="4111"/>
    </row>
    <row r="988" spans="17:17" ht="15.75" customHeight="1" x14ac:dyDescent="0.3">
      <c r="Q988" s="4111"/>
    </row>
    <row r="989" spans="17:17" ht="15.75" customHeight="1" x14ac:dyDescent="0.3">
      <c r="Q989" s="4111"/>
    </row>
    <row r="990" spans="17:17" ht="15.75" customHeight="1" x14ac:dyDescent="0.3">
      <c r="Q990" s="4111"/>
    </row>
    <row r="991" spans="17:17" ht="15.75" customHeight="1" x14ac:dyDescent="0.3">
      <c r="Q991" s="4111"/>
    </row>
    <row r="992" spans="17:17" ht="15.75" customHeight="1" x14ac:dyDescent="0.3">
      <c r="Q992" s="4111"/>
    </row>
    <row r="993" spans="17:17" ht="15.75" customHeight="1" x14ac:dyDescent="0.3">
      <c r="Q993" s="4111"/>
    </row>
    <row r="994" spans="17:17" ht="15.75" customHeight="1" x14ac:dyDescent="0.3">
      <c r="Q994" s="4111"/>
    </row>
  </sheetData>
  <mergeCells count="2">
    <mergeCell ref="C7:N7"/>
    <mergeCell ref="S7:V7"/>
  </mergeCells>
  <dataValidations count="1">
    <dataValidation type="list" allowBlank="1" showErrorMessage="1" sqref="B17 B22 B27 B32" xr:uid="{870641A9-7B7F-435A-A3BC-2840965DA712}">
      <formula1>$B$43:$B$48</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5C548-66E1-4C4D-9903-5371424F734E}">
  <dimension ref="A1:AF895"/>
  <sheetViews>
    <sheetView showGridLines="0" zoomScale="87" zoomScaleNormal="90" workbookViewId="0">
      <selection activeCell="F23" sqref="F23"/>
    </sheetView>
  </sheetViews>
  <sheetFormatPr defaultColWidth="12.44140625" defaultRowHeight="15" customHeight="1" x14ac:dyDescent="0.3"/>
  <cols>
    <col min="1" max="1" width="2.6640625" style="428" customWidth="1"/>
    <col min="2" max="2" width="5.109375" style="428" customWidth="1"/>
    <col min="3" max="3" width="29.6640625" style="428" customWidth="1"/>
    <col min="4" max="4" width="24.44140625" style="428" customWidth="1"/>
    <col min="5" max="5" width="8.88671875" style="428" customWidth="1"/>
    <col min="6" max="6" width="43.77734375" style="428" customWidth="1"/>
    <col min="7" max="7" width="12.77734375" style="428" customWidth="1"/>
    <col min="8" max="8" width="12.77734375" style="428" hidden="1" customWidth="1"/>
    <col min="9" max="9" width="15" style="428" customWidth="1"/>
    <col min="10" max="10" width="15.33203125" style="428" customWidth="1"/>
    <col min="11" max="11" width="14.77734375" style="428" customWidth="1"/>
    <col min="12" max="12" width="14.33203125" style="428" customWidth="1"/>
    <col min="13" max="13" width="14.109375" style="428" customWidth="1"/>
    <col min="14" max="14" width="14" style="428" customWidth="1"/>
    <col min="15" max="15" width="11.5546875" style="428" customWidth="1"/>
    <col min="16" max="16" width="14" style="428" customWidth="1"/>
    <col min="17" max="26" width="11.5546875" style="428" customWidth="1"/>
    <col min="27" max="30" width="11.6640625" style="428" customWidth="1"/>
    <col min="31" max="16384" width="12.44140625" style="428"/>
  </cols>
  <sheetData>
    <row r="1" spans="1:30" ht="23.25" customHeight="1" x14ac:dyDescent="0.35">
      <c r="A1" s="513"/>
      <c r="B1" s="514" t="s">
        <v>2392</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899</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24" customHeight="1" x14ac:dyDescent="0.3">
      <c r="A10" s="528"/>
      <c r="B10" s="529">
        <v>1</v>
      </c>
      <c r="C10" s="530" t="s">
        <v>348</v>
      </c>
      <c r="D10" s="531" t="s">
        <v>352</v>
      </c>
      <c r="E10" s="532" t="s">
        <v>353</v>
      </c>
      <c r="F10" s="533" t="s">
        <v>2317</v>
      </c>
      <c r="G10" s="534">
        <v>2015</v>
      </c>
      <c r="H10" s="535"/>
      <c r="I10" s="536">
        <v>1698600</v>
      </c>
      <c r="J10" s="4112">
        <v>1852200</v>
      </c>
      <c r="K10" s="4112">
        <v>1681200</v>
      </c>
      <c r="L10" s="4112">
        <v>1717440</v>
      </c>
      <c r="M10" s="4112">
        <v>1865240</v>
      </c>
      <c r="N10" s="535" t="s">
        <v>88</v>
      </c>
      <c r="O10" s="535" t="s">
        <v>88</v>
      </c>
      <c r="P10" s="535" t="s">
        <v>88</v>
      </c>
      <c r="Q10" s="535" t="s">
        <v>88</v>
      </c>
      <c r="R10" s="4063">
        <v>3104142.44</v>
      </c>
      <c r="S10" s="535"/>
      <c r="T10" s="535"/>
      <c r="U10" s="542"/>
      <c r="V10" s="535"/>
      <c r="W10" s="542"/>
      <c r="X10" s="535"/>
      <c r="Y10" s="542"/>
      <c r="Z10" s="535"/>
      <c r="AA10" s="528"/>
      <c r="AB10" s="528"/>
      <c r="AC10" s="528"/>
      <c r="AD10" s="528"/>
    </row>
    <row r="11" spans="1:30" ht="24" customHeight="1" x14ac:dyDescent="0.3">
      <c r="A11" s="528"/>
      <c r="B11" s="529"/>
      <c r="C11" s="531"/>
      <c r="D11" s="531" t="s">
        <v>641</v>
      </c>
      <c r="E11" s="532" t="s">
        <v>653</v>
      </c>
      <c r="F11" s="533"/>
      <c r="G11" s="534"/>
      <c r="H11" s="550"/>
      <c r="I11" s="602">
        <v>26482.42</v>
      </c>
      <c r="J11" s="4113">
        <v>36756.28</v>
      </c>
      <c r="K11" s="4113">
        <v>89750.77</v>
      </c>
      <c r="L11" s="4113">
        <v>97849.53</v>
      </c>
      <c r="M11" s="4113">
        <v>104294.26</v>
      </c>
      <c r="N11" s="550" t="s">
        <v>88</v>
      </c>
      <c r="O11" s="550" t="s">
        <v>88</v>
      </c>
      <c r="P11" s="550" t="s">
        <v>88</v>
      </c>
      <c r="Q11" s="550" t="s">
        <v>88</v>
      </c>
      <c r="R11" s="4114">
        <v>168603.11</v>
      </c>
      <c r="S11" s="550"/>
      <c r="T11" s="550"/>
      <c r="U11" s="542"/>
      <c r="V11" s="550"/>
      <c r="W11" s="542"/>
      <c r="X11" s="550"/>
      <c r="Y11" s="542"/>
      <c r="Z11" s="550"/>
      <c r="AA11" s="528"/>
      <c r="AB11" s="528"/>
      <c r="AC11" s="528"/>
      <c r="AD11" s="528"/>
    </row>
    <row r="12" spans="1:30" ht="24" customHeight="1" x14ac:dyDescent="0.3">
      <c r="A12" s="528"/>
      <c r="B12" s="529">
        <v>2</v>
      </c>
      <c r="C12" s="453" t="s">
        <v>348</v>
      </c>
      <c r="D12" s="453" t="s">
        <v>352</v>
      </c>
      <c r="E12" s="543" t="s">
        <v>353</v>
      </c>
      <c r="F12" s="506" t="s">
        <v>2318</v>
      </c>
      <c r="G12" s="496">
        <v>2019</v>
      </c>
      <c r="H12" s="544"/>
      <c r="I12" s="545">
        <v>9771000</v>
      </c>
      <c r="J12" s="1704">
        <v>10206720</v>
      </c>
      <c r="K12" s="1704">
        <v>10179000</v>
      </c>
      <c r="L12" s="1704" t="s">
        <v>2316</v>
      </c>
      <c r="M12" s="1704">
        <v>0</v>
      </c>
      <c r="N12" s="4115">
        <f>1161000+961200+842400+658800+549000+415944+732600+561600+541800+707400+1018800+1107000</f>
        <v>9257544</v>
      </c>
      <c r="O12" s="544"/>
      <c r="P12" s="544"/>
      <c r="Q12" s="544"/>
      <c r="R12" s="544"/>
      <c r="S12" s="544"/>
      <c r="T12" s="544"/>
      <c r="U12" s="548"/>
      <c r="V12" s="544"/>
      <c r="W12" s="548"/>
      <c r="X12" s="544"/>
      <c r="Y12" s="548"/>
      <c r="Z12" s="544"/>
      <c r="AA12" s="528"/>
      <c r="AB12" s="528"/>
      <c r="AC12" s="528"/>
      <c r="AD12" s="528"/>
    </row>
    <row r="13" spans="1:30" ht="24" customHeight="1" x14ac:dyDescent="0.3">
      <c r="A13" s="528"/>
      <c r="B13" s="3680"/>
      <c r="C13" s="453"/>
      <c r="D13" s="4116" t="s">
        <v>641</v>
      </c>
      <c r="E13" s="543" t="s">
        <v>653</v>
      </c>
      <c r="F13" s="506"/>
      <c r="G13" s="496"/>
      <c r="H13" s="544"/>
      <c r="I13" s="545">
        <v>210623.33</v>
      </c>
      <c r="J13" s="1704">
        <v>228323.63</v>
      </c>
      <c r="K13" s="1704">
        <v>230341.66</v>
      </c>
      <c r="L13" s="1704" t="s">
        <v>2316</v>
      </c>
      <c r="M13" s="1704">
        <v>0</v>
      </c>
      <c r="N13" s="4115">
        <f>110655+90815+96130+60716+48776+26078+22813+16562+19515+24142+72496+66999</f>
        <v>655697</v>
      </c>
      <c r="O13" s="544"/>
      <c r="P13" s="544"/>
      <c r="Q13" s="544"/>
      <c r="R13" s="544"/>
      <c r="S13" s="544"/>
      <c r="T13" s="544"/>
      <c r="U13" s="548"/>
      <c r="V13" s="544"/>
      <c r="W13" s="548"/>
      <c r="X13" s="544"/>
      <c r="Y13" s="548"/>
      <c r="Z13" s="544"/>
      <c r="AA13" s="528"/>
      <c r="AB13" s="528"/>
      <c r="AC13" s="528"/>
      <c r="AD13" s="528"/>
    </row>
    <row r="14" spans="1:30" ht="30" customHeight="1" x14ac:dyDescent="0.3">
      <c r="A14" s="528"/>
      <c r="B14" s="529">
        <v>3</v>
      </c>
      <c r="C14" s="531" t="s">
        <v>348</v>
      </c>
      <c r="D14" s="531" t="s">
        <v>352</v>
      </c>
      <c r="E14" s="532" t="s">
        <v>353</v>
      </c>
      <c r="F14" s="533" t="s">
        <v>2319</v>
      </c>
      <c r="G14" s="1108">
        <v>2022</v>
      </c>
      <c r="H14" s="550"/>
      <c r="I14" s="602">
        <v>496584</v>
      </c>
      <c r="J14" s="4113">
        <v>467424</v>
      </c>
      <c r="K14" s="4114">
        <v>537317.4</v>
      </c>
      <c r="L14" s="4113"/>
      <c r="M14" s="4113"/>
      <c r="N14" s="550"/>
      <c r="O14" s="550"/>
      <c r="P14" s="550"/>
      <c r="Q14" s="550"/>
      <c r="R14" s="550"/>
      <c r="S14" s="550"/>
      <c r="T14" s="550"/>
      <c r="U14" s="542"/>
      <c r="V14" s="550"/>
      <c r="W14" s="542"/>
      <c r="X14" s="550"/>
      <c r="Y14" s="542"/>
      <c r="Z14" s="550"/>
      <c r="AA14" s="528"/>
      <c r="AB14" s="528"/>
      <c r="AC14" s="528"/>
      <c r="AD14" s="528"/>
    </row>
    <row r="15" spans="1:30" ht="30" customHeight="1" x14ac:dyDescent="0.3">
      <c r="A15" s="528"/>
      <c r="B15" s="529"/>
      <c r="C15" s="1169"/>
      <c r="D15" s="531" t="s">
        <v>641</v>
      </c>
      <c r="E15" s="532" t="s">
        <v>653</v>
      </c>
      <c r="F15" s="533"/>
      <c r="G15" s="1108"/>
      <c r="H15" s="1110"/>
      <c r="I15" s="1109">
        <v>38011.19</v>
      </c>
      <c r="J15" s="4117">
        <v>39584.949999999997</v>
      </c>
      <c r="K15" s="4115">
        <v>49955.7</v>
      </c>
      <c r="L15" s="4117"/>
      <c r="M15" s="4117"/>
      <c r="N15" s="1110"/>
      <c r="O15" s="1110"/>
      <c r="P15" s="1110"/>
      <c r="Q15" s="1110"/>
      <c r="R15" s="1110"/>
      <c r="S15" s="1110"/>
      <c r="T15" s="1110"/>
      <c r="U15" s="1111"/>
      <c r="V15" s="1110"/>
      <c r="W15" s="1111"/>
      <c r="X15" s="1110"/>
      <c r="Y15" s="1111"/>
      <c r="Z15" s="1110"/>
      <c r="AA15" s="528"/>
      <c r="AB15" s="528"/>
      <c r="AC15" s="528"/>
      <c r="AD15" s="528"/>
    </row>
    <row r="16" spans="1:30" ht="30" customHeight="1" x14ac:dyDescent="0.3">
      <c r="A16" s="528"/>
      <c r="B16" s="529">
        <v>4</v>
      </c>
      <c r="C16" s="453" t="s">
        <v>348</v>
      </c>
      <c r="D16" s="453" t="s">
        <v>352</v>
      </c>
      <c r="E16" s="543" t="s">
        <v>353</v>
      </c>
      <c r="F16" s="506" t="s">
        <v>2320</v>
      </c>
      <c r="G16" s="496">
        <v>2019</v>
      </c>
      <c r="H16" s="544"/>
      <c r="I16" s="545">
        <v>2489760</v>
      </c>
      <c r="J16" s="544">
        <v>2445840</v>
      </c>
      <c r="K16" s="544">
        <v>2142720</v>
      </c>
      <c r="L16" s="544">
        <v>1962720</v>
      </c>
      <c r="M16" s="544">
        <v>1862640</v>
      </c>
      <c r="N16" s="4115">
        <v>2374758</v>
      </c>
      <c r="O16" s="544"/>
      <c r="P16" s="4118"/>
      <c r="Q16" s="544"/>
      <c r="R16" s="544"/>
      <c r="S16" s="544"/>
      <c r="T16" s="544"/>
      <c r="U16" s="548"/>
      <c r="V16" s="544"/>
      <c r="W16" s="548"/>
      <c r="X16" s="544"/>
      <c r="Y16" s="548"/>
      <c r="Z16" s="544"/>
      <c r="AA16" s="528"/>
      <c r="AB16" s="528"/>
      <c r="AC16" s="528"/>
      <c r="AD16" s="528"/>
    </row>
    <row r="17" spans="1:32" ht="30" customHeight="1" x14ac:dyDescent="0.3">
      <c r="A17" s="528"/>
      <c r="B17" s="529"/>
      <c r="C17" s="453"/>
      <c r="D17" s="453" t="s">
        <v>641</v>
      </c>
      <c r="E17" s="543" t="s">
        <v>653</v>
      </c>
      <c r="F17" s="506"/>
      <c r="G17" s="496"/>
      <c r="H17" s="544"/>
      <c r="I17" s="545">
        <v>106802.58</v>
      </c>
      <c r="J17" s="544">
        <v>165666.23374613005</v>
      </c>
      <c r="K17" s="544">
        <v>194624.74183006535</v>
      </c>
      <c r="L17" s="544">
        <v>133710.87539682537</v>
      </c>
      <c r="M17" s="544">
        <v>116394.48571428572</v>
      </c>
      <c r="N17" s="4115">
        <v>203033.4</v>
      </c>
      <c r="O17" s="544"/>
      <c r="P17" s="4118"/>
      <c r="Q17" s="544"/>
      <c r="R17" s="544"/>
      <c r="S17" s="544"/>
      <c r="T17" s="544"/>
      <c r="U17" s="548"/>
      <c r="V17" s="544"/>
      <c r="W17" s="548"/>
      <c r="X17" s="544"/>
      <c r="Y17" s="548"/>
      <c r="Z17" s="544"/>
      <c r="AA17" s="528"/>
      <c r="AB17" s="528"/>
      <c r="AC17" s="528"/>
      <c r="AD17" s="528"/>
    </row>
    <row r="18" spans="1:32" ht="30" customHeight="1" x14ac:dyDescent="0.3">
      <c r="A18" s="528"/>
      <c r="B18" s="529">
        <v>5</v>
      </c>
      <c r="C18" s="531" t="s">
        <v>348</v>
      </c>
      <c r="D18" s="531" t="s">
        <v>352</v>
      </c>
      <c r="E18" s="532" t="s">
        <v>353</v>
      </c>
      <c r="F18" s="1107" t="s">
        <v>2321</v>
      </c>
      <c r="G18" s="1108">
        <v>2017</v>
      </c>
      <c r="H18" s="1110"/>
      <c r="I18" s="1109">
        <v>360618.75</v>
      </c>
      <c r="J18" s="1110">
        <v>351360</v>
      </c>
      <c r="K18" s="1110">
        <v>352800</v>
      </c>
      <c r="L18" s="1110">
        <v>335700</v>
      </c>
      <c r="M18" s="1110">
        <v>278280</v>
      </c>
      <c r="N18" s="1110"/>
      <c r="O18" s="1110"/>
      <c r="P18" s="4115">
        <v>461448</v>
      </c>
      <c r="Q18" s="1110"/>
      <c r="R18" s="1110"/>
      <c r="S18" s="1110"/>
      <c r="T18" s="1110"/>
      <c r="U18" s="1111"/>
      <c r="V18" s="1110"/>
      <c r="W18" s="1111"/>
      <c r="X18" s="1110"/>
      <c r="Y18" s="1111"/>
      <c r="Z18" s="1110"/>
      <c r="AA18" s="528"/>
      <c r="AB18" s="528"/>
      <c r="AC18" s="528"/>
      <c r="AD18" s="528"/>
    </row>
    <row r="19" spans="1:32" ht="30" customHeight="1" x14ac:dyDescent="0.3">
      <c r="A19" s="528"/>
      <c r="B19" s="529"/>
      <c r="C19" s="1169"/>
      <c r="D19" s="531" t="s">
        <v>641</v>
      </c>
      <c r="E19" s="532" t="s">
        <v>653</v>
      </c>
      <c r="F19" s="1107"/>
      <c r="G19" s="1108"/>
      <c r="H19" s="1110"/>
      <c r="I19" s="1109">
        <v>69139.509999999995</v>
      </c>
      <c r="J19" s="1110">
        <v>58665.760000000002</v>
      </c>
      <c r="K19" s="1110">
        <v>60453.6717948718</v>
      </c>
      <c r="L19" s="1110">
        <v>62651.230769230766</v>
      </c>
      <c r="M19" s="1110">
        <v>54109.084464555053</v>
      </c>
      <c r="N19" s="1110"/>
      <c r="O19" s="1110"/>
      <c r="P19" s="4115">
        <v>115901</v>
      </c>
      <c r="Q19" s="1110"/>
      <c r="R19" s="1110"/>
      <c r="S19" s="1110"/>
      <c r="T19" s="1110"/>
      <c r="U19" s="1111"/>
      <c r="V19" s="1110"/>
      <c r="W19" s="1111"/>
      <c r="X19" s="1110"/>
      <c r="Y19" s="1111"/>
      <c r="Z19" s="1110"/>
      <c r="AA19" s="528"/>
      <c r="AB19" s="528"/>
      <c r="AC19" s="528"/>
      <c r="AD19" s="528"/>
    </row>
    <row r="20" spans="1:32" ht="30" customHeight="1" x14ac:dyDescent="0.3">
      <c r="A20" s="528"/>
      <c r="B20" s="529">
        <v>6</v>
      </c>
      <c r="C20" s="453" t="s">
        <v>348</v>
      </c>
      <c r="D20" s="453" t="s">
        <v>352</v>
      </c>
      <c r="E20" s="543" t="s">
        <v>353</v>
      </c>
      <c r="F20" s="506" t="s">
        <v>2322</v>
      </c>
      <c r="G20" s="595">
        <v>2017</v>
      </c>
      <c r="H20" s="544"/>
      <c r="I20" s="2967">
        <v>971080</v>
      </c>
      <c r="J20" s="544">
        <v>874880</v>
      </c>
      <c r="K20" s="544">
        <v>789640</v>
      </c>
      <c r="L20" s="544">
        <v>651880</v>
      </c>
      <c r="M20" s="544">
        <v>648763.87096774194</v>
      </c>
      <c r="N20" s="544"/>
      <c r="O20" s="544"/>
      <c r="P20" s="4115">
        <v>1294028.5714285714</v>
      </c>
      <c r="Q20" s="544"/>
      <c r="R20" s="544"/>
      <c r="S20" s="544"/>
      <c r="T20" s="544"/>
      <c r="U20" s="548"/>
      <c r="V20" s="544"/>
      <c r="W20" s="548"/>
      <c r="X20" s="544"/>
      <c r="Y20" s="548"/>
      <c r="Z20" s="544"/>
      <c r="AA20" s="528"/>
      <c r="AB20" s="528"/>
      <c r="AC20" s="528"/>
      <c r="AD20" s="528"/>
    </row>
    <row r="21" spans="1:32" ht="30" customHeight="1" x14ac:dyDescent="0.3">
      <c r="A21" s="528"/>
      <c r="B21" s="529"/>
      <c r="C21" s="453"/>
      <c r="D21" s="453" t="s">
        <v>641</v>
      </c>
      <c r="E21" s="543" t="s">
        <v>653</v>
      </c>
      <c r="F21" s="506"/>
      <c r="G21" s="595"/>
      <c r="H21" s="544"/>
      <c r="I21" s="2967">
        <v>151935.29411764705</v>
      </c>
      <c r="J21" s="544">
        <v>151733.42857142858</v>
      </c>
      <c r="K21" s="544">
        <v>128875.11428571428</v>
      </c>
      <c r="L21" s="544">
        <v>115203.49495798319</v>
      </c>
      <c r="M21" s="544">
        <v>112108.01318458417</v>
      </c>
      <c r="N21" s="544"/>
      <c r="O21" s="544"/>
      <c r="P21" s="4115">
        <v>267985.19</v>
      </c>
      <c r="Q21" s="544"/>
      <c r="R21" s="544"/>
      <c r="S21" s="544"/>
      <c r="T21" s="544"/>
      <c r="U21" s="548"/>
      <c r="V21" s="544"/>
      <c r="W21" s="548"/>
      <c r="X21" s="544"/>
      <c r="Y21" s="548"/>
      <c r="Z21" s="544"/>
      <c r="AA21" s="528"/>
      <c r="AB21" s="528"/>
      <c r="AC21" s="528"/>
      <c r="AD21" s="528"/>
    </row>
    <row r="22" spans="1:32" ht="30" customHeight="1" x14ac:dyDescent="0.3">
      <c r="A22" s="528"/>
      <c r="B22" s="529">
        <v>7</v>
      </c>
      <c r="C22" s="531" t="s">
        <v>348</v>
      </c>
      <c r="D22" s="531" t="s">
        <v>352</v>
      </c>
      <c r="E22" s="532" t="s">
        <v>353</v>
      </c>
      <c r="F22" s="533" t="s">
        <v>2323</v>
      </c>
      <c r="G22" s="1108">
        <v>2022</v>
      </c>
      <c r="H22" s="1110"/>
      <c r="I22" s="4119">
        <v>1728720</v>
      </c>
      <c r="J22" s="1110">
        <v>1681600</v>
      </c>
      <c r="K22" s="4115">
        <v>1903880</v>
      </c>
      <c r="L22" s="1110"/>
      <c r="M22" s="1110"/>
      <c r="N22" s="1110"/>
      <c r="O22" s="1110"/>
      <c r="P22" s="1110"/>
      <c r="Q22" s="1110"/>
      <c r="R22" s="1110"/>
      <c r="S22" s="1110"/>
      <c r="T22" s="1110"/>
      <c r="U22" s="1111"/>
      <c r="V22" s="1110"/>
      <c r="W22" s="1111"/>
      <c r="X22" s="1110"/>
      <c r="Y22" s="1111"/>
      <c r="Z22" s="1110"/>
      <c r="AA22" s="528"/>
      <c r="AB22" s="528"/>
      <c r="AC22" s="528"/>
      <c r="AD22" s="528"/>
    </row>
    <row r="23" spans="1:32" ht="30" customHeight="1" x14ac:dyDescent="0.3">
      <c r="A23" s="528"/>
      <c r="B23" s="529"/>
      <c r="C23" s="1169"/>
      <c r="D23" s="531" t="s">
        <v>641</v>
      </c>
      <c r="E23" s="532" t="s">
        <v>653</v>
      </c>
      <c r="F23" s="533"/>
      <c r="G23" s="1108"/>
      <c r="H23" s="1110"/>
      <c r="I23" s="4119">
        <v>66406.485714285722</v>
      </c>
      <c r="J23" s="1110">
        <v>77240.33</v>
      </c>
      <c r="K23" s="4115">
        <v>95555.310023310027</v>
      </c>
      <c r="L23" s="1110"/>
      <c r="M23" s="1110"/>
      <c r="N23" s="1110"/>
      <c r="O23" s="1110"/>
      <c r="P23" s="1110"/>
      <c r="Q23" s="1110"/>
      <c r="R23" s="1110"/>
      <c r="S23" s="1110"/>
      <c r="T23" s="1110"/>
      <c r="U23" s="1111"/>
      <c r="V23" s="1110"/>
      <c r="W23" s="1111"/>
      <c r="X23" s="1110"/>
      <c r="Y23" s="1111"/>
      <c r="Z23" s="1110"/>
      <c r="AA23" s="528"/>
      <c r="AB23" s="528"/>
      <c r="AC23" s="528"/>
      <c r="AD23" s="528"/>
    </row>
    <row r="24" spans="1:32" ht="24" customHeight="1" x14ac:dyDescent="0.3">
      <c r="A24" s="528"/>
      <c r="B24" s="552"/>
      <c r="C24" s="462"/>
      <c r="D24" s="462"/>
      <c r="E24" s="553"/>
      <c r="F24" s="554"/>
      <c r="G24" s="555"/>
      <c r="H24" s="556"/>
      <c r="I24" s="556"/>
      <c r="J24" s="556"/>
      <c r="K24" s="556"/>
      <c r="L24" s="556"/>
      <c r="M24" s="556"/>
      <c r="N24" s="556"/>
      <c r="O24" s="556"/>
      <c r="P24" s="556"/>
      <c r="Q24" s="556"/>
      <c r="R24" s="556"/>
      <c r="S24" s="556"/>
      <c r="T24" s="556"/>
      <c r="U24" s="557"/>
      <c r="V24" s="556"/>
      <c r="W24" s="557"/>
      <c r="X24" s="556"/>
      <c r="Y24" s="557"/>
      <c r="Z24" s="556"/>
      <c r="AA24" s="528"/>
      <c r="AB24" s="528"/>
      <c r="AC24" s="528"/>
      <c r="AD24" s="528"/>
      <c r="AE24" s="4423"/>
      <c r="AF24" s="4423"/>
    </row>
    <row r="25" spans="1:32" ht="15.75" customHeight="1" x14ac:dyDescent="0.3">
      <c r="A25" s="528"/>
      <c r="B25" s="558"/>
      <c r="C25" s="528"/>
      <c r="D25" s="528"/>
      <c r="E25" s="528"/>
      <c r="F25" s="528"/>
      <c r="G25" s="479"/>
      <c r="H25" s="479"/>
      <c r="I25" s="479"/>
      <c r="J25" s="479"/>
      <c r="K25" s="479"/>
      <c r="L25" s="479"/>
      <c r="M25" s="559"/>
      <c r="N25" s="559"/>
      <c r="O25" s="559"/>
      <c r="P25" s="559"/>
      <c r="Q25" s="559"/>
      <c r="R25" s="559"/>
      <c r="S25" s="559"/>
      <c r="T25" s="559"/>
      <c r="U25" s="559"/>
      <c r="V25" s="559"/>
      <c r="W25" s="559"/>
      <c r="X25" s="559"/>
      <c r="Y25" s="559"/>
      <c r="Z25" s="559"/>
      <c r="AA25" s="528"/>
      <c r="AB25" s="528"/>
      <c r="AC25" s="528"/>
      <c r="AD25" s="528"/>
      <c r="AE25" s="4423"/>
      <c r="AF25" s="4423"/>
    </row>
    <row r="26" spans="1:32" ht="15.75" customHeight="1" x14ac:dyDescent="0.3">
      <c r="A26" s="528"/>
      <c r="B26" s="560" t="s">
        <v>355</v>
      </c>
      <c r="C26" s="561" t="s">
        <v>356</v>
      </c>
      <c r="D26" s="528"/>
      <c r="E26" s="528"/>
      <c r="F26" s="528"/>
      <c r="G26" s="479"/>
      <c r="H26" s="479"/>
      <c r="I26" s="479"/>
      <c r="J26" s="479"/>
      <c r="K26" s="479"/>
      <c r="L26" s="479"/>
      <c r="M26" s="559"/>
      <c r="N26" s="559"/>
      <c r="O26" s="559"/>
      <c r="P26" s="559"/>
      <c r="Q26" s="559"/>
      <c r="R26" s="559"/>
      <c r="S26" s="559"/>
      <c r="T26" s="559"/>
      <c r="U26" s="559"/>
      <c r="V26" s="559"/>
      <c r="W26" s="559"/>
      <c r="X26" s="559"/>
      <c r="Y26" s="559"/>
      <c r="Z26" s="559"/>
      <c r="AA26" s="528"/>
      <c r="AB26" s="528"/>
      <c r="AC26" s="528"/>
      <c r="AD26" s="528"/>
      <c r="AE26" s="4424"/>
      <c r="AF26" s="4424"/>
    </row>
    <row r="27" spans="1:32" ht="15.75" customHeight="1" x14ac:dyDescent="0.3">
      <c r="A27" s="528"/>
      <c r="B27" s="558"/>
      <c r="C27" s="528"/>
      <c r="D27" s="528"/>
      <c r="E27" s="528"/>
      <c r="F27" s="528"/>
      <c r="G27" s="479"/>
      <c r="H27" s="479"/>
      <c r="I27" s="479"/>
      <c r="J27" s="479"/>
      <c r="K27" s="479"/>
      <c r="L27" s="479"/>
      <c r="M27" s="559"/>
      <c r="N27" s="559"/>
      <c r="O27" s="559"/>
      <c r="P27" s="559"/>
      <c r="Q27" s="559"/>
      <c r="R27" s="559"/>
      <c r="S27" s="559"/>
      <c r="T27" s="559"/>
      <c r="U27" s="559"/>
      <c r="V27" s="559"/>
      <c r="W27" s="559"/>
      <c r="X27" s="559"/>
      <c r="Y27" s="559"/>
      <c r="Z27" s="559"/>
      <c r="AA27" s="528"/>
      <c r="AB27" s="528"/>
      <c r="AC27" s="528"/>
      <c r="AD27" s="528"/>
      <c r="AE27" s="4423"/>
      <c r="AF27" s="4423"/>
    </row>
    <row r="28" spans="1:32" ht="15.75" customHeight="1" x14ac:dyDescent="0.3">
      <c r="A28" s="528"/>
      <c r="B28" s="4383" t="s">
        <v>357</v>
      </c>
      <c r="C28" s="4384"/>
      <c r="D28" s="528"/>
      <c r="E28" s="528"/>
      <c r="F28" s="528"/>
      <c r="G28" s="479"/>
      <c r="H28" s="479"/>
      <c r="I28" s="479"/>
      <c r="J28" s="479"/>
      <c r="K28" s="479"/>
      <c r="L28" s="479"/>
      <c r="M28" s="559"/>
      <c r="N28" s="559"/>
      <c r="O28" s="559"/>
      <c r="P28" s="559"/>
      <c r="Q28" s="559"/>
      <c r="R28" s="559"/>
      <c r="S28" s="559"/>
      <c r="T28" s="559"/>
      <c r="U28" s="559"/>
      <c r="V28" s="559"/>
      <c r="W28" s="559"/>
      <c r="X28" s="559"/>
      <c r="Y28" s="559"/>
      <c r="Z28" s="559"/>
      <c r="AA28" s="528"/>
      <c r="AB28" s="528"/>
      <c r="AC28" s="528"/>
      <c r="AD28" s="528"/>
      <c r="AE28" s="4120"/>
    </row>
    <row r="29" spans="1:32" ht="15.75" customHeight="1" x14ac:dyDescent="0.3">
      <c r="A29" s="528"/>
      <c r="B29" s="562" t="s">
        <v>301</v>
      </c>
      <c r="C29" s="528"/>
      <c r="D29" s="528"/>
      <c r="E29" s="528"/>
      <c r="G29" s="479"/>
      <c r="H29" s="479"/>
      <c r="I29" s="479"/>
      <c r="J29" s="479"/>
      <c r="K29" s="479"/>
      <c r="L29" s="479"/>
      <c r="M29" s="559"/>
      <c r="N29" s="559"/>
      <c r="O29" s="559"/>
      <c r="P29" s="559"/>
      <c r="Q29" s="559"/>
      <c r="R29" s="559"/>
      <c r="S29" s="559"/>
      <c r="T29" s="559"/>
      <c r="U29" s="559"/>
      <c r="V29" s="559"/>
      <c r="W29" s="559"/>
      <c r="X29" s="559"/>
      <c r="Y29" s="559"/>
      <c r="Z29" s="559"/>
      <c r="AA29" s="528"/>
      <c r="AB29" s="528"/>
      <c r="AC29" s="528"/>
      <c r="AD29" s="528"/>
    </row>
    <row r="30" spans="1:32" ht="15.75" customHeight="1" x14ac:dyDescent="0.3">
      <c r="A30" s="528"/>
      <c r="B30" s="562" t="s">
        <v>301</v>
      </c>
      <c r="C30" s="528"/>
      <c r="D30" s="528"/>
      <c r="E30" s="528"/>
      <c r="F30" s="528"/>
      <c r="G30" s="479"/>
      <c r="H30" s="479"/>
      <c r="I30" s="479"/>
      <c r="J30" s="479"/>
      <c r="K30" s="479"/>
      <c r="L30" s="479"/>
      <c r="M30" s="559"/>
      <c r="N30" s="559"/>
      <c r="O30" s="559"/>
      <c r="P30" s="559"/>
      <c r="Q30" s="559"/>
      <c r="R30" s="559"/>
      <c r="S30" s="559"/>
      <c r="T30" s="559"/>
      <c r="U30" s="559"/>
      <c r="V30" s="559"/>
      <c r="W30" s="559"/>
      <c r="X30" s="559"/>
      <c r="Y30" s="559"/>
      <c r="Z30" s="559"/>
      <c r="AA30" s="528"/>
      <c r="AB30" s="528"/>
      <c r="AC30" s="528"/>
      <c r="AD30" s="528"/>
    </row>
    <row r="31" spans="1:32" ht="15.75" customHeight="1" x14ac:dyDescent="0.3"/>
    <row r="32" spans="1: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sheetData>
  <mergeCells count="5">
    <mergeCell ref="AE24:AF24"/>
    <mergeCell ref="AE25:AF25"/>
    <mergeCell ref="AE26:AF26"/>
    <mergeCell ref="AE27:AF27"/>
    <mergeCell ref="B28:C28"/>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0909-9D41-4399-8F46-28B0D0BAE003}">
  <dimension ref="A1:L996"/>
  <sheetViews>
    <sheetView topLeftCell="B1" workbookViewId="0">
      <selection activeCell="G5" sqref="G5"/>
    </sheetView>
  </sheetViews>
  <sheetFormatPr defaultColWidth="12.44140625" defaultRowHeight="15" customHeight="1" x14ac:dyDescent="0.3"/>
  <cols>
    <col min="1" max="1" width="2.6640625" style="428" customWidth="1"/>
    <col min="2" max="2" width="35.109375" style="428" customWidth="1"/>
    <col min="3" max="4" width="20.21875" style="428" customWidth="1"/>
    <col min="5" max="5" width="1.5546875" style="428" customWidth="1"/>
    <col min="6" max="6" width="14.6640625" style="428" customWidth="1"/>
    <col min="7" max="7" width="7.33203125" style="428" customWidth="1"/>
    <col min="8" max="8" width="34" style="428" customWidth="1"/>
    <col min="9" max="9" width="21.21875" style="428" customWidth="1"/>
    <col min="10" max="10" width="1.5546875" style="428" customWidth="1"/>
    <col min="11" max="11" width="15.21875" style="428" customWidth="1"/>
    <col min="12" max="12" width="11.6640625" style="428" customWidth="1"/>
    <col min="13" max="16384" width="12.44140625" style="428"/>
  </cols>
  <sheetData>
    <row r="1" spans="1:12" ht="21.75" customHeight="1" x14ac:dyDescent="0.35">
      <c r="A1" s="424"/>
      <c r="B1" s="425" t="s">
        <v>549</v>
      </c>
      <c r="C1" s="426"/>
      <c r="E1" s="427"/>
      <c r="G1" s="427"/>
      <c r="J1" s="427"/>
    </row>
    <row r="2" spans="1:12" ht="15.75" customHeight="1" x14ac:dyDescent="0.3">
      <c r="A2" s="424"/>
      <c r="B2" s="429" t="s">
        <v>299</v>
      </c>
      <c r="C2" s="430"/>
      <c r="D2" s="430"/>
      <c r="E2" s="430"/>
      <c r="F2" s="430"/>
      <c r="G2" s="430"/>
      <c r="H2" s="430"/>
      <c r="I2" s="430"/>
      <c r="J2" s="430"/>
      <c r="K2" s="430"/>
    </row>
    <row r="3" spans="1:12" ht="9.75" customHeight="1" x14ac:dyDescent="0.3">
      <c r="A3" s="427"/>
      <c r="B3" s="431"/>
      <c r="E3" s="427"/>
      <c r="G3" s="427"/>
      <c r="J3" s="427"/>
    </row>
    <row r="4" spans="1:12" ht="6" customHeight="1" x14ac:dyDescent="0.3">
      <c r="B4" s="427"/>
      <c r="E4" s="427"/>
      <c r="G4" s="427"/>
      <c r="J4" s="427"/>
    </row>
    <row r="5" spans="1:12" ht="6" customHeight="1" x14ac:dyDescent="0.3">
      <c r="A5" s="431"/>
      <c r="E5" s="427"/>
      <c r="G5" s="427"/>
      <c r="J5" s="427"/>
    </row>
    <row r="6" spans="1:12" ht="15.75" customHeight="1" x14ac:dyDescent="0.3">
      <c r="C6" s="428">
        <v>1000000</v>
      </c>
      <c r="E6" s="427"/>
      <c r="F6" s="427"/>
      <c r="G6" s="427"/>
      <c r="J6" s="427"/>
    </row>
    <row r="7" spans="1:12" ht="37.200000000000003" customHeight="1" x14ac:dyDescent="0.3">
      <c r="A7" s="432"/>
      <c r="B7" s="433">
        <v>2024</v>
      </c>
      <c r="C7" s="4385" t="s">
        <v>22</v>
      </c>
      <c r="D7" s="4387"/>
      <c r="E7" s="432"/>
      <c r="F7" s="435" t="s">
        <v>300</v>
      </c>
      <c r="G7" s="432"/>
      <c r="H7" s="433">
        <v>2024</v>
      </c>
      <c r="I7" s="686" t="s">
        <v>23</v>
      </c>
      <c r="J7" s="609"/>
      <c r="K7" s="435" t="s">
        <v>300</v>
      </c>
      <c r="L7" s="432"/>
    </row>
    <row r="8" spans="1:12" ht="18" customHeight="1" x14ac:dyDescent="0.35">
      <c r="B8" s="436" t="s">
        <v>301</v>
      </c>
      <c r="C8" s="648">
        <v>1</v>
      </c>
      <c r="D8" s="572">
        <v>2</v>
      </c>
      <c r="E8" s="427"/>
      <c r="F8" s="438"/>
      <c r="G8" s="427"/>
      <c r="H8" s="436" t="s">
        <v>301</v>
      </c>
      <c r="I8" s="648">
        <v>1</v>
      </c>
      <c r="J8" s="610"/>
      <c r="K8" s="438"/>
    </row>
    <row r="9" spans="1:12" ht="46.5" customHeight="1" x14ac:dyDescent="0.3">
      <c r="B9" s="439" t="s">
        <v>302</v>
      </c>
      <c r="C9" s="573" t="s">
        <v>1216</v>
      </c>
      <c r="D9" s="573" t="s">
        <v>1217</v>
      </c>
      <c r="E9" s="574"/>
      <c r="F9" s="442"/>
      <c r="G9" s="443"/>
      <c r="H9" s="439" t="s">
        <v>302</v>
      </c>
      <c r="I9" s="573" t="s">
        <v>1218</v>
      </c>
      <c r="J9" s="611"/>
      <c r="K9" s="442"/>
    </row>
    <row r="10" spans="1:12" ht="46.5" customHeight="1" x14ac:dyDescent="0.3">
      <c r="B10" s="444" t="s">
        <v>304</v>
      </c>
      <c r="C10" s="445" t="s">
        <v>1219</v>
      </c>
      <c r="D10" s="445" t="s">
        <v>1220</v>
      </c>
      <c r="E10" s="574"/>
      <c r="F10" s="446"/>
      <c r="G10" s="443"/>
      <c r="H10" s="444" t="s">
        <v>304</v>
      </c>
      <c r="I10" s="445" t="s">
        <v>1221</v>
      </c>
      <c r="J10" s="612"/>
      <c r="K10" s="446"/>
    </row>
    <row r="11" spans="1:12" ht="18.75" customHeight="1" x14ac:dyDescent="0.3">
      <c r="A11" s="447"/>
      <c r="B11" s="448" t="s">
        <v>306</v>
      </c>
      <c r="C11" s="575">
        <f>(C17*C18)</f>
        <v>135.73480206400001</v>
      </c>
      <c r="D11" s="575">
        <f>(D17*D18)+(D22*D23)+(D27*D28)</f>
        <v>3311.0925701688016</v>
      </c>
      <c r="E11" s="576"/>
      <c r="F11" s="451">
        <f>SUM(C11:D11)</f>
        <v>3446.8273722328017</v>
      </c>
      <c r="G11" s="452"/>
      <c r="H11" s="448" t="s">
        <v>306</v>
      </c>
      <c r="I11" s="1089">
        <f>(I17*I18)</f>
        <v>2994.6500892407153</v>
      </c>
      <c r="J11" s="614"/>
      <c r="K11" s="451">
        <f>SUM(I11:I11)</f>
        <v>2994.6500892407153</v>
      </c>
      <c r="L11" s="447"/>
    </row>
    <row r="12" spans="1:12" ht="18.75" customHeight="1" x14ac:dyDescent="0.3">
      <c r="A12" s="447"/>
      <c r="B12" s="453" t="s">
        <v>307</v>
      </c>
      <c r="C12" s="454">
        <f>(C32*C33)+(C37*C38)</f>
        <v>70.003680000000003</v>
      </c>
      <c r="D12" s="1129">
        <f>(D32*D33)+(D37*D38)+(D42*D43)</f>
        <v>332.50336465520002</v>
      </c>
      <c r="E12" s="455"/>
      <c r="F12" s="456">
        <f>SUM(C12:D12)</f>
        <v>402.50704465520005</v>
      </c>
      <c r="G12" s="457"/>
      <c r="H12" s="453" t="s">
        <v>307</v>
      </c>
      <c r="I12" s="577">
        <f>(I22*I23)</f>
        <v>0</v>
      </c>
      <c r="J12" s="614"/>
      <c r="K12" s="456">
        <f>SUM(I12:I12)</f>
        <v>0</v>
      </c>
      <c r="L12" s="447"/>
    </row>
    <row r="13" spans="1:12" ht="18.75" customHeight="1" x14ac:dyDescent="0.3">
      <c r="A13" s="447"/>
      <c r="B13" s="448" t="s">
        <v>308</v>
      </c>
      <c r="C13" s="458" t="s">
        <v>8</v>
      </c>
      <c r="D13" s="1131" t="s">
        <v>8</v>
      </c>
      <c r="E13" s="459"/>
      <c r="F13" s="460"/>
      <c r="G13" s="461"/>
      <c r="H13" s="448" t="s">
        <v>308</v>
      </c>
      <c r="I13" s="654" t="s">
        <v>8</v>
      </c>
      <c r="J13" s="615"/>
      <c r="K13" s="460"/>
      <c r="L13" s="447"/>
    </row>
    <row r="14" spans="1:12" ht="18.75" customHeight="1" x14ac:dyDescent="0.3">
      <c r="A14" s="447"/>
      <c r="B14" s="462" t="s">
        <v>309</v>
      </c>
      <c r="C14" s="463">
        <f t="shared" ref="C14:D14" si="0">C11-C12</f>
        <v>65.731122064000004</v>
      </c>
      <c r="D14" s="2024">
        <f t="shared" si="0"/>
        <v>2978.5892055136014</v>
      </c>
      <c r="E14" s="455"/>
      <c r="F14" s="464">
        <f>SUM(C14:D14)</f>
        <v>3044.3203275776013</v>
      </c>
      <c r="G14" s="457"/>
      <c r="H14" s="462" t="s">
        <v>309</v>
      </c>
      <c r="I14" s="655">
        <f t="shared" ref="I14" si="1">I11-I12</f>
        <v>2994.6500892407153</v>
      </c>
      <c r="J14" s="614"/>
      <c r="K14" s="464">
        <f>SUM(I14:I14)</f>
        <v>2994.6500892407153</v>
      </c>
      <c r="L14" s="447"/>
    </row>
    <row r="15" spans="1:12" ht="19.5" customHeight="1" x14ac:dyDescent="0.4">
      <c r="B15" s="465" t="s">
        <v>310</v>
      </c>
      <c r="C15" s="466"/>
      <c r="D15" s="580"/>
      <c r="E15" s="467"/>
      <c r="F15" s="468"/>
      <c r="G15" s="467"/>
      <c r="H15" s="616" t="s">
        <v>395</v>
      </c>
      <c r="I15" s="659"/>
      <c r="J15" s="618"/>
      <c r="K15" s="468"/>
      <c r="L15" s="427"/>
    </row>
    <row r="16" spans="1:12" ht="35.4" customHeight="1" x14ac:dyDescent="0.3">
      <c r="A16" s="447"/>
      <c r="B16" s="469" t="s">
        <v>311</v>
      </c>
      <c r="C16" s="470" t="s">
        <v>1222</v>
      </c>
      <c r="D16" s="1137" t="s">
        <v>1223</v>
      </c>
      <c r="E16" s="581"/>
      <c r="F16" s="471"/>
      <c r="G16" s="457"/>
      <c r="H16" s="469" t="s">
        <v>311</v>
      </c>
      <c r="I16" s="601" t="s">
        <v>496</v>
      </c>
      <c r="J16" s="619"/>
      <c r="K16" s="620"/>
      <c r="L16" s="447"/>
    </row>
    <row r="17" spans="1:12" ht="21" customHeight="1" x14ac:dyDescent="0.3">
      <c r="A17" s="447"/>
      <c r="B17" s="472" t="s">
        <v>313</v>
      </c>
      <c r="C17" s="473">
        <f>'CF-1501|GDS'!I11</f>
        <v>49648</v>
      </c>
      <c r="D17" s="582">
        <f>'CF-1501|GDS'!I14+'CF-1501|GDS'!I11</f>
        <v>1962755.848340143</v>
      </c>
      <c r="E17" s="583"/>
      <c r="G17" s="475"/>
      <c r="H17" s="472" t="s">
        <v>398</v>
      </c>
      <c r="I17" s="662">
        <f>'CF-1501|GDS'!I32</f>
        <v>3691.37</v>
      </c>
      <c r="J17" s="622"/>
      <c r="K17" s="623"/>
      <c r="L17" s="447"/>
    </row>
    <row r="18" spans="1:12" ht="18.75" customHeight="1" x14ac:dyDescent="0.3">
      <c r="A18" s="447"/>
      <c r="B18" s="476" t="s">
        <v>314</v>
      </c>
      <c r="C18" s="477">
        <v>2.7339430000000004E-3</v>
      </c>
      <c r="D18" s="1141">
        <v>1.41E-3</v>
      </c>
      <c r="E18" s="478"/>
      <c r="G18" s="479"/>
      <c r="H18" s="476" t="s">
        <v>314</v>
      </c>
      <c r="I18" s="584">
        <v>0.81125709133484736</v>
      </c>
      <c r="J18" s="614"/>
      <c r="K18" s="491"/>
      <c r="L18" s="447"/>
    </row>
    <row r="19" spans="1:12" ht="19.5" customHeight="1" x14ac:dyDescent="0.3">
      <c r="A19" s="447"/>
      <c r="B19" s="480" t="s">
        <v>315</v>
      </c>
      <c r="C19" s="481">
        <f>C17*C18</f>
        <v>135.73480206400001</v>
      </c>
      <c r="D19" s="664">
        <f>D17*D18</f>
        <v>2767.4857461596016</v>
      </c>
      <c r="E19" s="586"/>
      <c r="G19" s="479"/>
      <c r="H19" s="480" t="s">
        <v>315</v>
      </c>
      <c r="I19" s="664">
        <f>I17*I18</f>
        <v>2994.6500892407153</v>
      </c>
      <c r="J19" s="614"/>
      <c r="K19" s="494"/>
      <c r="L19" s="447"/>
    </row>
    <row r="20" spans="1:12" ht="19.5" customHeight="1" x14ac:dyDescent="0.4">
      <c r="B20" s="465" t="s">
        <v>310</v>
      </c>
      <c r="C20" s="466"/>
      <c r="D20" s="580"/>
      <c r="E20" s="467"/>
      <c r="G20" s="467"/>
      <c r="H20" s="465" t="s">
        <v>316</v>
      </c>
      <c r="I20" s="665"/>
      <c r="J20" s="618"/>
      <c r="K20" s="467"/>
    </row>
    <row r="21" spans="1:12" ht="37.950000000000003" customHeight="1" x14ac:dyDescent="0.3">
      <c r="A21" s="447"/>
      <c r="B21" s="469" t="s">
        <v>311</v>
      </c>
      <c r="C21" s="470" t="s">
        <v>88</v>
      </c>
      <c r="D21" s="1137" t="s">
        <v>1222</v>
      </c>
      <c r="E21" s="1094"/>
      <c r="G21" s="457"/>
      <c r="H21" s="469" t="s">
        <v>183</v>
      </c>
      <c r="I21" s="601" t="s">
        <v>1224</v>
      </c>
      <c r="J21" s="619"/>
      <c r="K21" s="620"/>
      <c r="L21" s="447"/>
    </row>
    <row r="22" spans="1:12" ht="21" customHeight="1" x14ac:dyDescent="0.3">
      <c r="A22" s="447"/>
      <c r="B22" s="472" t="s">
        <v>313</v>
      </c>
      <c r="C22" s="473"/>
      <c r="D22" s="2025">
        <f>'CF-1501|GDS'!W10</f>
        <v>152148</v>
      </c>
      <c r="E22" s="583"/>
      <c r="G22" s="475"/>
      <c r="H22" s="486" t="s">
        <v>398</v>
      </c>
      <c r="I22" s="666">
        <f>I17</f>
        <v>3691.37</v>
      </c>
      <c r="J22" s="622"/>
      <c r="K22" s="623"/>
      <c r="L22" s="447"/>
    </row>
    <row r="23" spans="1:12" ht="18.75" customHeight="1" x14ac:dyDescent="0.3">
      <c r="A23" s="447"/>
      <c r="B23" s="476" t="s">
        <v>314</v>
      </c>
      <c r="C23" s="477"/>
      <c r="D23" s="1141">
        <v>2.7339430000000004E-3</v>
      </c>
      <c r="E23" s="586"/>
      <c r="F23" s="1095"/>
      <c r="G23" s="479"/>
      <c r="H23" s="489" t="s">
        <v>314</v>
      </c>
      <c r="I23" s="590">
        <v>0</v>
      </c>
      <c r="J23" s="614"/>
      <c r="K23" s="491"/>
      <c r="L23" s="447"/>
    </row>
    <row r="24" spans="1:12" ht="19.5" customHeight="1" x14ac:dyDescent="0.3">
      <c r="A24" s="447"/>
      <c r="B24" s="480" t="s">
        <v>315</v>
      </c>
      <c r="C24" s="481"/>
      <c r="D24" s="664">
        <f>D22*D23</f>
        <v>415.96395956400005</v>
      </c>
      <c r="E24" s="586"/>
      <c r="F24" s="1096"/>
      <c r="G24" s="479"/>
      <c r="H24" s="492" t="s">
        <v>315</v>
      </c>
      <c r="I24" s="668">
        <f t="shared" ref="I24" si="2">I22*I23</f>
        <v>0</v>
      </c>
      <c r="J24" s="614"/>
      <c r="K24" s="494"/>
      <c r="L24" s="447"/>
    </row>
    <row r="25" spans="1:12" ht="21" customHeight="1" x14ac:dyDescent="0.4">
      <c r="B25" s="465" t="s">
        <v>310</v>
      </c>
      <c r="C25" s="466"/>
      <c r="D25" s="580"/>
      <c r="E25" s="483"/>
      <c r="F25" s="484"/>
      <c r="G25" s="483"/>
      <c r="H25" s="498" t="s">
        <v>320</v>
      </c>
      <c r="I25" s="626" t="s">
        <v>401</v>
      </c>
      <c r="J25" s="618"/>
      <c r="K25" s="495"/>
    </row>
    <row r="26" spans="1:12" ht="32.4" customHeight="1" x14ac:dyDescent="0.3">
      <c r="A26" s="447"/>
      <c r="B26" s="469" t="s">
        <v>311</v>
      </c>
      <c r="C26" s="470" t="s">
        <v>88</v>
      </c>
      <c r="D26" s="1137" t="s">
        <v>403</v>
      </c>
      <c r="E26" s="588"/>
      <c r="F26" s="485"/>
      <c r="G26" s="479"/>
      <c r="H26" s="502" t="s">
        <v>322</v>
      </c>
      <c r="I26" s="674">
        <v>13</v>
      </c>
      <c r="J26" s="614"/>
      <c r="K26" s="496"/>
      <c r="L26" s="447"/>
    </row>
    <row r="27" spans="1:12" ht="21" customHeight="1" x14ac:dyDescent="0.3">
      <c r="A27" s="447"/>
      <c r="B27" s="472" t="s">
        <v>313</v>
      </c>
      <c r="C27" s="473"/>
      <c r="D27" s="2025">
        <f>'CF-1501|GDS'!I15</f>
        <v>82923.100000000006</v>
      </c>
      <c r="E27" s="479"/>
      <c r="F27" s="488"/>
      <c r="G27" s="479"/>
      <c r="H27" s="506" t="s">
        <v>323</v>
      </c>
      <c r="I27" s="496" t="s">
        <v>324</v>
      </c>
      <c r="J27" s="622"/>
      <c r="K27" s="623"/>
      <c r="L27" s="447"/>
    </row>
    <row r="28" spans="1:12" ht="21" customHeight="1" x14ac:dyDescent="0.3">
      <c r="A28" s="447"/>
      <c r="B28" s="476" t="s">
        <v>314</v>
      </c>
      <c r="C28" s="477"/>
      <c r="D28" s="1141">
        <v>1.5392919999999998E-3</v>
      </c>
      <c r="E28" s="588"/>
      <c r="F28" s="491"/>
      <c r="G28" s="479"/>
      <c r="H28" s="508" t="s">
        <v>325</v>
      </c>
      <c r="I28" s="674" t="s">
        <v>326</v>
      </c>
      <c r="J28" s="614"/>
      <c r="K28" s="491"/>
      <c r="L28" s="447"/>
    </row>
    <row r="29" spans="1:12" ht="21" customHeight="1" x14ac:dyDescent="0.3">
      <c r="A29" s="447"/>
      <c r="B29" s="480" t="s">
        <v>315</v>
      </c>
      <c r="C29" s="481"/>
      <c r="D29" s="664">
        <f>D27*D28</f>
        <v>127.64286444519999</v>
      </c>
      <c r="E29" s="588"/>
      <c r="F29" s="494"/>
      <c r="G29" s="479"/>
      <c r="H29" s="506" t="s">
        <v>327</v>
      </c>
      <c r="I29" s="595" t="s">
        <v>402</v>
      </c>
      <c r="J29" s="614"/>
      <c r="K29" s="494"/>
      <c r="L29" s="447"/>
    </row>
    <row r="30" spans="1:12" ht="21" customHeight="1" x14ac:dyDescent="0.4">
      <c r="B30" s="465" t="s">
        <v>316</v>
      </c>
      <c r="C30" s="482"/>
      <c r="D30" s="1144"/>
      <c r="E30" s="483"/>
      <c r="F30" s="495"/>
      <c r="G30" s="483"/>
      <c r="H30" s="510" t="s">
        <v>329</v>
      </c>
      <c r="I30" s="596">
        <v>1</v>
      </c>
      <c r="J30" s="618"/>
      <c r="K30" s="495"/>
    </row>
    <row r="31" spans="1:12" ht="30.6" customHeight="1" x14ac:dyDescent="0.3">
      <c r="A31" s="447"/>
      <c r="B31" s="469" t="s">
        <v>183</v>
      </c>
      <c r="C31" s="470" t="s">
        <v>1225</v>
      </c>
      <c r="D31" s="1137" t="s">
        <v>405</v>
      </c>
      <c r="E31" s="588"/>
      <c r="F31" s="496"/>
      <c r="G31" s="479"/>
      <c r="H31" s="453" t="s">
        <v>330</v>
      </c>
      <c r="I31" s="496" t="s">
        <v>324</v>
      </c>
      <c r="J31" s="614"/>
      <c r="K31" s="496"/>
      <c r="L31" s="447"/>
    </row>
    <row r="32" spans="1:12" ht="21" customHeight="1" x14ac:dyDescent="0.3">
      <c r="A32" s="447"/>
      <c r="B32" s="486" t="s">
        <v>2342</v>
      </c>
      <c r="C32" s="487">
        <f>C17</f>
        <v>49648</v>
      </c>
      <c r="D32" s="1146">
        <f>'CF-1501|GDS'!I13</f>
        <v>3691370</v>
      </c>
      <c r="E32" s="479"/>
      <c r="F32" s="488"/>
      <c r="G32" s="479"/>
      <c r="H32" s="510" t="s">
        <v>331</v>
      </c>
      <c r="I32" s="674" t="s">
        <v>324</v>
      </c>
      <c r="J32" s="622"/>
      <c r="K32" s="623"/>
      <c r="L32" s="447"/>
    </row>
    <row r="33" spans="1:12" ht="27.75" customHeight="1" x14ac:dyDescent="0.3">
      <c r="A33" s="447"/>
      <c r="B33" s="489" t="s">
        <v>314</v>
      </c>
      <c r="C33" s="490">
        <v>1.41E-3</v>
      </c>
      <c r="D33" s="1148">
        <v>3.6533000000000004E-5</v>
      </c>
      <c r="E33" s="588"/>
      <c r="F33" s="491"/>
      <c r="G33" s="479"/>
      <c r="H33" s="462" t="s">
        <v>332</v>
      </c>
      <c r="I33" s="675" t="s">
        <v>333</v>
      </c>
      <c r="J33" s="614"/>
      <c r="K33" s="491"/>
      <c r="L33" s="447"/>
    </row>
    <row r="34" spans="1:12" ht="30.75" customHeight="1" x14ac:dyDescent="0.3">
      <c r="A34" s="447"/>
      <c r="B34" s="492" t="s">
        <v>315</v>
      </c>
      <c r="C34" s="493">
        <f t="shared" ref="C34:D34" si="3">C32*C33</f>
        <v>70.003680000000003</v>
      </c>
      <c r="D34" s="591">
        <f t="shared" si="3"/>
        <v>134.85682021000002</v>
      </c>
      <c r="E34" s="588"/>
      <c r="F34" s="494"/>
      <c r="G34" s="479"/>
      <c r="H34" s="427"/>
      <c r="I34" s="2026"/>
      <c r="J34" s="1333"/>
      <c r="K34" s="494"/>
      <c r="L34" s="447"/>
    </row>
    <row r="35" spans="1:12" ht="28.5" customHeight="1" x14ac:dyDescent="0.4">
      <c r="A35" s="447"/>
      <c r="B35" s="465" t="s">
        <v>316</v>
      </c>
      <c r="C35" s="482"/>
      <c r="D35" s="1144"/>
      <c r="E35" s="593"/>
      <c r="F35" s="501"/>
      <c r="G35" s="500"/>
      <c r="J35" s="1333"/>
      <c r="K35" s="496"/>
      <c r="L35" s="447"/>
    </row>
    <row r="36" spans="1:12" ht="24" customHeight="1" x14ac:dyDescent="0.3">
      <c r="B36" s="469" t="s">
        <v>183</v>
      </c>
      <c r="C36" s="470" t="s">
        <v>1222</v>
      </c>
      <c r="D36" s="1137" t="s">
        <v>902</v>
      </c>
      <c r="E36" s="504"/>
      <c r="F36" s="505"/>
      <c r="G36" s="504"/>
      <c r="J36" s="659"/>
      <c r="K36" s="495"/>
    </row>
    <row r="37" spans="1:12" ht="20.25" customHeight="1" x14ac:dyDescent="0.3">
      <c r="A37" s="447"/>
      <c r="B37" s="486" t="s">
        <v>313</v>
      </c>
      <c r="C37" s="487">
        <v>0</v>
      </c>
      <c r="D37" s="1146">
        <f>'CF-1501|GDS'!I11</f>
        <v>49648</v>
      </c>
      <c r="E37" s="479"/>
      <c r="F37" s="496"/>
      <c r="G37" s="479"/>
      <c r="J37" s="1333"/>
      <c r="K37" s="496"/>
      <c r="L37" s="447"/>
    </row>
    <row r="38" spans="1:12" ht="20.25" customHeight="1" x14ac:dyDescent="0.3">
      <c r="A38" s="447"/>
      <c r="B38" s="489" t="s">
        <v>314</v>
      </c>
      <c r="C38" s="490">
        <v>2.7339430000000004E-3</v>
      </c>
      <c r="D38" s="1148">
        <v>1.41E-3</v>
      </c>
      <c r="E38" s="479"/>
      <c r="F38" s="496"/>
      <c r="G38" s="479"/>
      <c r="J38" s="1333"/>
      <c r="K38" s="496"/>
      <c r="L38" s="447"/>
    </row>
    <row r="39" spans="1:12" ht="20.25" customHeight="1" x14ac:dyDescent="0.3">
      <c r="A39" s="447"/>
      <c r="B39" s="492" t="s">
        <v>315</v>
      </c>
      <c r="C39" s="493">
        <f t="shared" ref="C39:D39" si="4">C37*C38</f>
        <v>0</v>
      </c>
      <c r="D39" s="591">
        <f t="shared" si="4"/>
        <v>70.003680000000003</v>
      </c>
      <c r="E39" s="2951"/>
      <c r="F39" s="496"/>
      <c r="G39" s="479"/>
      <c r="J39" s="1333"/>
      <c r="K39" s="496"/>
      <c r="L39" s="447"/>
    </row>
    <row r="40" spans="1:12" ht="21" customHeight="1" x14ac:dyDescent="0.4">
      <c r="B40" s="465" t="s">
        <v>316</v>
      </c>
      <c r="C40" s="482"/>
      <c r="D40" s="1144"/>
      <c r="E40" s="467"/>
      <c r="F40" s="467"/>
      <c r="G40" s="467"/>
      <c r="J40" s="659"/>
      <c r="K40" s="467"/>
    </row>
    <row r="41" spans="1:12" ht="21" customHeight="1" x14ac:dyDescent="0.3">
      <c r="B41" s="469" t="s">
        <v>183</v>
      </c>
      <c r="C41" s="470" t="s">
        <v>88</v>
      </c>
      <c r="D41" s="1137" t="s">
        <v>403</v>
      </c>
      <c r="E41" s="483"/>
      <c r="F41" s="495"/>
      <c r="G41" s="483"/>
      <c r="J41" s="659"/>
      <c r="K41" s="495"/>
    </row>
    <row r="42" spans="1:12" ht="21" customHeight="1" x14ac:dyDescent="0.3">
      <c r="B42" s="486" t="s">
        <v>313</v>
      </c>
      <c r="C42" s="487"/>
      <c r="D42" s="1146">
        <f>'CF-1501|GDS'!I15</f>
        <v>82923.100000000006</v>
      </c>
      <c r="E42" s="483"/>
      <c r="F42" s="495"/>
      <c r="G42" s="483"/>
      <c r="J42" s="659"/>
      <c r="K42" s="495"/>
    </row>
    <row r="43" spans="1:12" ht="21" customHeight="1" x14ac:dyDescent="0.3">
      <c r="B43" s="489" t="s">
        <v>314</v>
      </c>
      <c r="C43" s="490"/>
      <c r="D43" s="4076">
        <v>1.5392919999999998E-3</v>
      </c>
      <c r="E43" s="483"/>
      <c r="F43" s="495"/>
      <c r="G43" s="483"/>
      <c r="J43" s="659"/>
      <c r="K43" s="495"/>
    </row>
    <row r="44" spans="1:12" ht="20.25" customHeight="1" x14ac:dyDescent="0.3">
      <c r="B44" s="492" t="s">
        <v>315</v>
      </c>
      <c r="C44" s="493"/>
      <c r="D44" s="1656">
        <f t="shared" ref="D44" si="5">D42*D43</f>
        <v>127.64286444519999</v>
      </c>
      <c r="E44" s="2955"/>
      <c r="F44" s="483"/>
      <c r="G44" s="483"/>
      <c r="J44" s="427"/>
      <c r="K44" s="427"/>
    </row>
    <row r="45" spans="1:12" ht="31.5" customHeight="1" x14ac:dyDescent="0.3">
      <c r="B45" s="498" t="s">
        <v>320</v>
      </c>
      <c r="C45" s="499" t="s">
        <v>321</v>
      </c>
      <c r="D45" s="2027" t="s">
        <v>321</v>
      </c>
      <c r="E45" s="483"/>
      <c r="F45" s="483"/>
      <c r="G45" s="483"/>
      <c r="J45" s="427"/>
      <c r="K45" s="427"/>
    </row>
    <row r="46" spans="1:12" ht="31.5" customHeight="1" x14ac:dyDescent="0.3">
      <c r="B46" s="502" t="s">
        <v>322</v>
      </c>
      <c r="C46" s="503">
        <v>3</v>
      </c>
      <c r="D46" s="2028">
        <v>3</v>
      </c>
      <c r="E46" s="483"/>
      <c r="F46" s="483"/>
      <c r="G46" s="483"/>
      <c r="J46" s="427"/>
      <c r="K46" s="427"/>
    </row>
    <row r="47" spans="1:12" ht="31.5" customHeight="1" x14ac:dyDescent="0.3">
      <c r="B47" s="506" t="s">
        <v>323</v>
      </c>
      <c r="C47" s="507" t="s">
        <v>324</v>
      </c>
      <c r="D47" s="1156" t="s">
        <v>324</v>
      </c>
      <c r="E47" s="483"/>
      <c r="F47" s="483"/>
      <c r="G47" s="483"/>
      <c r="J47" s="427"/>
      <c r="K47" s="427"/>
    </row>
    <row r="48" spans="1:12" ht="31.5" customHeight="1" x14ac:dyDescent="0.3">
      <c r="B48" s="508" t="s">
        <v>325</v>
      </c>
      <c r="C48" s="509" t="s">
        <v>326</v>
      </c>
      <c r="D48" s="1154" t="s">
        <v>326</v>
      </c>
      <c r="E48" s="483"/>
      <c r="F48" s="483"/>
      <c r="G48" s="483"/>
      <c r="J48" s="427"/>
      <c r="K48" s="427"/>
    </row>
    <row r="49" spans="2:11" ht="31.5" customHeight="1" x14ac:dyDescent="0.3">
      <c r="B49" s="506" t="s">
        <v>327</v>
      </c>
      <c r="C49" s="507" t="s">
        <v>433</v>
      </c>
      <c r="D49" s="1156" t="s">
        <v>433</v>
      </c>
      <c r="E49" s="427"/>
      <c r="G49" s="427"/>
      <c r="J49" s="427"/>
      <c r="K49" s="427"/>
    </row>
    <row r="50" spans="2:11" ht="31.5" customHeight="1" x14ac:dyDescent="0.3">
      <c r="B50" s="510" t="s">
        <v>329</v>
      </c>
      <c r="C50" s="509">
        <v>10</v>
      </c>
      <c r="D50" s="1154">
        <v>10</v>
      </c>
      <c r="E50" s="427"/>
      <c r="G50" s="427"/>
      <c r="J50" s="427"/>
      <c r="K50" s="427"/>
    </row>
    <row r="51" spans="2:11" ht="31.5" customHeight="1" x14ac:dyDescent="0.3">
      <c r="B51" s="453" t="s">
        <v>330</v>
      </c>
      <c r="C51" s="507" t="s">
        <v>324</v>
      </c>
      <c r="D51" s="1156" t="s">
        <v>324</v>
      </c>
      <c r="E51" s="427"/>
      <c r="G51" s="427"/>
      <c r="J51" s="427"/>
      <c r="K51" s="427"/>
    </row>
    <row r="52" spans="2:11" ht="31.5" customHeight="1" x14ac:dyDescent="0.3">
      <c r="B52" s="510" t="s">
        <v>331</v>
      </c>
      <c r="C52" s="509" t="s">
        <v>324</v>
      </c>
      <c r="D52" s="1154" t="s">
        <v>324</v>
      </c>
      <c r="E52" s="427"/>
      <c r="G52" s="427"/>
      <c r="J52" s="427"/>
      <c r="K52" s="427"/>
    </row>
    <row r="53" spans="2:11" ht="31.5" customHeight="1" x14ac:dyDescent="0.3">
      <c r="B53" s="462" t="s">
        <v>332</v>
      </c>
      <c r="C53" s="511" t="s">
        <v>333</v>
      </c>
      <c r="D53" s="1158" t="s">
        <v>333</v>
      </c>
      <c r="E53" s="427"/>
      <c r="G53" s="427"/>
      <c r="J53" s="427"/>
      <c r="K53" s="427"/>
    </row>
    <row r="54" spans="2:11" ht="15.75" customHeight="1" x14ac:dyDescent="0.3">
      <c r="B54" s="427"/>
      <c r="C54" s="427"/>
      <c r="D54" s="427"/>
      <c r="E54" s="427"/>
      <c r="G54" s="427"/>
      <c r="J54" s="427"/>
    </row>
    <row r="55" spans="2:11" ht="15.75" customHeight="1" x14ac:dyDescent="0.3">
      <c r="B55" s="512" t="s">
        <v>334</v>
      </c>
      <c r="C55" s="427"/>
      <c r="D55" s="427"/>
      <c r="E55" s="427"/>
      <c r="G55" s="427"/>
      <c r="J55" s="427"/>
    </row>
    <row r="56" spans="2:11" ht="15.75" customHeight="1" x14ac:dyDescent="0.3">
      <c r="B56" s="512" t="s">
        <v>335</v>
      </c>
      <c r="C56" s="427"/>
      <c r="D56" s="427"/>
      <c r="E56" s="427"/>
      <c r="G56" s="427"/>
      <c r="J56" s="427"/>
    </row>
    <row r="57" spans="2:11" ht="15.75" customHeight="1" x14ac:dyDescent="0.3">
      <c r="B57" s="512" t="s">
        <v>336</v>
      </c>
      <c r="C57" s="427"/>
      <c r="D57" s="427"/>
      <c r="E57" s="427"/>
      <c r="G57" s="427"/>
      <c r="J57" s="427"/>
    </row>
    <row r="58" spans="2:11" ht="15.75" customHeight="1" x14ac:dyDescent="0.3">
      <c r="B58" s="512" t="s">
        <v>337</v>
      </c>
      <c r="C58" s="427"/>
      <c r="D58" s="427"/>
      <c r="E58" s="427"/>
      <c r="G58" s="427"/>
      <c r="J58" s="427"/>
    </row>
    <row r="59" spans="2:11" ht="15.75" customHeight="1" x14ac:dyDescent="0.3">
      <c r="B59" s="512" t="s">
        <v>338</v>
      </c>
      <c r="E59" s="427"/>
      <c r="G59" s="427"/>
      <c r="J59" s="427"/>
    </row>
    <row r="60" spans="2:11" ht="15.75" customHeight="1" x14ac:dyDescent="0.3">
      <c r="B60" s="512" t="s">
        <v>339</v>
      </c>
      <c r="E60" s="427"/>
      <c r="G60" s="427"/>
      <c r="J60" s="427"/>
    </row>
    <row r="61" spans="2:11" ht="15.75" customHeight="1" x14ac:dyDescent="0.3">
      <c r="E61" s="427"/>
      <c r="G61" s="427"/>
      <c r="J61" s="427"/>
    </row>
    <row r="62" spans="2:11" ht="15.75" customHeight="1" x14ac:dyDescent="0.3">
      <c r="E62" s="427"/>
      <c r="G62" s="427"/>
      <c r="J62" s="427"/>
    </row>
    <row r="63" spans="2:11" ht="15.75" customHeight="1" x14ac:dyDescent="0.3">
      <c r="E63" s="427"/>
      <c r="G63" s="427"/>
      <c r="J63" s="427"/>
    </row>
    <row r="64" spans="2:11" ht="15.75" customHeight="1" x14ac:dyDescent="0.3">
      <c r="E64" s="427"/>
      <c r="G64" s="427"/>
      <c r="J64" s="427"/>
    </row>
    <row r="65" spans="5:10" ht="15.75" customHeight="1" x14ac:dyDescent="0.3">
      <c r="E65" s="427"/>
      <c r="G65" s="427"/>
      <c r="J65" s="427"/>
    </row>
    <row r="66" spans="5:10" ht="15.75" customHeight="1" x14ac:dyDescent="0.3">
      <c r="E66" s="427"/>
      <c r="G66" s="427"/>
      <c r="J66" s="427"/>
    </row>
    <row r="67" spans="5:10" ht="15.75" customHeight="1" x14ac:dyDescent="0.3">
      <c r="E67" s="427"/>
      <c r="G67" s="427"/>
      <c r="J67" s="427"/>
    </row>
    <row r="68" spans="5:10" ht="15.75" customHeight="1" x14ac:dyDescent="0.3">
      <c r="E68" s="427"/>
      <c r="G68" s="427"/>
      <c r="J68" s="427"/>
    </row>
    <row r="69" spans="5:10" ht="15.75" customHeight="1" x14ac:dyDescent="0.3">
      <c r="E69" s="427"/>
      <c r="G69" s="427"/>
      <c r="J69" s="427"/>
    </row>
    <row r="70" spans="5:10" ht="15.75" customHeight="1" x14ac:dyDescent="0.3">
      <c r="E70" s="427"/>
      <c r="G70" s="427"/>
      <c r="J70" s="427"/>
    </row>
    <row r="71" spans="5:10" ht="15.75" customHeight="1" x14ac:dyDescent="0.3">
      <c r="E71" s="427"/>
      <c r="G71" s="427"/>
      <c r="J71" s="427"/>
    </row>
    <row r="72" spans="5:10" ht="15.75" customHeight="1" x14ac:dyDescent="0.3">
      <c r="E72" s="427"/>
      <c r="G72" s="427"/>
      <c r="J72" s="427"/>
    </row>
    <row r="73" spans="5:10" ht="15.75" customHeight="1" x14ac:dyDescent="0.3">
      <c r="E73" s="427"/>
      <c r="G73" s="427"/>
      <c r="J73" s="427"/>
    </row>
    <row r="74" spans="5:10" ht="15.75" customHeight="1" x14ac:dyDescent="0.3">
      <c r="E74" s="427"/>
      <c r="G74" s="427"/>
      <c r="J74" s="427"/>
    </row>
    <row r="75" spans="5:10" ht="15.75" customHeight="1" x14ac:dyDescent="0.3">
      <c r="E75" s="427"/>
      <c r="G75" s="427"/>
      <c r="J75" s="427"/>
    </row>
    <row r="76" spans="5:10" ht="15.75" customHeight="1" x14ac:dyDescent="0.3">
      <c r="E76" s="427"/>
      <c r="G76" s="427"/>
      <c r="J76" s="427"/>
    </row>
    <row r="77" spans="5:10" ht="15.75" customHeight="1" x14ac:dyDescent="0.3">
      <c r="E77" s="427"/>
      <c r="G77" s="427"/>
      <c r="J77" s="427"/>
    </row>
    <row r="78" spans="5:10" ht="15.75" customHeight="1" x14ac:dyDescent="0.3">
      <c r="E78" s="427"/>
      <c r="G78" s="427"/>
      <c r="J78" s="427"/>
    </row>
    <row r="79" spans="5:10" ht="15.75" customHeight="1" x14ac:dyDescent="0.3">
      <c r="E79" s="427"/>
      <c r="G79" s="427"/>
      <c r="J79" s="427"/>
    </row>
    <row r="80" spans="5:10" ht="15.75" customHeight="1" x14ac:dyDescent="0.3">
      <c r="E80" s="427"/>
      <c r="G80" s="427"/>
      <c r="J80" s="427"/>
    </row>
    <row r="81" spans="5:10" ht="15.75" customHeight="1" x14ac:dyDescent="0.3">
      <c r="E81" s="427"/>
      <c r="G81" s="427"/>
      <c r="J81" s="427"/>
    </row>
    <row r="82" spans="5:10" ht="15.75" customHeight="1" x14ac:dyDescent="0.3">
      <c r="E82" s="427"/>
      <c r="G82" s="427"/>
      <c r="J82" s="427"/>
    </row>
    <row r="83" spans="5:10" ht="15.75" customHeight="1" x14ac:dyDescent="0.3">
      <c r="E83" s="427"/>
      <c r="G83" s="427"/>
      <c r="J83" s="427"/>
    </row>
    <row r="84" spans="5:10" ht="15.75" customHeight="1" x14ac:dyDescent="0.3">
      <c r="E84" s="427"/>
      <c r="G84" s="427"/>
      <c r="J84" s="427"/>
    </row>
    <row r="85" spans="5:10" ht="15.75" customHeight="1" x14ac:dyDescent="0.3">
      <c r="E85" s="427"/>
      <c r="G85" s="427"/>
      <c r="J85" s="427"/>
    </row>
    <row r="86" spans="5:10" ht="15.75" customHeight="1" x14ac:dyDescent="0.3">
      <c r="E86" s="427"/>
      <c r="G86" s="427"/>
      <c r="J86" s="427"/>
    </row>
    <row r="87" spans="5:10" ht="15.75" customHeight="1" x14ac:dyDescent="0.3">
      <c r="E87" s="427"/>
      <c r="G87" s="427"/>
      <c r="J87" s="427"/>
    </row>
    <row r="88" spans="5:10" ht="15.75" customHeight="1" x14ac:dyDescent="0.3">
      <c r="E88" s="427"/>
      <c r="G88" s="427"/>
      <c r="J88" s="427"/>
    </row>
    <row r="89" spans="5:10" ht="15.75" customHeight="1" x14ac:dyDescent="0.3">
      <c r="E89" s="427"/>
      <c r="G89" s="427"/>
      <c r="J89" s="427"/>
    </row>
    <row r="90" spans="5:10" ht="15.75" customHeight="1" x14ac:dyDescent="0.3">
      <c r="E90" s="427"/>
      <c r="G90" s="427"/>
      <c r="J90" s="427"/>
    </row>
    <row r="91" spans="5:10" ht="15.75" customHeight="1" x14ac:dyDescent="0.3">
      <c r="E91" s="427"/>
      <c r="G91" s="427"/>
      <c r="J91" s="427"/>
    </row>
    <row r="92" spans="5:10" ht="15.75" customHeight="1" x14ac:dyDescent="0.3">
      <c r="E92" s="427"/>
      <c r="G92" s="427"/>
      <c r="J92" s="427"/>
    </row>
    <row r="93" spans="5:10" ht="15.75" customHeight="1" x14ac:dyDescent="0.3">
      <c r="E93" s="427"/>
      <c r="G93" s="427"/>
      <c r="J93" s="427"/>
    </row>
    <row r="94" spans="5:10" ht="15.75" customHeight="1" x14ac:dyDescent="0.3">
      <c r="E94" s="427"/>
      <c r="G94" s="427"/>
      <c r="J94" s="427"/>
    </row>
    <row r="95" spans="5:10" ht="15.75" customHeight="1" x14ac:dyDescent="0.3">
      <c r="E95" s="427"/>
      <c r="G95" s="427"/>
      <c r="J95" s="427"/>
    </row>
    <row r="96" spans="5:10" ht="15.75" customHeight="1" x14ac:dyDescent="0.3">
      <c r="E96" s="427"/>
      <c r="G96" s="427"/>
      <c r="J96" s="427"/>
    </row>
    <row r="97" spans="5:10" ht="15.75" customHeight="1" x14ac:dyDescent="0.3">
      <c r="E97" s="427"/>
      <c r="G97" s="427"/>
      <c r="J97" s="427"/>
    </row>
    <row r="98" spans="5:10" ht="15.75" customHeight="1" x14ac:dyDescent="0.3">
      <c r="E98" s="427"/>
      <c r="G98" s="427"/>
      <c r="J98" s="427"/>
    </row>
    <row r="99" spans="5:10" ht="15.75" customHeight="1" x14ac:dyDescent="0.3">
      <c r="E99" s="427"/>
      <c r="G99" s="427"/>
      <c r="J99" s="427"/>
    </row>
    <row r="100" spans="5:10" ht="15.75" customHeight="1" x14ac:dyDescent="0.3">
      <c r="E100" s="427"/>
      <c r="G100" s="427"/>
      <c r="J100" s="427"/>
    </row>
    <row r="101" spans="5:10" ht="15.75" customHeight="1" x14ac:dyDescent="0.3">
      <c r="E101" s="427"/>
      <c r="G101" s="427"/>
      <c r="J101" s="427"/>
    </row>
    <row r="102" spans="5:10" ht="15.75" customHeight="1" x14ac:dyDescent="0.3">
      <c r="E102" s="427"/>
      <c r="G102" s="427"/>
      <c r="J102" s="427"/>
    </row>
    <row r="103" spans="5:10" ht="15.75" customHeight="1" x14ac:dyDescent="0.3">
      <c r="E103" s="427"/>
      <c r="G103" s="427"/>
      <c r="J103" s="427"/>
    </row>
    <row r="104" spans="5:10" ht="15.75" customHeight="1" x14ac:dyDescent="0.3">
      <c r="E104" s="427"/>
      <c r="G104" s="427"/>
      <c r="J104" s="427"/>
    </row>
    <row r="105" spans="5:10" ht="15.75" customHeight="1" x14ac:dyDescent="0.3">
      <c r="E105" s="427"/>
      <c r="G105" s="427"/>
      <c r="J105" s="427"/>
    </row>
    <row r="106" spans="5:10" ht="15.75" customHeight="1" x14ac:dyDescent="0.3">
      <c r="E106" s="427"/>
      <c r="G106" s="427"/>
      <c r="J106" s="427"/>
    </row>
    <row r="107" spans="5:10" ht="15.75" customHeight="1" x14ac:dyDescent="0.3">
      <c r="E107" s="427"/>
      <c r="G107" s="427"/>
      <c r="J107" s="427"/>
    </row>
    <row r="108" spans="5:10" ht="15.75" customHeight="1" x14ac:dyDescent="0.3">
      <c r="E108" s="427"/>
      <c r="G108" s="427"/>
      <c r="J108" s="427"/>
    </row>
    <row r="109" spans="5:10" ht="15.75" customHeight="1" x14ac:dyDescent="0.3">
      <c r="E109" s="427"/>
      <c r="G109" s="427"/>
      <c r="J109" s="427"/>
    </row>
    <row r="110" spans="5:10" ht="15.75" customHeight="1" x14ac:dyDescent="0.3">
      <c r="E110" s="427"/>
      <c r="G110" s="427"/>
      <c r="J110" s="427"/>
    </row>
    <row r="111" spans="5:10" ht="15.75" customHeight="1" x14ac:dyDescent="0.3">
      <c r="E111" s="427"/>
      <c r="G111" s="427"/>
      <c r="J111" s="427"/>
    </row>
    <row r="112" spans="5:10" ht="15.75" customHeight="1" x14ac:dyDescent="0.3">
      <c r="E112" s="427"/>
      <c r="G112" s="427"/>
      <c r="J112" s="427"/>
    </row>
    <row r="113" spans="5:10" ht="15.75" customHeight="1" x14ac:dyDescent="0.3">
      <c r="E113" s="427"/>
      <c r="G113" s="427"/>
      <c r="J113" s="427"/>
    </row>
    <row r="114" spans="5:10" ht="15.75" customHeight="1" x14ac:dyDescent="0.3">
      <c r="E114" s="427"/>
      <c r="G114" s="427"/>
      <c r="J114" s="427"/>
    </row>
    <row r="115" spans="5:10" ht="15.75" customHeight="1" x14ac:dyDescent="0.3">
      <c r="E115" s="427"/>
      <c r="G115" s="427"/>
      <c r="J115" s="427"/>
    </row>
    <row r="116" spans="5:10" ht="15.75" customHeight="1" x14ac:dyDescent="0.3">
      <c r="E116" s="427"/>
      <c r="G116" s="427"/>
      <c r="J116" s="427"/>
    </row>
    <row r="117" spans="5:10" ht="15.75" customHeight="1" x14ac:dyDescent="0.3">
      <c r="E117" s="427"/>
      <c r="G117" s="427"/>
      <c r="J117" s="427"/>
    </row>
    <row r="118" spans="5:10" ht="15.75" customHeight="1" x14ac:dyDescent="0.3">
      <c r="E118" s="427"/>
      <c r="G118" s="427"/>
      <c r="J118" s="427"/>
    </row>
    <row r="119" spans="5:10" ht="15.75" customHeight="1" x14ac:dyDescent="0.3">
      <c r="E119" s="427"/>
      <c r="G119" s="427"/>
      <c r="J119" s="427"/>
    </row>
    <row r="120" spans="5:10" ht="15.75" customHeight="1" x14ac:dyDescent="0.3">
      <c r="E120" s="427"/>
      <c r="G120" s="427"/>
      <c r="J120" s="427"/>
    </row>
    <row r="121" spans="5:10" ht="15.75" customHeight="1" x14ac:dyDescent="0.3">
      <c r="E121" s="427"/>
      <c r="G121" s="427"/>
      <c r="J121" s="427"/>
    </row>
    <row r="122" spans="5:10" ht="15.75" customHeight="1" x14ac:dyDescent="0.3">
      <c r="E122" s="427"/>
      <c r="G122" s="427"/>
      <c r="J122" s="427"/>
    </row>
    <row r="123" spans="5:10" ht="15.75" customHeight="1" x14ac:dyDescent="0.3">
      <c r="E123" s="427"/>
      <c r="G123" s="427"/>
      <c r="J123" s="427"/>
    </row>
    <row r="124" spans="5:10" ht="15.75" customHeight="1" x14ac:dyDescent="0.3">
      <c r="E124" s="427"/>
      <c r="G124" s="427"/>
      <c r="J124" s="427"/>
    </row>
    <row r="125" spans="5:10" ht="15.75" customHeight="1" x14ac:dyDescent="0.3">
      <c r="E125" s="427"/>
      <c r="G125" s="427"/>
      <c r="J125" s="427"/>
    </row>
    <row r="126" spans="5:10" ht="15.75" customHeight="1" x14ac:dyDescent="0.3">
      <c r="E126" s="427"/>
      <c r="G126" s="427"/>
      <c r="J126" s="427"/>
    </row>
    <row r="127" spans="5:10" ht="15.75" customHeight="1" x14ac:dyDescent="0.3">
      <c r="E127" s="427"/>
      <c r="G127" s="427"/>
      <c r="J127" s="427"/>
    </row>
    <row r="128" spans="5:10" ht="15.75" customHeight="1" x14ac:dyDescent="0.3">
      <c r="E128" s="427"/>
      <c r="G128" s="427"/>
      <c r="J128" s="427"/>
    </row>
    <row r="129" spans="5:10" ht="15.75" customHeight="1" x14ac:dyDescent="0.3">
      <c r="E129" s="427"/>
      <c r="G129" s="427"/>
      <c r="J129" s="427"/>
    </row>
    <row r="130" spans="5:10" ht="15.75" customHeight="1" x14ac:dyDescent="0.3">
      <c r="E130" s="427"/>
      <c r="G130" s="427"/>
      <c r="J130" s="427"/>
    </row>
    <row r="131" spans="5:10" ht="15.75" customHeight="1" x14ac:dyDescent="0.3">
      <c r="E131" s="427"/>
      <c r="G131" s="427"/>
      <c r="J131" s="427"/>
    </row>
    <row r="132" spans="5:10" ht="15.75" customHeight="1" x14ac:dyDescent="0.3">
      <c r="E132" s="427"/>
      <c r="G132" s="427"/>
      <c r="J132" s="427"/>
    </row>
    <row r="133" spans="5:10" ht="15.75" customHeight="1" x14ac:dyDescent="0.3">
      <c r="E133" s="427"/>
      <c r="G133" s="427"/>
      <c r="J133" s="427"/>
    </row>
    <row r="134" spans="5:10" ht="15.75" customHeight="1" x14ac:dyDescent="0.3">
      <c r="E134" s="427"/>
      <c r="G134" s="427"/>
      <c r="J134" s="427"/>
    </row>
    <row r="135" spans="5:10" ht="15.75" customHeight="1" x14ac:dyDescent="0.3">
      <c r="E135" s="427"/>
      <c r="G135" s="427"/>
      <c r="J135" s="427"/>
    </row>
    <row r="136" spans="5:10" ht="15.75" customHeight="1" x14ac:dyDescent="0.3">
      <c r="E136" s="427"/>
      <c r="G136" s="427"/>
      <c r="J136" s="427"/>
    </row>
    <row r="137" spans="5:10" ht="15.75" customHeight="1" x14ac:dyDescent="0.3">
      <c r="E137" s="427"/>
      <c r="G137" s="427"/>
      <c r="J137" s="427"/>
    </row>
    <row r="138" spans="5:10" ht="15.75" customHeight="1" x14ac:dyDescent="0.3">
      <c r="E138" s="427"/>
      <c r="G138" s="427"/>
      <c r="J138" s="427"/>
    </row>
    <row r="139" spans="5:10" ht="15.75" customHeight="1" x14ac:dyDescent="0.3">
      <c r="E139" s="427"/>
      <c r="G139" s="427"/>
      <c r="J139" s="427"/>
    </row>
    <row r="140" spans="5:10" ht="15.75" customHeight="1" x14ac:dyDescent="0.3">
      <c r="E140" s="427"/>
      <c r="G140" s="427"/>
      <c r="J140" s="427"/>
    </row>
    <row r="141" spans="5:10" ht="15.75" customHeight="1" x14ac:dyDescent="0.3">
      <c r="E141" s="427"/>
      <c r="G141" s="427"/>
      <c r="J141" s="427"/>
    </row>
    <row r="142" spans="5:10" ht="15.75" customHeight="1" x14ac:dyDescent="0.3">
      <c r="E142" s="427"/>
      <c r="G142" s="427"/>
      <c r="J142" s="427"/>
    </row>
    <row r="143" spans="5:10" ht="15.75" customHeight="1" x14ac:dyDescent="0.3">
      <c r="E143" s="427"/>
      <c r="G143" s="427"/>
      <c r="J143" s="427"/>
    </row>
    <row r="144" spans="5:10" ht="15.75" customHeight="1" x14ac:dyDescent="0.3">
      <c r="E144" s="427"/>
      <c r="G144" s="427"/>
      <c r="J144" s="427"/>
    </row>
    <row r="145" spans="5:10" ht="15.75" customHeight="1" x14ac:dyDescent="0.3">
      <c r="E145" s="427"/>
      <c r="G145" s="427"/>
      <c r="J145" s="427"/>
    </row>
    <row r="146" spans="5:10" ht="15.75" customHeight="1" x14ac:dyDescent="0.3">
      <c r="E146" s="427"/>
      <c r="G146" s="427"/>
      <c r="J146" s="427"/>
    </row>
    <row r="147" spans="5:10" ht="15.75" customHeight="1" x14ac:dyDescent="0.3">
      <c r="E147" s="427"/>
      <c r="G147" s="427"/>
      <c r="J147" s="427"/>
    </row>
    <row r="148" spans="5:10" ht="15.75" customHeight="1" x14ac:dyDescent="0.3">
      <c r="E148" s="427"/>
      <c r="G148" s="427"/>
      <c r="J148" s="427"/>
    </row>
    <row r="149" spans="5:10" ht="15.75" customHeight="1" x14ac:dyDescent="0.3">
      <c r="E149" s="427"/>
      <c r="G149" s="427"/>
      <c r="J149" s="427"/>
    </row>
    <row r="150" spans="5:10" ht="15.75" customHeight="1" x14ac:dyDescent="0.3">
      <c r="E150" s="427"/>
      <c r="G150" s="427"/>
      <c r="J150" s="427"/>
    </row>
    <row r="151" spans="5:10" ht="15.75" customHeight="1" x14ac:dyDescent="0.3">
      <c r="E151" s="427"/>
      <c r="G151" s="427"/>
      <c r="J151" s="427"/>
    </row>
    <row r="152" spans="5:10" ht="15.75" customHeight="1" x14ac:dyDescent="0.3">
      <c r="E152" s="427"/>
      <c r="G152" s="427"/>
      <c r="J152" s="427"/>
    </row>
    <row r="153" spans="5:10" ht="15.75" customHeight="1" x14ac:dyDescent="0.3">
      <c r="E153" s="427"/>
      <c r="G153" s="427"/>
      <c r="J153" s="427"/>
    </row>
    <row r="154" spans="5:10" ht="15.75" customHeight="1" x14ac:dyDescent="0.3">
      <c r="E154" s="427"/>
      <c r="G154" s="427"/>
      <c r="J154" s="427"/>
    </row>
    <row r="155" spans="5:10" ht="15.75" customHeight="1" x14ac:dyDescent="0.3">
      <c r="E155" s="427"/>
      <c r="G155" s="427"/>
      <c r="J155" s="427"/>
    </row>
    <row r="156" spans="5:10" ht="15.75" customHeight="1" x14ac:dyDescent="0.3">
      <c r="E156" s="427"/>
      <c r="G156" s="427"/>
      <c r="J156" s="427"/>
    </row>
    <row r="157" spans="5:10" ht="15.75" customHeight="1" x14ac:dyDescent="0.3">
      <c r="E157" s="427"/>
      <c r="G157" s="427"/>
      <c r="J157" s="427"/>
    </row>
    <row r="158" spans="5:10" ht="15.75" customHeight="1" x14ac:dyDescent="0.3">
      <c r="E158" s="427"/>
      <c r="G158" s="427"/>
      <c r="J158" s="427"/>
    </row>
    <row r="159" spans="5:10" ht="15.75" customHeight="1" x14ac:dyDescent="0.3">
      <c r="E159" s="427"/>
      <c r="G159" s="427"/>
      <c r="J159" s="427"/>
    </row>
    <row r="160" spans="5:10" ht="15.75" customHeight="1" x14ac:dyDescent="0.3">
      <c r="E160" s="427"/>
      <c r="G160" s="427"/>
      <c r="J160" s="427"/>
    </row>
    <row r="161" spans="5:10" ht="15.75" customHeight="1" x14ac:dyDescent="0.3">
      <c r="E161" s="427"/>
      <c r="G161" s="427"/>
      <c r="J161" s="427"/>
    </row>
    <row r="162" spans="5:10" ht="15.75" customHeight="1" x14ac:dyDescent="0.3">
      <c r="E162" s="427"/>
      <c r="G162" s="427"/>
      <c r="J162" s="427"/>
    </row>
    <row r="163" spans="5:10" ht="15.75" customHeight="1" x14ac:dyDescent="0.3">
      <c r="E163" s="427"/>
      <c r="G163" s="427"/>
      <c r="J163" s="427"/>
    </row>
    <row r="164" spans="5:10" ht="15.75" customHeight="1" x14ac:dyDescent="0.3">
      <c r="E164" s="427"/>
      <c r="G164" s="427"/>
      <c r="J164" s="427"/>
    </row>
    <row r="165" spans="5:10" ht="15.75" customHeight="1" x14ac:dyDescent="0.3">
      <c r="E165" s="427"/>
      <c r="G165" s="427"/>
      <c r="J165" s="427"/>
    </row>
    <row r="166" spans="5:10" ht="15.75" customHeight="1" x14ac:dyDescent="0.3">
      <c r="E166" s="427"/>
      <c r="G166" s="427"/>
      <c r="J166" s="427"/>
    </row>
    <row r="167" spans="5:10" ht="15.75" customHeight="1" x14ac:dyDescent="0.3">
      <c r="E167" s="427"/>
      <c r="G167" s="427"/>
      <c r="J167" s="427"/>
    </row>
    <row r="168" spans="5:10" ht="15.75" customHeight="1" x14ac:dyDescent="0.3">
      <c r="E168" s="427"/>
      <c r="G168" s="427"/>
      <c r="J168" s="427"/>
    </row>
    <row r="169" spans="5:10" ht="15.75" customHeight="1" x14ac:dyDescent="0.3">
      <c r="E169" s="427"/>
      <c r="G169" s="427"/>
      <c r="J169" s="427"/>
    </row>
    <row r="170" spans="5:10" ht="15.75" customHeight="1" x14ac:dyDescent="0.3">
      <c r="E170" s="427"/>
      <c r="G170" s="427"/>
      <c r="J170" s="427"/>
    </row>
    <row r="171" spans="5:10" ht="15.75" customHeight="1" x14ac:dyDescent="0.3">
      <c r="E171" s="427"/>
      <c r="G171" s="427"/>
      <c r="J171" s="427"/>
    </row>
    <row r="172" spans="5:10" ht="15.75" customHeight="1" x14ac:dyDescent="0.3">
      <c r="E172" s="427"/>
      <c r="G172" s="427"/>
      <c r="J172" s="427"/>
    </row>
    <row r="173" spans="5:10" ht="15.75" customHeight="1" x14ac:dyDescent="0.3">
      <c r="E173" s="427"/>
      <c r="G173" s="427"/>
      <c r="J173" s="427"/>
    </row>
    <row r="174" spans="5:10" ht="15.75" customHeight="1" x14ac:dyDescent="0.3">
      <c r="E174" s="427"/>
      <c r="G174" s="427"/>
      <c r="J174" s="427"/>
    </row>
    <row r="175" spans="5:10" ht="15.75" customHeight="1" x14ac:dyDescent="0.3">
      <c r="E175" s="427"/>
      <c r="G175" s="427"/>
      <c r="J175" s="427"/>
    </row>
    <row r="176" spans="5:10" ht="15.75" customHeight="1" x14ac:dyDescent="0.3">
      <c r="E176" s="427"/>
      <c r="G176" s="427"/>
      <c r="J176" s="427"/>
    </row>
    <row r="177" spans="5:10" ht="15.75" customHeight="1" x14ac:dyDescent="0.3">
      <c r="E177" s="427"/>
      <c r="G177" s="427"/>
      <c r="J177" s="427"/>
    </row>
    <row r="178" spans="5:10" ht="15.75" customHeight="1" x14ac:dyDescent="0.3">
      <c r="E178" s="427"/>
      <c r="G178" s="427"/>
      <c r="J178" s="427"/>
    </row>
    <row r="179" spans="5:10" ht="15.75" customHeight="1" x14ac:dyDescent="0.3">
      <c r="E179" s="427"/>
      <c r="G179" s="427"/>
      <c r="J179" s="427"/>
    </row>
    <row r="180" spans="5:10" ht="15.75" customHeight="1" x14ac:dyDescent="0.3">
      <c r="E180" s="427"/>
      <c r="G180" s="427"/>
      <c r="J180" s="427"/>
    </row>
    <row r="181" spans="5:10" ht="15.75" customHeight="1" x14ac:dyDescent="0.3">
      <c r="E181" s="427"/>
      <c r="G181" s="427"/>
      <c r="J181" s="427"/>
    </row>
    <row r="182" spans="5:10" ht="15.75" customHeight="1" x14ac:dyDescent="0.3">
      <c r="E182" s="427"/>
      <c r="G182" s="427"/>
      <c r="J182" s="427"/>
    </row>
    <row r="183" spans="5:10" ht="15.75" customHeight="1" x14ac:dyDescent="0.3">
      <c r="E183" s="427"/>
      <c r="G183" s="427"/>
      <c r="J183" s="427"/>
    </row>
    <row r="184" spans="5:10" ht="15.75" customHeight="1" x14ac:dyDescent="0.3">
      <c r="E184" s="427"/>
      <c r="G184" s="427"/>
      <c r="J184" s="427"/>
    </row>
    <row r="185" spans="5:10" ht="15.75" customHeight="1" x14ac:dyDescent="0.3">
      <c r="E185" s="427"/>
      <c r="G185" s="427"/>
      <c r="J185" s="427"/>
    </row>
    <row r="186" spans="5:10" ht="15.75" customHeight="1" x14ac:dyDescent="0.3">
      <c r="E186" s="427"/>
      <c r="G186" s="427"/>
      <c r="J186" s="427"/>
    </row>
    <row r="187" spans="5:10" ht="15.75" customHeight="1" x14ac:dyDescent="0.3">
      <c r="E187" s="427"/>
      <c r="G187" s="427"/>
      <c r="J187" s="427"/>
    </row>
    <row r="188" spans="5:10" ht="15.75" customHeight="1" x14ac:dyDescent="0.3">
      <c r="E188" s="427"/>
      <c r="G188" s="427"/>
      <c r="J188" s="427"/>
    </row>
    <row r="189" spans="5:10" ht="15.75" customHeight="1" x14ac:dyDescent="0.3">
      <c r="E189" s="427"/>
      <c r="G189" s="427"/>
      <c r="J189" s="427"/>
    </row>
    <row r="190" spans="5:10" ht="15.75" customHeight="1" x14ac:dyDescent="0.3">
      <c r="E190" s="427"/>
      <c r="G190" s="427"/>
      <c r="J190" s="427"/>
    </row>
    <row r="191" spans="5:10" ht="15.75" customHeight="1" x14ac:dyDescent="0.3">
      <c r="E191" s="427"/>
      <c r="G191" s="427"/>
      <c r="J191" s="427"/>
    </row>
    <row r="192" spans="5:10" ht="15.75" customHeight="1" x14ac:dyDescent="0.3">
      <c r="E192" s="427"/>
      <c r="G192" s="427"/>
      <c r="J192" s="427"/>
    </row>
    <row r="193" spans="5:10" ht="15.75" customHeight="1" x14ac:dyDescent="0.3">
      <c r="E193" s="427"/>
      <c r="G193" s="427"/>
      <c r="J193" s="427"/>
    </row>
    <row r="194" spans="5:10" ht="15.75" customHeight="1" x14ac:dyDescent="0.3">
      <c r="E194" s="427"/>
      <c r="G194" s="427"/>
      <c r="J194" s="427"/>
    </row>
    <row r="195" spans="5:10" ht="15.75" customHeight="1" x14ac:dyDescent="0.3">
      <c r="E195" s="427"/>
      <c r="G195" s="427"/>
      <c r="J195" s="427"/>
    </row>
    <row r="196" spans="5:10" ht="15.75" customHeight="1" x14ac:dyDescent="0.3">
      <c r="E196" s="427"/>
      <c r="G196" s="427"/>
      <c r="J196" s="427"/>
    </row>
    <row r="197" spans="5:10" ht="15.75" customHeight="1" x14ac:dyDescent="0.3">
      <c r="E197" s="427"/>
      <c r="G197" s="427"/>
      <c r="J197" s="427"/>
    </row>
    <row r="198" spans="5:10" ht="15.75" customHeight="1" x14ac:dyDescent="0.3">
      <c r="E198" s="427"/>
      <c r="G198" s="427"/>
      <c r="J198" s="427"/>
    </row>
    <row r="199" spans="5:10" ht="15.75" customHeight="1" x14ac:dyDescent="0.3">
      <c r="E199" s="427"/>
      <c r="G199" s="427"/>
      <c r="J199" s="427"/>
    </row>
    <row r="200" spans="5:10" ht="15.75" customHeight="1" x14ac:dyDescent="0.3">
      <c r="E200" s="427"/>
      <c r="G200" s="427"/>
      <c r="J200" s="427"/>
    </row>
    <row r="201" spans="5:10" ht="15.75" customHeight="1" x14ac:dyDescent="0.3">
      <c r="E201" s="427"/>
      <c r="G201" s="427"/>
      <c r="J201" s="427"/>
    </row>
    <row r="202" spans="5:10" ht="15.75" customHeight="1" x14ac:dyDescent="0.3">
      <c r="E202" s="427"/>
      <c r="G202" s="427"/>
      <c r="J202" s="427"/>
    </row>
    <row r="203" spans="5:10" ht="15.75" customHeight="1" x14ac:dyDescent="0.3">
      <c r="E203" s="427"/>
      <c r="G203" s="427"/>
      <c r="J203" s="427"/>
    </row>
    <row r="204" spans="5:10" ht="15.75" customHeight="1" x14ac:dyDescent="0.3">
      <c r="E204" s="427"/>
      <c r="G204" s="427"/>
      <c r="J204" s="427"/>
    </row>
    <row r="205" spans="5:10" ht="15.75" customHeight="1" x14ac:dyDescent="0.3">
      <c r="E205" s="427"/>
      <c r="G205" s="427"/>
      <c r="J205" s="427"/>
    </row>
    <row r="206" spans="5:10" ht="15.75" customHeight="1" x14ac:dyDescent="0.3">
      <c r="E206" s="427"/>
      <c r="G206" s="427"/>
      <c r="J206" s="427"/>
    </row>
    <row r="207" spans="5:10" ht="15.75" customHeight="1" x14ac:dyDescent="0.3">
      <c r="E207" s="427"/>
      <c r="G207" s="427"/>
      <c r="J207" s="427"/>
    </row>
    <row r="208" spans="5:10" ht="15.75" customHeight="1" x14ac:dyDescent="0.3">
      <c r="E208" s="427"/>
      <c r="G208" s="427"/>
      <c r="J208" s="427"/>
    </row>
    <row r="209" spans="5:10" ht="15.75" customHeight="1" x14ac:dyDescent="0.3">
      <c r="E209" s="427"/>
      <c r="G209" s="427"/>
      <c r="J209" s="427"/>
    </row>
    <row r="210" spans="5:10" ht="15.75" customHeight="1" x14ac:dyDescent="0.3">
      <c r="E210" s="427"/>
      <c r="G210" s="427"/>
      <c r="J210" s="427"/>
    </row>
    <row r="211" spans="5:10" ht="15.75" customHeight="1" x14ac:dyDescent="0.3">
      <c r="E211" s="427"/>
      <c r="G211" s="427"/>
      <c r="J211" s="427"/>
    </row>
    <row r="212" spans="5:10" ht="15.75" customHeight="1" x14ac:dyDescent="0.3">
      <c r="E212" s="427"/>
      <c r="G212" s="427"/>
      <c r="J212" s="427"/>
    </row>
    <row r="213" spans="5:10" ht="15.75" customHeight="1" x14ac:dyDescent="0.3">
      <c r="E213" s="427"/>
      <c r="G213" s="427"/>
      <c r="J213" s="427"/>
    </row>
    <row r="214" spans="5:10" ht="15.75" customHeight="1" x14ac:dyDescent="0.3">
      <c r="E214" s="427"/>
      <c r="G214" s="427"/>
      <c r="J214" s="427"/>
    </row>
    <row r="215" spans="5:10" ht="15.75" customHeight="1" x14ac:dyDescent="0.3">
      <c r="E215" s="427"/>
      <c r="G215" s="427"/>
      <c r="J215" s="427"/>
    </row>
    <row r="216" spans="5:10" ht="15.75" customHeight="1" x14ac:dyDescent="0.3">
      <c r="E216" s="427"/>
      <c r="G216" s="427"/>
      <c r="J216" s="427"/>
    </row>
    <row r="217" spans="5:10" ht="15.75" customHeight="1" x14ac:dyDescent="0.3">
      <c r="E217" s="427"/>
      <c r="G217" s="427"/>
      <c r="J217" s="427"/>
    </row>
    <row r="218" spans="5:10" ht="15.75" customHeight="1" x14ac:dyDescent="0.3">
      <c r="E218" s="427"/>
      <c r="G218" s="427"/>
      <c r="J218" s="427"/>
    </row>
    <row r="219" spans="5:10" ht="15.75" customHeight="1" x14ac:dyDescent="0.3">
      <c r="E219" s="427"/>
      <c r="G219" s="427"/>
      <c r="J219" s="427"/>
    </row>
    <row r="220" spans="5:10" ht="15.75" customHeight="1" x14ac:dyDescent="0.3">
      <c r="E220" s="427"/>
      <c r="G220" s="427"/>
      <c r="J220" s="427"/>
    </row>
    <row r="221" spans="5:10" ht="15.75" customHeight="1" x14ac:dyDescent="0.3">
      <c r="E221" s="427"/>
      <c r="G221" s="427"/>
      <c r="J221" s="427"/>
    </row>
    <row r="222" spans="5:10" ht="15.75" customHeight="1" x14ac:dyDescent="0.3">
      <c r="E222" s="427"/>
      <c r="G222" s="427"/>
      <c r="J222" s="427"/>
    </row>
    <row r="223" spans="5:10" ht="15.75" customHeight="1" x14ac:dyDescent="0.3">
      <c r="E223" s="427"/>
      <c r="G223" s="427"/>
      <c r="J223" s="427"/>
    </row>
    <row r="224" spans="5:10" ht="15.75" customHeight="1" x14ac:dyDescent="0.3">
      <c r="E224" s="427"/>
      <c r="G224" s="427"/>
      <c r="J224" s="427"/>
    </row>
    <row r="225" spans="5:10" ht="15.75" customHeight="1" x14ac:dyDescent="0.3">
      <c r="E225" s="427"/>
      <c r="G225" s="427"/>
      <c r="J225" s="427"/>
    </row>
    <row r="226" spans="5:10" ht="15.75" customHeight="1" x14ac:dyDescent="0.3">
      <c r="E226" s="427"/>
      <c r="G226" s="427"/>
      <c r="J226" s="427"/>
    </row>
    <row r="227" spans="5:10" ht="15.75" customHeight="1" x14ac:dyDescent="0.3">
      <c r="E227" s="427"/>
      <c r="G227" s="427"/>
      <c r="J227" s="427"/>
    </row>
    <row r="228" spans="5:10" ht="15.75" customHeight="1" x14ac:dyDescent="0.3">
      <c r="E228" s="427"/>
      <c r="G228" s="427"/>
      <c r="J228" s="427"/>
    </row>
    <row r="229" spans="5:10" ht="15.75" customHeight="1" x14ac:dyDescent="0.3">
      <c r="E229" s="427"/>
      <c r="G229" s="427"/>
      <c r="J229" s="427"/>
    </row>
    <row r="230" spans="5:10" ht="15.75" customHeight="1" x14ac:dyDescent="0.3">
      <c r="E230" s="427"/>
      <c r="G230" s="427"/>
      <c r="J230" s="427"/>
    </row>
    <row r="231" spans="5:10" ht="15.75" customHeight="1" x14ac:dyDescent="0.3">
      <c r="E231" s="427"/>
      <c r="G231" s="427"/>
      <c r="J231" s="427"/>
    </row>
    <row r="232" spans="5:10" ht="15.75" customHeight="1" x14ac:dyDescent="0.3">
      <c r="E232" s="427"/>
      <c r="G232" s="427"/>
      <c r="J232" s="427"/>
    </row>
    <row r="233" spans="5:10" ht="15.75" customHeight="1" x14ac:dyDescent="0.3">
      <c r="E233" s="427"/>
      <c r="G233" s="427"/>
      <c r="J233" s="427"/>
    </row>
    <row r="234" spans="5:10" ht="15.75" customHeight="1" x14ac:dyDescent="0.3">
      <c r="E234" s="427"/>
      <c r="G234" s="427"/>
      <c r="J234" s="427"/>
    </row>
    <row r="235" spans="5:10" ht="15.75" customHeight="1" x14ac:dyDescent="0.3">
      <c r="E235" s="427"/>
      <c r="G235" s="427"/>
      <c r="J235" s="427"/>
    </row>
    <row r="236" spans="5:10" ht="15.75" customHeight="1" x14ac:dyDescent="0.3">
      <c r="E236" s="427"/>
      <c r="G236" s="427"/>
      <c r="J236" s="427"/>
    </row>
    <row r="237" spans="5:10" ht="15.75" customHeight="1" x14ac:dyDescent="0.3">
      <c r="E237" s="427"/>
      <c r="G237" s="427"/>
      <c r="J237" s="427"/>
    </row>
    <row r="238" spans="5:10" ht="15.75" customHeight="1" x14ac:dyDescent="0.3">
      <c r="E238" s="427"/>
      <c r="G238" s="427"/>
      <c r="J238" s="427"/>
    </row>
    <row r="239" spans="5:10" ht="15.75" customHeight="1" x14ac:dyDescent="0.3">
      <c r="E239" s="427"/>
      <c r="G239" s="427"/>
      <c r="J239" s="427"/>
    </row>
    <row r="240" spans="5:10" ht="15.75" customHeight="1" x14ac:dyDescent="0.3">
      <c r="E240" s="427"/>
      <c r="G240" s="427"/>
      <c r="J240" s="427"/>
    </row>
    <row r="241" spans="5:10" ht="15.75" customHeight="1" x14ac:dyDescent="0.3">
      <c r="E241" s="427"/>
      <c r="G241" s="427"/>
      <c r="J241" s="427"/>
    </row>
    <row r="242" spans="5:10" ht="15.75" customHeight="1" x14ac:dyDescent="0.3">
      <c r="E242" s="427"/>
      <c r="G242" s="427"/>
      <c r="J242" s="427"/>
    </row>
    <row r="243" spans="5:10" ht="15.75" customHeight="1" x14ac:dyDescent="0.3">
      <c r="E243" s="427"/>
      <c r="G243" s="427"/>
      <c r="J243" s="427"/>
    </row>
    <row r="244" spans="5:10" ht="15.75" customHeight="1" x14ac:dyDescent="0.3">
      <c r="E244" s="427"/>
      <c r="G244" s="427"/>
      <c r="J244" s="427"/>
    </row>
    <row r="245" spans="5:10" ht="15.75" customHeight="1" x14ac:dyDescent="0.3">
      <c r="E245" s="427"/>
      <c r="G245" s="427"/>
      <c r="J245" s="427"/>
    </row>
    <row r="246" spans="5:10" ht="15.75" customHeight="1" x14ac:dyDescent="0.3">
      <c r="E246" s="427"/>
      <c r="G246" s="427"/>
      <c r="J246" s="427"/>
    </row>
    <row r="247" spans="5:10" ht="15.75" customHeight="1" x14ac:dyDescent="0.3">
      <c r="E247" s="427"/>
      <c r="G247" s="427"/>
      <c r="J247" s="427"/>
    </row>
    <row r="248" spans="5:10" ht="15.75" customHeight="1" x14ac:dyDescent="0.3">
      <c r="E248" s="427"/>
      <c r="G248" s="427"/>
      <c r="J248" s="427"/>
    </row>
    <row r="249" spans="5:10" ht="15.75" customHeight="1" x14ac:dyDescent="0.3">
      <c r="E249" s="427"/>
      <c r="G249" s="427"/>
      <c r="J249" s="427"/>
    </row>
    <row r="250" spans="5:10" ht="15.75" customHeight="1" x14ac:dyDescent="0.3">
      <c r="E250" s="427"/>
      <c r="G250" s="427"/>
      <c r="J250" s="427"/>
    </row>
    <row r="251" spans="5:10" ht="15.75" customHeight="1" x14ac:dyDescent="0.3"/>
    <row r="252" spans="5:10" ht="15.75" customHeight="1" x14ac:dyDescent="0.3"/>
    <row r="253" spans="5:10" ht="15.75" customHeight="1" x14ac:dyDescent="0.3"/>
    <row r="254" spans="5:10" ht="15.75" customHeight="1" x14ac:dyDescent="0.3"/>
    <row r="255" spans="5:10" ht="15.75" customHeight="1" x14ac:dyDescent="0.3"/>
    <row r="256" spans="5:10"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1">
    <mergeCell ref="C7:D7"/>
  </mergeCells>
  <dataValidations count="1">
    <dataValidation type="list" allowBlank="1" showErrorMessage="1" sqref="B17 B27 B22 B32 B37 B42" xr:uid="{CDFFD92C-FA6A-45CC-9A39-011A6FA86618}">
      <formula1>$B$55:$B$60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A980-270A-4D60-B0B2-8AEB6EC063C5}">
  <dimension ref="A1:G991"/>
  <sheetViews>
    <sheetView topLeftCell="A19" workbookViewId="0">
      <selection activeCell="C35" sqref="C35"/>
    </sheetView>
  </sheetViews>
  <sheetFormatPr defaultColWidth="12.44140625" defaultRowHeight="15" customHeight="1" x14ac:dyDescent="0.3"/>
  <cols>
    <col min="1" max="1" width="2.6640625" style="428" customWidth="1"/>
    <col min="2" max="2" width="35.109375" style="428" customWidth="1"/>
    <col min="3" max="3" width="23.109375" style="428" customWidth="1"/>
    <col min="4" max="4" width="1.5546875" style="428" customWidth="1"/>
    <col min="5" max="5" width="14.6640625" style="428" customWidth="1"/>
    <col min="6" max="6" width="7.33203125" style="428" customWidth="1"/>
    <col min="7" max="7" width="11.6640625" style="428" customWidth="1"/>
    <col min="8" max="16384" width="12.44140625" style="428"/>
  </cols>
  <sheetData>
    <row r="1" spans="1:7" ht="21.75" customHeight="1" x14ac:dyDescent="0.35">
      <c r="A1" s="424"/>
      <c r="B1" s="425" t="s">
        <v>549</v>
      </c>
      <c r="D1" s="427"/>
      <c r="F1" s="427"/>
    </row>
    <row r="2" spans="1:7" ht="15.75" customHeight="1" x14ac:dyDescent="0.3">
      <c r="A2" s="424"/>
      <c r="B2" s="429" t="s">
        <v>299</v>
      </c>
      <c r="C2" s="430"/>
      <c r="D2" s="430"/>
      <c r="E2" s="430"/>
      <c r="F2" s="430"/>
    </row>
    <row r="3" spans="1:7" ht="9.75" customHeight="1" x14ac:dyDescent="0.3">
      <c r="A3" s="427"/>
      <c r="B3" s="431"/>
      <c r="D3" s="427"/>
      <c r="F3" s="427"/>
    </row>
    <row r="4" spans="1:7" ht="6" customHeight="1" x14ac:dyDescent="0.3">
      <c r="B4" s="427"/>
      <c r="D4" s="427"/>
      <c r="F4" s="427"/>
    </row>
    <row r="5" spans="1:7" ht="6" customHeight="1" x14ac:dyDescent="0.3">
      <c r="A5" s="431"/>
      <c r="D5" s="427"/>
      <c r="F5" s="427"/>
    </row>
    <row r="6" spans="1:7" ht="15.75" customHeight="1" x14ac:dyDescent="0.3">
      <c r="C6" s="428">
        <v>1000000</v>
      </c>
      <c r="D6" s="427"/>
      <c r="E6" s="427"/>
      <c r="F6" s="427"/>
    </row>
    <row r="7" spans="1:7" ht="37.200000000000003" customHeight="1" x14ac:dyDescent="0.3">
      <c r="A7" s="432"/>
      <c r="B7" s="433">
        <v>2024</v>
      </c>
      <c r="C7" s="434" t="s">
        <v>22</v>
      </c>
      <c r="D7" s="432"/>
      <c r="E7" s="435" t="s">
        <v>300</v>
      </c>
      <c r="F7" s="432"/>
      <c r="G7" s="432"/>
    </row>
    <row r="8" spans="1:7" ht="18" customHeight="1" x14ac:dyDescent="0.35">
      <c r="B8" s="436" t="s">
        <v>301</v>
      </c>
      <c r="C8" s="572">
        <v>1</v>
      </c>
      <c r="D8" s="427"/>
      <c r="E8" s="438"/>
      <c r="F8" s="427"/>
    </row>
    <row r="9" spans="1:7" ht="46.5" customHeight="1" x14ac:dyDescent="0.3">
      <c r="B9" s="439" t="s">
        <v>302</v>
      </c>
      <c r="C9" s="573" t="s">
        <v>358</v>
      </c>
      <c r="D9" s="574"/>
      <c r="E9" s="442"/>
      <c r="F9" s="443"/>
    </row>
    <row r="10" spans="1:7" ht="46.5" customHeight="1" x14ac:dyDescent="0.3">
      <c r="B10" s="444" t="s">
        <v>304</v>
      </c>
      <c r="C10" s="445" t="s">
        <v>359</v>
      </c>
      <c r="D10" s="574"/>
      <c r="E10" s="446"/>
      <c r="F10" s="443"/>
    </row>
    <row r="11" spans="1:7" ht="18.75" customHeight="1" x14ac:dyDescent="0.3">
      <c r="A11" s="447"/>
      <c r="B11" s="448" t="s">
        <v>306</v>
      </c>
      <c r="C11" s="575">
        <f>(C17*C18)</f>
        <v>636.16666455600011</v>
      </c>
      <c r="D11" s="576"/>
      <c r="E11" s="451">
        <f>SUM(C11:C11)</f>
        <v>636.16666455600011</v>
      </c>
      <c r="F11" s="452"/>
      <c r="G11" s="447"/>
    </row>
    <row r="12" spans="1:7" ht="18.75" customHeight="1" x14ac:dyDescent="0.3">
      <c r="A12" s="447"/>
      <c r="B12" s="453" t="s">
        <v>307</v>
      </c>
      <c r="C12" s="577">
        <f t="shared" ref="C12" si="0">(C22*C23)+(C27*C28)</f>
        <v>74.569531578100012</v>
      </c>
      <c r="D12" s="455"/>
      <c r="E12" s="456">
        <f>SUM(C12:C12)</f>
        <v>74.569531578100012</v>
      </c>
      <c r="F12" s="457"/>
      <c r="G12" s="447"/>
    </row>
    <row r="13" spans="1:7" ht="18.75" customHeight="1" x14ac:dyDescent="0.3">
      <c r="A13" s="447"/>
      <c r="B13" s="448" t="s">
        <v>308</v>
      </c>
      <c r="C13" s="578" t="s">
        <v>8</v>
      </c>
      <c r="D13" s="459"/>
      <c r="E13" s="460"/>
      <c r="F13" s="461"/>
      <c r="G13" s="447"/>
    </row>
    <row r="14" spans="1:7" ht="18.75" customHeight="1" x14ac:dyDescent="0.3">
      <c r="A14" s="447"/>
      <c r="B14" s="462" t="s">
        <v>309</v>
      </c>
      <c r="C14" s="579">
        <f t="shared" ref="C14" si="1">C11-C12</f>
        <v>561.59713297790006</v>
      </c>
      <c r="D14" s="455"/>
      <c r="E14" s="464">
        <f>SUM(C14:C14)</f>
        <v>561.59713297790006</v>
      </c>
      <c r="F14" s="457"/>
      <c r="G14" s="447"/>
    </row>
    <row r="15" spans="1:7" ht="19.5" customHeight="1" x14ac:dyDescent="0.4">
      <c r="B15" s="465" t="s">
        <v>310</v>
      </c>
      <c r="C15" s="580"/>
      <c r="D15" s="467"/>
      <c r="E15" s="468"/>
      <c r="F15" s="467"/>
      <c r="G15" s="427"/>
    </row>
    <row r="16" spans="1:7" ht="35.4" customHeight="1" x14ac:dyDescent="0.3">
      <c r="A16" s="447"/>
      <c r="B16" s="469" t="s">
        <v>311</v>
      </c>
      <c r="C16" s="470" t="s">
        <v>360</v>
      </c>
      <c r="D16" s="581"/>
      <c r="E16" s="471"/>
      <c r="F16" s="457"/>
      <c r="G16" s="447"/>
    </row>
    <row r="17" spans="1:7" ht="21" customHeight="1" x14ac:dyDescent="0.3">
      <c r="A17" s="447"/>
      <c r="B17" s="472" t="s">
        <v>313</v>
      </c>
      <c r="C17" s="582">
        <f>'CF-0102|GDS'!V10</f>
        <v>232692</v>
      </c>
      <c r="D17" s="583"/>
      <c r="F17" s="475"/>
      <c r="G17" s="447"/>
    </row>
    <row r="18" spans="1:7" ht="18.75" customHeight="1" x14ac:dyDescent="0.3">
      <c r="A18" s="447"/>
      <c r="B18" s="476" t="s">
        <v>314</v>
      </c>
      <c r="C18" s="584">
        <v>2.7339430000000004E-3</v>
      </c>
      <c r="D18" s="478"/>
      <c r="F18" s="479"/>
      <c r="G18" s="447"/>
    </row>
    <row r="19" spans="1:7" ht="19.5" customHeight="1" x14ac:dyDescent="0.3">
      <c r="A19" s="447"/>
      <c r="B19" s="480" t="s">
        <v>315</v>
      </c>
      <c r="C19" s="585">
        <f>C17*C18</f>
        <v>636.16666455600011</v>
      </c>
      <c r="D19" s="586"/>
      <c r="F19" s="479"/>
      <c r="G19" s="447"/>
    </row>
    <row r="20" spans="1:7" ht="21" customHeight="1" x14ac:dyDescent="0.4">
      <c r="B20" s="465" t="s">
        <v>316</v>
      </c>
      <c r="C20" s="587"/>
      <c r="D20" s="483"/>
      <c r="E20" s="484"/>
      <c r="F20" s="483"/>
    </row>
    <row r="21" spans="1:7" ht="32.4" customHeight="1" x14ac:dyDescent="0.3">
      <c r="A21" s="447"/>
      <c r="B21" s="469" t="s">
        <v>183</v>
      </c>
      <c r="C21" s="470" t="s">
        <v>361</v>
      </c>
      <c r="D21" s="588"/>
      <c r="E21" s="485"/>
      <c r="F21" s="479"/>
      <c r="G21" s="447"/>
    </row>
    <row r="22" spans="1:7" ht="21" customHeight="1" x14ac:dyDescent="0.3">
      <c r="A22" s="447"/>
      <c r="B22" s="486" t="s">
        <v>2342</v>
      </c>
      <c r="C22" s="589">
        <f>'CF-0102|GDS'!I11</f>
        <v>835962</v>
      </c>
      <c r="D22" s="479"/>
      <c r="E22" s="488"/>
      <c r="F22" s="479"/>
      <c r="G22" s="447"/>
    </row>
    <row r="23" spans="1:7" ht="21" customHeight="1" x14ac:dyDescent="0.3">
      <c r="A23" s="447"/>
      <c r="B23" s="489" t="s">
        <v>314</v>
      </c>
      <c r="C23" s="590">
        <v>3.6533000000000004E-5</v>
      </c>
      <c r="D23" s="588"/>
      <c r="E23" s="491"/>
      <c r="F23" s="479"/>
      <c r="G23" s="447"/>
    </row>
    <row r="24" spans="1:7" ht="21" customHeight="1" x14ac:dyDescent="0.3">
      <c r="A24" s="447"/>
      <c r="B24" s="492" t="s">
        <v>315</v>
      </c>
      <c r="C24" s="591">
        <f t="shared" ref="C24" si="2">C22*C23</f>
        <v>30.540199746000003</v>
      </c>
      <c r="D24" s="588"/>
      <c r="E24" s="494"/>
      <c r="F24" s="479"/>
      <c r="G24" s="447"/>
    </row>
    <row r="25" spans="1:7" ht="21" customHeight="1" x14ac:dyDescent="0.4">
      <c r="B25" s="465" t="s">
        <v>316</v>
      </c>
      <c r="C25" s="587"/>
      <c r="D25" s="483"/>
      <c r="E25" s="495"/>
      <c r="F25" s="483"/>
    </row>
    <row r="26" spans="1:7" ht="30.6" customHeight="1" x14ac:dyDescent="0.3">
      <c r="A26" s="447"/>
      <c r="B26" s="469" t="s">
        <v>183</v>
      </c>
      <c r="C26" s="470" t="s">
        <v>317</v>
      </c>
      <c r="D26" s="588"/>
      <c r="E26" s="496"/>
      <c r="F26" s="479"/>
      <c r="G26" s="447"/>
    </row>
    <row r="27" spans="1:7" ht="21" customHeight="1" x14ac:dyDescent="0.3">
      <c r="A27" s="447"/>
      <c r="B27" s="486" t="s">
        <v>2342</v>
      </c>
      <c r="C27" s="589">
        <f>'CF-0102|GDS'!I10</f>
        <v>16104.7</v>
      </c>
      <c r="D27" s="479"/>
      <c r="E27" s="488"/>
      <c r="F27" s="479"/>
      <c r="G27" s="447"/>
    </row>
    <row r="28" spans="1:7" ht="21" customHeight="1" x14ac:dyDescent="0.3">
      <c r="A28" s="447"/>
      <c r="B28" s="489" t="s">
        <v>314</v>
      </c>
      <c r="C28" s="590">
        <v>2.7339430000000004E-3</v>
      </c>
      <c r="D28" s="588"/>
      <c r="E28" s="491"/>
      <c r="F28" s="479"/>
      <c r="G28" s="447"/>
    </row>
    <row r="29" spans="1:7" ht="21" customHeight="1" x14ac:dyDescent="0.3">
      <c r="A29" s="447"/>
      <c r="B29" s="492" t="s">
        <v>315</v>
      </c>
      <c r="C29" s="591">
        <f t="shared" ref="C29" si="3">C27*C28</f>
        <v>44.029331832100006</v>
      </c>
      <c r="D29" s="588"/>
      <c r="E29" s="494"/>
      <c r="F29" s="479"/>
      <c r="G29" s="447"/>
    </row>
    <row r="30" spans="1:7" ht="28.5" customHeight="1" x14ac:dyDescent="0.3">
      <c r="A30" s="447"/>
      <c r="B30" s="498" t="s">
        <v>320</v>
      </c>
      <c r="C30" s="592" t="s">
        <v>321</v>
      </c>
      <c r="D30" s="593"/>
      <c r="E30" s="501"/>
      <c r="F30" s="500"/>
      <c r="G30" s="447"/>
    </row>
    <row r="31" spans="1:7" ht="24" customHeight="1" x14ac:dyDescent="0.3">
      <c r="B31" s="502" t="s">
        <v>322</v>
      </c>
      <c r="C31" s="594">
        <v>3</v>
      </c>
      <c r="D31" s="504"/>
      <c r="E31" s="505"/>
      <c r="F31" s="504"/>
    </row>
    <row r="32" spans="1:7" ht="33" customHeight="1" x14ac:dyDescent="0.3">
      <c r="A32" s="447"/>
      <c r="B32" s="506" t="s">
        <v>323</v>
      </c>
      <c r="C32" s="595" t="s">
        <v>324</v>
      </c>
      <c r="D32" s="479"/>
      <c r="E32" s="496"/>
      <c r="F32" s="479"/>
      <c r="G32" s="447"/>
    </row>
    <row r="33" spans="1:7" ht="33" customHeight="1" x14ac:dyDescent="0.3">
      <c r="A33" s="447"/>
      <c r="B33" s="508" t="s">
        <v>325</v>
      </c>
      <c r="C33" s="596" t="s">
        <v>326</v>
      </c>
      <c r="D33" s="479"/>
      <c r="E33" s="496"/>
      <c r="F33" s="479"/>
      <c r="G33" s="447"/>
    </row>
    <row r="34" spans="1:7" ht="33" customHeight="1" x14ac:dyDescent="0.3">
      <c r="A34" s="447"/>
      <c r="B34" s="506" t="s">
        <v>327</v>
      </c>
      <c r="C34" s="595" t="s">
        <v>729</v>
      </c>
      <c r="D34" s="479"/>
      <c r="E34" s="496"/>
      <c r="F34" s="479"/>
      <c r="G34" s="447"/>
    </row>
    <row r="35" spans="1:7" ht="21" customHeight="1" x14ac:dyDescent="0.3">
      <c r="B35" s="510" t="s">
        <v>329</v>
      </c>
      <c r="C35" s="596">
        <v>1</v>
      </c>
      <c r="D35" s="467"/>
      <c r="E35" s="467"/>
      <c r="F35" s="467"/>
    </row>
    <row r="36" spans="1:7" ht="21" customHeight="1" x14ac:dyDescent="0.3">
      <c r="B36" s="453" t="s">
        <v>330</v>
      </c>
      <c r="C36" s="595" t="s">
        <v>324</v>
      </c>
      <c r="D36" s="483"/>
      <c r="E36" s="495"/>
      <c r="F36" s="483"/>
    </row>
    <row r="37" spans="1:7" ht="21" customHeight="1" x14ac:dyDescent="0.3">
      <c r="B37" s="510" t="s">
        <v>331</v>
      </c>
      <c r="C37" s="596" t="s">
        <v>324</v>
      </c>
      <c r="D37" s="483"/>
      <c r="E37" s="495"/>
      <c r="F37" s="483"/>
    </row>
    <row r="38" spans="1:7" ht="21" customHeight="1" x14ac:dyDescent="0.3">
      <c r="B38" s="462" t="s">
        <v>332</v>
      </c>
      <c r="C38" s="555" t="s">
        <v>333</v>
      </c>
      <c r="D38" s="483"/>
      <c r="E38" s="495"/>
      <c r="F38" s="483"/>
    </row>
    <row r="39" spans="1:7" ht="15.75" customHeight="1" x14ac:dyDescent="0.3">
      <c r="B39" s="427"/>
      <c r="C39" s="427"/>
      <c r="D39" s="483"/>
      <c r="E39" s="483"/>
      <c r="F39" s="483"/>
    </row>
    <row r="40" spans="1:7" ht="15.75" customHeight="1" x14ac:dyDescent="0.3">
      <c r="B40" s="512" t="s">
        <v>334</v>
      </c>
      <c r="C40" s="427"/>
      <c r="D40" s="483"/>
      <c r="E40" s="483"/>
      <c r="F40" s="483"/>
    </row>
    <row r="41" spans="1:7" ht="15.75" customHeight="1" x14ac:dyDescent="0.3">
      <c r="B41" s="512" t="s">
        <v>335</v>
      </c>
      <c r="C41" s="427"/>
      <c r="D41" s="483"/>
      <c r="E41" s="483"/>
      <c r="F41" s="483"/>
    </row>
    <row r="42" spans="1:7" ht="15.75" customHeight="1" x14ac:dyDescent="0.3">
      <c r="B42" s="512" t="s">
        <v>336</v>
      </c>
      <c r="C42" s="427"/>
      <c r="D42" s="483"/>
      <c r="E42" s="483"/>
      <c r="F42" s="483"/>
    </row>
    <row r="43" spans="1:7" ht="15.75" customHeight="1" x14ac:dyDescent="0.3">
      <c r="B43" s="512" t="s">
        <v>337</v>
      </c>
      <c r="C43" s="427"/>
      <c r="D43" s="483"/>
      <c r="E43" s="483"/>
      <c r="F43" s="483"/>
    </row>
    <row r="44" spans="1:7" ht="15.75" customHeight="1" x14ac:dyDescent="0.3">
      <c r="B44" s="512" t="s">
        <v>338</v>
      </c>
      <c r="D44" s="427"/>
      <c r="F44" s="427"/>
    </row>
    <row r="45" spans="1:7" ht="15.75" customHeight="1" x14ac:dyDescent="0.3">
      <c r="B45" s="512" t="s">
        <v>339</v>
      </c>
      <c r="D45" s="427"/>
      <c r="F45" s="427"/>
    </row>
    <row r="46" spans="1:7" ht="15.75" customHeight="1" x14ac:dyDescent="0.3">
      <c r="D46" s="427"/>
      <c r="F46" s="427"/>
    </row>
    <row r="47" spans="1:7" ht="15.75" customHeight="1" x14ac:dyDescent="0.3">
      <c r="D47" s="427"/>
      <c r="F47" s="427"/>
    </row>
    <row r="48" spans="1:7" ht="15.75" customHeight="1" x14ac:dyDescent="0.3">
      <c r="D48" s="427"/>
      <c r="F48" s="427"/>
    </row>
    <row r="49" spans="4:6" ht="15.75" customHeight="1" x14ac:dyDescent="0.3">
      <c r="D49" s="427"/>
      <c r="F49" s="427"/>
    </row>
    <row r="50" spans="4:6" ht="15.75" customHeight="1" x14ac:dyDescent="0.3">
      <c r="D50" s="427"/>
      <c r="F50" s="427"/>
    </row>
    <row r="51" spans="4:6" ht="15.75" customHeight="1" x14ac:dyDescent="0.3">
      <c r="D51" s="427"/>
      <c r="F51" s="427"/>
    </row>
    <row r="52" spans="4:6" ht="15.75" customHeight="1" x14ac:dyDescent="0.3">
      <c r="D52" s="427"/>
      <c r="F52" s="427"/>
    </row>
    <row r="53" spans="4:6" ht="15.75" customHeight="1" x14ac:dyDescent="0.3">
      <c r="D53" s="427"/>
      <c r="F53" s="427"/>
    </row>
    <row r="54" spans="4:6" ht="15.75" customHeight="1" x14ac:dyDescent="0.3">
      <c r="D54" s="427"/>
      <c r="F54" s="427"/>
    </row>
    <row r="55" spans="4:6" ht="15.75" customHeight="1" x14ac:dyDescent="0.3">
      <c r="D55" s="427"/>
      <c r="F55" s="427"/>
    </row>
    <row r="56" spans="4:6" ht="15.75" customHeight="1" x14ac:dyDescent="0.3">
      <c r="D56" s="427"/>
      <c r="F56" s="427"/>
    </row>
    <row r="57" spans="4:6" ht="15.75" customHeight="1" x14ac:dyDescent="0.3">
      <c r="D57" s="427"/>
      <c r="F57" s="427"/>
    </row>
    <row r="58" spans="4:6" ht="15.75" customHeight="1" x14ac:dyDescent="0.3">
      <c r="D58" s="427"/>
      <c r="F58" s="427"/>
    </row>
    <row r="59" spans="4:6" ht="15.75" customHeight="1" x14ac:dyDescent="0.3">
      <c r="D59" s="427"/>
      <c r="F59" s="427"/>
    </row>
    <row r="60" spans="4:6" ht="15.75" customHeight="1" x14ac:dyDescent="0.3">
      <c r="D60" s="427"/>
      <c r="F60" s="427"/>
    </row>
    <row r="61" spans="4:6" ht="15.75" customHeight="1" x14ac:dyDescent="0.3">
      <c r="D61" s="427"/>
      <c r="F61" s="427"/>
    </row>
    <row r="62" spans="4:6" ht="15.75" customHeight="1" x14ac:dyDescent="0.3">
      <c r="D62" s="427"/>
      <c r="F62" s="427"/>
    </row>
    <row r="63" spans="4:6" ht="15.75" customHeight="1" x14ac:dyDescent="0.3">
      <c r="D63" s="427"/>
      <c r="F63" s="427"/>
    </row>
    <row r="64" spans="4:6" ht="15.75" customHeight="1" x14ac:dyDescent="0.3">
      <c r="D64" s="427"/>
      <c r="F64" s="427"/>
    </row>
    <row r="65" spans="4:6" ht="15.75" customHeight="1" x14ac:dyDescent="0.3">
      <c r="D65" s="427"/>
      <c r="F65" s="427"/>
    </row>
    <row r="66" spans="4:6" ht="15.75" customHeight="1" x14ac:dyDescent="0.3">
      <c r="D66" s="427"/>
      <c r="F66" s="427"/>
    </row>
    <row r="67" spans="4:6" ht="15.75" customHeight="1" x14ac:dyDescent="0.3">
      <c r="D67" s="427"/>
      <c r="F67" s="427"/>
    </row>
    <row r="68" spans="4:6" ht="15.75" customHeight="1" x14ac:dyDescent="0.3">
      <c r="D68" s="427"/>
      <c r="F68" s="427"/>
    </row>
    <row r="69" spans="4:6" ht="15.75" customHeight="1" x14ac:dyDescent="0.3">
      <c r="D69" s="427"/>
      <c r="F69" s="427"/>
    </row>
    <row r="70" spans="4:6" ht="15.75" customHeight="1" x14ac:dyDescent="0.3">
      <c r="D70" s="427"/>
      <c r="F70" s="427"/>
    </row>
    <row r="71" spans="4:6" ht="15.75" customHeight="1" x14ac:dyDescent="0.3">
      <c r="D71" s="427"/>
      <c r="F71" s="427"/>
    </row>
    <row r="72" spans="4:6" ht="15.75" customHeight="1" x14ac:dyDescent="0.3">
      <c r="D72" s="427"/>
      <c r="F72" s="427"/>
    </row>
    <row r="73" spans="4:6" ht="15.75" customHeight="1" x14ac:dyDescent="0.3">
      <c r="D73" s="427"/>
      <c r="F73" s="427"/>
    </row>
    <row r="74" spans="4:6" ht="15.75" customHeight="1" x14ac:dyDescent="0.3">
      <c r="D74" s="427"/>
      <c r="F74" s="427"/>
    </row>
    <row r="75" spans="4:6" ht="15.75" customHeight="1" x14ac:dyDescent="0.3">
      <c r="D75" s="427"/>
      <c r="F75" s="427"/>
    </row>
    <row r="76" spans="4:6" ht="15.75" customHeight="1" x14ac:dyDescent="0.3">
      <c r="D76" s="427"/>
      <c r="F76" s="427"/>
    </row>
    <row r="77" spans="4:6" ht="15.75" customHeight="1" x14ac:dyDescent="0.3">
      <c r="D77" s="427"/>
      <c r="F77" s="427"/>
    </row>
    <row r="78" spans="4:6" ht="15.75" customHeight="1" x14ac:dyDescent="0.3">
      <c r="D78" s="427"/>
      <c r="F78" s="427"/>
    </row>
    <row r="79" spans="4:6" ht="15.75" customHeight="1" x14ac:dyDescent="0.3">
      <c r="D79" s="427"/>
      <c r="F79" s="427"/>
    </row>
    <row r="80" spans="4:6" ht="15.75" customHeight="1" x14ac:dyDescent="0.3">
      <c r="D80" s="427"/>
      <c r="F80" s="427"/>
    </row>
    <row r="81" spans="4:6" ht="15.75" customHeight="1" x14ac:dyDescent="0.3">
      <c r="D81" s="427"/>
      <c r="F81" s="427"/>
    </row>
    <row r="82" spans="4:6" ht="15.75" customHeight="1" x14ac:dyDescent="0.3">
      <c r="D82" s="427"/>
      <c r="F82" s="427"/>
    </row>
    <row r="83" spans="4:6" ht="15.75" customHeight="1" x14ac:dyDescent="0.3">
      <c r="D83" s="427"/>
      <c r="F83" s="427"/>
    </row>
    <row r="84" spans="4:6" ht="15.75" customHeight="1" x14ac:dyDescent="0.3">
      <c r="D84" s="427"/>
      <c r="F84" s="427"/>
    </row>
    <row r="85" spans="4:6" ht="15.75" customHeight="1" x14ac:dyDescent="0.3">
      <c r="D85" s="427"/>
      <c r="F85" s="427"/>
    </row>
    <row r="86" spans="4:6" ht="15.75" customHeight="1" x14ac:dyDescent="0.3">
      <c r="D86" s="427"/>
      <c r="F86" s="427"/>
    </row>
    <row r="87" spans="4:6" ht="15.75" customHeight="1" x14ac:dyDescent="0.3">
      <c r="D87" s="427"/>
      <c r="F87" s="427"/>
    </row>
    <row r="88" spans="4:6" ht="15.75" customHeight="1" x14ac:dyDescent="0.3">
      <c r="D88" s="427"/>
      <c r="F88" s="427"/>
    </row>
    <row r="89" spans="4:6" ht="15.75" customHeight="1" x14ac:dyDescent="0.3">
      <c r="D89" s="427"/>
      <c r="F89" s="427"/>
    </row>
    <row r="90" spans="4:6" ht="15.75" customHeight="1" x14ac:dyDescent="0.3">
      <c r="D90" s="427"/>
      <c r="F90" s="427"/>
    </row>
    <row r="91" spans="4:6" ht="15.75" customHeight="1" x14ac:dyDescent="0.3">
      <c r="D91" s="427"/>
      <c r="F91" s="427"/>
    </row>
    <row r="92" spans="4:6" ht="15.75" customHeight="1" x14ac:dyDescent="0.3">
      <c r="D92" s="427"/>
      <c r="F92" s="427"/>
    </row>
    <row r="93" spans="4:6" ht="15.75" customHeight="1" x14ac:dyDescent="0.3">
      <c r="D93" s="427"/>
      <c r="F93" s="427"/>
    </row>
    <row r="94" spans="4:6" ht="15.75" customHeight="1" x14ac:dyDescent="0.3">
      <c r="D94" s="427"/>
      <c r="F94" s="427"/>
    </row>
    <row r="95" spans="4:6" ht="15.75" customHeight="1" x14ac:dyDescent="0.3">
      <c r="D95" s="427"/>
      <c r="F95" s="427"/>
    </row>
    <row r="96" spans="4:6" ht="15.75" customHeight="1" x14ac:dyDescent="0.3">
      <c r="D96" s="427"/>
      <c r="F96" s="427"/>
    </row>
    <row r="97" spans="4:6" ht="15.75" customHeight="1" x14ac:dyDescent="0.3">
      <c r="D97" s="427"/>
      <c r="F97" s="427"/>
    </row>
    <row r="98" spans="4:6" ht="15.75" customHeight="1" x14ac:dyDescent="0.3">
      <c r="D98" s="427"/>
      <c r="F98" s="427"/>
    </row>
    <row r="99" spans="4:6" ht="15.75" customHeight="1" x14ac:dyDescent="0.3">
      <c r="D99" s="427"/>
      <c r="F99" s="427"/>
    </row>
    <row r="100" spans="4:6" ht="15.75" customHeight="1" x14ac:dyDescent="0.3">
      <c r="D100" s="427"/>
      <c r="F100" s="427"/>
    </row>
    <row r="101" spans="4:6" ht="15.75" customHeight="1" x14ac:dyDescent="0.3">
      <c r="D101" s="427"/>
      <c r="F101" s="427"/>
    </row>
    <row r="102" spans="4:6" ht="15.75" customHeight="1" x14ac:dyDescent="0.3">
      <c r="D102" s="427"/>
      <c r="F102" s="427"/>
    </row>
    <row r="103" spans="4:6" ht="15.75" customHeight="1" x14ac:dyDescent="0.3">
      <c r="D103" s="427"/>
      <c r="F103" s="427"/>
    </row>
    <row r="104" spans="4:6" ht="15.75" customHeight="1" x14ac:dyDescent="0.3">
      <c r="D104" s="427"/>
      <c r="F104" s="427"/>
    </row>
    <row r="105" spans="4:6" ht="15.75" customHeight="1" x14ac:dyDescent="0.3">
      <c r="D105" s="427"/>
      <c r="F105" s="427"/>
    </row>
    <row r="106" spans="4:6" ht="15.75" customHeight="1" x14ac:dyDescent="0.3">
      <c r="D106" s="427"/>
      <c r="F106" s="427"/>
    </row>
    <row r="107" spans="4:6" ht="15.75" customHeight="1" x14ac:dyDescent="0.3">
      <c r="D107" s="427"/>
      <c r="F107" s="427"/>
    </row>
    <row r="108" spans="4:6" ht="15.75" customHeight="1" x14ac:dyDescent="0.3">
      <c r="D108" s="427"/>
      <c r="F108" s="427"/>
    </row>
    <row r="109" spans="4:6" ht="15.75" customHeight="1" x14ac:dyDescent="0.3">
      <c r="D109" s="427"/>
      <c r="F109" s="427"/>
    </row>
    <row r="110" spans="4:6" ht="15.75" customHeight="1" x14ac:dyDescent="0.3">
      <c r="D110" s="427"/>
      <c r="F110" s="427"/>
    </row>
    <row r="111" spans="4:6" ht="15.75" customHeight="1" x14ac:dyDescent="0.3">
      <c r="D111" s="427"/>
      <c r="F111" s="427"/>
    </row>
    <row r="112" spans="4:6" ht="15.75" customHeight="1" x14ac:dyDescent="0.3">
      <c r="D112" s="427"/>
      <c r="F112" s="427"/>
    </row>
    <row r="113" spans="4:6" ht="15.75" customHeight="1" x14ac:dyDescent="0.3">
      <c r="D113" s="427"/>
      <c r="F113" s="427"/>
    </row>
    <row r="114" spans="4:6" ht="15.75" customHeight="1" x14ac:dyDescent="0.3">
      <c r="D114" s="427"/>
      <c r="F114" s="427"/>
    </row>
    <row r="115" spans="4:6" ht="15.75" customHeight="1" x14ac:dyDescent="0.3">
      <c r="D115" s="427"/>
      <c r="F115" s="427"/>
    </row>
    <row r="116" spans="4:6" ht="15.75" customHeight="1" x14ac:dyDescent="0.3">
      <c r="D116" s="427"/>
      <c r="F116" s="427"/>
    </row>
    <row r="117" spans="4:6" ht="15.75" customHeight="1" x14ac:dyDescent="0.3">
      <c r="D117" s="427"/>
      <c r="F117" s="427"/>
    </row>
    <row r="118" spans="4:6" ht="15.75" customHeight="1" x14ac:dyDescent="0.3">
      <c r="D118" s="427"/>
      <c r="F118" s="427"/>
    </row>
    <row r="119" spans="4:6" ht="15.75" customHeight="1" x14ac:dyDescent="0.3">
      <c r="D119" s="427"/>
      <c r="F119" s="427"/>
    </row>
    <row r="120" spans="4:6" ht="15.75" customHeight="1" x14ac:dyDescent="0.3">
      <c r="D120" s="427"/>
      <c r="F120" s="427"/>
    </row>
    <row r="121" spans="4:6" ht="15.75" customHeight="1" x14ac:dyDescent="0.3">
      <c r="D121" s="427"/>
      <c r="F121" s="427"/>
    </row>
    <row r="122" spans="4:6" ht="15.75" customHeight="1" x14ac:dyDescent="0.3">
      <c r="D122" s="427"/>
      <c r="F122" s="427"/>
    </row>
    <row r="123" spans="4:6" ht="15.75" customHeight="1" x14ac:dyDescent="0.3">
      <c r="D123" s="427"/>
      <c r="F123" s="427"/>
    </row>
    <row r="124" spans="4:6" ht="15.75" customHeight="1" x14ac:dyDescent="0.3">
      <c r="D124" s="427"/>
      <c r="F124" s="427"/>
    </row>
    <row r="125" spans="4:6" ht="15.75" customHeight="1" x14ac:dyDescent="0.3">
      <c r="D125" s="427"/>
      <c r="F125" s="427"/>
    </row>
    <row r="126" spans="4:6" ht="15.75" customHeight="1" x14ac:dyDescent="0.3">
      <c r="D126" s="427"/>
      <c r="F126" s="427"/>
    </row>
    <row r="127" spans="4:6" ht="15.75" customHeight="1" x14ac:dyDescent="0.3">
      <c r="D127" s="427"/>
      <c r="F127" s="427"/>
    </row>
    <row r="128" spans="4:6" ht="15.75" customHeight="1" x14ac:dyDescent="0.3">
      <c r="D128" s="427"/>
      <c r="F128" s="427"/>
    </row>
    <row r="129" spans="4:6" ht="15.75" customHeight="1" x14ac:dyDescent="0.3">
      <c r="D129" s="427"/>
      <c r="F129" s="427"/>
    </row>
    <row r="130" spans="4:6" ht="15.75" customHeight="1" x14ac:dyDescent="0.3">
      <c r="D130" s="427"/>
      <c r="F130" s="427"/>
    </row>
    <row r="131" spans="4:6" ht="15.75" customHeight="1" x14ac:dyDescent="0.3">
      <c r="D131" s="427"/>
      <c r="F131" s="427"/>
    </row>
    <row r="132" spans="4:6" ht="15.75" customHeight="1" x14ac:dyDescent="0.3">
      <c r="D132" s="427"/>
      <c r="F132" s="427"/>
    </row>
    <row r="133" spans="4:6" ht="15.75" customHeight="1" x14ac:dyDescent="0.3">
      <c r="D133" s="427"/>
      <c r="F133" s="427"/>
    </row>
    <row r="134" spans="4:6" ht="15.75" customHeight="1" x14ac:dyDescent="0.3">
      <c r="D134" s="427"/>
      <c r="F134" s="427"/>
    </row>
    <row r="135" spans="4:6" ht="15.75" customHeight="1" x14ac:dyDescent="0.3">
      <c r="D135" s="427"/>
      <c r="F135" s="427"/>
    </row>
    <row r="136" spans="4:6" ht="15.75" customHeight="1" x14ac:dyDescent="0.3">
      <c r="D136" s="427"/>
      <c r="F136" s="427"/>
    </row>
    <row r="137" spans="4:6" ht="15.75" customHeight="1" x14ac:dyDescent="0.3">
      <c r="D137" s="427"/>
      <c r="F137" s="427"/>
    </row>
    <row r="138" spans="4:6" ht="15.75" customHeight="1" x14ac:dyDescent="0.3">
      <c r="D138" s="427"/>
      <c r="F138" s="427"/>
    </row>
    <row r="139" spans="4:6" ht="15.75" customHeight="1" x14ac:dyDescent="0.3">
      <c r="D139" s="427"/>
      <c r="F139" s="427"/>
    </row>
    <row r="140" spans="4:6" ht="15.75" customHeight="1" x14ac:dyDescent="0.3">
      <c r="D140" s="427"/>
      <c r="F140" s="427"/>
    </row>
    <row r="141" spans="4:6" ht="15.75" customHeight="1" x14ac:dyDescent="0.3">
      <c r="D141" s="427"/>
      <c r="F141" s="427"/>
    </row>
    <row r="142" spans="4:6" ht="15.75" customHeight="1" x14ac:dyDescent="0.3">
      <c r="D142" s="427"/>
      <c r="F142" s="427"/>
    </row>
    <row r="143" spans="4:6" ht="15.75" customHeight="1" x14ac:dyDescent="0.3">
      <c r="D143" s="427"/>
      <c r="F143" s="427"/>
    </row>
    <row r="144" spans="4:6" ht="15.75" customHeight="1" x14ac:dyDescent="0.3">
      <c r="D144" s="427"/>
      <c r="F144" s="427"/>
    </row>
    <row r="145" spans="4:6" ht="15.75" customHeight="1" x14ac:dyDescent="0.3">
      <c r="D145" s="427"/>
      <c r="F145" s="427"/>
    </row>
    <row r="146" spans="4:6" ht="15.75" customHeight="1" x14ac:dyDescent="0.3">
      <c r="D146" s="427"/>
      <c r="F146" s="427"/>
    </row>
    <row r="147" spans="4:6" ht="15.75" customHeight="1" x14ac:dyDescent="0.3">
      <c r="D147" s="427"/>
      <c r="F147" s="427"/>
    </row>
    <row r="148" spans="4:6" ht="15.75" customHeight="1" x14ac:dyDescent="0.3">
      <c r="D148" s="427"/>
      <c r="F148" s="427"/>
    </row>
    <row r="149" spans="4:6" ht="15.75" customHeight="1" x14ac:dyDescent="0.3">
      <c r="D149" s="427"/>
      <c r="F149" s="427"/>
    </row>
    <row r="150" spans="4:6" ht="15.75" customHeight="1" x14ac:dyDescent="0.3">
      <c r="D150" s="427"/>
      <c r="F150" s="427"/>
    </row>
    <row r="151" spans="4:6" ht="15.75" customHeight="1" x14ac:dyDescent="0.3">
      <c r="D151" s="427"/>
      <c r="F151" s="427"/>
    </row>
    <row r="152" spans="4:6" ht="15.75" customHeight="1" x14ac:dyDescent="0.3">
      <c r="D152" s="427"/>
      <c r="F152" s="427"/>
    </row>
    <row r="153" spans="4:6" ht="15.75" customHeight="1" x14ac:dyDescent="0.3">
      <c r="D153" s="427"/>
      <c r="F153" s="427"/>
    </row>
    <row r="154" spans="4:6" ht="15.75" customHeight="1" x14ac:dyDescent="0.3">
      <c r="D154" s="427"/>
      <c r="F154" s="427"/>
    </row>
    <row r="155" spans="4:6" ht="15.75" customHeight="1" x14ac:dyDescent="0.3">
      <c r="D155" s="427"/>
      <c r="F155" s="427"/>
    </row>
    <row r="156" spans="4:6" ht="15.75" customHeight="1" x14ac:dyDescent="0.3">
      <c r="D156" s="427"/>
      <c r="F156" s="427"/>
    </row>
    <row r="157" spans="4:6" ht="15.75" customHeight="1" x14ac:dyDescent="0.3">
      <c r="D157" s="427"/>
      <c r="F157" s="427"/>
    </row>
    <row r="158" spans="4:6" ht="15.75" customHeight="1" x14ac:dyDescent="0.3">
      <c r="D158" s="427"/>
      <c r="F158" s="427"/>
    </row>
    <row r="159" spans="4:6" ht="15.75" customHeight="1" x14ac:dyDescent="0.3">
      <c r="D159" s="427"/>
      <c r="F159" s="427"/>
    </row>
    <row r="160" spans="4:6" ht="15.75" customHeight="1" x14ac:dyDescent="0.3">
      <c r="D160" s="427"/>
      <c r="F160" s="427"/>
    </row>
    <row r="161" spans="4:6" ht="15.75" customHeight="1" x14ac:dyDescent="0.3">
      <c r="D161" s="427"/>
      <c r="F161" s="427"/>
    </row>
    <row r="162" spans="4:6" ht="15.75" customHeight="1" x14ac:dyDescent="0.3">
      <c r="D162" s="427"/>
      <c r="F162" s="427"/>
    </row>
    <row r="163" spans="4:6" ht="15.75" customHeight="1" x14ac:dyDescent="0.3">
      <c r="D163" s="427"/>
      <c r="F163" s="427"/>
    </row>
    <row r="164" spans="4:6" ht="15.75" customHeight="1" x14ac:dyDescent="0.3">
      <c r="D164" s="427"/>
      <c r="F164" s="427"/>
    </row>
    <row r="165" spans="4:6" ht="15.75" customHeight="1" x14ac:dyDescent="0.3">
      <c r="D165" s="427"/>
      <c r="F165" s="427"/>
    </row>
    <row r="166" spans="4:6" ht="15.75" customHeight="1" x14ac:dyDescent="0.3">
      <c r="D166" s="427"/>
      <c r="F166" s="427"/>
    </row>
    <row r="167" spans="4:6" ht="15.75" customHeight="1" x14ac:dyDescent="0.3">
      <c r="D167" s="427"/>
      <c r="F167" s="427"/>
    </row>
    <row r="168" spans="4:6" ht="15.75" customHeight="1" x14ac:dyDescent="0.3">
      <c r="D168" s="427"/>
      <c r="F168" s="427"/>
    </row>
    <row r="169" spans="4:6" ht="15.75" customHeight="1" x14ac:dyDescent="0.3">
      <c r="D169" s="427"/>
      <c r="F169" s="427"/>
    </row>
    <row r="170" spans="4:6" ht="15.75" customHeight="1" x14ac:dyDescent="0.3">
      <c r="D170" s="427"/>
      <c r="F170" s="427"/>
    </row>
    <row r="171" spans="4:6" ht="15.75" customHeight="1" x14ac:dyDescent="0.3">
      <c r="D171" s="427"/>
      <c r="F171" s="427"/>
    </row>
    <row r="172" spans="4:6" ht="15.75" customHeight="1" x14ac:dyDescent="0.3">
      <c r="D172" s="427"/>
      <c r="F172" s="427"/>
    </row>
    <row r="173" spans="4:6" ht="15.75" customHeight="1" x14ac:dyDescent="0.3">
      <c r="D173" s="427"/>
      <c r="F173" s="427"/>
    </row>
    <row r="174" spans="4:6" ht="15.75" customHeight="1" x14ac:dyDescent="0.3">
      <c r="D174" s="427"/>
      <c r="F174" s="427"/>
    </row>
    <row r="175" spans="4:6" ht="15.75" customHeight="1" x14ac:dyDescent="0.3">
      <c r="D175" s="427"/>
      <c r="F175" s="427"/>
    </row>
    <row r="176" spans="4:6" ht="15.75" customHeight="1" x14ac:dyDescent="0.3">
      <c r="D176" s="427"/>
      <c r="F176" s="427"/>
    </row>
    <row r="177" spans="4:6" ht="15.75" customHeight="1" x14ac:dyDescent="0.3">
      <c r="D177" s="427"/>
      <c r="F177" s="427"/>
    </row>
    <row r="178" spans="4:6" ht="15.75" customHeight="1" x14ac:dyDescent="0.3">
      <c r="D178" s="427"/>
      <c r="F178" s="427"/>
    </row>
    <row r="179" spans="4:6" ht="15.75" customHeight="1" x14ac:dyDescent="0.3">
      <c r="D179" s="427"/>
      <c r="F179" s="427"/>
    </row>
    <row r="180" spans="4:6" ht="15.75" customHeight="1" x14ac:dyDescent="0.3">
      <c r="D180" s="427"/>
      <c r="F180" s="427"/>
    </row>
    <row r="181" spans="4:6" ht="15.75" customHeight="1" x14ac:dyDescent="0.3">
      <c r="D181" s="427"/>
      <c r="F181" s="427"/>
    </row>
    <row r="182" spans="4:6" ht="15.75" customHeight="1" x14ac:dyDescent="0.3">
      <c r="D182" s="427"/>
      <c r="F182" s="427"/>
    </row>
    <row r="183" spans="4:6" ht="15.75" customHeight="1" x14ac:dyDescent="0.3">
      <c r="D183" s="427"/>
      <c r="F183" s="427"/>
    </row>
    <row r="184" spans="4:6" ht="15.75" customHeight="1" x14ac:dyDescent="0.3">
      <c r="D184" s="427"/>
      <c r="F184" s="427"/>
    </row>
    <row r="185" spans="4:6" ht="15.75" customHeight="1" x14ac:dyDescent="0.3">
      <c r="D185" s="427"/>
      <c r="F185" s="427"/>
    </row>
    <row r="186" spans="4:6" ht="15.75" customHeight="1" x14ac:dyDescent="0.3">
      <c r="D186" s="427"/>
      <c r="F186" s="427"/>
    </row>
    <row r="187" spans="4:6" ht="15.75" customHeight="1" x14ac:dyDescent="0.3">
      <c r="D187" s="427"/>
      <c r="F187" s="427"/>
    </row>
    <row r="188" spans="4:6" ht="15.75" customHeight="1" x14ac:dyDescent="0.3">
      <c r="D188" s="427"/>
      <c r="F188" s="427"/>
    </row>
    <row r="189" spans="4:6" ht="15.75" customHeight="1" x14ac:dyDescent="0.3">
      <c r="D189" s="427"/>
      <c r="F189" s="427"/>
    </row>
    <row r="190" spans="4:6" ht="15.75" customHeight="1" x14ac:dyDescent="0.3">
      <c r="D190" s="427"/>
      <c r="F190" s="427"/>
    </row>
    <row r="191" spans="4:6" ht="15.75" customHeight="1" x14ac:dyDescent="0.3">
      <c r="D191" s="427"/>
      <c r="F191" s="427"/>
    </row>
    <row r="192" spans="4:6" ht="15.75" customHeight="1" x14ac:dyDescent="0.3">
      <c r="D192" s="427"/>
      <c r="F192" s="427"/>
    </row>
    <row r="193" spans="4:6" ht="15.75" customHeight="1" x14ac:dyDescent="0.3">
      <c r="D193" s="427"/>
      <c r="F193" s="427"/>
    </row>
    <row r="194" spans="4:6" ht="15.75" customHeight="1" x14ac:dyDescent="0.3">
      <c r="D194" s="427"/>
      <c r="F194" s="427"/>
    </row>
    <row r="195" spans="4:6" ht="15.75" customHeight="1" x14ac:dyDescent="0.3">
      <c r="D195" s="427"/>
      <c r="F195" s="427"/>
    </row>
    <row r="196" spans="4:6" ht="15.75" customHeight="1" x14ac:dyDescent="0.3">
      <c r="D196" s="427"/>
      <c r="F196" s="427"/>
    </row>
    <row r="197" spans="4:6" ht="15.75" customHeight="1" x14ac:dyDescent="0.3">
      <c r="D197" s="427"/>
      <c r="F197" s="427"/>
    </row>
    <row r="198" spans="4:6" ht="15.75" customHeight="1" x14ac:dyDescent="0.3">
      <c r="D198" s="427"/>
      <c r="F198" s="427"/>
    </row>
    <row r="199" spans="4:6" ht="15.75" customHeight="1" x14ac:dyDescent="0.3">
      <c r="D199" s="427"/>
      <c r="F199" s="427"/>
    </row>
    <row r="200" spans="4:6" ht="15.75" customHeight="1" x14ac:dyDescent="0.3">
      <c r="D200" s="427"/>
      <c r="F200" s="427"/>
    </row>
    <row r="201" spans="4:6" ht="15.75" customHeight="1" x14ac:dyDescent="0.3">
      <c r="D201" s="427"/>
      <c r="F201" s="427"/>
    </row>
    <row r="202" spans="4:6" ht="15.75" customHeight="1" x14ac:dyDescent="0.3">
      <c r="D202" s="427"/>
      <c r="F202" s="427"/>
    </row>
    <row r="203" spans="4:6" ht="15.75" customHeight="1" x14ac:dyDescent="0.3">
      <c r="D203" s="427"/>
      <c r="F203" s="427"/>
    </row>
    <row r="204" spans="4:6" ht="15.75" customHeight="1" x14ac:dyDescent="0.3">
      <c r="D204" s="427"/>
      <c r="F204" s="427"/>
    </row>
    <row r="205" spans="4:6" ht="15.75" customHeight="1" x14ac:dyDescent="0.3">
      <c r="D205" s="427"/>
      <c r="F205" s="427"/>
    </row>
    <row r="206" spans="4:6" ht="15.75" customHeight="1" x14ac:dyDescent="0.3">
      <c r="D206" s="427"/>
      <c r="F206" s="427"/>
    </row>
    <row r="207" spans="4:6" ht="15.75" customHeight="1" x14ac:dyDescent="0.3">
      <c r="D207" s="427"/>
      <c r="F207" s="427"/>
    </row>
    <row r="208" spans="4:6" ht="15.75" customHeight="1" x14ac:dyDescent="0.3">
      <c r="D208" s="427"/>
      <c r="F208" s="427"/>
    </row>
    <row r="209" spans="4:6" ht="15.75" customHeight="1" x14ac:dyDescent="0.3">
      <c r="D209" s="427"/>
      <c r="F209" s="427"/>
    </row>
    <row r="210" spans="4:6" ht="15.75" customHeight="1" x14ac:dyDescent="0.3">
      <c r="D210" s="427"/>
      <c r="F210" s="427"/>
    </row>
    <row r="211" spans="4:6" ht="15.75" customHeight="1" x14ac:dyDescent="0.3">
      <c r="D211" s="427"/>
      <c r="F211" s="427"/>
    </row>
    <row r="212" spans="4:6" ht="15.75" customHeight="1" x14ac:dyDescent="0.3">
      <c r="D212" s="427"/>
      <c r="F212" s="427"/>
    </row>
    <row r="213" spans="4:6" ht="15.75" customHeight="1" x14ac:dyDescent="0.3">
      <c r="D213" s="427"/>
      <c r="F213" s="427"/>
    </row>
    <row r="214" spans="4:6" ht="15.75" customHeight="1" x14ac:dyDescent="0.3">
      <c r="D214" s="427"/>
      <c r="F214" s="427"/>
    </row>
    <row r="215" spans="4:6" ht="15.75" customHeight="1" x14ac:dyDescent="0.3">
      <c r="D215" s="427"/>
      <c r="F215" s="427"/>
    </row>
    <row r="216" spans="4:6" ht="15.75" customHeight="1" x14ac:dyDescent="0.3">
      <c r="D216" s="427"/>
      <c r="F216" s="427"/>
    </row>
    <row r="217" spans="4:6" ht="15.75" customHeight="1" x14ac:dyDescent="0.3">
      <c r="D217" s="427"/>
      <c r="F217" s="427"/>
    </row>
    <row r="218" spans="4:6" ht="15.75" customHeight="1" x14ac:dyDescent="0.3">
      <c r="D218" s="427"/>
      <c r="F218" s="427"/>
    </row>
    <row r="219" spans="4:6" ht="15.75" customHeight="1" x14ac:dyDescent="0.3">
      <c r="D219" s="427"/>
      <c r="F219" s="427"/>
    </row>
    <row r="220" spans="4:6" ht="15.75" customHeight="1" x14ac:dyDescent="0.3">
      <c r="D220" s="427"/>
      <c r="F220" s="427"/>
    </row>
    <row r="221" spans="4:6" ht="15.75" customHeight="1" x14ac:dyDescent="0.3">
      <c r="D221" s="427"/>
      <c r="F221" s="427"/>
    </row>
    <row r="222" spans="4:6" ht="15.75" customHeight="1" x14ac:dyDescent="0.3">
      <c r="D222" s="427"/>
      <c r="F222" s="427"/>
    </row>
    <row r="223" spans="4:6" ht="15.75" customHeight="1" x14ac:dyDescent="0.3">
      <c r="D223" s="427"/>
      <c r="F223" s="427"/>
    </row>
    <row r="224" spans="4:6" ht="15.75" customHeight="1" x14ac:dyDescent="0.3">
      <c r="D224" s="427"/>
      <c r="F224" s="427"/>
    </row>
    <row r="225" spans="4:6" ht="15.75" customHeight="1" x14ac:dyDescent="0.3">
      <c r="D225" s="427"/>
      <c r="F225" s="427"/>
    </row>
    <row r="226" spans="4:6" ht="15.75" customHeight="1" x14ac:dyDescent="0.3">
      <c r="D226" s="427"/>
      <c r="F226" s="427"/>
    </row>
    <row r="227" spans="4:6" ht="15.75" customHeight="1" x14ac:dyDescent="0.3">
      <c r="D227" s="427"/>
      <c r="F227" s="427"/>
    </row>
    <row r="228" spans="4:6" ht="15.75" customHeight="1" x14ac:dyDescent="0.3">
      <c r="D228" s="427"/>
      <c r="F228" s="427"/>
    </row>
    <row r="229" spans="4:6" ht="15.75" customHeight="1" x14ac:dyDescent="0.3">
      <c r="D229" s="427"/>
      <c r="F229" s="427"/>
    </row>
    <row r="230" spans="4:6" ht="15.75" customHeight="1" x14ac:dyDescent="0.3">
      <c r="D230" s="427"/>
      <c r="F230" s="427"/>
    </row>
    <row r="231" spans="4:6" ht="15.75" customHeight="1" x14ac:dyDescent="0.3">
      <c r="D231" s="427"/>
      <c r="F231" s="427"/>
    </row>
    <row r="232" spans="4:6" ht="15.75" customHeight="1" x14ac:dyDescent="0.3">
      <c r="D232" s="427"/>
      <c r="F232" s="427"/>
    </row>
    <row r="233" spans="4:6" ht="15.75" customHeight="1" x14ac:dyDescent="0.3">
      <c r="D233" s="427"/>
      <c r="F233" s="427"/>
    </row>
    <row r="234" spans="4:6" ht="15.75" customHeight="1" x14ac:dyDescent="0.3">
      <c r="D234" s="427"/>
      <c r="F234" s="427"/>
    </row>
    <row r="235" spans="4:6" ht="15.75" customHeight="1" x14ac:dyDescent="0.3">
      <c r="D235" s="427"/>
      <c r="F235" s="427"/>
    </row>
    <row r="236" spans="4:6" ht="15.75" customHeight="1" x14ac:dyDescent="0.3">
      <c r="D236" s="427"/>
      <c r="F236" s="427"/>
    </row>
    <row r="237" spans="4:6" ht="15.75" customHeight="1" x14ac:dyDescent="0.3">
      <c r="D237" s="427"/>
      <c r="F237" s="427"/>
    </row>
    <row r="238" spans="4:6" ht="15.75" customHeight="1" x14ac:dyDescent="0.3">
      <c r="D238" s="427"/>
      <c r="F238" s="427"/>
    </row>
    <row r="239" spans="4:6" ht="15.75" customHeight="1" x14ac:dyDescent="0.3">
      <c r="D239" s="427"/>
      <c r="F239" s="427"/>
    </row>
    <row r="240" spans="4:6" ht="15.75" customHeight="1" x14ac:dyDescent="0.3">
      <c r="D240" s="427"/>
      <c r="F240" s="427"/>
    </row>
    <row r="241" spans="4:6" ht="15.75" customHeight="1" x14ac:dyDescent="0.3">
      <c r="D241" s="427"/>
      <c r="F241" s="427"/>
    </row>
    <row r="242" spans="4:6" ht="15.75" customHeight="1" x14ac:dyDescent="0.3">
      <c r="D242" s="427"/>
      <c r="F242" s="427"/>
    </row>
    <row r="243" spans="4:6" ht="15.75" customHeight="1" x14ac:dyDescent="0.3">
      <c r="D243" s="427"/>
      <c r="F243" s="427"/>
    </row>
    <row r="244" spans="4:6" ht="15.75" customHeight="1" x14ac:dyDescent="0.3">
      <c r="D244" s="427"/>
      <c r="F244" s="427"/>
    </row>
    <row r="245" spans="4:6" ht="15.75" customHeight="1" x14ac:dyDescent="0.3">
      <c r="D245" s="427"/>
      <c r="F245" s="427"/>
    </row>
    <row r="246" spans="4:6" ht="15.75" customHeight="1" x14ac:dyDescent="0.3"/>
    <row r="247" spans="4:6" ht="15.75" customHeight="1" x14ac:dyDescent="0.3"/>
    <row r="248" spans="4:6" ht="15.75" customHeight="1" x14ac:dyDescent="0.3"/>
    <row r="249" spans="4:6" ht="15.75" customHeight="1" x14ac:dyDescent="0.3"/>
    <row r="250" spans="4:6" ht="15.75" customHeight="1" x14ac:dyDescent="0.3"/>
    <row r="251" spans="4:6" ht="15.75" customHeight="1" x14ac:dyDescent="0.3"/>
    <row r="252" spans="4:6" ht="15.75" customHeight="1" x14ac:dyDescent="0.3"/>
    <row r="253" spans="4:6" ht="15.75" customHeight="1" x14ac:dyDescent="0.3"/>
    <row r="254" spans="4:6" ht="15.75" customHeight="1" x14ac:dyDescent="0.3"/>
    <row r="255" spans="4:6" ht="15.75" customHeight="1" x14ac:dyDescent="0.3"/>
    <row r="256" spans="4: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sheetData>
  <dataValidations count="1">
    <dataValidation type="list" allowBlank="1" showErrorMessage="1" sqref="B17 B27 B22" xr:uid="{1E2CAAD3-DAEC-4631-9E59-E1909FE6512A}">
      <formula1>$B$40:$B$45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1113-F825-4222-8FF0-1E566DE47C09}">
  <dimension ref="A1:AD905"/>
  <sheetViews>
    <sheetView zoomScale="80" workbookViewId="0">
      <selection activeCell="AE17" sqref="AE17"/>
    </sheetView>
  </sheetViews>
  <sheetFormatPr defaultColWidth="12.44140625" defaultRowHeight="15" customHeight="1" x14ac:dyDescent="0.3"/>
  <cols>
    <col min="1" max="1" width="2.6640625" style="1336" customWidth="1"/>
    <col min="2" max="2" width="5.109375" style="1336" customWidth="1"/>
    <col min="3" max="3" width="35.77734375" style="1336" customWidth="1"/>
    <col min="4" max="4" width="29.6640625" style="1336" customWidth="1"/>
    <col min="5" max="5" width="9.5546875" style="1336" customWidth="1"/>
    <col min="6" max="6" width="52.33203125" style="1336" customWidth="1"/>
    <col min="7" max="7" width="19.33203125" style="1336" customWidth="1"/>
    <col min="8" max="8" width="12.44140625" style="1336" hidden="1" customWidth="1"/>
    <col min="9" max="9" width="13.88671875" style="1336" customWidth="1"/>
    <col min="10" max="12" width="12.77734375" style="1336" hidden="1" customWidth="1"/>
    <col min="13" max="15" width="13" style="1336" hidden="1" customWidth="1"/>
    <col min="16" max="16" width="12.21875" style="1336" hidden="1" customWidth="1"/>
    <col min="17" max="17" width="14.88671875" style="1336" hidden="1" customWidth="1"/>
    <col min="18" max="21" width="12.77734375" style="1336" hidden="1" customWidth="1"/>
    <col min="22" max="22" width="11.5546875" style="1336" hidden="1" customWidth="1"/>
    <col min="23" max="23" width="13" style="1336" customWidth="1"/>
    <col min="24" max="24" width="13" style="1336" hidden="1" customWidth="1"/>
    <col min="25" max="26" width="11.5546875" style="1336" customWidth="1"/>
    <col min="27" max="30" width="11.6640625" style="1336" customWidth="1"/>
    <col min="31" max="16384" width="12.44140625" style="1336"/>
  </cols>
  <sheetData>
    <row r="1" spans="1:30" ht="23.25" customHeight="1" x14ac:dyDescent="0.35">
      <c r="A1" s="1334"/>
      <c r="B1" s="1335" t="s">
        <v>2393</v>
      </c>
    </row>
    <row r="2" spans="1:30" ht="13.5" customHeight="1" x14ac:dyDescent="0.3">
      <c r="A2" s="1334"/>
      <c r="B2" s="1337" t="s">
        <v>340</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row>
    <row r="3" spans="1:30" ht="15.75" customHeight="1" x14ac:dyDescent="0.3">
      <c r="B3" s="1339"/>
    </row>
    <row r="4" spans="1:30" ht="19.2" customHeight="1" x14ac:dyDescent="0.3">
      <c r="B4" s="1340" t="s">
        <v>1026</v>
      </c>
      <c r="C4" s="1341"/>
      <c r="D4" s="1341"/>
    </row>
    <row r="5" spans="1:30" ht="19.2" customHeight="1" x14ac:dyDescent="0.3">
      <c r="B5" s="1340" t="s">
        <v>341</v>
      </c>
      <c r="C5" s="1341"/>
      <c r="D5" s="1341"/>
    </row>
    <row r="6" spans="1:30" ht="15.75" customHeight="1" x14ac:dyDescent="0.3">
      <c r="B6" s="1339"/>
    </row>
    <row r="7" spans="1:30" ht="15.75" customHeight="1" x14ac:dyDescent="0.3">
      <c r="B7" s="1342" t="s">
        <v>342</v>
      </c>
    </row>
    <row r="8" spans="1:30" ht="9" customHeight="1" x14ac:dyDescent="0.3">
      <c r="B8" s="1343"/>
      <c r="G8" s="1344"/>
      <c r="H8" s="1344"/>
      <c r="I8" s="1344"/>
      <c r="J8" s="1344"/>
      <c r="K8" s="1344"/>
      <c r="L8" s="1344"/>
      <c r="Z8" s="1344"/>
    </row>
    <row r="9" spans="1:30" ht="15.75" customHeight="1" x14ac:dyDescent="0.3">
      <c r="B9" s="2029" t="s">
        <v>301</v>
      </c>
      <c r="C9" s="2030" t="s">
        <v>343</v>
      </c>
      <c r="D9" s="2030" t="s">
        <v>344</v>
      </c>
      <c r="E9" s="2030" t="s">
        <v>345</v>
      </c>
      <c r="F9" s="2030" t="s">
        <v>346</v>
      </c>
      <c r="G9" s="2031" t="s">
        <v>347</v>
      </c>
      <c r="H9" s="2032">
        <v>2025</v>
      </c>
      <c r="I9" s="2032">
        <v>2024</v>
      </c>
      <c r="J9" s="2033">
        <v>2023</v>
      </c>
      <c r="K9" s="2034">
        <v>2022</v>
      </c>
      <c r="L9" s="2032">
        <v>2021</v>
      </c>
      <c r="M9" s="2034">
        <v>2020</v>
      </c>
      <c r="N9" s="2032">
        <v>2019</v>
      </c>
      <c r="O9" s="2034">
        <v>2018</v>
      </c>
      <c r="P9" s="2032">
        <v>2017</v>
      </c>
      <c r="Q9" s="2034">
        <v>2016</v>
      </c>
      <c r="R9" s="2032">
        <v>2015</v>
      </c>
      <c r="S9" s="2034">
        <v>2014</v>
      </c>
      <c r="T9" s="2032">
        <v>2013</v>
      </c>
      <c r="U9" s="2034">
        <v>2012</v>
      </c>
      <c r="V9" s="2032">
        <v>2011</v>
      </c>
      <c r="W9" s="2034">
        <v>2010</v>
      </c>
      <c r="X9" s="2032">
        <v>2009</v>
      </c>
      <c r="Y9" s="2034">
        <v>2008</v>
      </c>
      <c r="Z9" s="2035" t="s">
        <v>332</v>
      </c>
    </row>
    <row r="10" spans="1:30" ht="24" customHeight="1" x14ac:dyDescent="0.3">
      <c r="A10" s="1352"/>
      <c r="B10" s="2036">
        <v>1</v>
      </c>
      <c r="C10" s="2037" t="s">
        <v>474</v>
      </c>
      <c r="D10" s="2038" t="s">
        <v>1222</v>
      </c>
      <c r="E10" s="2039" t="s">
        <v>350</v>
      </c>
      <c r="F10" s="2037" t="s">
        <v>2151</v>
      </c>
      <c r="G10" s="2040">
        <v>2010</v>
      </c>
      <c r="H10" s="1410"/>
      <c r="I10" s="2041">
        <v>0</v>
      </c>
      <c r="J10" s="2042">
        <v>6269.9</v>
      </c>
      <c r="K10" s="2043">
        <v>0</v>
      </c>
      <c r="L10" s="2044">
        <v>8510.9</v>
      </c>
      <c r="M10" s="2043">
        <v>60154.9</v>
      </c>
      <c r="N10" s="2045">
        <v>0</v>
      </c>
      <c r="O10" s="2046">
        <v>0</v>
      </c>
      <c r="P10" s="2045">
        <v>0</v>
      </c>
      <c r="Q10" s="2047">
        <v>4575</v>
      </c>
      <c r="R10" s="2048">
        <v>9968</v>
      </c>
      <c r="S10" s="2047">
        <v>6301</v>
      </c>
      <c r="T10" s="2048">
        <v>27502</v>
      </c>
      <c r="U10" s="2047">
        <v>26314</v>
      </c>
      <c r="V10" s="2049" t="s">
        <v>1226</v>
      </c>
      <c r="W10" s="4283">
        <v>152148</v>
      </c>
      <c r="X10" s="2048">
        <v>102700</v>
      </c>
      <c r="Y10" s="2050" t="s">
        <v>1226</v>
      </c>
      <c r="Z10" s="2051" t="s">
        <v>1226</v>
      </c>
      <c r="AA10" s="1352"/>
      <c r="AB10" s="1352"/>
      <c r="AC10" s="1352"/>
      <c r="AD10" s="1352"/>
    </row>
    <row r="11" spans="1:30" ht="24" customHeight="1" x14ac:dyDescent="0.3">
      <c r="A11" s="1352"/>
      <c r="B11" s="2036" t="s">
        <v>1227</v>
      </c>
      <c r="C11" s="2052" t="s">
        <v>474</v>
      </c>
      <c r="D11" s="2053" t="s">
        <v>902</v>
      </c>
      <c r="E11" s="2054" t="s">
        <v>350</v>
      </c>
      <c r="F11" s="2052" t="s">
        <v>2151</v>
      </c>
      <c r="G11" s="2054">
        <v>2010</v>
      </c>
      <c r="H11" s="1594"/>
      <c r="I11" s="2055">
        <v>49648</v>
      </c>
      <c r="J11" s="2056">
        <v>235496</v>
      </c>
      <c r="K11" s="2057">
        <v>138325</v>
      </c>
      <c r="L11" s="2058">
        <v>100652.8</v>
      </c>
      <c r="M11" s="2057">
        <v>61000</v>
      </c>
      <c r="N11" s="2058">
        <v>153500</v>
      </c>
      <c r="O11" s="2057">
        <v>73200</v>
      </c>
      <c r="P11" s="2058">
        <v>59098</v>
      </c>
      <c r="Q11" s="2057">
        <v>195976</v>
      </c>
      <c r="R11" s="2058">
        <v>103267</v>
      </c>
      <c r="S11" s="2057">
        <v>17000</v>
      </c>
      <c r="T11" s="2058">
        <v>86359</v>
      </c>
      <c r="U11" s="2057">
        <v>52154</v>
      </c>
      <c r="V11" s="2059" t="s">
        <v>1226</v>
      </c>
      <c r="W11" s="4284">
        <v>825960</v>
      </c>
      <c r="X11" s="2060">
        <v>557523</v>
      </c>
      <c r="Y11" s="2061"/>
      <c r="Z11" s="2062" t="s">
        <v>1226</v>
      </c>
      <c r="AA11" s="1352"/>
      <c r="AB11" s="1352"/>
      <c r="AC11" s="1352"/>
      <c r="AD11" s="1352"/>
    </row>
    <row r="12" spans="1:30" ht="24" customHeight="1" x14ac:dyDescent="0.3">
      <c r="A12" s="1352"/>
      <c r="B12" s="2036">
        <v>1</v>
      </c>
      <c r="C12" s="2037" t="s">
        <v>474</v>
      </c>
      <c r="D12" s="2038" t="s">
        <v>1228</v>
      </c>
      <c r="E12" s="2063" t="s">
        <v>363</v>
      </c>
      <c r="F12" s="2037" t="s">
        <v>2151</v>
      </c>
      <c r="G12" s="2064"/>
      <c r="H12" s="1410"/>
      <c r="I12" s="2065">
        <v>3691.37</v>
      </c>
      <c r="J12" s="2066">
        <v>2072.35</v>
      </c>
      <c r="K12" s="2043">
        <v>2675.8</v>
      </c>
      <c r="L12" s="2044">
        <v>2635.5</v>
      </c>
      <c r="M12" s="2043">
        <v>3121.2</v>
      </c>
      <c r="N12" s="2044">
        <v>2958.2</v>
      </c>
      <c r="O12" s="2043">
        <v>2440</v>
      </c>
      <c r="P12" s="2044">
        <v>4767</v>
      </c>
      <c r="Q12" s="2043">
        <v>4875</v>
      </c>
      <c r="R12" s="2044">
        <v>3854</v>
      </c>
      <c r="S12" s="2043">
        <v>3729</v>
      </c>
      <c r="T12" s="2044">
        <v>2998</v>
      </c>
      <c r="U12" s="2043">
        <v>2770</v>
      </c>
      <c r="V12" s="2049" t="s">
        <v>1226</v>
      </c>
      <c r="W12" s="2067" t="s">
        <v>1226</v>
      </c>
      <c r="X12" s="2068" t="s">
        <v>1226</v>
      </c>
      <c r="Y12" s="2067" t="s">
        <v>1226</v>
      </c>
      <c r="Z12" s="2069" t="s">
        <v>1226</v>
      </c>
      <c r="AA12" s="1352"/>
      <c r="AB12" s="1352"/>
      <c r="AC12" s="1352"/>
      <c r="AD12" s="1352"/>
    </row>
    <row r="13" spans="1:30" ht="24" customHeight="1" x14ac:dyDescent="0.3">
      <c r="A13" s="1352"/>
      <c r="B13" s="2036"/>
      <c r="C13" s="2037" t="s">
        <v>374</v>
      </c>
      <c r="D13" s="2038" t="s">
        <v>1228</v>
      </c>
      <c r="E13" s="2063" t="s">
        <v>846</v>
      </c>
      <c r="F13" s="2037"/>
      <c r="G13" s="2064"/>
      <c r="H13" s="1410"/>
      <c r="I13" s="2041">
        <f>I12*1000</f>
        <v>3691370</v>
      </c>
      <c r="J13" s="2070">
        <f>J12*1000</f>
        <v>2072350</v>
      </c>
      <c r="K13" s="2043"/>
      <c r="L13" s="2044"/>
      <c r="M13" s="2043"/>
      <c r="N13" s="2044"/>
      <c r="O13" s="2043"/>
      <c r="P13" s="2044"/>
      <c r="Q13" s="2043"/>
      <c r="R13" s="2044"/>
      <c r="S13" s="2043"/>
      <c r="T13" s="2044"/>
      <c r="U13" s="2043"/>
      <c r="V13" s="2049"/>
      <c r="W13" s="2067"/>
      <c r="X13" s="2068"/>
      <c r="Y13" s="2067"/>
      <c r="Z13" s="2069"/>
      <c r="AA13" s="1352"/>
      <c r="AB13" s="1352"/>
      <c r="AC13" s="1352"/>
      <c r="AD13" s="1352"/>
    </row>
    <row r="14" spans="1:30" ht="24" customHeight="1" x14ac:dyDescent="0.3">
      <c r="A14" s="1352"/>
      <c r="B14" s="2036">
        <v>1</v>
      </c>
      <c r="C14" s="2052" t="s">
        <v>374</v>
      </c>
      <c r="D14" s="2053" t="s">
        <v>1229</v>
      </c>
      <c r="E14" s="2054" t="s">
        <v>350</v>
      </c>
      <c r="F14" s="2052" t="s">
        <v>1230</v>
      </c>
      <c r="G14" s="2054"/>
      <c r="H14" s="1594"/>
      <c r="I14" s="2071">
        <f>I59</f>
        <v>1913107.848340143</v>
      </c>
      <c r="J14" s="2056">
        <f>J59</f>
        <v>1015028.5714285714</v>
      </c>
      <c r="K14" s="2057">
        <v>1311910.1000000001</v>
      </c>
      <c r="L14" s="2058">
        <v>1292175.7</v>
      </c>
      <c r="M14" s="2057">
        <v>1530293</v>
      </c>
      <c r="N14" s="2060">
        <v>1450384.5</v>
      </c>
      <c r="O14" s="2072">
        <v>1196322.8</v>
      </c>
      <c r="P14" s="2060">
        <v>2337242.1</v>
      </c>
      <c r="Q14" s="2072">
        <v>2390420.7999999998</v>
      </c>
      <c r="R14" s="2060">
        <v>1889384.7</v>
      </c>
      <c r="S14" s="2072">
        <v>1828557.3</v>
      </c>
      <c r="T14" s="2060">
        <v>1470037.4</v>
      </c>
      <c r="U14" s="2072">
        <v>1358111.5</v>
      </c>
      <c r="V14" s="2059" t="s">
        <v>1226</v>
      </c>
      <c r="W14" s="2061"/>
      <c r="X14" s="2073" t="s">
        <v>1226</v>
      </c>
      <c r="Y14" s="2061"/>
      <c r="Z14" s="2062" t="s">
        <v>1226</v>
      </c>
      <c r="AA14" s="1352"/>
      <c r="AB14" s="1352"/>
      <c r="AC14" s="1352"/>
      <c r="AD14" s="1352"/>
    </row>
    <row r="15" spans="1:30" ht="24" customHeight="1" x14ac:dyDescent="0.3">
      <c r="A15" s="1352"/>
      <c r="B15" s="2036">
        <v>1</v>
      </c>
      <c r="C15" s="2037" t="s">
        <v>474</v>
      </c>
      <c r="D15" s="2038" t="s">
        <v>1231</v>
      </c>
      <c r="E15" s="2063" t="s">
        <v>350</v>
      </c>
      <c r="F15" s="2037" t="s">
        <v>2151</v>
      </c>
      <c r="G15" s="2064"/>
      <c r="H15" s="1410"/>
      <c r="I15" s="2041">
        <v>82923.100000000006</v>
      </c>
      <c r="J15" s="2070">
        <f>J46</f>
        <v>57383.3</v>
      </c>
      <c r="K15" s="2074">
        <v>126269</v>
      </c>
      <c r="L15" s="2075">
        <v>143185</v>
      </c>
      <c r="M15" s="2047">
        <v>66099</v>
      </c>
      <c r="N15" s="2048">
        <v>50736</v>
      </c>
      <c r="O15" s="2047">
        <v>66120</v>
      </c>
      <c r="P15" s="2048">
        <v>85952</v>
      </c>
      <c r="Q15" s="2047">
        <v>62985</v>
      </c>
      <c r="R15" s="2048">
        <v>25927</v>
      </c>
      <c r="S15" s="2047">
        <v>38407</v>
      </c>
      <c r="T15" s="2048">
        <v>32907</v>
      </c>
      <c r="U15" s="2047">
        <v>16289</v>
      </c>
      <c r="V15" s="2048">
        <v>16289</v>
      </c>
      <c r="W15" s="2076" t="s">
        <v>1226</v>
      </c>
      <c r="X15" s="2068" t="s">
        <v>1226</v>
      </c>
      <c r="Y15" s="2067" t="s">
        <v>1226</v>
      </c>
      <c r="Z15" s="2069" t="s">
        <v>1226</v>
      </c>
      <c r="AA15" s="1352"/>
      <c r="AB15" s="1352"/>
      <c r="AC15" s="1352"/>
      <c r="AD15" s="1352"/>
    </row>
    <row r="16" spans="1:30" ht="24" customHeight="1" x14ac:dyDescent="0.3">
      <c r="A16" s="1352"/>
      <c r="B16" s="2036" t="s">
        <v>1226</v>
      </c>
      <c r="C16" s="2052" t="s">
        <v>374</v>
      </c>
      <c r="D16" s="2053" t="s">
        <v>1232</v>
      </c>
      <c r="E16" s="2054" t="s">
        <v>378</v>
      </c>
      <c r="F16" s="2052" t="s">
        <v>1226</v>
      </c>
      <c r="G16" s="2054"/>
      <c r="H16" s="1594"/>
      <c r="I16" s="2077">
        <f>I57</f>
        <v>74917303.340999991</v>
      </c>
      <c r="J16" s="2056">
        <f>J57</f>
        <v>50713755.689999998</v>
      </c>
      <c r="K16" s="2072">
        <v>59987075.390000001</v>
      </c>
      <c r="L16" s="2060">
        <v>58494844.5</v>
      </c>
      <c r="M16" s="2072">
        <v>66303960.600000001</v>
      </c>
      <c r="N16" s="2060">
        <v>64092244.200000003</v>
      </c>
      <c r="O16" s="2072">
        <v>51387997</v>
      </c>
      <c r="P16" s="2060">
        <v>96016123</v>
      </c>
      <c r="Q16" s="2072">
        <v>103053591</v>
      </c>
      <c r="R16" s="2060">
        <v>79072229</v>
      </c>
      <c r="S16" s="2072">
        <v>73486683</v>
      </c>
      <c r="T16" s="2060">
        <v>62840206</v>
      </c>
      <c r="U16" s="2057">
        <v>56651340</v>
      </c>
      <c r="V16" s="2073" t="s">
        <v>1226</v>
      </c>
      <c r="W16" s="2072">
        <v>38202292</v>
      </c>
      <c r="X16" s="2060">
        <v>25786551</v>
      </c>
      <c r="Y16" s="2061"/>
      <c r="Z16" s="2062" t="s">
        <v>1226</v>
      </c>
      <c r="AA16" s="1352"/>
      <c r="AB16" s="1352"/>
      <c r="AC16" s="1352"/>
      <c r="AD16" s="1352"/>
    </row>
    <row r="17" spans="1:30" ht="24" customHeight="1" x14ac:dyDescent="0.3">
      <c r="A17" s="1352"/>
      <c r="B17" s="2036" t="s">
        <v>1226</v>
      </c>
      <c r="C17" s="2037" t="s">
        <v>474</v>
      </c>
      <c r="D17" s="2038" t="s">
        <v>1065</v>
      </c>
      <c r="E17" s="2063" t="s">
        <v>453</v>
      </c>
      <c r="F17" s="2037" t="s">
        <v>1226</v>
      </c>
      <c r="G17" s="2064"/>
      <c r="H17" s="1410"/>
      <c r="I17" s="2078">
        <f>I16/$U$16</f>
        <v>1.3224277367666852</v>
      </c>
      <c r="J17" s="2078">
        <f>J16/$U$16</f>
        <v>0.89519075259296599</v>
      </c>
      <c r="K17" s="2079">
        <v>1.0589999999999999</v>
      </c>
      <c r="L17" s="2080">
        <v>1.0329999999999999</v>
      </c>
      <c r="M17" s="2079">
        <v>1.17</v>
      </c>
      <c r="N17" s="2080">
        <v>1.131</v>
      </c>
      <c r="O17" s="2079">
        <v>0.90700000000000003</v>
      </c>
      <c r="P17" s="2080">
        <v>1.6950000000000001</v>
      </c>
      <c r="Q17" s="2079">
        <v>1.819</v>
      </c>
      <c r="R17" s="2080">
        <v>1.3959999999999999</v>
      </c>
      <c r="S17" s="2079">
        <v>1.2969999999999999</v>
      </c>
      <c r="T17" s="2080">
        <v>1.109</v>
      </c>
      <c r="U17" s="2079">
        <v>1</v>
      </c>
      <c r="V17" s="2049" t="s">
        <v>1226</v>
      </c>
      <c r="W17" s="2067" t="s">
        <v>1226</v>
      </c>
      <c r="X17" s="2068" t="s">
        <v>1226</v>
      </c>
      <c r="Y17" s="2067" t="s">
        <v>1226</v>
      </c>
      <c r="Z17" s="2069" t="s">
        <v>1226</v>
      </c>
      <c r="AA17" s="1352"/>
      <c r="AB17" s="1352"/>
      <c r="AC17" s="1352"/>
      <c r="AD17" s="1352"/>
    </row>
    <row r="18" spans="1:30" ht="24" customHeight="1" x14ac:dyDescent="0.3">
      <c r="A18" s="1352"/>
      <c r="B18" s="2036" t="s">
        <v>1226</v>
      </c>
      <c r="C18" s="2052" t="s">
        <v>474</v>
      </c>
      <c r="D18" s="2053" t="s">
        <v>1233</v>
      </c>
      <c r="E18" s="2054" t="s">
        <v>1234</v>
      </c>
      <c r="F18" s="2052" t="s">
        <v>1235</v>
      </c>
      <c r="G18" s="2054"/>
      <c r="H18" s="1594"/>
      <c r="I18" s="2077">
        <f>J18</f>
        <v>230000</v>
      </c>
      <c r="J18" s="2081">
        <v>230000</v>
      </c>
      <c r="K18" s="2072">
        <v>230000</v>
      </c>
      <c r="L18" s="2060">
        <v>230000</v>
      </c>
      <c r="M18" s="2072">
        <v>210000</v>
      </c>
      <c r="N18" s="2060">
        <v>210000</v>
      </c>
      <c r="O18" s="2082" t="s">
        <v>1226</v>
      </c>
      <c r="P18" s="2073" t="s">
        <v>1226</v>
      </c>
      <c r="Q18" s="2072">
        <v>374855</v>
      </c>
      <c r="R18" s="2073" t="s">
        <v>1226</v>
      </c>
      <c r="S18" s="2082" t="s">
        <v>1226</v>
      </c>
      <c r="T18" s="2073" t="s">
        <v>1226</v>
      </c>
      <c r="U18" s="2072">
        <v>200000</v>
      </c>
      <c r="V18" s="2059" t="s">
        <v>1226</v>
      </c>
      <c r="W18" s="2061" t="s">
        <v>1226</v>
      </c>
      <c r="X18" s="2060">
        <v>135000</v>
      </c>
      <c r="Y18" s="2061" t="s">
        <v>1226</v>
      </c>
      <c r="Z18" s="2062" t="s">
        <v>1226</v>
      </c>
      <c r="AA18" s="1352"/>
      <c r="AB18" s="1352"/>
      <c r="AC18" s="1352"/>
      <c r="AD18" s="1352"/>
    </row>
    <row r="19" spans="1:30" ht="23.4" customHeight="1" x14ac:dyDescent="0.3">
      <c r="A19" s="1352"/>
      <c r="B19" s="2036" t="s">
        <v>1226</v>
      </c>
      <c r="C19" s="2037" t="s">
        <v>474</v>
      </c>
      <c r="D19" s="2038" t="s">
        <v>352</v>
      </c>
      <c r="E19" s="2063" t="s">
        <v>904</v>
      </c>
      <c r="F19" s="2037" t="s">
        <v>1226</v>
      </c>
      <c r="G19" s="2064"/>
      <c r="H19" s="1410"/>
      <c r="I19" s="1410"/>
      <c r="J19" s="2083"/>
      <c r="K19" s="2043" t="s">
        <v>1226</v>
      </c>
      <c r="L19" s="2049" t="s">
        <v>1226</v>
      </c>
      <c r="M19" s="2067" t="s">
        <v>1226</v>
      </c>
      <c r="N19" s="2068" t="s">
        <v>1226</v>
      </c>
      <c r="O19" s="2047">
        <v>1201049</v>
      </c>
      <c r="P19" s="2048">
        <v>1065229</v>
      </c>
      <c r="Q19" s="2076" t="s">
        <v>1226</v>
      </c>
      <c r="R19" s="2068" t="s">
        <v>1226</v>
      </c>
      <c r="S19" s="2076" t="s">
        <v>1226</v>
      </c>
      <c r="T19" s="2068" t="s">
        <v>1226</v>
      </c>
      <c r="U19" s="2076" t="s">
        <v>1226</v>
      </c>
      <c r="V19" s="2049" t="s">
        <v>1226</v>
      </c>
      <c r="W19" s="2067" t="s">
        <v>1226</v>
      </c>
      <c r="X19" s="2068" t="s">
        <v>1226</v>
      </c>
      <c r="Y19" s="2067" t="s">
        <v>1226</v>
      </c>
      <c r="Z19" s="2069" t="s">
        <v>1226</v>
      </c>
      <c r="AA19" s="1352"/>
      <c r="AB19" s="1352"/>
      <c r="AC19" s="1352"/>
      <c r="AD19" s="1352"/>
    </row>
    <row r="20" spans="1:30" ht="25.95" customHeight="1" x14ac:dyDescent="0.3">
      <c r="A20" s="1352"/>
      <c r="B20" s="2084" t="s">
        <v>355</v>
      </c>
      <c r="C20" s="2085" t="s">
        <v>356</v>
      </c>
      <c r="D20" s="1352"/>
      <c r="E20" s="2086"/>
      <c r="F20" s="2086"/>
      <c r="G20" s="2087"/>
      <c r="H20" s="2088"/>
      <c r="I20" s="1419"/>
      <c r="J20" s="2089"/>
      <c r="K20" s="2090"/>
      <c r="L20" s="2091"/>
      <c r="M20" s="2092"/>
      <c r="N20" s="2093"/>
      <c r="O20" s="2092"/>
      <c r="P20" s="2093"/>
      <c r="Q20" s="2092"/>
      <c r="R20" s="2093"/>
      <c r="S20" s="2092"/>
      <c r="T20" s="2093"/>
      <c r="U20" s="2092"/>
      <c r="V20" s="2093"/>
      <c r="W20" s="2092"/>
      <c r="X20" s="2093"/>
      <c r="Y20" s="2092"/>
      <c r="Z20" s="2094"/>
      <c r="AA20" s="1352"/>
      <c r="AB20" s="1352"/>
      <c r="AC20" s="1352"/>
      <c r="AD20" s="1352"/>
    </row>
    <row r="21" spans="1:30" ht="15.75" customHeight="1" x14ac:dyDescent="0.3">
      <c r="A21" s="1352"/>
      <c r="B21" s="1418"/>
      <c r="C21" s="1352"/>
      <c r="D21" s="2095"/>
      <c r="E21" s="1352"/>
      <c r="F21" s="1352"/>
      <c r="G21" s="1419"/>
      <c r="H21" s="1419"/>
      <c r="I21" s="2386"/>
      <c r="J21" s="1419"/>
      <c r="K21" s="1419"/>
      <c r="L21" s="1419"/>
      <c r="M21" s="1420"/>
      <c r="N21" s="1420"/>
      <c r="O21" s="1420"/>
      <c r="P21" s="1420"/>
      <c r="Q21" s="1420"/>
      <c r="R21" s="1420"/>
      <c r="S21" s="1420"/>
      <c r="T21" s="1420"/>
      <c r="U21" s="1420"/>
      <c r="V21" s="1420"/>
      <c r="W21" s="1420"/>
      <c r="X21" s="1420"/>
      <c r="Y21" s="1420"/>
      <c r="Z21" s="1420"/>
      <c r="AA21" s="1352"/>
      <c r="AB21" s="1352"/>
      <c r="AC21" s="1352"/>
      <c r="AD21" s="1352"/>
    </row>
    <row r="22" spans="1:30" ht="15.75" customHeight="1" x14ac:dyDescent="0.3">
      <c r="A22" s="1352"/>
      <c r="B22" s="4402" t="s">
        <v>357</v>
      </c>
      <c r="C22" s="4403"/>
      <c r="D22" s="1352"/>
      <c r="E22" s="1352"/>
      <c r="F22" s="1352"/>
      <c r="G22" s="1419"/>
      <c r="H22" s="1419"/>
      <c r="I22" s="1419"/>
      <c r="J22" s="1419"/>
      <c r="K22" s="1419"/>
      <c r="L22" s="1419"/>
      <c r="M22" s="1420"/>
      <c r="N22" s="1420"/>
      <c r="O22" s="1420"/>
      <c r="P22" s="1420"/>
      <c r="Q22" s="1420"/>
      <c r="R22" s="1420"/>
      <c r="S22" s="1420"/>
      <c r="T22" s="1420"/>
      <c r="U22" s="1420"/>
      <c r="V22" s="1420"/>
      <c r="W22" s="1420"/>
      <c r="X22" s="1420"/>
      <c r="Y22" s="1420"/>
      <c r="Z22" s="1420"/>
      <c r="AA22" s="1352"/>
      <c r="AB22" s="1352"/>
      <c r="AC22" s="1352"/>
      <c r="AD22" s="1352"/>
    </row>
    <row r="23" spans="1:30" ht="15.75" customHeight="1" x14ac:dyDescent="0.3">
      <c r="A23" s="1352"/>
      <c r="B23" s="1425" t="s">
        <v>546</v>
      </c>
      <c r="C23" s="2053" t="s">
        <v>1236</v>
      </c>
      <c r="D23" s="1352"/>
      <c r="E23" s="1352"/>
      <c r="F23" s="1352"/>
      <c r="G23" s="1419"/>
      <c r="H23" s="1419"/>
      <c r="I23" s="1419"/>
      <c r="J23" s="1419"/>
      <c r="K23" s="1419"/>
      <c r="L23" s="1419"/>
      <c r="M23" s="1420"/>
      <c r="N23" s="1420"/>
      <c r="O23" s="1420"/>
      <c r="P23" s="1420"/>
      <c r="Q23" s="1420"/>
      <c r="R23" s="1420"/>
      <c r="S23" s="1420"/>
      <c r="T23" s="1420"/>
      <c r="U23" s="1420"/>
      <c r="V23" s="1420"/>
      <c r="W23" s="1420"/>
      <c r="X23" s="1420"/>
      <c r="Y23" s="1420"/>
      <c r="Z23" s="1420"/>
      <c r="AA23" s="1352"/>
      <c r="AB23" s="1352"/>
      <c r="AC23" s="1352"/>
      <c r="AD23" s="1352"/>
    </row>
    <row r="24" spans="1:30" ht="15.75" customHeight="1" x14ac:dyDescent="0.3">
      <c r="A24" s="1352"/>
      <c r="B24" s="1425" t="s">
        <v>301</v>
      </c>
      <c r="C24" s="1352"/>
      <c r="D24" s="1352"/>
      <c r="E24" s="1352"/>
      <c r="F24" s="1352"/>
      <c r="G24" s="1419"/>
      <c r="H24" s="1419"/>
      <c r="I24" s="1419"/>
      <c r="J24" s="1419"/>
      <c r="K24" s="1419"/>
      <c r="L24" s="1419"/>
      <c r="M24" s="1420"/>
      <c r="N24" s="1420"/>
      <c r="O24" s="1420"/>
      <c r="P24" s="1420"/>
      <c r="Q24" s="1420"/>
      <c r="R24" s="1420"/>
      <c r="S24" s="1420"/>
      <c r="T24" s="1420"/>
      <c r="U24" s="1420"/>
      <c r="V24" s="1420"/>
      <c r="W24" s="1420"/>
      <c r="X24" s="1420"/>
      <c r="Y24" s="1420"/>
      <c r="Z24" s="1420"/>
      <c r="AA24" s="1352"/>
      <c r="AB24" s="1352"/>
      <c r="AC24" s="1352"/>
      <c r="AD24" s="1352"/>
    </row>
    <row r="25" spans="1:30" ht="15.75" customHeight="1" x14ac:dyDescent="0.3"/>
    <row r="26" spans="1:30" ht="15.75" customHeight="1" x14ac:dyDescent="0.3"/>
    <row r="27" spans="1:30" ht="21" customHeight="1" x14ac:dyDescent="0.3">
      <c r="B27" s="1342" t="s">
        <v>409</v>
      </c>
    </row>
    <row r="28" spans="1:30" ht="9" customHeight="1" x14ac:dyDescent="0.3">
      <c r="B28" s="1342"/>
    </row>
    <row r="29" spans="1:30" ht="21" customHeight="1" x14ac:dyDescent="0.3">
      <c r="B29" s="1340" t="s">
        <v>410</v>
      </c>
      <c r="C29" s="1341"/>
      <c r="D29" s="1341"/>
    </row>
    <row r="30" spans="1:30" ht="12" customHeight="1" x14ac:dyDescent="0.3"/>
    <row r="31" spans="1:30" ht="15.75" customHeight="1" x14ac:dyDescent="0.3">
      <c r="B31" s="1345" t="s">
        <v>301</v>
      </c>
      <c r="C31" s="2096" t="s">
        <v>343</v>
      </c>
      <c r="D31" s="2097" t="s">
        <v>344</v>
      </c>
      <c r="E31" s="2098" t="s">
        <v>345</v>
      </c>
      <c r="F31" s="2098" t="s">
        <v>346</v>
      </c>
      <c r="G31" s="1348" t="s">
        <v>347</v>
      </c>
      <c r="H31" s="1349">
        <v>2025</v>
      </c>
      <c r="I31" s="1349">
        <v>2024</v>
      </c>
      <c r="J31" s="1349">
        <v>2023</v>
      </c>
      <c r="K31" s="2099">
        <v>2022</v>
      </c>
      <c r="L31" s="2099">
        <v>2021</v>
      </c>
      <c r="M31" s="2099">
        <v>2020</v>
      </c>
      <c r="N31" s="2099">
        <v>2019</v>
      </c>
      <c r="O31" s="2100">
        <v>2018</v>
      </c>
      <c r="P31" s="2100">
        <v>2017</v>
      </c>
      <c r="Q31" s="2100">
        <v>2016</v>
      </c>
      <c r="R31" s="2100">
        <v>2015</v>
      </c>
      <c r="S31" s="2100">
        <v>2014</v>
      </c>
      <c r="T31" s="2100">
        <v>2013</v>
      </c>
      <c r="U31" s="2100">
        <v>2012</v>
      </c>
      <c r="V31" s="2100">
        <v>2011</v>
      </c>
      <c r="W31" s="2100">
        <v>2010</v>
      </c>
      <c r="X31" s="2100">
        <v>2009</v>
      </c>
      <c r="Y31" s="2100">
        <v>2008</v>
      </c>
      <c r="Z31" s="2098" t="s">
        <v>332</v>
      </c>
    </row>
    <row r="32" spans="1:30" s="1904" customFormat="1" ht="24" customHeight="1" x14ac:dyDescent="0.3">
      <c r="B32" s="1366">
        <v>1</v>
      </c>
      <c r="C32" s="2101" t="s">
        <v>474</v>
      </c>
      <c r="D32" s="2102" t="s">
        <v>1237</v>
      </c>
      <c r="E32" s="2102" t="s">
        <v>363</v>
      </c>
      <c r="F32" s="2102" t="s">
        <v>1238</v>
      </c>
      <c r="G32" s="2103">
        <v>2010</v>
      </c>
      <c r="H32" s="1431"/>
      <c r="I32" s="1913">
        <f>I12</f>
        <v>3691.37</v>
      </c>
      <c r="J32" s="2104">
        <f>J12</f>
        <v>2072.35</v>
      </c>
      <c r="K32" s="2105">
        <v>2675.75</v>
      </c>
      <c r="L32" s="2105">
        <v>2635.5</v>
      </c>
      <c r="M32" s="2105">
        <v>3121.16</v>
      </c>
      <c r="N32" s="2105">
        <v>2958.18</v>
      </c>
      <c r="O32" s="2105">
        <v>2440</v>
      </c>
      <c r="P32" s="2105">
        <v>4767</v>
      </c>
      <c r="Q32" s="2105">
        <v>4875.46</v>
      </c>
      <c r="R32" s="2105">
        <v>3853.56</v>
      </c>
      <c r="S32" s="2105">
        <v>3729.5</v>
      </c>
      <c r="T32" s="2105">
        <v>2998.26</v>
      </c>
      <c r="U32" s="2106">
        <v>2769.98</v>
      </c>
      <c r="V32" s="2107" t="s">
        <v>1226</v>
      </c>
      <c r="W32" s="2108" t="s">
        <v>1226</v>
      </c>
      <c r="X32" s="2107" t="s">
        <v>1226</v>
      </c>
      <c r="Y32" s="2108" t="s">
        <v>1226</v>
      </c>
      <c r="Z32" s="2107" t="s">
        <v>1226</v>
      </c>
    </row>
    <row r="33" spans="2:26" ht="24" customHeight="1" x14ac:dyDescent="0.3">
      <c r="B33" s="1366">
        <v>2</v>
      </c>
      <c r="C33" s="2109" t="s">
        <v>1226</v>
      </c>
      <c r="D33" s="2110" t="s">
        <v>1226</v>
      </c>
      <c r="E33" s="2110" t="s">
        <v>1226</v>
      </c>
      <c r="F33" s="2110" t="s">
        <v>1226</v>
      </c>
      <c r="G33" s="1419"/>
      <c r="H33" s="1438"/>
      <c r="I33" s="1438"/>
      <c r="J33" s="2111"/>
      <c r="K33" s="2112" t="s">
        <v>1226</v>
      </c>
      <c r="L33" s="2113" t="s">
        <v>1226</v>
      </c>
      <c r="M33" s="2113" t="s">
        <v>1226</v>
      </c>
      <c r="N33" s="2113" t="s">
        <v>1226</v>
      </c>
      <c r="O33" s="2113" t="s">
        <v>1226</v>
      </c>
      <c r="P33" s="2113" t="s">
        <v>1226</v>
      </c>
      <c r="Q33" s="2113" t="s">
        <v>1226</v>
      </c>
      <c r="R33" s="2113" t="s">
        <v>1226</v>
      </c>
      <c r="S33" s="2113" t="s">
        <v>1226</v>
      </c>
      <c r="T33" s="2113" t="s">
        <v>1226</v>
      </c>
      <c r="U33" s="1973"/>
      <c r="V33" s="2112" t="s">
        <v>1226</v>
      </c>
      <c r="W33" s="1973"/>
      <c r="X33" s="2112" t="s">
        <v>1226</v>
      </c>
      <c r="Y33" s="1973"/>
      <c r="Z33" s="2112" t="s">
        <v>1226</v>
      </c>
    </row>
    <row r="34" spans="2:26" ht="24" customHeight="1" x14ac:dyDescent="0.3">
      <c r="B34" s="1366"/>
      <c r="C34" s="2114" t="s">
        <v>1226</v>
      </c>
      <c r="D34" s="2115" t="s">
        <v>1226</v>
      </c>
      <c r="E34" s="2115" t="s">
        <v>1226</v>
      </c>
      <c r="F34" s="2115" t="s">
        <v>1226</v>
      </c>
      <c r="G34" s="2116"/>
      <c r="H34" s="1444"/>
      <c r="I34" s="1444"/>
      <c r="J34" s="1967"/>
      <c r="K34" s="2117" t="s">
        <v>1226</v>
      </c>
      <c r="L34" s="2118" t="s">
        <v>1226</v>
      </c>
      <c r="M34" s="2118" t="s">
        <v>1226</v>
      </c>
      <c r="N34" s="2118" t="s">
        <v>1226</v>
      </c>
      <c r="O34" s="2118" t="s">
        <v>1226</v>
      </c>
      <c r="P34" s="2118" t="s">
        <v>1226</v>
      </c>
      <c r="Q34" s="2118" t="s">
        <v>1226</v>
      </c>
      <c r="R34" s="2118" t="s">
        <v>1226</v>
      </c>
      <c r="S34" s="2118" t="s">
        <v>1226</v>
      </c>
      <c r="T34" s="2118" t="s">
        <v>1226</v>
      </c>
      <c r="U34" s="2119" t="s">
        <v>1226</v>
      </c>
      <c r="V34" s="2117" t="s">
        <v>1226</v>
      </c>
      <c r="W34" s="2119" t="s">
        <v>1226</v>
      </c>
      <c r="X34" s="2117" t="s">
        <v>1226</v>
      </c>
      <c r="Y34" s="2119" t="s">
        <v>1226</v>
      </c>
      <c r="Z34" s="2117" t="s">
        <v>1226</v>
      </c>
    </row>
    <row r="35" spans="2:26" ht="24" customHeight="1" x14ac:dyDescent="0.3">
      <c r="B35" s="2120"/>
      <c r="C35" s="2121" t="s">
        <v>1226</v>
      </c>
      <c r="D35" s="2122" t="s">
        <v>1226</v>
      </c>
      <c r="E35" s="2122" t="s">
        <v>1226</v>
      </c>
      <c r="F35" s="2122" t="s">
        <v>1226</v>
      </c>
      <c r="G35" s="2088"/>
      <c r="H35" s="2123"/>
      <c r="I35" s="2123"/>
      <c r="J35" s="2124"/>
      <c r="K35" s="2125" t="s">
        <v>1226</v>
      </c>
      <c r="L35" s="2126" t="s">
        <v>1226</v>
      </c>
      <c r="M35" s="2126" t="s">
        <v>1226</v>
      </c>
      <c r="N35" s="2126" t="s">
        <v>1226</v>
      </c>
      <c r="O35" s="2126" t="s">
        <v>1226</v>
      </c>
      <c r="P35" s="2126" t="s">
        <v>1226</v>
      </c>
      <c r="Q35" s="2126" t="s">
        <v>1226</v>
      </c>
      <c r="R35" s="2126" t="s">
        <v>1226</v>
      </c>
      <c r="S35" s="2126" t="s">
        <v>1226</v>
      </c>
      <c r="T35" s="2126" t="s">
        <v>1226</v>
      </c>
      <c r="U35" s="2127" t="s">
        <v>1226</v>
      </c>
      <c r="V35" s="2125" t="s">
        <v>1226</v>
      </c>
      <c r="W35" s="2127" t="s">
        <v>1226</v>
      </c>
      <c r="X35" s="2125" t="s">
        <v>1226</v>
      </c>
      <c r="Y35" s="2127" t="s">
        <v>1226</v>
      </c>
      <c r="Z35" s="2125" t="s">
        <v>1226</v>
      </c>
    </row>
    <row r="36" spans="2:26" ht="15.75" customHeight="1" x14ac:dyDescent="0.3"/>
    <row r="37" spans="2:26" ht="15.75" customHeight="1" x14ac:dyDescent="0.3">
      <c r="B37" s="1421" t="s">
        <v>355</v>
      </c>
      <c r="C37" s="1422" t="s">
        <v>356</v>
      </c>
    </row>
    <row r="38" spans="2:26" ht="15.75" customHeight="1" x14ac:dyDescent="0.3"/>
    <row r="39" spans="2:26" ht="15.75" customHeight="1" x14ac:dyDescent="0.3">
      <c r="B39" s="4402" t="s">
        <v>357</v>
      </c>
      <c r="C39" s="4403"/>
    </row>
    <row r="40" spans="2:26" ht="15.75" customHeight="1" x14ac:dyDescent="0.3">
      <c r="B40" s="1425" t="s">
        <v>301</v>
      </c>
    </row>
    <row r="41" spans="2:26" ht="15.75" customHeight="1" x14ac:dyDescent="0.3">
      <c r="B41" s="1425" t="s">
        <v>301</v>
      </c>
    </row>
    <row r="42" spans="2:26" ht="15.75" customHeight="1" x14ac:dyDescent="0.3"/>
    <row r="43" spans="2:26" ht="15.75" customHeight="1" x14ac:dyDescent="0.3"/>
    <row r="44" spans="2:26" ht="15.75" customHeight="1" x14ac:dyDescent="0.3"/>
    <row r="45" spans="2:26" ht="15.75" customHeight="1" x14ac:dyDescent="0.3">
      <c r="F45" s="2128"/>
      <c r="G45" s="2129" t="s">
        <v>1239</v>
      </c>
      <c r="I45" s="2130">
        <v>2024</v>
      </c>
      <c r="J45" s="2130">
        <v>2023</v>
      </c>
      <c r="K45" s="2130">
        <v>2022</v>
      </c>
      <c r="L45" s="2130">
        <v>2021</v>
      </c>
      <c r="M45" s="2130">
        <v>2020</v>
      </c>
      <c r="N45" s="2130">
        <v>2019</v>
      </c>
      <c r="O45" s="2130">
        <v>2018</v>
      </c>
      <c r="P45" s="2131">
        <v>2017</v>
      </c>
      <c r="Q45" s="2131">
        <v>2016</v>
      </c>
      <c r="R45" s="2131">
        <v>2015</v>
      </c>
      <c r="S45" s="2131">
        <v>2014</v>
      </c>
      <c r="T45" s="2131">
        <v>2013</v>
      </c>
      <c r="U45" s="2131">
        <v>2012</v>
      </c>
      <c r="V45" s="2131">
        <v>2011</v>
      </c>
      <c r="W45" s="2128"/>
    </row>
    <row r="46" spans="2:26" ht="15.75" customHeight="1" x14ac:dyDescent="0.3">
      <c r="F46" s="2128"/>
      <c r="G46" s="2128" t="s">
        <v>1240</v>
      </c>
      <c r="I46" s="2132">
        <f>I15</f>
        <v>82923.100000000006</v>
      </c>
      <c r="J46" s="2133">
        <v>57383.3</v>
      </c>
      <c r="K46" s="2133">
        <v>126269</v>
      </c>
      <c r="L46" s="2133">
        <v>143185</v>
      </c>
      <c r="M46" s="2134">
        <v>66099</v>
      </c>
      <c r="N46" s="2135">
        <v>50736</v>
      </c>
      <c r="O46" s="2136">
        <v>66120</v>
      </c>
      <c r="P46" s="2136">
        <v>85952</v>
      </c>
      <c r="Q46" s="2136">
        <v>62985</v>
      </c>
      <c r="R46" s="2136">
        <v>25927</v>
      </c>
      <c r="S46" s="2136">
        <v>38407</v>
      </c>
      <c r="T46" s="2136">
        <v>32907</v>
      </c>
      <c r="U46" s="2136">
        <v>16289</v>
      </c>
      <c r="V46" s="2128"/>
      <c r="W46" s="2128"/>
    </row>
    <row r="47" spans="2:26" ht="15.75" customHeight="1" x14ac:dyDescent="0.3">
      <c r="F47" s="2128"/>
      <c r="G47" s="2128" t="s">
        <v>1241</v>
      </c>
      <c r="I47" s="2132">
        <f>I11</f>
        <v>49648</v>
      </c>
      <c r="J47" s="2134">
        <v>235496</v>
      </c>
      <c r="K47" s="2134">
        <v>138325</v>
      </c>
      <c r="L47" s="2134">
        <v>100652.8</v>
      </c>
      <c r="M47" s="2134">
        <v>61000</v>
      </c>
      <c r="N47" s="2135">
        <v>153500</v>
      </c>
      <c r="O47" s="2136">
        <v>73200</v>
      </c>
      <c r="P47" s="2136">
        <v>59098</v>
      </c>
      <c r="Q47" s="2136">
        <v>195976</v>
      </c>
      <c r="R47" s="2136">
        <v>103267</v>
      </c>
      <c r="S47" s="2136">
        <v>17000</v>
      </c>
      <c r="T47" s="2136">
        <v>86359</v>
      </c>
      <c r="U47" s="2136">
        <v>52154</v>
      </c>
      <c r="V47" s="2128"/>
      <c r="W47" s="2128"/>
    </row>
    <row r="48" spans="2:26" ht="15.75" customHeight="1" x14ac:dyDescent="0.3">
      <c r="F48" s="2128"/>
      <c r="G48" s="2128" t="s">
        <v>1242</v>
      </c>
      <c r="I48" s="2132">
        <f>I10</f>
        <v>0</v>
      </c>
      <c r="J48" s="2137">
        <v>6270</v>
      </c>
      <c r="K48" s="2137">
        <v>0</v>
      </c>
      <c r="L48" s="2134">
        <v>8510.9</v>
      </c>
      <c r="M48" s="2133">
        <v>60154.9</v>
      </c>
      <c r="N48" s="2138">
        <v>0</v>
      </c>
      <c r="O48" s="2138">
        <v>0</v>
      </c>
      <c r="P48" s="2138">
        <v>0</v>
      </c>
      <c r="Q48" s="2136">
        <v>4575</v>
      </c>
      <c r="R48" s="2136">
        <v>9968</v>
      </c>
      <c r="S48" s="2136">
        <v>6301</v>
      </c>
      <c r="T48" s="2136">
        <v>27502</v>
      </c>
      <c r="U48" s="2136">
        <v>26314</v>
      </c>
      <c r="V48" s="2128"/>
      <c r="W48" s="2128"/>
    </row>
    <row r="49" spans="6:23" ht="15.75" customHeight="1" x14ac:dyDescent="0.3">
      <c r="F49" s="2128"/>
      <c r="G49" s="2128" t="s">
        <v>1243</v>
      </c>
      <c r="I49" s="2132">
        <f>I12</f>
        <v>3691.37</v>
      </c>
      <c r="J49" s="2134">
        <v>2072.35</v>
      </c>
      <c r="K49" s="2134">
        <v>2675.8</v>
      </c>
      <c r="L49" s="2134">
        <v>2635.5</v>
      </c>
      <c r="M49" s="2134">
        <v>3121.2</v>
      </c>
      <c r="N49" s="2135">
        <v>2958.2</v>
      </c>
      <c r="O49" s="2136">
        <v>2440</v>
      </c>
      <c r="P49" s="2136">
        <v>4767</v>
      </c>
      <c r="Q49" s="2136">
        <v>4875</v>
      </c>
      <c r="R49" s="2136">
        <v>3854</v>
      </c>
      <c r="S49" s="2136">
        <v>3729</v>
      </c>
      <c r="T49" s="2136">
        <v>2998</v>
      </c>
      <c r="U49" s="2136">
        <v>2770</v>
      </c>
      <c r="V49" s="2128"/>
      <c r="W49" s="2128"/>
    </row>
    <row r="50" spans="6:23" ht="15.75" customHeight="1" x14ac:dyDescent="0.3">
      <c r="F50" s="2128"/>
      <c r="G50" s="2128"/>
      <c r="J50" s="2128"/>
      <c r="K50" s="2128"/>
      <c r="L50" s="2128"/>
      <c r="M50" s="2128"/>
      <c r="N50" s="2128"/>
      <c r="O50" s="2128"/>
      <c r="P50" s="2128"/>
      <c r="Q50" s="2128"/>
      <c r="R50" s="2128"/>
      <c r="S50" s="2128"/>
      <c r="T50" s="2128"/>
      <c r="U50" s="2128"/>
      <c r="V50" s="2128"/>
      <c r="W50" s="2128"/>
    </row>
    <row r="51" spans="6:23" ht="15.75" customHeight="1" x14ac:dyDescent="0.3">
      <c r="F51" s="2128"/>
      <c r="G51" s="2128"/>
      <c r="J51" s="2128"/>
      <c r="K51" s="2128"/>
      <c r="L51" s="2128"/>
      <c r="M51" s="2128"/>
      <c r="N51" s="2128"/>
      <c r="O51" s="2128"/>
      <c r="P51" s="2128"/>
      <c r="Q51" s="2128"/>
      <c r="R51" s="2128"/>
      <c r="S51" s="2128"/>
      <c r="T51" s="2128"/>
      <c r="U51" s="2128"/>
      <c r="V51" s="2128"/>
      <c r="W51" s="2128"/>
    </row>
    <row r="52" spans="6:23" ht="15.75" customHeight="1" x14ac:dyDescent="0.3">
      <c r="F52" s="2128"/>
      <c r="G52" s="2129" t="s">
        <v>1244</v>
      </c>
      <c r="I52" s="2130">
        <v>2024</v>
      </c>
      <c r="J52" s="2130">
        <v>2023</v>
      </c>
      <c r="K52" s="2130">
        <v>2022</v>
      </c>
      <c r="L52" s="2130">
        <v>2021</v>
      </c>
      <c r="M52" s="2130">
        <v>2020</v>
      </c>
      <c r="N52" s="2130">
        <v>2019</v>
      </c>
      <c r="O52" s="2130">
        <v>2018</v>
      </c>
      <c r="P52" s="2131">
        <v>2017</v>
      </c>
      <c r="Q52" s="2131">
        <v>2016</v>
      </c>
      <c r="R52" s="2131">
        <v>2015</v>
      </c>
      <c r="S52" s="2131">
        <v>2014</v>
      </c>
      <c r="T52" s="2131">
        <v>2013</v>
      </c>
      <c r="U52" s="2131">
        <v>2012</v>
      </c>
      <c r="V52" s="2131">
        <v>2011</v>
      </c>
      <c r="W52" s="2139" t="s">
        <v>1245</v>
      </c>
    </row>
    <row r="53" spans="6:23" ht="15.75" customHeight="1" x14ac:dyDescent="0.3">
      <c r="F53" s="2128"/>
      <c r="G53" s="2128" t="s">
        <v>1240</v>
      </c>
      <c r="I53" s="2132">
        <v>2098783.6609999998</v>
      </c>
      <c r="J53" s="2140">
        <f>J46*W53</f>
        <v>1451797.4900000002</v>
      </c>
      <c r="K53" s="2141">
        <v>3195868</v>
      </c>
      <c r="L53" s="2141">
        <v>3624012</v>
      </c>
      <c r="M53" s="2141">
        <v>1672966</v>
      </c>
      <c r="N53" s="2141">
        <v>1284128</v>
      </c>
      <c r="O53" s="2141">
        <v>1673485</v>
      </c>
      <c r="P53" s="2141">
        <v>2175445</v>
      </c>
      <c r="Q53" s="2141">
        <v>1594153</v>
      </c>
      <c r="R53" s="2141">
        <v>656217</v>
      </c>
      <c r="S53" s="2141">
        <v>972070</v>
      </c>
      <c r="T53" s="2141">
        <v>832882</v>
      </c>
      <c r="U53" s="2141">
        <v>412269</v>
      </c>
      <c r="V53" s="2128"/>
      <c r="W53" s="2142">
        <v>25.3</v>
      </c>
    </row>
    <row r="54" spans="6:23" ht="15.75" customHeight="1" x14ac:dyDescent="0.3">
      <c r="F54" s="2128"/>
      <c r="G54" s="2128" t="s">
        <v>1241</v>
      </c>
      <c r="I54" s="2132">
        <v>1944215.68</v>
      </c>
      <c r="J54" s="2140">
        <f t="shared" ref="J54:J56" si="0">J47*W54</f>
        <v>9231443.2000000011</v>
      </c>
      <c r="K54" s="2141">
        <v>5416807</v>
      </c>
      <c r="L54" s="2141">
        <v>3941562</v>
      </c>
      <c r="M54" s="2141">
        <v>2388760</v>
      </c>
      <c r="N54" s="2141">
        <v>6011060</v>
      </c>
      <c r="O54" s="2141">
        <v>2866512</v>
      </c>
      <c r="P54" s="2141">
        <v>2314278</v>
      </c>
      <c r="Q54" s="2141">
        <v>7674422</v>
      </c>
      <c r="R54" s="2141">
        <v>4043953</v>
      </c>
      <c r="S54" s="2141">
        <v>665720</v>
      </c>
      <c r="T54" s="2141">
        <v>3381825</v>
      </c>
      <c r="U54" s="2141">
        <v>2042345</v>
      </c>
      <c r="V54" s="2128"/>
      <c r="W54" s="2142">
        <v>39.200000000000003</v>
      </c>
    </row>
    <row r="55" spans="6:23" ht="15.75" customHeight="1" x14ac:dyDescent="0.3">
      <c r="F55" s="2128"/>
      <c r="G55" s="2128" t="s">
        <v>1242</v>
      </c>
      <c r="I55" s="2132">
        <v>0</v>
      </c>
      <c r="J55" s="2140">
        <f t="shared" si="0"/>
        <v>241395</v>
      </c>
      <c r="K55" s="2142">
        <v>0</v>
      </c>
      <c r="L55" s="2141">
        <v>327670</v>
      </c>
      <c r="M55" s="2143">
        <v>2315963</v>
      </c>
      <c r="N55" s="2144">
        <v>0</v>
      </c>
      <c r="O55" s="2144">
        <v>0</v>
      </c>
      <c r="P55" s="2144">
        <v>0</v>
      </c>
      <c r="Q55" s="2141">
        <v>176136</v>
      </c>
      <c r="R55" s="2141">
        <v>383755</v>
      </c>
      <c r="S55" s="2141">
        <v>242588</v>
      </c>
      <c r="T55" s="2141">
        <v>1058833</v>
      </c>
      <c r="U55" s="2141">
        <v>1013082</v>
      </c>
      <c r="V55" s="2128"/>
      <c r="W55" s="2142">
        <v>38.5</v>
      </c>
    </row>
    <row r="56" spans="6:23" ht="15.75" customHeight="1" x14ac:dyDescent="0.3">
      <c r="F56" s="2128"/>
      <c r="G56" s="2128" t="s">
        <v>1246</v>
      </c>
      <c r="I56" s="2132">
        <v>70874303.999999985</v>
      </c>
      <c r="J56" s="2140">
        <f t="shared" si="0"/>
        <v>39789120</v>
      </c>
      <c r="K56" s="2141">
        <v>51374400</v>
      </c>
      <c r="L56" s="2141">
        <v>50601600</v>
      </c>
      <c r="M56" s="2141">
        <v>59926272</v>
      </c>
      <c r="N56" s="2141">
        <v>56797056</v>
      </c>
      <c r="O56" s="2141">
        <v>46848000</v>
      </c>
      <c r="P56" s="2141">
        <v>91526400</v>
      </c>
      <c r="Q56" s="2141">
        <v>93608880</v>
      </c>
      <c r="R56" s="2141">
        <v>73988304</v>
      </c>
      <c r="S56" s="2141">
        <v>71606304</v>
      </c>
      <c r="T56" s="2141">
        <v>57566666</v>
      </c>
      <c r="U56" s="2141">
        <v>53183645</v>
      </c>
      <c r="V56" s="2128"/>
      <c r="W56" s="2145">
        <v>19200</v>
      </c>
    </row>
    <row r="57" spans="6:23" ht="15.75" customHeight="1" x14ac:dyDescent="0.3">
      <c r="F57" s="2128"/>
      <c r="G57" s="2128" t="s">
        <v>9</v>
      </c>
      <c r="I57" s="2132">
        <f>SUM(I53:I56)</f>
        <v>74917303.340999991</v>
      </c>
      <c r="J57" s="2140">
        <f>SUM(J53:J56)</f>
        <v>50713755.689999998</v>
      </c>
      <c r="K57" s="2146">
        <v>59987075</v>
      </c>
      <c r="L57" s="2146">
        <v>58494844</v>
      </c>
      <c r="M57" s="2146">
        <v>66303961</v>
      </c>
      <c r="N57" s="2146">
        <v>64092244</v>
      </c>
      <c r="O57" s="2146">
        <v>51387997</v>
      </c>
      <c r="P57" s="2146">
        <v>96016123</v>
      </c>
      <c r="Q57" s="2146">
        <v>103053591</v>
      </c>
      <c r="R57" s="2146">
        <v>79072229</v>
      </c>
      <c r="S57" s="2146">
        <v>73486683</v>
      </c>
      <c r="T57" s="2146">
        <v>62840206</v>
      </c>
      <c r="U57" s="2146">
        <v>56651340</v>
      </c>
      <c r="V57" s="2128"/>
      <c r="W57" s="2128"/>
    </row>
    <row r="58" spans="6:23" ht="15.75" customHeight="1" x14ac:dyDescent="0.3">
      <c r="F58" s="2128"/>
      <c r="G58" s="2128"/>
      <c r="J58" s="2128"/>
      <c r="K58" s="2128"/>
      <c r="L58" s="2128"/>
      <c r="M58" s="2128"/>
      <c r="N58" s="2128"/>
      <c r="O58" s="2128"/>
      <c r="P58" s="2128"/>
      <c r="Q58" s="2128"/>
      <c r="R58" s="2128"/>
      <c r="S58" s="2128"/>
      <c r="T58" s="2128"/>
      <c r="U58" s="2128"/>
      <c r="V58" s="2128"/>
      <c r="W58" s="2128"/>
    </row>
    <row r="59" spans="6:23" ht="28.95" customHeight="1" x14ac:dyDescent="0.3">
      <c r="F59" s="2128"/>
      <c r="G59" s="2147" t="s">
        <v>1247</v>
      </c>
      <c r="I59" s="2148">
        <v>1913107.848340143</v>
      </c>
      <c r="J59" s="2149">
        <f>J56/W54</f>
        <v>1015028.5714285714</v>
      </c>
      <c r="K59" s="2150">
        <v>1311910</v>
      </c>
      <c r="L59" s="2150">
        <v>1292176</v>
      </c>
      <c r="M59" s="2150">
        <v>1530293</v>
      </c>
      <c r="N59" s="2150">
        <v>1450384</v>
      </c>
      <c r="O59" s="2150">
        <v>1196323</v>
      </c>
      <c r="P59" s="2150">
        <v>2337242</v>
      </c>
      <c r="Q59" s="2150">
        <v>2390421</v>
      </c>
      <c r="R59" s="2150">
        <v>1889385</v>
      </c>
      <c r="S59" s="2150">
        <v>1828557</v>
      </c>
      <c r="T59" s="2150">
        <v>1470037</v>
      </c>
      <c r="U59" s="2150">
        <v>1358111</v>
      </c>
      <c r="V59" s="2128"/>
      <c r="W59" s="2128"/>
    </row>
    <row r="60" spans="6:23" ht="15.75" customHeight="1" x14ac:dyDescent="0.3">
      <c r="F60" s="2128"/>
      <c r="G60" s="2128"/>
      <c r="J60" s="2128"/>
      <c r="K60" s="2128"/>
      <c r="L60" s="2128"/>
      <c r="M60" s="2128"/>
      <c r="N60" s="2128"/>
      <c r="O60" s="2128"/>
      <c r="P60" s="2128"/>
      <c r="Q60" s="2128"/>
      <c r="R60" s="2128"/>
      <c r="S60" s="2128"/>
      <c r="T60" s="2128"/>
      <c r="U60" s="2128"/>
      <c r="V60" s="2128"/>
      <c r="W60" s="2128"/>
    </row>
    <row r="61" spans="6:23" ht="15.75" customHeight="1" x14ac:dyDescent="0.3">
      <c r="F61" s="2128"/>
      <c r="G61" s="2128"/>
      <c r="J61" s="2128"/>
      <c r="K61" s="2128"/>
      <c r="L61" s="2128"/>
      <c r="M61" s="2128"/>
      <c r="N61" s="2128"/>
      <c r="O61" s="2128"/>
      <c r="P61" s="2128"/>
      <c r="Q61" s="2128"/>
      <c r="R61" s="2128"/>
      <c r="S61" s="2128"/>
      <c r="T61" s="2128"/>
      <c r="U61" s="2128"/>
      <c r="V61" s="2128"/>
      <c r="W61" s="2128"/>
    </row>
    <row r="62" spans="6:23" ht="15.75" customHeight="1" x14ac:dyDescent="0.3">
      <c r="F62" s="2128"/>
      <c r="G62" s="2128" t="s">
        <v>1248</v>
      </c>
      <c r="I62" s="2130">
        <v>2024</v>
      </c>
      <c r="J62" s="2130">
        <v>2023</v>
      </c>
      <c r="K62" s="2130">
        <v>2022</v>
      </c>
      <c r="L62" s="2130">
        <v>2021</v>
      </c>
      <c r="M62" s="2130">
        <v>2020</v>
      </c>
      <c r="N62" s="2130">
        <v>2019</v>
      </c>
      <c r="O62" s="2130">
        <v>2018</v>
      </c>
      <c r="P62" s="2131">
        <v>2017</v>
      </c>
      <c r="Q62" s="2131">
        <v>2016</v>
      </c>
      <c r="R62" s="2131">
        <v>2015</v>
      </c>
      <c r="S62" s="2131">
        <v>2014</v>
      </c>
      <c r="T62" s="2131">
        <v>2013</v>
      </c>
      <c r="U62" s="2131">
        <v>2012</v>
      </c>
      <c r="V62" s="2131">
        <v>2011</v>
      </c>
      <c r="W62" s="2128"/>
    </row>
    <row r="63" spans="6:23" ht="15.75" customHeight="1" x14ac:dyDescent="0.3">
      <c r="F63" s="2128"/>
      <c r="G63" s="2128" t="s">
        <v>1249</v>
      </c>
      <c r="I63" s="2151">
        <v>230000</v>
      </c>
      <c r="J63" s="2152">
        <v>230000</v>
      </c>
      <c r="K63" s="2153">
        <v>230000</v>
      </c>
      <c r="L63" s="2153">
        <v>230000</v>
      </c>
      <c r="M63" s="2153">
        <v>210000</v>
      </c>
      <c r="N63" s="2153">
        <v>210000</v>
      </c>
      <c r="O63" s="2154">
        <v>206905</v>
      </c>
      <c r="P63" s="2154">
        <v>206905</v>
      </c>
      <c r="Q63" s="2155">
        <v>206905</v>
      </c>
      <c r="R63" s="2153">
        <v>200000</v>
      </c>
      <c r="S63" s="2153">
        <v>200000</v>
      </c>
      <c r="T63" s="2153">
        <v>200000</v>
      </c>
      <c r="U63" s="2153">
        <v>200000</v>
      </c>
      <c r="V63" s="2128"/>
      <c r="W63" s="2128"/>
    </row>
    <row r="64" spans="6:23" ht="15.75" customHeight="1" x14ac:dyDescent="0.3">
      <c r="F64" s="2128"/>
      <c r="G64" s="2128" t="s">
        <v>1250</v>
      </c>
      <c r="I64" s="2156">
        <v>1.1499999999999999</v>
      </c>
      <c r="J64" s="2157">
        <v>1.1499999999999999</v>
      </c>
      <c r="K64" s="2158">
        <v>1.1499999999999999</v>
      </c>
      <c r="L64" s="2158">
        <v>1.1499999999999999</v>
      </c>
      <c r="M64" s="2158">
        <v>1.05</v>
      </c>
      <c r="N64" s="2158">
        <v>1.05</v>
      </c>
      <c r="O64" s="2158">
        <v>1.03</v>
      </c>
      <c r="P64" s="2158">
        <v>1.03</v>
      </c>
      <c r="Q64" s="2158">
        <v>1.03</v>
      </c>
      <c r="R64" s="2158">
        <v>0</v>
      </c>
      <c r="S64" s="2158">
        <v>0</v>
      </c>
      <c r="T64" s="2158">
        <v>0</v>
      </c>
      <c r="U64" s="2159"/>
      <c r="V64" s="2128"/>
      <c r="W64" s="2128"/>
    </row>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spans="4:4" ht="15.75" customHeight="1" x14ac:dyDescent="0.3"/>
    <row r="146" spans="4:4" ht="15.75" customHeight="1" x14ac:dyDescent="0.3"/>
    <row r="147" spans="4:4" ht="15.75" customHeight="1" x14ac:dyDescent="0.3"/>
    <row r="148" spans="4:4" ht="15.75" customHeight="1" x14ac:dyDescent="0.3"/>
    <row r="149" spans="4:4" ht="15.75" customHeight="1" x14ac:dyDescent="0.3">
      <c r="D149" s="2160">
        <v>143</v>
      </c>
    </row>
    <row r="150" spans="4:4" ht="15.75" customHeight="1" x14ac:dyDescent="0.3"/>
    <row r="151" spans="4:4" ht="15.75" customHeight="1" x14ac:dyDescent="0.3"/>
    <row r="152" spans="4:4" ht="15.75" customHeight="1" x14ac:dyDescent="0.3"/>
    <row r="153" spans="4:4" ht="15.75" customHeight="1" x14ac:dyDescent="0.3"/>
    <row r="154" spans="4:4" ht="15.75" customHeight="1" x14ac:dyDescent="0.3"/>
    <row r="155" spans="4:4" ht="15.75" customHeight="1" x14ac:dyDescent="0.3"/>
    <row r="156" spans="4:4" ht="15.75" customHeight="1" x14ac:dyDescent="0.3"/>
    <row r="157" spans="4:4" ht="15.75" customHeight="1" x14ac:dyDescent="0.3"/>
    <row r="158" spans="4:4" ht="15.75" customHeight="1" x14ac:dyDescent="0.3"/>
    <row r="159" spans="4:4" ht="15.75" customHeight="1" x14ac:dyDescent="0.3"/>
    <row r="160" spans="4:4"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sheetData>
  <mergeCells count="2">
    <mergeCell ref="B22:C22"/>
    <mergeCell ref="B39:C39"/>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61940-4B7A-48BD-A69F-E34E8B5A7F8E}">
  <dimension ref="A1:H986"/>
  <sheetViews>
    <sheetView workbookViewId="0">
      <selection activeCell="J10" sqref="J10"/>
    </sheetView>
  </sheetViews>
  <sheetFormatPr defaultColWidth="12.44140625" defaultRowHeight="15" customHeight="1" x14ac:dyDescent="0.3"/>
  <cols>
    <col min="1" max="1" width="2.6640625" style="428" customWidth="1"/>
    <col min="2" max="2" width="35.109375" style="428" customWidth="1"/>
    <col min="3" max="3" width="19.88671875" style="428" customWidth="1"/>
    <col min="4" max="4" width="18.88671875" style="428" customWidth="1"/>
    <col min="5" max="5" width="1.5546875" style="428" customWidth="1"/>
    <col min="6" max="6" width="14.6640625" style="428" customWidth="1"/>
    <col min="7" max="7" width="7.33203125" style="428" customWidth="1"/>
    <col min="8" max="8" width="11.6640625" style="428" customWidth="1"/>
    <col min="9" max="16384" width="12.44140625" style="428"/>
  </cols>
  <sheetData>
    <row r="1" spans="1:8" ht="21.75" customHeight="1" x14ac:dyDescent="0.35">
      <c r="A1" s="424"/>
      <c r="B1" s="425" t="s">
        <v>549</v>
      </c>
      <c r="C1" s="426"/>
      <c r="E1" s="427"/>
      <c r="G1" s="427"/>
    </row>
    <row r="2" spans="1:8" ht="15.75" customHeight="1" x14ac:dyDescent="0.3">
      <c r="A2" s="424"/>
      <c r="B2" s="429" t="s">
        <v>299</v>
      </c>
      <c r="C2" s="430"/>
      <c r="D2" s="430"/>
      <c r="E2" s="430"/>
      <c r="F2" s="430"/>
      <c r="G2" s="430"/>
    </row>
    <row r="3" spans="1:8" ht="9.75" customHeight="1" x14ac:dyDescent="0.3">
      <c r="A3" s="427"/>
      <c r="B3" s="431"/>
      <c r="E3" s="427"/>
      <c r="G3" s="427"/>
    </row>
    <row r="4" spans="1:8" ht="6" customHeight="1" x14ac:dyDescent="0.3">
      <c r="B4" s="427"/>
      <c r="E4" s="427"/>
      <c r="G4" s="427"/>
    </row>
    <row r="5" spans="1:8" ht="6" customHeight="1" x14ac:dyDescent="0.3">
      <c r="A5" s="431"/>
      <c r="E5" s="427"/>
      <c r="G5" s="427"/>
    </row>
    <row r="6" spans="1:8" ht="15.75" customHeight="1" x14ac:dyDescent="0.3">
      <c r="C6" s="428">
        <v>1000000</v>
      </c>
      <c r="E6" s="427"/>
      <c r="F6" s="427"/>
      <c r="G6" s="427"/>
    </row>
    <row r="7" spans="1:8" ht="37.200000000000003" customHeight="1" x14ac:dyDescent="0.3">
      <c r="A7" s="432"/>
      <c r="B7" s="433">
        <v>2024</v>
      </c>
      <c r="C7" s="4385" t="s">
        <v>22</v>
      </c>
      <c r="D7" s="4387"/>
      <c r="E7" s="432"/>
      <c r="F7" s="435" t="s">
        <v>300</v>
      </c>
      <c r="G7" s="432"/>
      <c r="H7" s="432"/>
    </row>
    <row r="8" spans="1:8" ht="18" customHeight="1" x14ac:dyDescent="0.35">
      <c r="B8" s="436" t="s">
        <v>301</v>
      </c>
      <c r="C8" s="648">
        <v>1</v>
      </c>
      <c r="D8" s="572">
        <v>2</v>
      </c>
      <c r="E8" s="427"/>
      <c r="F8" s="438"/>
      <c r="G8" s="427"/>
    </row>
    <row r="9" spans="1:8" ht="46.5" customHeight="1" x14ac:dyDescent="0.3">
      <c r="B9" s="439" t="s">
        <v>302</v>
      </c>
      <c r="C9" s="573" t="s">
        <v>1251</v>
      </c>
      <c r="D9" s="573" t="s">
        <v>1252</v>
      </c>
      <c r="E9" s="574"/>
      <c r="F9" s="442"/>
      <c r="G9" s="443"/>
    </row>
    <row r="10" spans="1:8" ht="46.5" customHeight="1" x14ac:dyDescent="0.3">
      <c r="B10" s="444" t="s">
        <v>304</v>
      </c>
      <c r="C10" s="445" t="s">
        <v>1253</v>
      </c>
      <c r="D10" s="445" t="s">
        <v>1254</v>
      </c>
      <c r="E10" s="574"/>
      <c r="F10" s="446"/>
      <c r="G10" s="443"/>
    </row>
    <row r="11" spans="1:8" ht="18.75" customHeight="1" x14ac:dyDescent="0.3">
      <c r="A11" s="447"/>
      <c r="B11" s="448" t="s">
        <v>306</v>
      </c>
      <c r="C11" s="575">
        <f>(C17*C18)</f>
        <v>95.808009448011362</v>
      </c>
      <c r="D11" s="575">
        <f>(D17*D18)</f>
        <v>2417.2531156480009</v>
      </c>
      <c r="E11" s="576"/>
      <c r="F11" s="451">
        <f>SUM(C11:D11)</f>
        <v>2513.0611250960123</v>
      </c>
      <c r="G11" s="452"/>
      <c r="H11" s="447"/>
    </row>
    <row r="12" spans="1:8" ht="18.75" customHeight="1" x14ac:dyDescent="0.3">
      <c r="A12" s="447"/>
      <c r="B12" s="453" t="s">
        <v>307</v>
      </c>
      <c r="C12" s="577">
        <f>(C22*C23)</f>
        <v>21.335399007102271</v>
      </c>
      <c r="D12" s="577">
        <f>(D22*D23)</f>
        <v>0</v>
      </c>
      <c r="E12" s="455"/>
      <c r="F12" s="456">
        <f>SUM(C12:D12)</f>
        <v>21.335399007102271</v>
      </c>
      <c r="G12" s="457"/>
      <c r="H12" s="447"/>
    </row>
    <row r="13" spans="1:8" ht="18.75" customHeight="1" x14ac:dyDescent="0.3">
      <c r="A13" s="447"/>
      <c r="B13" s="448" t="s">
        <v>308</v>
      </c>
      <c r="C13" s="654" t="s">
        <v>8</v>
      </c>
      <c r="D13" s="578" t="s">
        <v>8</v>
      </c>
      <c r="E13" s="459"/>
      <c r="F13" s="460"/>
      <c r="G13" s="461"/>
      <c r="H13" s="447"/>
    </row>
    <row r="14" spans="1:8" ht="18.75" customHeight="1" x14ac:dyDescent="0.3">
      <c r="A14" s="447"/>
      <c r="B14" s="462" t="s">
        <v>309</v>
      </c>
      <c r="C14" s="655">
        <f t="shared" ref="C14:D14" si="0">C11-C12</f>
        <v>74.472610440909094</v>
      </c>
      <c r="D14" s="579">
        <f t="shared" si="0"/>
        <v>2417.2531156480009</v>
      </c>
      <c r="E14" s="455"/>
      <c r="F14" s="464">
        <f>SUM(C14:D14)</f>
        <v>2491.7257260889101</v>
      </c>
      <c r="G14" s="457"/>
      <c r="H14" s="447"/>
    </row>
    <row r="15" spans="1:8" ht="19.5" customHeight="1" x14ac:dyDescent="0.4">
      <c r="B15" s="465" t="s">
        <v>310</v>
      </c>
      <c r="C15" s="1259"/>
      <c r="D15" s="580"/>
      <c r="E15" s="467"/>
      <c r="F15" s="468"/>
      <c r="G15" s="467"/>
      <c r="H15" s="427"/>
    </row>
    <row r="16" spans="1:8" ht="35.4" customHeight="1" x14ac:dyDescent="0.3">
      <c r="A16" s="447"/>
      <c r="B16" s="469" t="s">
        <v>311</v>
      </c>
      <c r="C16" s="470" t="s">
        <v>1255</v>
      </c>
      <c r="D16" s="1137" t="s">
        <v>1256</v>
      </c>
      <c r="E16" s="581"/>
      <c r="F16" s="471"/>
      <c r="G16" s="457"/>
      <c r="H16" s="447"/>
    </row>
    <row r="17" spans="1:8" ht="21" customHeight="1" x14ac:dyDescent="0.3">
      <c r="A17" s="447"/>
      <c r="B17" s="472" t="s">
        <v>2342</v>
      </c>
      <c r="C17" s="473">
        <f>'CF-1504|GDS'!I13</f>
        <v>27232.102272727272</v>
      </c>
      <c r="D17" s="582">
        <f>'CF-1504|GDS'!I15</f>
        <v>1275.2992000000002</v>
      </c>
      <c r="E17" s="583"/>
      <c r="G17" s="475"/>
      <c r="H17" s="447"/>
    </row>
    <row r="18" spans="1:8" ht="18.75" customHeight="1" x14ac:dyDescent="0.3">
      <c r="A18" s="447"/>
      <c r="B18" s="476" t="s">
        <v>314</v>
      </c>
      <c r="C18" s="477">
        <f>'CF-1504|GDS'!R22</f>
        <v>3.5182009999999999E-3</v>
      </c>
      <c r="D18" s="1141">
        <f>'CF-1504|GDS'!D28</f>
        <v>1.8954400000000005</v>
      </c>
      <c r="E18" s="478"/>
      <c r="G18" s="479"/>
      <c r="H18" s="447"/>
    </row>
    <row r="19" spans="1:8" ht="19.5" customHeight="1" x14ac:dyDescent="0.3">
      <c r="A19" s="447"/>
      <c r="B19" s="480" t="s">
        <v>315</v>
      </c>
      <c r="C19" s="481">
        <f>C17*C18</f>
        <v>95.808009448011362</v>
      </c>
      <c r="D19" s="664">
        <f>D17*D18</f>
        <v>2417.2531156480009</v>
      </c>
      <c r="E19" s="586"/>
      <c r="G19" s="479"/>
      <c r="H19" s="447"/>
    </row>
    <row r="20" spans="1:8" ht="21" customHeight="1" x14ac:dyDescent="0.4">
      <c r="B20" s="465" t="s">
        <v>316</v>
      </c>
      <c r="C20" s="482"/>
      <c r="D20" s="1144"/>
      <c r="E20" s="483"/>
      <c r="F20" s="484"/>
      <c r="G20" s="483"/>
    </row>
    <row r="21" spans="1:8" ht="40.200000000000003" customHeight="1" x14ac:dyDescent="0.3">
      <c r="A21" s="447"/>
      <c r="B21" s="469" t="s">
        <v>183</v>
      </c>
      <c r="C21" s="2162" t="s">
        <v>1257</v>
      </c>
      <c r="D21" s="2162" t="s">
        <v>1258</v>
      </c>
      <c r="E21" s="588"/>
      <c r="F21" s="485"/>
      <c r="G21" s="479"/>
      <c r="H21" s="447"/>
    </row>
    <row r="22" spans="1:8" ht="21" customHeight="1" x14ac:dyDescent="0.3">
      <c r="A22" s="447"/>
      <c r="B22" s="486" t="s">
        <v>2342</v>
      </c>
      <c r="C22" s="487">
        <f>'CF-1504|GDS'!I13</f>
        <v>27232.102272727272</v>
      </c>
      <c r="D22" s="1146">
        <f>'CF-1504|GDS'!I15</f>
        <v>1275.2992000000002</v>
      </c>
      <c r="E22" s="479"/>
      <c r="F22" s="488"/>
      <c r="G22" s="479"/>
      <c r="H22" s="447"/>
    </row>
    <row r="23" spans="1:8" ht="21" customHeight="1" x14ac:dyDescent="0.3">
      <c r="A23" s="447"/>
      <c r="B23" s="489" t="s">
        <v>314</v>
      </c>
      <c r="C23" s="490">
        <f>'CF-1504|GDS'!R23</f>
        <v>7.8346500000000001E-4</v>
      </c>
      <c r="D23" s="1148">
        <v>0</v>
      </c>
      <c r="E23" s="588"/>
      <c r="F23" s="491"/>
      <c r="G23" s="479"/>
      <c r="H23" s="447"/>
    </row>
    <row r="24" spans="1:8" ht="21" customHeight="1" x14ac:dyDescent="0.3">
      <c r="A24" s="447"/>
      <c r="B24" s="492" t="s">
        <v>315</v>
      </c>
      <c r="C24" s="493">
        <f t="shared" ref="C24:D24" si="1">C22*C23</f>
        <v>21.335399007102271</v>
      </c>
      <c r="D24" s="591">
        <f t="shared" si="1"/>
        <v>0</v>
      </c>
      <c r="E24" s="588"/>
      <c r="F24" s="494"/>
      <c r="G24" s="479"/>
      <c r="H24" s="447"/>
    </row>
    <row r="25" spans="1:8" ht="28.5" customHeight="1" x14ac:dyDescent="0.3">
      <c r="A25" s="447"/>
      <c r="B25" s="498" t="s">
        <v>320</v>
      </c>
      <c r="C25" s="499" t="s">
        <v>1259</v>
      </c>
      <c r="D25" s="2027" t="s">
        <v>1260</v>
      </c>
      <c r="E25" s="593"/>
      <c r="F25" s="501"/>
      <c r="G25" s="500"/>
      <c r="H25" s="447"/>
    </row>
    <row r="26" spans="1:8" ht="24" customHeight="1" x14ac:dyDescent="0.3">
      <c r="B26" s="502" t="s">
        <v>322</v>
      </c>
      <c r="C26" s="503">
        <v>3</v>
      </c>
      <c r="D26" s="2028">
        <v>3</v>
      </c>
      <c r="E26" s="504"/>
      <c r="F26" s="505"/>
      <c r="G26" s="504"/>
    </row>
    <row r="27" spans="1:8" ht="33" customHeight="1" x14ac:dyDescent="0.3">
      <c r="A27" s="447"/>
      <c r="B27" s="506" t="s">
        <v>323</v>
      </c>
      <c r="C27" s="507" t="s">
        <v>324</v>
      </c>
      <c r="D27" s="1156" t="s">
        <v>324</v>
      </c>
      <c r="E27" s="479"/>
      <c r="F27" s="496"/>
      <c r="G27" s="479"/>
      <c r="H27" s="447"/>
    </row>
    <row r="28" spans="1:8" ht="33" customHeight="1" x14ac:dyDescent="0.3">
      <c r="A28" s="447"/>
      <c r="B28" s="508" t="s">
        <v>325</v>
      </c>
      <c r="C28" s="509" t="s">
        <v>326</v>
      </c>
      <c r="D28" s="1154" t="s">
        <v>326</v>
      </c>
      <c r="E28" s="479"/>
      <c r="F28" s="496"/>
      <c r="G28" s="479"/>
      <c r="H28" s="447"/>
    </row>
    <row r="29" spans="1:8" ht="33" customHeight="1" x14ac:dyDescent="0.3">
      <c r="A29" s="447"/>
      <c r="B29" s="506" t="s">
        <v>327</v>
      </c>
      <c r="C29" s="507" t="s">
        <v>987</v>
      </c>
      <c r="D29" s="1156" t="s">
        <v>1261</v>
      </c>
      <c r="E29" s="479"/>
      <c r="F29" s="496"/>
      <c r="G29" s="479"/>
      <c r="H29" s="447"/>
    </row>
    <row r="30" spans="1:8" ht="21" customHeight="1" x14ac:dyDescent="0.3">
      <c r="B30" s="510" t="s">
        <v>329</v>
      </c>
      <c r="C30" s="509">
        <v>1</v>
      </c>
      <c r="D30" s="1154">
        <v>1</v>
      </c>
      <c r="E30" s="467"/>
      <c r="F30" s="467"/>
      <c r="G30" s="467"/>
    </row>
    <row r="31" spans="1:8" ht="21" customHeight="1" x14ac:dyDescent="0.3">
      <c r="B31" s="453" t="s">
        <v>330</v>
      </c>
      <c r="C31" s="507" t="s">
        <v>324</v>
      </c>
      <c r="D31" s="1156" t="s">
        <v>324</v>
      </c>
      <c r="E31" s="483"/>
      <c r="F31" s="495"/>
      <c r="G31" s="483"/>
    </row>
    <row r="32" spans="1:8" ht="21" customHeight="1" x14ac:dyDescent="0.3">
      <c r="B32" s="510" t="s">
        <v>331</v>
      </c>
      <c r="C32" s="509" t="s">
        <v>324</v>
      </c>
      <c r="D32" s="1154" t="s">
        <v>324</v>
      </c>
      <c r="E32" s="483"/>
      <c r="F32" s="495"/>
      <c r="G32" s="483"/>
    </row>
    <row r="33" spans="2:7" ht="21" customHeight="1" x14ac:dyDescent="0.3">
      <c r="B33" s="462" t="s">
        <v>332</v>
      </c>
      <c r="C33" s="511" t="s">
        <v>333</v>
      </c>
      <c r="D33" s="1158" t="s">
        <v>333</v>
      </c>
      <c r="E33" s="483"/>
      <c r="F33" s="495"/>
      <c r="G33" s="483"/>
    </row>
    <row r="34" spans="2:7" ht="15.75" customHeight="1" x14ac:dyDescent="0.3">
      <c r="B34" s="427"/>
      <c r="C34" s="427"/>
      <c r="D34" s="427"/>
      <c r="E34" s="483"/>
      <c r="F34" s="483"/>
      <c r="G34" s="483"/>
    </row>
    <row r="35" spans="2:7" ht="15.75" customHeight="1" x14ac:dyDescent="0.3">
      <c r="B35" s="512" t="s">
        <v>334</v>
      </c>
      <c r="C35" s="427"/>
      <c r="D35" s="427"/>
      <c r="E35" s="483"/>
      <c r="F35" s="483"/>
      <c r="G35" s="483"/>
    </row>
    <row r="36" spans="2:7" ht="15.75" customHeight="1" x14ac:dyDescent="0.3">
      <c r="B36" s="512" t="s">
        <v>335</v>
      </c>
      <c r="C36" s="427"/>
      <c r="D36" s="427"/>
      <c r="E36" s="483"/>
      <c r="F36" s="483"/>
      <c r="G36" s="483"/>
    </row>
    <row r="37" spans="2:7" ht="15.75" customHeight="1" x14ac:dyDescent="0.3">
      <c r="B37" s="512" t="s">
        <v>336</v>
      </c>
      <c r="C37" s="427"/>
      <c r="D37" s="427"/>
      <c r="E37" s="483"/>
      <c r="F37" s="483"/>
      <c r="G37" s="483"/>
    </row>
    <row r="38" spans="2:7" ht="15.75" customHeight="1" x14ac:dyDescent="0.3">
      <c r="B38" s="512" t="s">
        <v>337</v>
      </c>
      <c r="C38" s="427"/>
      <c r="D38" s="427"/>
      <c r="E38" s="483"/>
      <c r="F38" s="483"/>
      <c r="G38" s="483"/>
    </row>
    <row r="39" spans="2:7" ht="15.75" customHeight="1" x14ac:dyDescent="0.3">
      <c r="B39" s="512" t="s">
        <v>338</v>
      </c>
      <c r="E39" s="427"/>
      <c r="G39" s="427"/>
    </row>
    <row r="40" spans="2:7" ht="15.75" customHeight="1" x14ac:dyDescent="0.3">
      <c r="B40" s="512" t="s">
        <v>339</v>
      </c>
      <c r="E40" s="427"/>
      <c r="G40" s="427"/>
    </row>
    <row r="41" spans="2:7" ht="15.75" customHeight="1" x14ac:dyDescent="0.3">
      <c r="E41" s="427"/>
      <c r="G41" s="427"/>
    </row>
    <row r="42" spans="2:7" ht="15.75" customHeight="1" x14ac:dyDescent="0.3">
      <c r="E42" s="427"/>
      <c r="G42" s="427"/>
    </row>
    <row r="43" spans="2:7" ht="15.75" customHeight="1" x14ac:dyDescent="0.3">
      <c r="E43" s="427"/>
      <c r="G43" s="427"/>
    </row>
    <row r="44" spans="2:7" ht="15.75" customHeight="1" x14ac:dyDescent="0.3">
      <c r="E44" s="427"/>
      <c r="G44" s="427"/>
    </row>
    <row r="45" spans="2:7" ht="15.75" customHeight="1" x14ac:dyDescent="0.3">
      <c r="E45" s="427"/>
      <c r="G45" s="427"/>
    </row>
    <row r="46" spans="2:7" ht="15.75" customHeight="1" x14ac:dyDescent="0.3">
      <c r="E46" s="427"/>
      <c r="G46" s="427"/>
    </row>
    <row r="47" spans="2:7" ht="15.75" customHeight="1" x14ac:dyDescent="0.3">
      <c r="E47" s="427"/>
      <c r="G47" s="427"/>
    </row>
    <row r="48" spans="2:7" ht="15.75" customHeight="1" x14ac:dyDescent="0.3">
      <c r="E48" s="427"/>
      <c r="G48" s="427"/>
    </row>
    <row r="49" spans="5:7" ht="15.75" customHeight="1" x14ac:dyDescent="0.3">
      <c r="E49" s="427"/>
      <c r="G49" s="427"/>
    </row>
    <row r="50" spans="5:7" ht="15.75" customHeight="1" x14ac:dyDescent="0.3">
      <c r="E50" s="427"/>
      <c r="G50" s="427"/>
    </row>
    <row r="51" spans="5:7" ht="15.75" customHeight="1" x14ac:dyDescent="0.3">
      <c r="E51" s="427"/>
      <c r="G51" s="427"/>
    </row>
    <row r="52" spans="5:7" ht="15.75" customHeight="1" x14ac:dyDescent="0.3">
      <c r="E52" s="427"/>
      <c r="G52" s="427"/>
    </row>
    <row r="53" spans="5:7" ht="15.75" customHeight="1" x14ac:dyDescent="0.3">
      <c r="E53" s="427"/>
      <c r="G53" s="427"/>
    </row>
    <row r="54" spans="5:7" ht="15.75" customHeight="1" x14ac:dyDescent="0.3">
      <c r="E54" s="427"/>
      <c r="G54" s="427"/>
    </row>
    <row r="55" spans="5:7" ht="15.75" customHeight="1" x14ac:dyDescent="0.3">
      <c r="E55" s="427"/>
      <c r="G55" s="427"/>
    </row>
    <row r="56" spans="5:7" ht="15.75" customHeight="1" x14ac:dyDescent="0.3">
      <c r="E56" s="427"/>
      <c r="G56" s="427"/>
    </row>
    <row r="57" spans="5:7" ht="15.75" customHeight="1" x14ac:dyDescent="0.3">
      <c r="E57" s="427"/>
      <c r="G57" s="427"/>
    </row>
    <row r="58" spans="5:7" ht="15.75" customHeight="1" x14ac:dyDescent="0.3">
      <c r="E58" s="427"/>
      <c r="G58" s="427"/>
    </row>
    <row r="59" spans="5:7" ht="15.75" customHeight="1" x14ac:dyDescent="0.3">
      <c r="E59" s="427"/>
      <c r="G59" s="427"/>
    </row>
    <row r="60" spans="5:7" ht="15.75" customHeight="1" x14ac:dyDescent="0.3">
      <c r="E60" s="427"/>
      <c r="G60" s="427"/>
    </row>
    <row r="61" spans="5:7" ht="15.75" customHeight="1" x14ac:dyDescent="0.3">
      <c r="E61" s="427"/>
      <c r="G61" s="427"/>
    </row>
    <row r="62" spans="5:7" ht="15.75" customHeight="1" x14ac:dyDescent="0.3">
      <c r="E62" s="427"/>
      <c r="G62" s="427"/>
    </row>
    <row r="63" spans="5:7" ht="15.75" customHeight="1" x14ac:dyDescent="0.3">
      <c r="E63" s="427"/>
      <c r="G63" s="427"/>
    </row>
    <row r="64" spans="5:7" ht="15.75" customHeight="1" x14ac:dyDescent="0.3">
      <c r="E64" s="427"/>
      <c r="G64" s="427"/>
    </row>
    <row r="65" spans="5:7" ht="15.75" customHeight="1" x14ac:dyDescent="0.3">
      <c r="E65" s="427"/>
      <c r="G65" s="427"/>
    </row>
    <row r="66" spans="5:7" ht="15.75" customHeight="1" x14ac:dyDescent="0.3">
      <c r="E66" s="427"/>
      <c r="G66" s="427"/>
    </row>
    <row r="67" spans="5:7" ht="15.75" customHeight="1" x14ac:dyDescent="0.3">
      <c r="E67" s="427"/>
      <c r="G67" s="427"/>
    </row>
    <row r="68" spans="5:7" ht="15.75" customHeight="1" x14ac:dyDescent="0.3">
      <c r="E68" s="427"/>
      <c r="G68" s="427"/>
    </row>
    <row r="69" spans="5:7" ht="15.75" customHeight="1" x14ac:dyDescent="0.3">
      <c r="E69" s="427"/>
      <c r="G69" s="427"/>
    </row>
    <row r="70" spans="5:7" ht="15.75" customHeight="1" x14ac:dyDescent="0.3">
      <c r="E70" s="427"/>
      <c r="G70" s="427"/>
    </row>
    <row r="71" spans="5:7" ht="15.75" customHeight="1" x14ac:dyDescent="0.3">
      <c r="E71" s="427"/>
      <c r="G71" s="427"/>
    </row>
    <row r="72" spans="5:7" ht="15.75" customHeight="1" x14ac:dyDescent="0.3">
      <c r="E72" s="427"/>
      <c r="G72" s="427"/>
    </row>
    <row r="73" spans="5:7" ht="15.75" customHeight="1" x14ac:dyDescent="0.3">
      <c r="E73" s="427"/>
      <c r="G73" s="427"/>
    </row>
    <row r="74" spans="5:7" ht="15.75" customHeight="1" x14ac:dyDescent="0.3">
      <c r="E74" s="427"/>
      <c r="G74" s="427"/>
    </row>
    <row r="75" spans="5:7" ht="15.75" customHeight="1" x14ac:dyDescent="0.3">
      <c r="E75" s="427"/>
      <c r="G75" s="427"/>
    </row>
    <row r="76" spans="5:7" ht="15.75" customHeight="1" x14ac:dyDescent="0.3">
      <c r="E76" s="427"/>
      <c r="G76" s="427"/>
    </row>
    <row r="77" spans="5:7" ht="15.75" customHeight="1" x14ac:dyDescent="0.3">
      <c r="E77" s="427"/>
      <c r="G77" s="427"/>
    </row>
    <row r="78" spans="5:7" ht="15.75" customHeight="1" x14ac:dyDescent="0.3">
      <c r="E78" s="427"/>
      <c r="G78" s="427"/>
    </row>
    <row r="79" spans="5:7" ht="15.75" customHeight="1" x14ac:dyDescent="0.3">
      <c r="E79" s="427"/>
      <c r="G79" s="427"/>
    </row>
    <row r="80" spans="5:7" ht="15.75" customHeight="1" x14ac:dyDescent="0.3">
      <c r="E80" s="427"/>
      <c r="G80" s="427"/>
    </row>
    <row r="81" spans="5:7" ht="15.75" customHeight="1" x14ac:dyDescent="0.3">
      <c r="E81" s="427"/>
      <c r="G81" s="427"/>
    </row>
    <row r="82" spans="5:7" ht="15.75" customHeight="1" x14ac:dyDescent="0.3">
      <c r="E82" s="427"/>
      <c r="G82" s="427"/>
    </row>
    <row r="83" spans="5:7" ht="15.75" customHeight="1" x14ac:dyDescent="0.3">
      <c r="E83" s="427"/>
      <c r="G83" s="427"/>
    </row>
    <row r="84" spans="5:7" ht="15.75" customHeight="1" x14ac:dyDescent="0.3">
      <c r="E84" s="427"/>
      <c r="G84" s="427"/>
    </row>
    <row r="85" spans="5:7" ht="15.75" customHeight="1" x14ac:dyDescent="0.3">
      <c r="E85" s="427"/>
      <c r="G85" s="427"/>
    </row>
    <row r="86" spans="5:7" ht="15.75" customHeight="1" x14ac:dyDescent="0.3">
      <c r="E86" s="427"/>
      <c r="G86" s="427"/>
    </row>
    <row r="87" spans="5:7" ht="15.75" customHeight="1" x14ac:dyDescent="0.3">
      <c r="E87" s="427"/>
      <c r="G87" s="427"/>
    </row>
    <row r="88" spans="5:7" ht="15.75" customHeight="1" x14ac:dyDescent="0.3">
      <c r="E88" s="427"/>
      <c r="G88" s="427"/>
    </row>
    <row r="89" spans="5:7" ht="15.75" customHeight="1" x14ac:dyDescent="0.3">
      <c r="E89" s="427"/>
      <c r="G89" s="427"/>
    </row>
    <row r="90" spans="5:7" ht="15.75" customHeight="1" x14ac:dyDescent="0.3">
      <c r="E90" s="427"/>
      <c r="G90" s="427"/>
    </row>
    <row r="91" spans="5:7" ht="15.75" customHeight="1" x14ac:dyDescent="0.3">
      <c r="E91" s="427"/>
      <c r="G91" s="427"/>
    </row>
    <row r="92" spans="5:7" ht="15.75" customHeight="1" x14ac:dyDescent="0.3">
      <c r="E92" s="427"/>
      <c r="G92" s="427"/>
    </row>
    <row r="93" spans="5:7" ht="15.75" customHeight="1" x14ac:dyDescent="0.3">
      <c r="E93" s="427"/>
      <c r="G93" s="427"/>
    </row>
    <row r="94" spans="5:7" ht="15.75" customHeight="1" x14ac:dyDescent="0.3">
      <c r="E94" s="427"/>
      <c r="G94" s="427"/>
    </row>
    <row r="95" spans="5:7" ht="15.75" customHeight="1" x14ac:dyDescent="0.3">
      <c r="E95" s="427"/>
      <c r="G95" s="427"/>
    </row>
    <row r="96" spans="5:7" ht="15.75" customHeight="1" x14ac:dyDescent="0.3">
      <c r="E96" s="427"/>
      <c r="G96" s="427"/>
    </row>
    <row r="97" spans="5:7" ht="15.75" customHeight="1" x14ac:dyDescent="0.3">
      <c r="E97" s="427"/>
      <c r="G97" s="427"/>
    </row>
    <row r="98" spans="5:7" ht="15.75" customHeight="1" x14ac:dyDescent="0.3">
      <c r="E98" s="427"/>
      <c r="G98" s="427"/>
    </row>
    <row r="99" spans="5:7" ht="15.75" customHeight="1" x14ac:dyDescent="0.3">
      <c r="E99" s="427"/>
      <c r="G99" s="427"/>
    </row>
    <row r="100" spans="5:7" ht="15.75" customHeight="1" x14ac:dyDescent="0.3">
      <c r="E100" s="427"/>
      <c r="G100" s="427"/>
    </row>
    <row r="101" spans="5:7" ht="15.75" customHeight="1" x14ac:dyDescent="0.3">
      <c r="E101" s="427"/>
      <c r="G101" s="427"/>
    </row>
    <row r="102" spans="5:7" ht="15.75" customHeight="1" x14ac:dyDescent="0.3">
      <c r="E102" s="427"/>
      <c r="G102" s="427"/>
    </row>
    <row r="103" spans="5:7" ht="15.75" customHeight="1" x14ac:dyDescent="0.3">
      <c r="E103" s="427"/>
      <c r="G103" s="427"/>
    </row>
    <row r="104" spans="5:7" ht="15.75" customHeight="1" x14ac:dyDescent="0.3">
      <c r="E104" s="427"/>
      <c r="G104" s="427"/>
    </row>
    <row r="105" spans="5:7" ht="15.75" customHeight="1" x14ac:dyDescent="0.3">
      <c r="E105" s="427"/>
      <c r="G105" s="427"/>
    </row>
    <row r="106" spans="5:7" ht="15.75" customHeight="1" x14ac:dyDescent="0.3">
      <c r="E106" s="427"/>
      <c r="G106" s="427"/>
    </row>
    <row r="107" spans="5:7" ht="15.75" customHeight="1" x14ac:dyDescent="0.3">
      <c r="E107" s="427"/>
      <c r="G107" s="427"/>
    </row>
    <row r="108" spans="5:7" ht="15.75" customHeight="1" x14ac:dyDescent="0.3">
      <c r="E108" s="427"/>
      <c r="G108" s="427"/>
    </row>
    <row r="109" spans="5:7" ht="15.75" customHeight="1" x14ac:dyDescent="0.3">
      <c r="E109" s="427"/>
      <c r="G109" s="427"/>
    </row>
    <row r="110" spans="5:7" ht="15.75" customHeight="1" x14ac:dyDescent="0.3">
      <c r="E110" s="427"/>
      <c r="G110" s="427"/>
    </row>
    <row r="111" spans="5:7" ht="15.75" customHeight="1" x14ac:dyDescent="0.3">
      <c r="E111" s="427"/>
      <c r="G111" s="427"/>
    </row>
    <row r="112" spans="5:7" ht="15.75" customHeight="1" x14ac:dyDescent="0.3">
      <c r="E112" s="427"/>
      <c r="G112" s="427"/>
    </row>
    <row r="113" spans="5:7" ht="15.75" customHeight="1" x14ac:dyDescent="0.3">
      <c r="E113" s="427"/>
      <c r="G113" s="427"/>
    </row>
    <row r="114" spans="5:7" ht="15.75" customHeight="1" x14ac:dyDescent="0.3">
      <c r="E114" s="427"/>
      <c r="G114" s="427"/>
    </row>
    <row r="115" spans="5:7" ht="15.75" customHeight="1" x14ac:dyDescent="0.3">
      <c r="E115" s="427"/>
      <c r="G115" s="427"/>
    </row>
    <row r="116" spans="5:7" ht="15.75" customHeight="1" x14ac:dyDescent="0.3">
      <c r="E116" s="427"/>
      <c r="G116" s="427"/>
    </row>
    <row r="117" spans="5:7" ht="15.75" customHeight="1" x14ac:dyDescent="0.3">
      <c r="E117" s="427"/>
      <c r="G117" s="427"/>
    </row>
    <row r="118" spans="5:7" ht="15.75" customHeight="1" x14ac:dyDescent="0.3">
      <c r="E118" s="427"/>
      <c r="G118" s="427"/>
    </row>
    <row r="119" spans="5:7" ht="15.75" customHeight="1" x14ac:dyDescent="0.3">
      <c r="E119" s="427"/>
      <c r="G119" s="427"/>
    </row>
    <row r="120" spans="5:7" ht="15.75" customHeight="1" x14ac:dyDescent="0.3">
      <c r="E120" s="427"/>
      <c r="G120" s="427"/>
    </row>
    <row r="121" spans="5:7" ht="15.75" customHeight="1" x14ac:dyDescent="0.3">
      <c r="E121" s="427"/>
      <c r="G121" s="427"/>
    </row>
    <row r="122" spans="5:7" ht="15.75" customHeight="1" x14ac:dyDescent="0.3">
      <c r="E122" s="427"/>
      <c r="G122" s="427"/>
    </row>
    <row r="123" spans="5:7" ht="15.75" customHeight="1" x14ac:dyDescent="0.3">
      <c r="E123" s="427"/>
      <c r="G123" s="427"/>
    </row>
    <row r="124" spans="5:7" ht="15.75" customHeight="1" x14ac:dyDescent="0.3">
      <c r="E124" s="427"/>
      <c r="G124" s="427"/>
    </row>
    <row r="125" spans="5:7" ht="15.75" customHeight="1" x14ac:dyDescent="0.3">
      <c r="E125" s="427"/>
      <c r="G125" s="427"/>
    </row>
    <row r="126" spans="5:7" ht="15.75" customHeight="1" x14ac:dyDescent="0.3">
      <c r="E126" s="427"/>
      <c r="G126" s="427"/>
    </row>
    <row r="127" spans="5:7" ht="15.75" customHeight="1" x14ac:dyDescent="0.3">
      <c r="E127" s="427"/>
      <c r="G127" s="427"/>
    </row>
    <row r="128" spans="5:7" ht="15.75" customHeight="1" x14ac:dyDescent="0.3">
      <c r="E128" s="427"/>
      <c r="G128" s="427"/>
    </row>
    <row r="129" spans="5:7" ht="15.75" customHeight="1" x14ac:dyDescent="0.3">
      <c r="E129" s="427"/>
      <c r="G129" s="427"/>
    </row>
    <row r="130" spans="5:7" ht="15.75" customHeight="1" x14ac:dyDescent="0.3">
      <c r="E130" s="427"/>
      <c r="G130" s="427"/>
    </row>
    <row r="131" spans="5:7" ht="15.75" customHeight="1" x14ac:dyDescent="0.3">
      <c r="E131" s="427"/>
      <c r="G131" s="427"/>
    </row>
    <row r="132" spans="5:7" ht="15.75" customHeight="1" x14ac:dyDescent="0.3">
      <c r="E132" s="427"/>
      <c r="G132" s="427"/>
    </row>
    <row r="133" spans="5:7" ht="15.75" customHeight="1" x14ac:dyDescent="0.3">
      <c r="E133" s="427"/>
      <c r="G133" s="427"/>
    </row>
    <row r="134" spans="5:7" ht="15.75" customHeight="1" x14ac:dyDescent="0.3">
      <c r="E134" s="427"/>
      <c r="G134" s="427"/>
    </row>
    <row r="135" spans="5:7" ht="15.75" customHeight="1" x14ac:dyDescent="0.3">
      <c r="E135" s="427"/>
      <c r="G135" s="427"/>
    </row>
    <row r="136" spans="5:7" ht="15.75" customHeight="1" x14ac:dyDescent="0.3">
      <c r="E136" s="427"/>
      <c r="G136" s="427"/>
    </row>
    <row r="137" spans="5:7" ht="15.75" customHeight="1" x14ac:dyDescent="0.3">
      <c r="E137" s="427"/>
      <c r="G137" s="427"/>
    </row>
    <row r="138" spans="5:7" ht="15.75" customHeight="1" x14ac:dyDescent="0.3">
      <c r="E138" s="427"/>
      <c r="G138" s="427"/>
    </row>
    <row r="139" spans="5:7" ht="15.75" customHeight="1" x14ac:dyDescent="0.3">
      <c r="E139" s="427"/>
      <c r="G139" s="427"/>
    </row>
    <row r="140" spans="5:7" ht="15.75" customHeight="1" x14ac:dyDescent="0.3">
      <c r="E140" s="427"/>
      <c r="G140" s="427"/>
    </row>
    <row r="141" spans="5:7" ht="15.75" customHeight="1" x14ac:dyDescent="0.3">
      <c r="E141" s="427"/>
      <c r="G141" s="427"/>
    </row>
    <row r="142" spans="5:7" ht="15.75" customHeight="1" x14ac:dyDescent="0.3">
      <c r="E142" s="427"/>
      <c r="G142" s="427"/>
    </row>
    <row r="143" spans="5:7" ht="15.75" customHeight="1" x14ac:dyDescent="0.3">
      <c r="E143" s="427"/>
      <c r="G143" s="427"/>
    </row>
    <row r="144" spans="5:7" ht="15.75" customHeight="1" x14ac:dyDescent="0.3">
      <c r="E144" s="427"/>
      <c r="G144" s="427"/>
    </row>
    <row r="145" spans="5:7" ht="15.75" customHeight="1" x14ac:dyDescent="0.3">
      <c r="E145" s="427"/>
      <c r="G145" s="427"/>
    </row>
    <row r="146" spans="5:7" ht="15.75" customHeight="1" x14ac:dyDescent="0.3">
      <c r="E146" s="427"/>
      <c r="G146" s="427"/>
    </row>
    <row r="147" spans="5:7" ht="15.75" customHeight="1" x14ac:dyDescent="0.3">
      <c r="E147" s="427"/>
      <c r="G147" s="427"/>
    </row>
    <row r="148" spans="5:7" ht="15.75" customHeight="1" x14ac:dyDescent="0.3">
      <c r="E148" s="427"/>
      <c r="G148" s="427"/>
    </row>
    <row r="149" spans="5:7" ht="15.75" customHeight="1" x14ac:dyDescent="0.3">
      <c r="E149" s="427"/>
      <c r="G149" s="427"/>
    </row>
    <row r="150" spans="5:7" ht="15.75" customHeight="1" x14ac:dyDescent="0.3">
      <c r="E150" s="427"/>
      <c r="G150" s="427"/>
    </row>
    <row r="151" spans="5:7" ht="15.75" customHeight="1" x14ac:dyDescent="0.3">
      <c r="E151" s="427"/>
      <c r="G151" s="427"/>
    </row>
    <row r="152" spans="5:7" ht="15.75" customHeight="1" x14ac:dyDescent="0.3">
      <c r="E152" s="427"/>
      <c r="G152" s="427"/>
    </row>
    <row r="153" spans="5:7" ht="15.75" customHeight="1" x14ac:dyDescent="0.3">
      <c r="E153" s="427"/>
      <c r="G153" s="427"/>
    </row>
    <row r="154" spans="5:7" ht="15.75" customHeight="1" x14ac:dyDescent="0.3">
      <c r="E154" s="427"/>
      <c r="G154" s="427"/>
    </row>
    <row r="155" spans="5:7" ht="15.75" customHeight="1" x14ac:dyDescent="0.3">
      <c r="E155" s="427"/>
      <c r="G155" s="427"/>
    </row>
    <row r="156" spans="5:7" ht="15.75" customHeight="1" x14ac:dyDescent="0.3">
      <c r="E156" s="427"/>
      <c r="G156" s="427"/>
    </row>
    <row r="157" spans="5:7" ht="15.75" customHeight="1" x14ac:dyDescent="0.3">
      <c r="E157" s="427"/>
      <c r="G157" s="427"/>
    </row>
    <row r="158" spans="5:7" ht="15.75" customHeight="1" x14ac:dyDescent="0.3">
      <c r="E158" s="427"/>
      <c r="G158" s="427"/>
    </row>
    <row r="159" spans="5:7" ht="15.75" customHeight="1" x14ac:dyDescent="0.3">
      <c r="E159" s="427"/>
      <c r="G159" s="427"/>
    </row>
    <row r="160" spans="5:7" ht="15.75" customHeight="1" x14ac:dyDescent="0.3">
      <c r="E160" s="427"/>
      <c r="G160" s="427"/>
    </row>
    <row r="161" spans="5:7" ht="15.75" customHeight="1" x14ac:dyDescent="0.3">
      <c r="E161" s="427"/>
      <c r="G161" s="427"/>
    </row>
    <row r="162" spans="5:7" ht="15.75" customHeight="1" x14ac:dyDescent="0.3">
      <c r="E162" s="427"/>
      <c r="G162" s="427"/>
    </row>
    <row r="163" spans="5:7" ht="15.75" customHeight="1" x14ac:dyDescent="0.3">
      <c r="E163" s="427"/>
      <c r="G163" s="427"/>
    </row>
    <row r="164" spans="5:7" ht="15.75" customHeight="1" x14ac:dyDescent="0.3">
      <c r="E164" s="427"/>
      <c r="G164" s="427"/>
    </row>
    <row r="165" spans="5:7" ht="15.75" customHeight="1" x14ac:dyDescent="0.3">
      <c r="E165" s="427"/>
      <c r="G165" s="427"/>
    </row>
    <row r="166" spans="5:7" ht="15.75" customHeight="1" x14ac:dyDescent="0.3">
      <c r="E166" s="427"/>
      <c r="G166" s="427"/>
    </row>
    <row r="167" spans="5:7" ht="15.75" customHeight="1" x14ac:dyDescent="0.3">
      <c r="E167" s="427"/>
      <c r="G167" s="427"/>
    </row>
    <row r="168" spans="5:7" ht="15.75" customHeight="1" x14ac:dyDescent="0.3">
      <c r="E168" s="427"/>
      <c r="G168" s="427"/>
    </row>
    <row r="169" spans="5:7" ht="15.75" customHeight="1" x14ac:dyDescent="0.3">
      <c r="E169" s="427"/>
      <c r="G169" s="427"/>
    </row>
    <row r="170" spans="5:7" ht="15.75" customHeight="1" x14ac:dyDescent="0.3">
      <c r="E170" s="427"/>
      <c r="G170" s="427"/>
    </row>
    <row r="171" spans="5:7" ht="15.75" customHeight="1" x14ac:dyDescent="0.3">
      <c r="E171" s="427"/>
      <c r="G171" s="427"/>
    </row>
    <row r="172" spans="5:7" ht="15.75" customHeight="1" x14ac:dyDescent="0.3">
      <c r="E172" s="427"/>
      <c r="G172" s="427"/>
    </row>
    <row r="173" spans="5:7" ht="15.75" customHeight="1" x14ac:dyDescent="0.3">
      <c r="E173" s="427"/>
      <c r="G173" s="427"/>
    </row>
    <row r="174" spans="5:7" ht="15.75" customHeight="1" x14ac:dyDescent="0.3">
      <c r="E174" s="427"/>
      <c r="G174" s="427"/>
    </row>
    <row r="175" spans="5:7" ht="15.75" customHeight="1" x14ac:dyDescent="0.3">
      <c r="E175" s="427"/>
      <c r="G175" s="427"/>
    </row>
    <row r="176" spans="5:7" ht="15.75" customHeight="1" x14ac:dyDescent="0.3">
      <c r="E176" s="427"/>
      <c r="G176" s="427"/>
    </row>
    <row r="177" spans="5:7" ht="15.75" customHeight="1" x14ac:dyDescent="0.3">
      <c r="E177" s="427"/>
      <c r="G177" s="427"/>
    </row>
    <row r="178" spans="5:7" ht="15.75" customHeight="1" x14ac:dyDescent="0.3">
      <c r="E178" s="427"/>
      <c r="G178" s="427"/>
    </row>
    <row r="179" spans="5:7" ht="15.75" customHeight="1" x14ac:dyDescent="0.3">
      <c r="E179" s="427"/>
      <c r="G179" s="427"/>
    </row>
    <row r="180" spans="5:7" ht="15.75" customHeight="1" x14ac:dyDescent="0.3">
      <c r="E180" s="427"/>
      <c r="G180" s="427"/>
    </row>
    <row r="181" spans="5:7" ht="15.75" customHeight="1" x14ac:dyDescent="0.3">
      <c r="E181" s="427"/>
      <c r="G181" s="427"/>
    </row>
    <row r="182" spans="5:7" ht="15.75" customHeight="1" x14ac:dyDescent="0.3">
      <c r="E182" s="427"/>
      <c r="G182" s="427"/>
    </row>
    <row r="183" spans="5:7" ht="15.75" customHeight="1" x14ac:dyDescent="0.3">
      <c r="E183" s="427"/>
      <c r="G183" s="427"/>
    </row>
    <row r="184" spans="5:7" ht="15.75" customHeight="1" x14ac:dyDescent="0.3">
      <c r="E184" s="427"/>
      <c r="G184" s="427"/>
    </row>
    <row r="185" spans="5:7" ht="15.75" customHeight="1" x14ac:dyDescent="0.3">
      <c r="E185" s="427"/>
      <c r="G185" s="427"/>
    </row>
    <row r="186" spans="5:7" ht="15.75" customHeight="1" x14ac:dyDescent="0.3">
      <c r="E186" s="427"/>
      <c r="G186" s="427"/>
    </row>
    <row r="187" spans="5:7" ht="15.75" customHeight="1" x14ac:dyDescent="0.3">
      <c r="E187" s="427"/>
      <c r="G187" s="427"/>
    </row>
    <row r="188" spans="5:7" ht="15.75" customHeight="1" x14ac:dyDescent="0.3">
      <c r="E188" s="427"/>
      <c r="G188" s="427"/>
    </row>
    <row r="189" spans="5:7" ht="15.75" customHeight="1" x14ac:dyDescent="0.3">
      <c r="E189" s="427"/>
      <c r="G189" s="427"/>
    </row>
    <row r="190" spans="5:7" ht="15.75" customHeight="1" x14ac:dyDescent="0.3">
      <c r="E190" s="427"/>
      <c r="G190" s="427"/>
    </row>
    <row r="191" spans="5:7" ht="15.75" customHeight="1" x14ac:dyDescent="0.3">
      <c r="E191" s="427"/>
      <c r="G191" s="427"/>
    </row>
    <row r="192" spans="5:7" ht="15.75" customHeight="1" x14ac:dyDescent="0.3">
      <c r="E192" s="427"/>
      <c r="G192" s="427"/>
    </row>
    <row r="193" spans="5:7" ht="15.75" customHeight="1" x14ac:dyDescent="0.3">
      <c r="E193" s="427"/>
      <c r="G193" s="427"/>
    </row>
    <row r="194" spans="5:7" ht="15.75" customHeight="1" x14ac:dyDescent="0.3">
      <c r="E194" s="427"/>
      <c r="G194" s="427"/>
    </row>
    <row r="195" spans="5:7" ht="15.75" customHeight="1" x14ac:dyDescent="0.3">
      <c r="E195" s="427"/>
      <c r="G195" s="427"/>
    </row>
    <row r="196" spans="5:7" ht="15.75" customHeight="1" x14ac:dyDescent="0.3">
      <c r="E196" s="427"/>
      <c r="G196" s="427"/>
    </row>
    <row r="197" spans="5:7" ht="15.75" customHeight="1" x14ac:dyDescent="0.3">
      <c r="E197" s="427"/>
      <c r="G197" s="427"/>
    </row>
    <row r="198" spans="5:7" ht="15.75" customHeight="1" x14ac:dyDescent="0.3">
      <c r="E198" s="427"/>
      <c r="G198" s="427"/>
    </row>
    <row r="199" spans="5:7" ht="15.75" customHeight="1" x14ac:dyDescent="0.3">
      <c r="E199" s="427"/>
      <c r="G199" s="427"/>
    </row>
    <row r="200" spans="5:7" ht="15.75" customHeight="1" x14ac:dyDescent="0.3">
      <c r="E200" s="427"/>
      <c r="G200" s="427"/>
    </row>
    <row r="201" spans="5:7" ht="15.75" customHeight="1" x14ac:dyDescent="0.3">
      <c r="E201" s="427"/>
      <c r="G201" s="427"/>
    </row>
    <row r="202" spans="5:7" ht="15.75" customHeight="1" x14ac:dyDescent="0.3">
      <c r="E202" s="427"/>
      <c r="G202" s="427"/>
    </row>
    <row r="203" spans="5:7" ht="15.75" customHeight="1" x14ac:dyDescent="0.3">
      <c r="E203" s="427"/>
      <c r="G203" s="427"/>
    </row>
    <row r="204" spans="5:7" ht="15.75" customHeight="1" x14ac:dyDescent="0.3">
      <c r="E204" s="427"/>
      <c r="G204" s="427"/>
    </row>
    <row r="205" spans="5:7" ht="15.75" customHeight="1" x14ac:dyDescent="0.3">
      <c r="E205" s="427"/>
      <c r="G205" s="427"/>
    </row>
    <row r="206" spans="5:7" ht="15.75" customHeight="1" x14ac:dyDescent="0.3">
      <c r="E206" s="427"/>
      <c r="G206" s="427"/>
    </row>
    <row r="207" spans="5:7" ht="15.75" customHeight="1" x14ac:dyDescent="0.3">
      <c r="E207" s="427"/>
      <c r="G207" s="427"/>
    </row>
    <row r="208" spans="5:7" ht="15.75" customHeight="1" x14ac:dyDescent="0.3">
      <c r="E208" s="427"/>
      <c r="G208" s="427"/>
    </row>
    <row r="209" spans="5:7" ht="15.75" customHeight="1" x14ac:dyDescent="0.3">
      <c r="E209" s="427"/>
      <c r="G209" s="427"/>
    </row>
    <row r="210" spans="5:7" ht="15.75" customHeight="1" x14ac:dyDescent="0.3">
      <c r="E210" s="427"/>
      <c r="G210" s="427"/>
    </row>
    <row r="211" spans="5:7" ht="15.75" customHeight="1" x14ac:dyDescent="0.3">
      <c r="E211" s="427"/>
      <c r="G211" s="427"/>
    </row>
    <row r="212" spans="5:7" ht="15.75" customHeight="1" x14ac:dyDescent="0.3">
      <c r="E212" s="427"/>
      <c r="G212" s="427"/>
    </row>
    <row r="213" spans="5:7" ht="15.75" customHeight="1" x14ac:dyDescent="0.3">
      <c r="E213" s="427"/>
      <c r="G213" s="427"/>
    </row>
    <row r="214" spans="5:7" ht="15.75" customHeight="1" x14ac:dyDescent="0.3">
      <c r="E214" s="427"/>
      <c r="G214" s="427"/>
    </row>
    <row r="215" spans="5:7" ht="15.75" customHeight="1" x14ac:dyDescent="0.3">
      <c r="E215" s="427"/>
      <c r="G215" s="427"/>
    </row>
    <row r="216" spans="5:7" ht="15.75" customHeight="1" x14ac:dyDescent="0.3">
      <c r="E216" s="427"/>
      <c r="G216" s="427"/>
    </row>
    <row r="217" spans="5:7" ht="15.75" customHeight="1" x14ac:dyDescent="0.3">
      <c r="E217" s="427"/>
      <c r="G217" s="427"/>
    </row>
    <row r="218" spans="5:7" ht="15.75" customHeight="1" x14ac:dyDescent="0.3">
      <c r="E218" s="427"/>
      <c r="G218" s="427"/>
    </row>
    <row r="219" spans="5:7" ht="15.75" customHeight="1" x14ac:dyDescent="0.3">
      <c r="E219" s="427"/>
      <c r="G219" s="427"/>
    </row>
    <row r="220" spans="5:7" ht="15.75" customHeight="1" x14ac:dyDescent="0.3">
      <c r="E220" s="427"/>
      <c r="G220" s="427"/>
    </row>
    <row r="221" spans="5:7" ht="15.75" customHeight="1" x14ac:dyDescent="0.3">
      <c r="E221" s="427"/>
      <c r="G221" s="427"/>
    </row>
    <row r="222" spans="5:7" ht="15.75" customHeight="1" x14ac:dyDescent="0.3">
      <c r="E222" s="427"/>
      <c r="G222" s="427"/>
    </row>
    <row r="223" spans="5:7" ht="15.75" customHeight="1" x14ac:dyDescent="0.3">
      <c r="E223" s="427"/>
      <c r="G223" s="427"/>
    </row>
    <row r="224" spans="5:7" ht="15.75" customHeight="1" x14ac:dyDescent="0.3">
      <c r="E224" s="427"/>
      <c r="G224" s="427"/>
    </row>
    <row r="225" spans="5:7" ht="15.75" customHeight="1" x14ac:dyDescent="0.3">
      <c r="E225" s="427"/>
      <c r="G225" s="427"/>
    </row>
    <row r="226" spans="5:7" ht="15.75" customHeight="1" x14ac:dyDescent="0.3">
      <c r="E226" s="427"/>
      <c r="G226" s="427"/>
    </row>
    <row r="227" spans="5:7" ht="15.75" customHeight="1" x14ac:dyDescent="0.3">
      <c r="E227" s="427"/>
      <c r="G227" s="427"/>
    </row>
    <row r="228" spans="5:7" ht="15.75" customHeight="1" x14ac:dyDescent="0.3">
      <c r="E228" s="427"/>
      <c r="G228" s="427"/>
    </row>
    <row r="229" spans="5:7" ht="15.75" customHeight="1" x14ac:dyDescent="0.3">
      <c r="E229" s="427"/>
      <c r="G229" s="427"/>
    </row>
    <row r="230" spans="5:7" ht="15.75" customHeight="1" x14ac:dyDescent="0.3">
      <c r="E230" s="427"/>
      <c r="G230" s="427"/>
    </row>
    <row r="231" spans="5:7" ht="15.75" customHeight="1" x14ac:dyDescent="0.3">
      <c r="E231" s="427"/>
      <c r="G231" s="427"/>
    </row>
    <row r="232" spans="5:7" ht="15.75" customHeight="1" x14ac:dyDescent="0.3">
      <c r="E232" s="427"/>
      <c r="G232" s="427"/>
    </row>
    <row r="233" spans="5:7" ht="15.75" customHeight="1" x14ac:dyDescent="0.3">
      <c r="E233" s="427"/>
      <c r="G233" s="427"/>
    </row>
    <row r="234" spans="5:7" ht="15.75" customHeight="1" x14ac:dyDescent="0.3">
      <c r="E234" s="427"/>
      <c r="G234" s="427"/>
    </row>
    <row r="235" spans="5:7" ht="15.75" customHeight="1" x14ac:dyDescent="0.3">
      <c r="E235" s="427"/>
      <c r="G235" s="427"/>
    </row>
    <row r="236" spans="5:7" ht="15.75" customHeight="1" x14ac:dyDescent="0.3">
      <c r="E236" s="427"/>
      <c r="G236" s="427"/>
    </row>
    <row r="237" spans="5:7" ht="15.75" customHeight="1" x14ac:dyDescent="0.3">
      <c r="E237" s="427"/>
      <c r="G237" s="427"/>
    </row>
    <row r="238" spans="5:7" ht="15.75" customHeight="1" x14ac:dyDescent="0.3">
      <c r="E238" s="427"/>
      <c r="G238" s="427"/>
    </row>
    <row r="239" spans="5:7" ht="15.75" customHeight="1" x14ac:dyDescent="0.3">
      <c r="E239" s="427"/>
      <c r="G239" s="427"/>
    </row>
    <row r="240" spans="5:7" ht="15.75" customHeight="1" x14ac:dyDescent="0.3">
      <c r="E240" s="427"/>
      <c r="G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C7:D7"/>
  </mergeCells>
  <dataValidations count="1">
    <dataValidation type="list" allowBlank="1" showErrorMessage="1" sqref="B17 B22" xr:uid="{7C79D623-D18C-4957-BED4-C52B5B9E49BF}">
      <formula1>$B$35:$B$40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7D60F-E397-47B8-9797-3202F5330639}">
  <dimension ref="A1:AD886"/>
  <sheetViews>
    <sheetView topLeftCell="A12" workbookViewId="0">
      <selection activeCell="F6" sqref="F6"/>
    </sheetView>
  </sheetViews>
  <sheetFormatPr defaultColWidth="12.44140625" defaultRowHeight="15" customHeight="1" x14ac:dyDescent="0.3"/>
  <cols>
    <col min="1" max="1" width="2.6640625" style="428" customWidth="1"/>
    <col min="2" max="2" width="5.109375" style="428" customWidth="1"/>
    <col min="3" max="3" width="58.77734375" style="428" customWidth="1"/>
    <col min="4" max="4" width="50.88671875" style="428" customWidth="1"/>
    <col min="5" max="5" width="8.88671875" style="428" customWidth="1"/>
    <col min="6" max="6" width="39.21875" style="428" customWidth="1"/>
    <col min="7" max="7" width="12.77734375" style="428" customWidth="1"/>
    <col min="8" max="8" width="12.77734375" style="428" hidden="1" customWidth="1"/>
    <col min="9" max="12" width="12.77734375" style="428" customWidth="1"/>
    <col min="13" max="26" width="11.5546875" style="428" customWidth="1"/>
    <col min="27" max="30" width="11.6640625" style="428" customWidth="1"/>
    <col min="31" max="16384" width="12.44140625" style="428"/>
  </cols>
  <sheetData>
    <row r="1" spans="1:30" ht="23.25" customHeight="1" x14ac:dyDescent="0.35">
      <c r="A1" s="513"/>
      <c r="B1" s="514" t="s">
        <v>2339</v>
      </c>
    </row>
    <row r="2" spans="1:30"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30" ht="15.75" customHeight="1" x14ac:dyDescent="0.3">
      <c r="B3" s="516"/>
    </row>
    <row r="4" spans="1:30" ht="19.2" customHeight="1" x14ac:dyDescent="0.3">
      <c r="B4" s="517" t="s">
        <v>1026</v>
      </c>
      <c r="C4" s="518"/>
      <c r="D4" s="518"/>
    </row>
    <row r="5" spans="1:30" ht="19.2" customHeight="1" x14ac:dyDescent="0.3">
      <c r="B5" s="517" t="s">
        <v>341</v>
      </c>
      <c r="C5" s="518"/>
      <c r="D5" s="518"/>
    </row>
    <row r="6" spans="1:30" ht="15.75" customHeight="1" x14ac:dyDescent="0.3">
      <c r="B6" s="516"/>
    </row>
    <row r="7" spans="1:30" ht="15.75" customHeight="1" x14ac:dyDescent="0.3">
      <c r="B7" s="519" t="s">
        <v>342</v>
      </c>
    </row>
    <row r="8" spans="1:30" ht="9" customHeight="1" x14ac:dyDescent="0.3">
      <c r="B8" s="520"/>
      <c r="G8" s="427"/>
      <c r="H8" s="427"/>
      <c r="I8" s="427"/>
      <c r="J8" s="427"/>
      <c r="K8" s="427"/>
      <c r="L8" s="427"/>
      <c r="Z8" s="427"/>
    </row>
    <row r="9" spans="1:30" ht="15.75" customHeight="1" x14ac:dyDescent="0.3">
      <c r="B9" s="521" t="s">
        <v>301</v>
      </c>
      <c r="C9" s="522" t="s">
        <v>343</v>
      </c>
      <c r="D9" s="523" t="s">
        <v>344</v>
      </c>
      <c r="E9" s="523" t="s">
        <v>345</v>
      </c>
      <c r="F9" s="523" t="s">
        <v>346</v>
      </c>
      <c r="G9" s="524" t="s">
        <v>347</v>
      </c>
      <c r="H9" s="525">
        <v>2025</v>
      </c>
      <c r="I9" s="525">
        <v>2024</v>
      </c>
      <c r="J9" s="525">
        <v>2023</v>
      </c>
      <c r="K9" s="525">
        <v>2022</v>
      </c>
      <c r="L9" s="525">
        <v>2021</v>
      </c>
      <c r="M9" s="525">
        <v>2020</v>
      </c>
      <c r="N9" s="525">
        <v>2019</v>
      </c>
      <c r="O9" s="526">
        <v>2018</v>
      </c>
      <c r="P9" s="526">
        <v>2017</v>
      </c>
      <c r="Q9" s="526">
        <v>2016</v>
      </c>
      <c r="R9" s="526">
        <v>2015</v>
      </c>
      <c r="S9" s="526">
        <v>2014</v>
      </c>
      <c r="T9" s="526">
        <v>2013</v>
      </c>
      <c r="U9" s="526">
        <v>2012</v>
      </c>
      <c r="V9" s="526">
        <v>2011</v>
      </c>
      <c r="W9" s="526">
        <v>2010</v>
      </c>
      <c r="X9" s="526">
        <v>2009</v>
      </c>
      <c r="Y9" s="526">
        <v>2008</v>
      </c>
      <c r="Z9" s="527" t="s">
        <v>332</v>
      </c>
    </row>
    <row r="10" spans="1:30" ht="31.2" customHeight="1" x14ac:dyDescent="0.3">
      <c r="A10" s="528"/>
      <c r="B10" s="529">
        <v>1</v>
      </c>
      <c r="C10" s="530" t="s">
        <v>348</v>
      </c>
      <c r="D10" s="533" t="s">
        <v>1262</v>
      </c>
      <c r="E10" s="532" t="s">
        <v>385</v>
      </c>
      <c r="F10" s="533"/>
      <c r="G10" s="534">
        <v>2008</v>
      </c>
      <c r="H10" s="535"/>
      <c r="I10" s="535">
        <v>95857</v>
      </c>
      <c r="J10" s="540">
        <v>13400</v>
      </c>
      <c r="K10" s="597">
        <v>59500</v>
      </c>
      <c r="L10" s="597">
        <v>29934</v>
      </c>
      <c r="M10" s="540">
        <v>11004</v>
      </c>
      <c r="N10" s="597">
        <v>75356</v>
      </c>
      <c r="O10" s="597">
        <v>87450</v>
      </c>
      <c r="P10" s="597">
        <v>46500</v>
      </c>
      <c r="Q10" s="597">
        <v>40940</v>
      </c>
      <c r="R10" s="597">
        <v>296731</v>
      </c>
      <c r="S10" s="597">
        <v>333136</v>
      </c>
      <c r="T10" s="597">
        <v>70388</v>
      </c>
      <c r="U10" s="542"/>
      <c r="V10" s="535"/>
      <c r="W10" s="542"/>
      <c r="X10" s="535"/>
      <c r="Y10" s="542"/>
      <c r="Z10" s="535"/>
      <c r="AA10" s="528"/>
      <c r="AB10" s="528"/>
      <c r="AC10" s="528"/>
      <c r="AD10" s="528"/>
    </row>
    <row r="11" spans="1:30" ht="24" customHeight="1" x14ac:dyDescent="0.3">
      <c r="A11" s="528"/>
      <c r="B11" s="529"/>
      <c r="C11" s="453" t="s">
        <v>374</v>
      </c>
      <c r="D11" s="453" t="s">
        <v>1263</v>
      </c>
      <c r="E11" s="543" t="s">
        <v>350</v>
      </c>
      <c r="F11" s="506" t="s">
        <v>1264</v>
      </c>
      <c r="G11" s="496"/>
      <c r="H11" s="544"/>
      <c r="I11" s="544">
        <f>I10/F12</f>
        <v>108928.40909090909</v>
      </c>
      <c r="J11" s="547">
        <v>15227.272727272728</v>
      </c>
      <c r="K11" s="599">
        <v>67613.64</v>
      </c>
      <c r="L11" s="599">
        <v>34015.910000000003</v>
      </c>
      <c r="M11" s="599">
        <v>12504.55</v>
      </c>
      <c r="N11" s="599">
        <v>85631.82</v>
      </c>
      <c r="O11" s="599">
        <v>99375</v>
      </c>
      <c r="P11" s="599">
        <v>52840.91</v>
      </c>
      <c r="Q11" s="599">
        <v>46522.73</v>
      </c>
      <c r="R11" s="599">
        <v>337194.32</v>
      </c>
      <c r="S11" s="599">
        <v>378563.64</v>
      </c>
      <c r="T11" s="599">
        <v>79986.36</v>
      </c>
      <c r="U11" s="548"/>
      <c r="V11" s="544"/>
      <c r="W11" s="548"/>
      <c r="X11" s="544"/>
      <c r="Y11" s="548"/>
      <c r="Z11" s="544"/>
      <c r="AA11" s="528"/>
      <c r="AB11" s="528"/>
      <c r="AC11" s="528"/>
      <c r="AD11" s="528"/>
    </row>
    <row r="12" spans="1:30" ht="30" customHeight="1" x14ac:dyDescent="0.3">
      <c r="A12" s="528"/>
      <c r="B12" s="529"/>
      <c r="C12" s="453"/>
      <c r="D12" s="453"/>
      <c r="E12" s="543"/>
      <c r="F12" s="2163">
        <v>0.88</v>
      </c>
      <c r="G12" s="496"/>
      <c r="H12" s="544"/>
      <c r="I12" s="544"/>
      <c r="J12" s="599"/>
      <c r="K12" s="599"/>
      <c r="L12" s="599"/>
      <c r="M12" s="599"/>
      <c r="N12" s="599"/>
      <c r="O12" s="599"/>
      <c r="P12" s="599"/>
      <c r="Q12" s="599"/>
      <c r="R12" s="599"/>
      <c r="S12" s="599"/>
      <c r="T12" s="599"/>
      <c r="U12" s="548"/>
      <c r="V12" s="544"/>
      <c r="W12" s="548"/>
      <c r="X12" s="544"/>
      <c r="Y12" s="548"/>
      <c r="Z12" s="544"/>
      <c r="AA12" s="528"/>
      <c r="AB12" s="528"/>
      <c r="AC12" s="528"/>
      <c r="AD12" s="528"/>
    </row>
    <row r="13" spans="1:30" ht="30" customHeight="1" x14ac:dyDescent="0.3">
      <c r="A13" s="528"/>
      <c r="B13" s="529"/>
      <c r="C13" s="1169" t="s">
        <v>374</v>
      </c>
      <c r="D13" s="1107" t="s">
        <v>1265</v>
      </c>
      <c r="E13" s="1170" t="s">
        <v>350</v>
      </c>
      <c r="F13" s="1107" t="s">
        <v>1266</v>
      </c>
      <c r="G13" s="1108"/>
      <c r="H13" s="544"/>
      <c r="I13" s="2194">
        <f>I11*25%</f>
        <v>27232.102272727272</v>
      </c>
      <c r="J13" s="2164">
        <v>3806.818181818182</v>
      </c>
      <c r="K13" s="2165">
        <v>16903.41</v>
      </c>
      <c r="L13" s="2165">
        <v>8503.9775000000009</v>
      </c>
      <c r="M13" s="2165">
        <v>3126.1374999999998</v>
      </c>
      <c r="N13" s="2165">
        <v>21407.95</v>
      </c>
      <c r="O13" s="2165">
        <v>24843.75</v>
      </c>
      <c r="P13" s="2165">
        <v>13210.23</v>
      </c>
      <c r="Q13" s="2165">
        <v>11630.68</v>
      </c>
      <c r="R13" s="2165">
        <v>84298.58</v>
      </c>
      <c r="S13" s="2165">
        <v>94640.91</v>
      </c>
      <c r="T13" s="2165">
        <v>19996.59</v>
      </c>
      <c r="U13" s="1111"/>
      <c r="V13" s="1110"/>
      <c r="W13" s="1111"/>
      <c r="X13" s="1110"/>
      <c r="Y13" s="1111"/>
      <c r="Z13" s="1110"/>
      <c r="AA13" s="528"/>
      <c r="AB13" s="528"/>
      <c r="AC13" s="528"/>
      <c r="AD13" s="528"/>
    </row>
    <row r="14" spans="1:30" ht="24" customHeight="1" x14ac:dyDescent="0.3">
      <c r="A14" s="528"/>
      <c r="B14" s="529">
        <v>2</v>
      </c>
      <c r="C14" s="453"/>
      <c r="D14" s="453" t="s">
        <v>1267</v>
      </c>
      <c r="E14" s="543" t="s">
        <v>363</v>
      </c>
      <c r="F14" s="506" t="s">
        <v>1268</v>
      </c>
      <c r="G14" s="496">
        <v>2008</v>
      </c>
      <c r="H14" s="550"/>
      <c r="I14" s="1704">
        <f>(N32*Z32)+(N33*Z33)</f>
        <v>2561.5709600000005</v>
      </c>
      <c r="J14" s="599">
        <v>2676.2909000000004</v>
      </c>
      <c r="K14" s="599"/>
      <c r="L14" s="599"/>
      <c r="M14" s="599"/>
      <c r="N14" s="599"/>
      <c r="O14" s="599"/>
      <c r="P14" s="599"/>
      <c r="Q14" s="599"/>
      <c r="R14" s="599"/>
      <c r="S14" s="599"/>
      <c r="T14" s="599"/>
      <c r="U14" s="600"/>
      <c r="V14" s="599"/>
      <c r="W14" s="600"/>
      <c r="X14" s="599"/>
      <c r="Y14" s="600"/>
      <c r="Z14" s="599"/>
      <c r="AA14" s="528"/>
      <c r="AB14" s="528"/>
      <c r="AC14" s="528"/>
      <c r="AD14" s="528"/>
    </row>
    <row r="15" spans="1:30" ht="24" customHeight="1" x14ac:dyDescent="0.3">
      <c r="A15" s="528"/>
      <c r="B15" s="529"/>
      <c r="C15" s="1169" t="s">
        <v>348</v>
      </c>
      <c r="D15" s="1169" t="s">
        <v>1267</v>
      </c>
      <c r="E15" s="1170" t="s">
        <v>363</v>
      </c>
      <c r="F15" s="1107" t="s">
        <v>1269</v>
      </c>
      <c r="G15" s="1108">
        <v>2008</v>
      </c>
      <c r="H15" s="544"/>
      <c r="I15" s="2194">
        <f>N31*Z31</f>
        <v>1275.2992000000002</v>
      </c>
      <c r="J15" s="2165">
        <v>718.86360000000002</v>
      </c>
      <c r="K15" s="2165">
        <v>3000.28</v>
      </c>
      <c r="L15" s="2165">
        <v>2954.04</v>
      </c>
      <c r="M15" s="2165">
        <v>2724.83</v>
      </c>
      <c r="N15" s="2165">
        <v>2906.99</v>
      </c>
      <c r="O15" s="2165">
        <v>2454.85</v>
      </c>
      <c r="P15" s="2165">
        <v>2197.5300000000002</v>
      </c>
      <c r="Q15" s="2165">
        <v>2254.06</v>
      </c>
      <c r="R15" s="2165">
        <v>1122.24</v>
      </c>
      <c r="S15" s="2165">
        <v>1166.97</v>
      </c>
      <c r="T15" s="2165">
        <v>463.01</v>
      </c>
      <c r="U15" s="1111"/>
      <c r="V15" s="1110"/>
      <c r="W15" s="1111"/>
      <c r="X15" s="1110"/>
      <c r="Y15" s="1111"/>
      <c r="Z15" s="1110"/>
      <c r="AA15" s="528"/>
      <c r="AB15" s="528"/>
      <c r="AC15" s="528"/>
      <c r="AD15" s="528"/>
    </row>
    <row r="16" spans="1:30" ht="24" customHeight="1" x14ac:dyDescent="0.3">
      <c r="A16" s="528"/>
      <c r="B16" s="529">
        <v>3</v>
      </c>
      <c r="C16" s="453" t="s">
        <v>348</v>
      </c>
      <c r="D16" s="453" t="s">
        <v>1270</v>
      </c>
      <c r="E16" s="543" t="s">
        <v>363</v>
      </c>
      <c r="F16" s="506"/>
      <c r="G16" s="595">
        <v>2008</v>
      </c>
      <c r="H16" s="550"/>
      <c r="I16" s="544"/>
      <c r="J16" s="599">
        <v>0</v>
      </c>
      <c r="K16" s="599">
        <v>0</v>
      </c>
      <c r="L16" s="599">
        <v>0</v>
      </c>
      <c r="M16" s="599">
        <v>0</v>
      </c>
      <c r="N16" s="599">
        <v>0</v>
      </c>
      <c r="O16" s="599">
        <v>0</v>
      </c>
      <c r="P16" s="599">
        <v>0</v>
      </c>
      <c r="Q16" s="599">
        <v>0</v>
      </c>
      <c r="R16" s="599">
        <v>26.3</v>
      </c>
      <c r="S16" s="599">
        <v>36.17</v>
      </c>
      <c r="T16" s="599">
        <v>9.35</v>
      </c>
      <c r="U16" s="548"/>
      <c r="V16" s="544"/>
      <c r="W16" s="548"/>
      <c r="X16" s="544"/>
      <c r="Y16" s="548"/>
      <c r="Z16" s="544"/>
      <c r="AA16" s="528"/>
      <c r="AB16" s="528"/>
      <c r="AC16" s="528"/>
      <c r="AD16" s="528"/>
    </row>
    <row r="17" spans="1:30" ht="24" customHeight="1" x14ac:dyDescent="0.3">
      <c r="A17" s="528"/>
      <c r="B17" s="552"/>
      <c r="C17" s="1179"/>
      <c r="D17" s="1179"/>
      <c r="E17" s="1180"/>
      <c r="F17" s="1112" t="s">
        <v>1271</v>
      </c>
      <c r="G17" s="1113"/>
      <c r="H17" s="556"/>
      <c r="I17" s="1115">
        <f>I14*D28</f>
        <v>4855.3040604224025</v>
      </c>
      <c r="J17" s="2166">
        <v>3710.3537106870745</v>
      </c>
      <c r="K17" s="2166"/>
      <c r="L17" s="2166"/>
      <c r="M17" s="2166"/>
      <c r="N17" s="2166"/>
      <c r="O17" s="2166"/>
      <c r="P17" s="2166"/>
      <c r="Q17" s="2166"/>
      <c r="R17" s="2166"/>
      <c r="S17" s="2166"/>
      <c r="T17" s="2166"/>
      <c r="U17" s="1116"/>
      <c r="V17" s="1115"/>
      <c r="W17" s="1116"/>
      <c r="X17" s="1115"/>
      <c r="Y17" s="1116"/>
      <c r="Z17" s="1115"/>
      <c r="AA17" s="528"/>
      <c r="AB17" s="528"/>
      <c r="AC17" s="528"/>
      <c r="AD17" s="528"/>
    </row>
    <row r="18" spans="1:30" ht="15.75" customHeight="1" x14ac:dyDescent="0.3">
      <c r="A18" s="528"/>
      <c r="B18" s="558"/>
      <c r="C18" s="528"/>
      <c r="D18" s="528"/>
      <c r="E18" s="528"/>
      <c r="F18" s="528"/>
      <c r="G18" s="479"/>
      <c r="H18" s="479"/>
      <c r="I18" s="479"/>
      <c r="J18" s="479"/>
      <c r="K18" s="479"/>
      <c r="L18" s="479"/>
      <c r="M18" s="559"/>
      <c r="N18" s="559"/>
      <c r="O18" s="559"/>
      <c r="P18" s="559"/>
      <c r="Q18" s="559"/>
      <c r="R18" s="559"/>
      <c r="S18" s="559"/>
      <c r="T18" s="559"/>
      <c r="U18" s="559"/>
      <c r="V18" s="559"/>
      <c r="W18" s="559"/>
      <c r="X18" s="559"/>
      <c r="Y18" s="559"/>
      <c r="Z18" s="559"/>
      <c r="AA18" s="528"/>
      <c r="AB18" s="528"/>
      <c r="AC18" s="528"/>
      <c r="AD18" s="528"/>
    </row>
    <row r="19" spans="1:30" ht="15.75" customHeight="1" x14ac:dyDescent="0.3">
      <c r="A19" s="528"/>
      <c r="B19" s="560" t="s">
        <v>355</v>
      </c>
      <c r="C19" s="561" t="s">
        <v>356</v>
      </c>
      <c r="D19" s="528"/>
      <c r="E19" s="528"/>
      <c r="F19" s="528"/>
      <c r="G19" s="479"/>
      <c r="H19" s="479"/>
      <c r="I19" s="479"/>
      <c r="J19" s="479"/>
      <c r="K19" s="479"/>
      <c r="L19" s="2167"/>
      <c r="M19" s="2167"/>
      <c r="N19" s="2167"/>
      <c r="O19" s="2167"/>
      <c r="P19" s="2167" t="s">
        <v>1272</v>
      </c>
      <c r="Q19" s="2167"/>
      <c r="R19" s="2167"/>
      <c r="S19" s="2167"/>
      <c r="T19" s="1286"/>
      <c r="U19" s="2167"/>
      <c r="V19" s="2168">
        <v>0.223</v>
      </c>
      <c r="W19" s="2167"/>
      <c r="X19" s="2167"/>
      <c r="Y19" s="2167"/>
      <c r="Z19" s="528"/>
      <c r="AA19" s="528"/>
      <c r="AB19" s="528"/>
      <c r="AC19" s="528"/>
      <c r="AD19" s="528"/>
    </row>
    <row r="20" spans="1:30" ht="15.75" customHeight="1" x14ac:dyDescent="0.3">
      <c r="A20" s="528"/>
      <c r="B20" s="558"/>
      <c r="C20" s="528"/>
      <c r="D20" s="528"/>
      <c r="E20" s="528"/>
      <c r="F20" s="528"/>
      <c r="G20" s="479"/>
      <c r="H20" s="479"/>
      <c r="I20" s="479"/>
      <c r="J20" s="479"/>
      <c r="K20" s="479"/>
      <c r="L20" s="2167"/>
      <c r="M20" s="2167"/>
      <c r="N20" s="2167"/>
      <c r="O20" s="2167"/>
      <c r="P20" s="2167" t="s">
        <v>1273</v>
      </c>
      <c r="Q20" s="2167"/>
      <c r="R20" s="2167"/>
      <c r="S20" s="2169">
        <v>0.77700000000000002</v>
      </c>
      <c r="T20" s="1286"/>
      <c r="U20" s="2167"/>
      <c r="V20" s="2167"/>
      <c r="W20" s="2167"/>
      <c r="X20" s="2167"/>
      <c r="Y20" s="2167"/>
      <c r="Z20" s="528"/>
      <c r="AA20" s="528"/>
      <c r="AB20" s="528"/>
      <c r="AC20" s="528"/>
      <c r="AD20" s="528"/>
    </row>
    <row r="21" spans="1:30" ht="15.75" customHeight="1" x14ac:dyDescent="0.3">
      <c r="A21" s="528"/>
      <c r="B21" s="4383" t="s">
        <v>357</v>
      </c>
      <c r="C21" s="4384"/>
      <c r="D21" s="528"/>
      <c r="E21" s="528"/>
      <c r="F21" s="528"/>
      <c r="G21" s="479"/>
      <c r="H21" s="479"/>
      <c r="I21" s="479"/>
      <c r="J21" s="479"/>
      <c r="K21" s="479"/>
      <c r="L21" s="2167"/>
      <c r="M21" s="2167"/>
      <c r="N21" s="2167"/>
      <c r="O21" s="2167"/>
      <c r="P21" s="2167"/>
      <c r="Q21" s="2167"/>
      <c r="R21" s="2167"/>
      <c r="S21" s="2167"/>
      <c r="T21" s="1286"/>
      <c r="U21" s="2167"/>
      <c r="V21" s="2167"/>
      <c r="W21" s="2167"/>
      <c r="X21" s="2167"/>
      <c r="Y21" s="2167"/>
      <c r="Z21" s="528"/>
      <c r="AA21" s="528"/>
      <c r="AB21" s="528"/>
      <c r="AC21" s="528"/>
      <c r="AD21" s="528"/>
    </row>
    <row r="22" spans="1:30" ht="15.75" customHeight="1" x14ac:dyDescent="0.3">
      <c r="A22" s="528"/>
      <c r="B22" s="562" t="s">
        <v>365</v>
      </c>
      <c r="C22" s="2170" t="s">
        <v>1274</v>
      </c>
      <c r="D22" s="528" t="s">
        <v>1275</v>
      </c>
      <c r="E22" s="528"/>
      <c r="F22" s="528"/>
      <c r="G22" s="479"/>
      <c r="H22" s="479"/>
      <c r="I22" s="479"/>
      <c r="J22" s="479"/>
      <c r="K22" s="479"/>
      <c r="L22" s="2167"/>
      <c r="M22" s="2167"/>
      <c r="N22" s="2167"/>
      <c r="O22" s="2167"/>
      <c r="P22" s="2171" t="s">
        <v>1276</v>
      </c>
      <c r="Q22" s="2171"/>
      <c r="R22" s="2171">
        <v>3.5182009999999999E-3</v>
      </c>
      <c r="S22" s="2167"/>
      <c r="T22" s="1286"/>
      <c r="U22" s="2167"/>
      <c r="V22" s="2167"/>
      <c r="W22" s="2167"/>
      <c r="X22" s="2167"/>
      <c r="Y22" s="2167"/>
      <c r="AA22" s="528"/>
      <c r="AB22" s="528"/>
      <c r="AC22" s="528"/>
      <c r="AD22" s="528"/>
    </row>
    <row r="23" spans="1:30" ht="15.75" customHeight="1" x14ac:dyDescent="0.3">
      <c r="C23" s="2172" t="s">
        <v>1277</v>
      </c>
      <c r="D23" s="428" t="s">
        <v>1278</v>
      </c>
      <c r="L23" s="2167"/>
      <c r="M23" s="2167"/>
      <c r="N23" s="2167"/>
      <c r="O23" s="2167"/>
      <c r="P23" s="2173" t="s">
        <v>1279</v>
      </c>
      <c r="Q23" s="2173"/>
      <c r="R23" s="2173">
        <v>7.8346500000000001E-4</v>
      </c>
      <c r="S23" s="1323"/>
      <c r="T23" s="1286"/>
      <c r="U23" s="2167"/>
      <c r="V23" s="2167"/>
      <c r="W23" s="2167"/>
      <c r="X23" s="2167"/>
      <c r="Y23" s="2167"/>
    </row>
    <row r="24" spans="1:30" ht="15.75" customHeight="1" x14ac:dyDescent="0.3">
      <c r="C24" s="1627" t="s">
        <v>1280</v>
      </c>
      <c r="D24" s="428" t="s">
        <v>1281</v>
      </c>
      <c r="L24" s="2167"/>
      <c r="M24" s="2167"/>
      <c r="N24" s="2167"/>
      <c r="O24" s="2167"/>
      <c r="P24" s="2167" t="s">
        <v>1282</v>
      </c>
      <c r="Q24" s="2174" t="s">
        <v>1283</v>
      </c>
      <c r="R24" s="2167"/>
      <c r="S24" s="1323"/>
      <c r="T24" s="1286"/>
      <c r="U24" s="2167"/>
      <c r="V24" s="2167"/>
      <c r="W24" s="2167"/>
      <c r="X24" s="2167"/>
      <c r="Y24" s="2167"/>
    </row>
    <row r="25" spans="1:30" ht="15.75" customHeight="1" x14ac:dyDescent="0.3">
      <c r="L25" s="2167"/>
      <c r="M25" s="2167"/>
      <c r="N25" s="2167"/>
      <c r="O25" s="2167"/>
      <c r="P25" s="1323"/>
      <c r="Q25" s="1323"/>
      <c r="R25" s="1323"/>
      <c r="S25" s="1323"/>
      <c r="T25" s="1323"/>
      <c r="U25" s="1323"/>
      <c r="V25" s="4425" t="s">
        <v>1284</v>
      </c>
      <c r="W25" s="4425"/>
      <c r="X25" s="4425"/>
      <c r="Y25" s="4425"/>
    </row>
    <row r="26" spans="1:30" ht="15.75" customHeight="1" x14ac:dyDescent="0.3">
      <c r="L26" s="2167"/>
      <c r="M26" s="2167"/>
      <c r="N26" s="2167"/>
      <c r="O26" s="2167"/>
      <c r="P26" s="1323"/>
      <c r="Q26" s="1323"/>
      <c r="R26" s="1323"/>
      <c r="S26" s="1323"/>
      <c r="T26" s="1323"/>
      <c r="U26" s="1323"/>
      <c r="V26" s="4425"/>
      <c r="W26" s="4425"/>
      <c r="X26" s="4425"/>
      <c r="Y26" s="4425"/>
    </row>
    <row r="27" spans="1:30" ht="15.75" customHeight="1" x14ac:dyDescent="0.3">
      <c r="L27" s="2167"/>
      <c r="M27" s="2167"/>
      <c r="N27" s="2167"/>
      <c r="O27" s="2167"/>
      <c r="P27" s="1323"/>
      <c r="Q27" s="1323"/>
      <c r="R27" s="1323"/>
      <c r="S27" s="1323"/>
      <c r="T27" s="1286"/>
      <c r="U27" s="2167"/>
      <c r="V27" s="4425"/>
      <c r="W27" s="4425"/>
      <c r="X27" s="4425"/>
      <c r="Y27" s="4425"/>
    </row>
    <row r="28" spans="1:30" ht="15.75" customHeight="1" x14ac:dyDescent="0.3">
      <c r="D28" s="428">
        <f>D29-D30</f>
        <v>1.8954400000000005</v>
      </c>
      <c r="L28" s="2167"/>
      <c r="M28" s="2167"/>
      <c r="N28" s="2167"/>
      <c r="O28" s="2167"/>
      <c r="P28" s="2167"/>
      <c r="Q28" s="1323"/>
      <c r="R28" s="1323"/>
      <c r="S28" s="1323"/>
      <c r="T28" s="1323"/>
      <c r="U28" s="1286"/>
      <c r="V28" s="2167"/>
      <c r="W28" s="2167"/>
      <c r="X28" s="2167"/>
      <c r="Y28" s="2167"/>
      <c r="Z28" s="2167"/>
    </row>
    <row r="29" spans="1:30" ht="15.75" customHeight="1" x14ac:dyDescent="0.3">
      <c r="B29" s="562" t="s">
        <v>546</v>
      </c>
      <c r="C29" s="428" t="s">
        <v>1285</v>
      </c>
      <c r="D29" s="428">
        <v>1.2452600000000003</v>
      </c>
      <c r="E29" s="428" t="s">
        <v>1286</v>
      </c>
      <c r="L29" s="4426" t="s">
        <v>1287</v>
      </c>
      <c r="M29" s="4426"/>
      <c r="N29" s="4426"/>
      <c r="O29" s="4426"/>
      <c r="P29" s="4426"/>
      <c r="Q29" s="4426"/>
      <c r="R29" s="4426"/>
      <c r="S29" s="4426"/>
      <c r="T29" s="4426"/>
      <c r="U29" s="4426"/>
      <c r="V29" s="4426"/>
      <c r="W29" s="1323"/>
      <c r="X29" s="2175" t="s">
        <v>1288</v>
      </c>
      <c r="Y29" s="2176"/>
      <c r="Z29" s="2167"/>
    </row>
    <row r="30" spans="1:30" ht="15.75" customHeight="1" x14ac:dyDescent="0.3">
      <c r="C30" s="428" t="s">
        <v>1289</v>
      </c>
      <c r="D30" s="428">
        <v>-0.6501800000000002</v>
      </c>
      <c r="E30" s="428" t="s">
        <v>1290</v>
      </c>
      <c r="L30" s="2177"/>
      <c r="M30" s="2171"/>
      <c r="N30" s="2178">
        <v>2024</v>
      </c>
      <c r="O30" s="2177">
        <v>2023</v>
      </c>
      <c r="P30" s="2177">
        <v>2022</v>
      </c>
      <c r="Q30" s="2177">
        <v>2021</v>
      </c>
      <c r="R30" s="2177">
        <v>2020</v>
      </c>
      <c r="S30" s="2177">
        <v>2019</v>
      </c>
      <c r="T30" s="2177">
        <v>2018</v>
      </c>
      <c r="U30" s="2177">
        <v>2017</v>
      </c>
      <c r="V30" s="2179">
        <v>2016</v>
      </c>
      <c r="W30" s="2180" t="s">
        <v>1291</v>
      </c>
      <c r="X30" s="2181" t="s">
        <v>1292</v>
      </c>
      <c r="Y30" s="2181" t="s">
        <v>1293</v>
      </c>
      <c r="Z30" s="2181" t="s">
        <v>1294</v>
      </c>
    </row>
    <row r="31" spans="1:30" ht="15.75" customHeight="1" x14ac:dyDescent="0.3">
      <c r="L31" s="2182"/>
      <c r="M31" s="2182"/>
      <c r="N31" s="2182">
        <v>4688.6000000000004</v>
      </c>
      <c r="O31" s="1286">
        <v>4608.1000000000004</v>
      </c>
      <c r="P31" s="2183">
        <v>4155.5</v>
      </c>
      <c r="Q31" s="2182">
        <v>4213.2</v>
      </c>
      <c r="R31" s="2182">
        <v>4556.7</v>
      </c>
      <c r="S31" s="2182">
        <v>4759.3999999999996</v>
      </c>
      <c r="T31" s="2182">
        <v>4988.3</v>
      </c>
      <c r="U31" s="2182">
        <v>3883.3</v>
      </c>
      <c r="V31" s="2182">
        <v>3607.7</v>
      </c>
      <c r="W31" s="2184" t="s">
        <v>1295</v>
      </c>
      <c r="X31" s="2185">
        <v>0.75</v>
      </c>
      <c r="Y31" s="2186">
        <v>1.022</v>
      </c>
      <c r="Z31" s="2187">
        <f>Y31-X31</f>
        <v>0.27200000000000002</v>
      </c>
    </row>
    <row r="32" spans="1:30" ht="15.75" customHeight="1" x14ac:dyDescent="0.3">
      <c r="C32" s="428" t="s">
        <v>1296</v>
      </c>
      <c r="D32" s="428">
        <v>0.22040996299999999</v>
      </c>
      <c r="L32" s="2182"/>
      <c r="M32" s="2182"/>
      <c r="N32" s="2182">
        <v>4200.5860000000002</v>
      </c>
      <c r="O32" s="1286">
        <v>4447.6000000000004</v>
      </c>
      <c r="P32" s="2183">
        <v>3784.8</v>
      </c>
      <c r="Q32" s="2188">
        <v>3766.1</v>
      </c>
      <c r="R32" s="2188">
        <v>3265</v>
      </c>
      <c r="S32" s="2182">
        <v>3527.8</v>
      </c>
      <c r="T32" s="2182">
        <v>2726.7</v>
      </c>
      <c r="U32" s="2182">
        <v>2585.8000000000002</v>
      </c>
      <c r="V32" s="2189">
        <v>2919.1</v>
      </c>
      <c r="W32" s="2184" t="s">
        <v>1297</v>
      </c>
      <c r="X32" s="2185">
        <v>0.52</v>
      </c>
      <c r="Y32" s="2185">
        <v>1.08</v>
      </c>
      <c r="Z32" s="2187">
        <v>0.56000000000000005</v>
      </c>
    </row>
    <row r="33" spans="3:26" ht="15.75" customHeight="1" x14ac:dyDescent="0.3">
      <c r="C33" s="428" t="s">
        <v>1298</v>
      </c>
      <c r="D33" s="428">
        <v>-0.16530747200000001</v>
      </c>
      <c r="L33" s="2182"/>
      <c r="M33" s="2182"/>
      <c r="N33" s="2182">
        <v>1367.6</v>
      </c>
      <c r="O33" s="1286">
        <v>1213.3</v>
      </c>
      <c r="P33" s="2183">
        <v>1519.8</v>
      </c>
      <c r="Q33" s="2182">
        <v>1227.22</v>
      </c>
      <c r="R33" s="2182">
        <v>1213</v>
      </c>
      <c r="S33" s="2182">
        <v>1235</v>
      </c>
      <c r="T33" s="2182">
        <v>978.6</v>
      </c>
      <c r="U33" s="2182">
        <v>939.1</v>
      </c>
      <c r="V33" s="2182">
        <v>369.7</v>
      </c>
      <c r="W33" s="2184" t="s">
        <v>1299</v>
      </c>
      <c r="X33" s="2185">
        <v>0.75</v>
      </c>
      <c r="Y33" s="2190">
        <v>0.90300000000000002</v>
      </c>
      <c r="Z33" s="2187">
        <v>0.153</v>
      </c>
    </row>
    <row r="34" spans="3:26" ht="15.75" customHeight="1" x14ac:dyDescent="0.3">
      <c r="L34" s="2182"/>
      <c r="M34" s="2182"/>
      <c r="N34" s="2182"/>
      <c r="O34" s="2182"/>
      <c r="P34" s="2182"/>
      <c r="Q34" s="2188">
        <v>0</v>
      </c>
      <c r="R34" s="2188">
        <v>0</v>
      </c>
      <c r="S34" s="2188">
        <v>0</v>
      </c>
      <c r="T34" s="2188">
        <v>0</v>
      </c>
      <c r="U34" s="2182">
        <v>0</v>
      </c>
      <c r="V34" s="2182">
        <v>0</v>
      </c>
      <c r="W34" s="2184" t="s">
        <v>1300</v>
      </c>
      <c r="X34" s="2185">
        <v>0.75</v>
      </c>
      <c r="Y34" s="2185">
        <v>0.95</v>
      </c>
      <c r="Z34" s="2187">
        <v>0.2</v>
      </c>
    </row>
    <row r="35" spans="3:26" ht="15.75" customHeight="1" x14ac:dyDescent="0.3">
      <c r="C35" s="428" t="s">
        <v>1301</v>
      </c>
      <c r="D35" s="1685" t="s">
        <v>1302</v>
      </c>
      <c r="L35" s="2182"/>
      <c r="M35" s="2182"/>
      <c r="N35" s="2182">
        <v>765.5</v>
      </c>
      <c r="O35" s="1286">
        <v>634.29999999999995</v>
      </c>
      <c r="P35" s="1286">
        <v>626.4</v>
      </c>
      <c r="Q35" s="2182">
        <v>536.5</v>
      </c>
      <c r="R35" s="2182">
        <v>558.9</v>
      </c>
      <c r="S35" s="2182">
        <v>328.9</v>
      </c>
      <c r="T35" s="2182">
        <v>360.1</v>
      </c>
      <c r="U35" s="2182">
        <v>358.5</v>
      </c>
      <c r="V35" s="2182">
        <v>316.76</v>
      </c>
      <c r="W35" s="2184" t="s">
        <v>1303</v>
      </c>
      <c r="X35" s="2185">
        <v>0.75</v>
      </c>
      <c r="Y35" s="2185">
        <v>0.4</v>
      </c>
      <c r="Z35" s="2187">
        <v>-0.35</v>
      </c>
    </row>
    <row r="36" spans="3:26" ht="15.75" customHeight="1" x14ac:dyDescent="0.3">
      <c r="C36" s="428" t="s">
        <v>1304</v>
      </c>
      <c r="D36" s="1685" t="s">
        <v>1305</v>
      </c>
      <c r="L36" s="2191"/>
      <c r="M36" s="2191"/>
      <c r="N36" s="2191">
        <f>SUM(N31:N35)</f>
        <v>11022.286000000002</v>
      </c>
      <c r="O36" s="2191">
        <f>SUM(O31:O35)</f>
        <v>10903.3</v>
      </c>
      <c r="P36" s="2192">
        <v>10086.5</v>
      </c>
      <c r="Q36" s="2192">
        <v>9743.02</v>
      </c>
      <c r="R36" s="2192">
        <v>9593.6</v>
      </c>
      <c r="S36" s="2192">
        <v>9851.1</v>
      </c>
      <c r="T36" s="2192">
        <v>9053.7000000000007</v>
      </c>
      <c r="U36" s="2192">
        <v>7766.7</v>
      </c>
      <c r="V36" s="2192">
        <v>7213.26</v>
      </c>
      <c r="W36" s="2167"/>
      <c r="X36" s="2167"/>
      <c r="Y36" s="2167"/>
      <c r="Z36" s="2167"/>
    </row>
    <row r="37" spans="3:26" ht="17.25" customHeight="1" x14ac:dyDescent="0.3"/>
    <row r="38" spans="3:26" ht="32.25" customHeight="1" x14ac:dyDescent="0.3">
      <c r="C38" s="2172" t="s">
        <v>1306</v>
      </c>
      <c r="D38" s="428" t="s">
        <v>1307</v>
      </c>
    </row>
    <row r="39" spans="3:26" ht="15.75" customHeight="1" x14ac:dyDescent="0.3">
      <c r="C39" s="2172" t="s">
        <v>1308</v>
      </c>
      <c r="D39" s="428" t="s">
        <v>1307</v>
      </c>
    </row>
    <row r="40" spans="3:26" ht="15.6" x14ac:dyDescent="0.3"/>
    <row r="41" spans="3:26" ht="15.6" x14ac:dyDescent="0.3"/>
    <row r="42" spans="3:26" ht="15.6" x14ac:dyDescent="0.3"/>
    <row r="43" spans="3:26" ht="15.6" x14ac:dyDescent="0.3"/>
    <row r="44" spans="3:26" ht="15.6" x14ac:dyDescent="0.3"/>
    <row r="45" spans="3:26" ht="15.6" x14ac:dyDescent="0.3"/>
    <row r="46" spans="3:26" ht="15.75" customHeight="1" x14ac:dyDescent="0.3"/>
    <row r="47" spans="3:26" ht="15.6" x14ac:dyDescent="0.3"/>
    <row r="48" spans="3:26" ht="15.6" x14ac:dyDescent="0.3"/>
    <row r="49" ht="15.6" x14ac:dyDescent="0.3"/>
    <row r="50" ht="15.6" x14ac:dyDescent="0.3"/>
    <row r="51" ht="15.75" customHeight="1" x14ac:dyDescent="0.3"/>
    <row r="52" ht="15.6" x14ac:dyDescent="0.3"/>
    <row r="53" ht="15.6" x14ac:dyDescent="0.3"/>
    <row r="54" ht="15.6" x14ac:dyDescent="0.3"/>
    <row r="55" ht="15.6" x14ac:dyDescent="0.3"/>
    <row r="56" ht="15.75" customHeight="1" x14ac:dyDescent="0.3"/>
    <row r="57" ht="15.6"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sheetData>
  <mergeCells count="3">
    <mergeCell ref="B21:C21"/>
    <mergeCell ref="V25:Y27"/>
    <mergeCell ref="L29:V29"/>
  </mergeCells>
  <hyperlinks>
    <hyperlink ref="Q24" r:id="rId1" display="https://d35t1syewk4d42.cloudfront.net/file/851/NFA_PImpacts_v35.pdf" xr:uid="{64AF74AF-3C30-481E-A183-DFF3312CF965}"/>
    <hyperlink ref="D35" r:id="rId2" xr:uid="{80F849DC-A128-4781-AD19-25CD40183F38}"/>
    <hyperlink ref="D36" r:id="rId3" display="https://soghu.com/fr/rapport-annuel-2023" xr:uid="{C031DE05-AB63-4DB4-ADF7-72CE16089509}"/>
  </hyperlinks>
  <pageMargins left="0.70866141732283472" right="0.70866141732283472" top="0.74803149606299213" bottom="0.74803149606299213" header="0" footer="0"/>
  <pageSetup scale="75" orientation="landscape" r:id="rId4"/>
  <headerFooter>
    <oddHeader>&amp;R00-049CONFIDENTIAL</oddHeader>
    <oddFooter>&amp;L00-049v6 - May 2019 Property of Will Solutions Inc.</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5366E-E8E6-4053-B0E3-2155A4A443E8}">
  <dimension ref="A1:H996"/>
  <sheetViews>
    <sheetView topLeftCell="A29" zoomScaleNormal="100" workbookViewId="0">
      <selection activeCell="D35" sqref="D35"/>
    </sheetView>
  </sheetViews>
  <sheetFormatPr defaultColWidth="12.44140625" defaultRowHeight="15" customHeight="1" x14ac:dyDescent="0.3"/>
  <cols>
    <col min="1" max="1" width="2.6640625" style="2198" customWidth="1"/>
    <col min="2" max="2" width="35.109375" style="2198" customWidth="1"/>
    <col min="3" max="3" width="22.33203125" style="2198" customWidth="1"/>
    <col min="4" max="4" width="20.6640625" style="2198" customWidth="1"/>
    <col min="5" max="5" width="1.5546875" style="2198" customWidth="1"/>
    <col min="6" max="6" width="14.6640625" style="2198" customWidth="1"/>
    <col min="7" max="7" width="7.33203125" style="2198" customWidth="1"/>
    <col min="8" max="8" width="11.6640625" style="2198" customWidth="1"/>
    <col min="9" max="16384" width="12.44140625" style="2198"/>
  </cols>
  <sheetData>
    <row r="1" spans="1:8" ht="21.75" customHeight="1" x14ac:dyDescent="0.35">
      <c r="A1" s="2195"/>
      <c r="B1" s="2196" t="s">
        <v>549</v>
      </c>
      <c r="C1" s="2197"/>
      <c r="E1" s="2199"/>
      <c r="G1" s="2199"/>
    </row>
    <row r="2" spans="1:8" ht="15.75" customHeight="1" x14ac:dyDescent="0.3">
      <c r="A2" s="2195"/>
      <c r="B2" s="2200" t="s">
        <v>299</v>
      </c>
      <c r="C2" s="2201"/>
      <c r="D2" s="2201"/>
      <c r="E2" s="2201"/>
      <c r="F2" s="2201"/>
      <c r="G2" s="2201"/>
    </row>
    <row r="3" spans="1:8" ht="9.75" customHeight="1" x14ac:dyDescent="0.3">
      <c r="A3" s="2199"/>
      <c r="B3" s="2202"/>
      <c r="E3" s="2199"/>
      <c r="G3" s="2199"/>
    </row>
    <row r="4" spans="1:8" ht="6" customHeight="1" x14ac:dyDescent="0.3">
      <c r="B4" s="2199"/>
      <c r="E4" s="2199"/>
      <c r="G4" s="2199"/>
    </row>
    <row r="5" spans="1:8" ht="6" customHeight="1" x14ac:dyDescent="0.3">
      <c r="A5" s="2202"/>
      <c r="E5" s="2199"/>
      <c r="G5" s="2199"/>
    </row>
    <row r="6" spans="1:8" ht="15.75" customHeight="1" x14ac:dyDescent="0.3">
      <c r="C6" s="2198">
        <v>1000000</v>
      </c>
      <c r="E6" s="2199"/>
      <c r="F6" s="2199"/>
      <c r="G6" s="2199"/>
    </row>
    <row r="7" spans="1:8" ht="37.200000000000003" customHeight="1" x14ac:dyDescent="0.3">
      <c r="A7" s="2203"/>
      <c r="B7" s="2204">
        <v>2024</v>
      </c>
      <c r="C7" s="4427" t="s">
        <v>22</v>
      </c>
      <c r="D7" s="4428"/>
      <c r="E7" s="2203"/>
      <c r="F7" s="2205" t="s">
        <v>300</v>
      </c>
      <c r="G7" s="2203"/>
      <c r="H7" s="2203"/>
    </row>
    <row r="8" spans="1:8" ht="18" customHeight="1" x14ac:dyDescent="0.35">
      <c r="B8" s="2206" t="s">
        <v>301</v>
      </c>
      <c r="C8" s="2207">
        <v>1</v>
      </c>
      <c r="D8" s="2208">
        <v>2</v>
      </c>
      <c r="E8" s="2199"/>
      <c r="F8" s="2209"/>
      <c r="G8" s="2199"/>
    </row>
    <row r="9" spans="1:8" ht="46.5" customHeight="1" x14ac:dyDescent="0.3">
      <c r="B9" s="2210" t="s">
        <v>302</v>
      </c>
      <c r="C9" s="2211" t="s">
        <v>2152</v>
      </c>
      <c r="D9" s="2211" t="s">
        <v>2153</v>
      </c>
      <c r="E9" s="2212"/>
      <c r="F9" s="2213"/>
      <c r="G9" s="2214"/>
    </row>
    <row r="10" spans="1:8" ht="46.5" customHeight="1" x14ac:dyDescent="0.3">
      <c r="B10" s="2215" t="s">
        <v>304</v>
      </c>
      <c r="C10" s="2216" t="s">
        <v>2154</v>
      </c>
      <c r="D10" s="2216" t="s">
        <v>2155</v>
      </c>
      <c r="E10" s="2212"/>
      <c r="F10" s="2217"/>
      <c r="G10" s="2214"/>
    </row>
    <row r="11" spans="1:8" ht="18.75" customHeight="1" x14ac:dyDescent="0.3">
      <c r="A11" s="2218"/>
      <c r="B11" s="2219" t="s">
        <v>306</v>
      </c>
      <c r="C11" s="2220">
        <f>(C17*C18)+(C22*C23)</f>
        <v>9946.2856693138656</v>
      </c>
      <c r="D11" s="2220">
        <f>(D17*D18)+(D22*D23)</f>
        <v>3803.0484044263922</v>
      </c>
      <c r="E11" s="2221"/>
      <c r="F11" s="2222">
        <f>SUM(C11:D11)</f>
        <v>13749.334073740258</v>
      </c>
      <c r="G11" s="2223"/>
      <c r="H11" s="2218"/>
    </row>
    <row r="12" spans="1:8" ht="18.75" customHeight="1" x14ac:dyDescent="0.3">
      <c r="A12" s="2218"/>
      <c r="B12" s="2224" t="s">
        <v>307</v>
      </c>
      <c r="C12" s="2225">
        <f t="shared" ref="C12:D12" si="0">(C27*C28)+(C32*C33)</f>
        <v>1285.7310962720003</v>
      </c>
      <c r="D12" s="2225">
        <f t="shared" si="0"/>
        <v>118.98359704000001</v>
      </c>
      <c r="E12" s="2226"/>
      <c r="F12" s="2227">
        <f>SUM(C12:D12)</f>
        <v>1404.7146933120002</v>
      </c>
      <c r="G12" s="2228"/>
      <c r="H12" s="2218"/>
    </row>
    <row r="13" spans="1:8" ht="18.75" customHeight="1" x14ac:dyDescent="0.3">
      <c r="A13" s="2218"/>
      <c r="B13" s="2219" t="s">
        <v>308</v>
      </c>
      <c r="C13" s="2229" t="s">
        <v>8</v>
      </c>
      <c r="D13" s="2230" t="s">
        <v>8</v>
      </c>
      <c r="E13" s="2231"/>
      <c r="F13" s="2232"/>
      <c r="G13" s="2233"/>
      <c r="H13" s="2218"/>
    </row>
    <row r="14" spans="1:8" ht="18.75" customHeight="1" x14ac:dyDescent="0.3">
      <c r="A14" s="2218"/>
      <c r="B14" s="2234" t="s">
        <v>309</v>
      </c>
      <c r="C14" s="2235">
        <f t="shared" ref="C14:D14" si="1">C11-C12</f>
        <v>8660.5545730418653</v>
      </c>
      <c r="D14" s="2236">
        <f t="shared" si="1"/>
        <v>3684.0648073863922</v>
      </c>
      <c r="E14" s="2226"/>
      <c r="F14" s="2237">
        <f>SUM(C14:D14)</f>
        <v>12344.619380428258</v>
      </c>
      <c r="G14" s="2228"/>
      <c r="H14" s="2218"/>
    </row>
    <row r="15" spans="1:8" ht="19.5" customHeight="1" x14ac:dyDescent="0.4">
      <c r="B15" s="2238" t="s">
        <v>310</v>
      </c>
      <c r="C15" s="2239"/>
      <c r="D15" s="2240"/>
      <c r="E15" s="2241"/>
      <c r="F15" s="2242"/>
      <c r="G15" s="2241"/>
      <c r="H15" s="2199"/>
    </row>
    <row r="16" spans="1:8" ht="35.4" customHeight="1" x14ac:dyDescent="0.3">
      <c r="A16" s="2218"/>
      <c r="B16" s="2243" t="s">
        <v>311</v>
      </c>
      <c r="C16" s="2244" t="s">
        <v>748</v>
      </c>
      <c r="D16" s="2245" t="s">
        <v>748</v>
      </c>
      <c r="E16" s="2246"/>
      <c r="F16" s="2247"/>
      <c r="G16" s="2228"/>
      <c r="H16" s="2218"/>
    </row>
    <row r="17" spans="1:8" ht="21" customHeight="1" x14ac:dyDescent="0.3">
      <c r="A17" s="2218"/>
      <c r="B17" s="2248" t="s">
        <v>313</v>
      </c>
      <c r="C17" s="2249">
        <f>'CF-1505|GDS'!I16</f>
        <v>5978687.3172659026</v>
      </c>
      <c r="D17" s="2250">
        <f>'CF-1505|GDS'!I24</f>
        <v>2470647.8071908336</v>
      </c>
      <c r="E17" s="2251"/>
      <c r="G17" s="2252"/>
      <c r="H17" s="2218"/>
    </row>
    <row r="18" spans="1:8" ht="18.75" customHeight="1" x14ac:dyDescent="0.3">
      <c r="A18" s="2218"/>
      <c r="B18" s="2253" t="s">
        <v>314</v>
      </c>
      <c r="C18" s="2254">
        <v>1.5392919999999998E-3</v>
      </c>
      <c r="D18" s="2255">
        <v>1.5392919999999998E-3</v>
      </c>
      <c r="E18" s="2256"/>
      <c r="G18" s="2257"/>
      <c r="H18" s="2218"/>
    </row>
    <row r="19" spans="1:8" ht="19.5" customHeight="1" x14ac:dyDescent="0.3">
      <c r="A19" s="2218"/>
      <c r="B19" s="2258" t="s">
        <v>315</v>
      </c>
      <c r="C19" s="2259">
        <f>C17*C18</f>
        <v>9202.9455579688656</v>
      </c>
      <c r="D19" s="2260">
        <f>D17*D18</f>
        <v>3803.0484044263922</v>
      </c>
      <c r="E19" s="2261"/>
      <c r="G19" s="2257"/>
      <c r="H19" s="2218"/>
    </row>
    <row r="20" spans="1:8" ht="19.5" customHeight="1" x14ac:dyDescent="0.4">
      <c r="B20" s="2238" t="s">
        <v>310</v>
      </c>
      <c r="C20" s="2262"/>
      <c r="D20" s="2240"/>
      <c r="E20" s="2241"/>
      <c r="G20" s="2241"/>
    </row>
    <row r="21" spans="1:8" ht="37.950000000000003" customHeight="1" x14ac:dyDescent="0.3">
      <c r="A21" s="2218"/>
      <c r="B21" s="2243" t="s">
        <v>311</v>
      </c>
      <c r="C21" s="2263" t="s">
        <v>641</v>
      </c>
      <c r="D21" s="2245"/>
      <c r="E21" s="2264"/>
      <c r="G21" s="2228"/>
      <c r="H21" s="2218"/>
    </row>
    <row r="22" spans="1:8" ht="21" customHeight="1" x14ac:dyDescent="0.3">
      <c r="A22" s="2218"/>
      <c r="B22" s="2248" t="s">
        <v>636</v>
      </c>
      <c r="C22" s="2249">
        <f>'CF-1505|GDS'!R17</f>
        <v>383895</v>
      </c>
      <c r="D22" s="2265">
        <v>0</v>
      </c>
      <c r="E22" s="2251"/>
      <c r="G22" s="2252"/>
      <c r="H22" s="2218"/>
    </row>
    <row r="23" spans="1:8" ht="18.75" customHeight="1" x14ac:dyDescent="0.3">
      <c r="A23" s="2218"/>
      <c r="B23" s="2253" t="s">
        <v>314</v>
      </c>
      <c r="C23" s="2254">
        <v>1.9363110000000002E-3</v>
      </c>
      <c r="D23" s="2255">
        <v>0</v>
      </c>
      <c r="E23" s="2261"/>
      <c r="F23" s="2266"/>
      <c r="G23" s="2257"/>
      <c r="H23" s="2218"/>
    </row>
    <row r="24" spans="1:8" ht="19.5" customHeight="1" x14ac:dyDescent="0.3">
      <c r="A24" s="2218"/>
      <c r="B24" s="2258" t="s">
        <v>315</v>
      </c>
      <c r="C24" s="2259">
        <f>C22*C23</f>
        <v>743.34011134500008</v>
      </c>
      <c r="D24" s="2260">
        <f>D22*D23</f>
        <v>0</v>
      </c>
      <c r="E24" s="2261"/>
      <c r="F24" s="2267"/>
      <c r="G24" s="2257"/>
      <c r="H24" s="2218"/>
    </row>
    <row r="25" spans="1:8" ht="21" customHeight="1" x14ac:dyDescent="0.4">
      <c r="B25" s="2238" t="s">
        <v>316</v>
      </c>
      <c r="C25" s="2268"/>
      <c r="D25" s="2269"/>
      <c r="E25" s="2270"/>
      <c r="F25" s="2271"/>
      <c r="G25" s="2270"/>
    </row>
    <row r="26" spans="1:8" ht="32.4" customHeight="1" x14ac:dyDescent="0.3">
      <c r="A26" s="2218"/>
      <c r="B26" s="2243" t="s">
        <v>183</v>
      </c>
      <c r="C26" s="2244" t="s">
        <v>361</v>
      </c>
      <c r="D26" s="2245" t="s">
        <v>361</v>
      </c>
      <c r="E26" s="2272"/>
      <c r="F26" s="2273"/>
      <c r="G26" s="2257"/>
      <c r="H26" s="2218"/>
    </row>
    <row r="27" spans="1:8" ht="21" customHeight="1" x14ac:dyDescent="0.3">
      <c r="A27" s="2218"/>
      <c r="B27" s="2274" t="s">
        <v>369</v>
      </c>
      <c r="C27" s="2275">
        <f>'CF-1505|GDS'!I14</f>
        <v>7881280</v>
      </c>
      <c r="D27" s="2276">
        <f>'CF-1505|GDS'!I22</f>
        <v>3256880</v>
      </c>
      <c r="E27" s="2257"/>
      <c r="F27" s="2277"/>
      <c r="G27" s="2257"/>
      <c r="H27" s="2218"/>
    </row>
    <row r="28" spans="1:8" ht="21" customHeight="1" x14ac:dyDescent="0.3">
      <c r="A28" s="2218"/>
      <c r="B28" s="2278" t="s">
        <v>314</v>
      </c>
      <c r="C28" s="2279">
        <v>3.6533000000000004E-5</v>
      </c>
      <c r="D28" s="2280">
        <v>3.6533000000000004E-5</v>
      </c>
      <c r="E28" s="2272"/>
      <c r="F28" s="2281"/>
      <c r="G28" s="2257"/>
      <c r="H28" s="2218"/>
    </row>
    <row r="29" spans="1:8" ht="21" customHeight="1" x14ac:dyDescent="0.3">
      <c r="A29" s="2218"/>
      <c r="B29" s="2282" t="s">
        <v>315</v>
      </c>
      <c r="C29" s="2283">
        <f t="shared" ref="C29:D29" si="2">C27*C28</f>
        <v>287.92680224000003</v>
      </c>
      <c r="D29" s="2284">
        <f t="shared" si="2"/>
        <v>118.98359704000001</v>
      </c>
      <c r="E29" s="2272"/>
      <c r="F29" s="2285"/>
      <c r="G29" s="2257"/>
      <c r="H29" s="2218"/>
    </row>
    <row r="30" spans="1:8" ht="21" customHeight="1" x14ac:dyDescent="0.4">
      <c r="B30" s="2238" t="s">
        <v>316</v>
      </c>
      <c r="C30" s="2268"/>
      <c r="D30" s="2269"/>
      <c r="E30" s="2270"/>
      <c r="F30" s="2286"/>
      <c r="G30" s="2270"/>
    </row>
    <row r="31" spans="1:8" ht="30.6" customHeight="1" x14ac:dyDescent="0.3">
      <c r="A31" s="2218"/>
      <c r="B31" s="2243" t="s">
        <v>183</v>
      </c>
      <c r="C31" s="2244" t="s">
        <v>1309</v>
      </c>
      <c r="D31" s="2245" t="s">
        <v>1310</v>
      </c>
      <c r="E31" s="2272"/>
      <c r="F31" s="2287"/>
      <c r="G31" s="2257"/>
      <c r="H31" s="2218"/>
    </row>
    <row r="32" spans="1:8" ht="21" customHeight="1" x14ac:dyDescent="0.3">
      <c r="A32" s="2218"/>
      <c r="B32" s="2274" t="s">
        <v>2342</v>
      </c>
      <c r="C32" s="2275">
        <f>'CF-1505|GDS'!I17</f>
        <v>515312</v>
      </c>
      <c r="D32" s="2276">
        <f>'CF-1505|GDS'!I25</f>
        <v>0</v>
      </c>
      <c r="E32" s="2257"/>
      <c r="F32" s="2277"/>
      <c r="G32" s="2257"/>
      <c r="H32" s="2218"/>
    </row>
    <row r="33" spans="1:8" ht="21" customHeight="1" x14ac:dyDescent="0.3">
      <c r="A33" s="2218"/>
      <c r="B33" s="2278" t="s">
        <v>314</v>
      </c>
      <c r="C33" s="2279">
        <v>1.9363110000000002E-3</v>
      </c>
      <c r="D33" s="2280">
        <v>1.5392919999999998E-3</v>
      </c>
      <c r="E33" s="2272"/>
      <c r="F33" s="2281"/>
      <c r="G33" s="2257"/>
      <c r="H33" s="2218"/>
    </row>
    <row r="34" spans="1:8" ht="21" customHeight="1" x14ac:dyDescent="0.3">
      <c r="A34" s="2218"/>
      <c r="B34" s="2282" t="s">
        <v>315</v>
      </c>
      <c r="C34" s="2283">
        <f t="shared" ref="C34:D34" si="3">C32*C33</f>
        <v>997.80429403200014</v>
      </c>
      <c r="D34" s="2284">
        <f t="shared" si="3"/>
        <v>0</v>
      </c>
      <c r="E34" s="2272"/>
      <c r="F34" s="2285"/>
      <c r="G34" s="2257"/>
      <c r="H34" s="2218"/>
    </row>
    <row r="35" spans="1:8" ht="28.5" customHeight="1" x14ac:dyDescent="0.3">
      <c r="A35" s="2218"/>
      <c r="B35" s="2288" t="s">
        <v>320</v>
      </c>
      <c r="C35" s="2289" t="s">
        <v>1311</v>
      </c>
      <c r="D35" s="2290" t="s">
        <v>1312</v>
      </c>
      <c r="E35" s="2291"/>
      <c r="F35" s="2292"/>
      <c r="G35" s="2293"/>
      <c r="H35" s="2218"/>
    </row>
    <row r="36" spans="1:8" ht="24" customHeight="1" x14ac:dyDescent="0.3">
      <c r="B36" s="2294" t="s">
        <v>322</v>
      </c>
      <c r="C36" s="2295">
        <v>3</v>
      </c>
      <c r="D36" s="2296">
        <v>3</v>
      </c>
      <c r="E36" s="2297"/>
      <c r="F36" s="2298"/>
      <c r="G36" s="2297"/>
    </row>
    <row r="37" spans="1:8" ht="33" customHeight="1" x14ac:dyDescent="0.3">
      <c r="A37" s="2218"/>
      <c r="B37" s="2299" t="s">
        <v>323</v>
      </c>
      <c r="C37" s="2300" t="s">
        <v>324</v>
      </c>
      <c r="D37" s="2301" t="s">
        <v>324</v>
      </c>
      <c r="E37" s="2257"/>
      <c r="F37" s="2287"/>
      <c r="G37" s="2257"/>
      <c r="H37" s="2218"/>
    </row>
    <row r="38" spans="1:8" ht="33" customHeight="1" x14ac:dyDescent="0.3">
      <c r="A38" s="2218"/>
      <c r="B38" s="2302" t="s">
        <v>325</v>
      </c>
      <c r="C38" s="2303" t="s">
        <v>326</v>
      </c>
      <c r="D38" s="2304" t="s">
        <v>326</v>
      </c>
      <c r="E38" s="2257"/>
      <c r="F38" s="2287"/>
      <c r="G38" s="2257"/>
      <c r="H38" s="2218"/>
    </row>
    <row r="39" spans="1:8" ht="33" customHeight="1" x14ac:dyDescent="0.3">
      <c r="A39" s="2218"/>
      <c r="B39" s="2299" t="s">
        <v>327</v>
      </c>
      <c r="C39" s="2300" t="s">
        <v>729</v>
      </c>
      <c r="D39" s="2301" t="s">
        <v>729</v>
      </c>
      <c r="E39" s="2257"/>
      <c r="F39" s="2287"/>
      <c r="G39" s="2257"/>
      <c r="H39" s="2218"/>
    </row>
    <row r="40" spans="1:8" ht="21" customHeight="1" x14ac:dyDescent="0.3">
      <c r="B40" s="2305" t="s">
        <v>329</v>
      </c>
      <c r="C40" s="2303">
        <v>5</v>
      </c>
      <c r="D40" s="2304">
        <v>2</v>
      </c>
      <c r="E40" s="2241"/>
      <c r="F40" s="2241"/>
      <c r="G40" s="2241"/>
    </row>
    <row r="41" spans="1:8" ht="21" customHeight="1" x14ac:dyDescent="0.3">
      <c r="B41" s="2224" t="s">
        <v>330</v>
      </c>
      <c r="C41" s="2300" t="s">
        <v>324</v>
      </c>
      <c r="D41" s="2301" t="s">
        <v>324</v>
      </c>
      <c r="E41" s="2270"/>
      <c r="F41" s="2286"/>
      <c r="G41" s="2270"/>
    </row>
    <row r="42" spans="1:8" ht="21" customHeight="1" x14ac:dyDescent="0.3">
      <c r="B42" s="2305" t="s">
        <v>331</v>
      </c>
      <c r="C42" s="2303" t="s">
        <v>324</v>
      </c>
      <c r="D42" s="2304" t="s">
        <v>324</v>
      </c>
      <c r="E42" s="2270"/>
      <c r="F42" s="2286"/>
      <c r="G42" s="2270"/>
    </row>
    <row r="43" spans="1:8" ht="21" customHeight="1" x14ac:dyDescent="0.3">
      <c r="B43" s="2234" t="s">
        <v>332</v>
      </c>
      <c r="C43" s="2306" t="s">
        <v>333</v>
      </c>
      <c r="D43" s="2307" t="s">
        <v>333</v>
      </c>
      <c r="E43" s="2270"/>
      <c r="F43" s="2286"/>
      <c r="G43" s="2270"/>
    </row>
    <row r="44" spans="1:8" ht="15.75" customHeight="1" x14ac:dyDescent="0.3">
      <c r="B44" s="4158" t="s">
        <v>2324</v>
      </c>
      <c r="C44" s="4163">
        <f>C14/C40</f>
        <v>1732.1109146083732</v>
      </c>
      <c r="D44" s="2199"/>
      <c r="E44" s="2270"/>
      <c r="F44" s="2270"/>
      <c r="G44" s="2270"/>
    </row>
    <row r="45" spans="1:8" ht="15.75" customHeight="1" x14ac:dyDescent="0.3">
      <c r="B45" s="2308" t="s">
        <v>334</v>
      </c>
      <c r="C45" s="2199"/>
      <c r="D45" s="2199"/>
      <c r="E45" s="2270"/>
      <c r="F45" s="2270"/>
      <c r="G45" s="2270"/>
    </row>
    <row r="46" spans="1:8" ht="15.75" customHeight="1" x14ac:dyDescent="0.3">
      <c r="B46" s="2308" t="s">
        <v>335</v>
      </c>
      <c r="C46" s="2199"/>
      <c r="D46" s="2199"/>
      <c r="E46" s="2270"/>
      <c r="F46" s="2270"/>
      <c r="G46" s="2270"/>
    </row>
    <row r="47" spans="1:8" ht="15.75" customHeight="1" x14ac:dyDescent="0.3">
      <c r="B47" s="2308" t="s">
        <v>336</v>
      </c>
      <c r="C47" s="2199"/>
      <c r="D47" s="2199"/>
      <c r="E47" s="2270"/>
      <c r="F47" s="2270"/>
      <c r="G47" s="2270"/>
    </row>
    <row r="48" spans="1:8" ht="15.75" customHeight="1" x14ac:dyDescent="0.3">
      <c r="B48" s="2308" t="s">
        <v>337</v>
      </c>
      <c r="C48" s="2199"/>
      <c r="D48" s="2199"/>
      <c r="E48" s="2270"/>
      <c r="F48" s="2270"/>
      <c r="G48" s="2270"/>
    </row>
    <row r="49" spans="2:7" ht="15.75" customHeight="1" x14ac:dyDescent="0.3">
      <c r="B49" s="2308" t="s">
        <v>338</v>
      </c>
      <c r="E49" s="2199"/>
      <c r="G49" s="2199"/>
    </row>
    <row r="50" spans="2:7" ht="15.75" customHeight="1" x14ac:dyDescent="0.3">
      <c r="B50" s="2308" t="s">
        <v>339</v>
      </c>
      <c r="E50" s="2199"/>
      <c r="G50" s="2199"/>
    </row>
    <row r="51" spans="2:7" ht="15.75" customHeight="1" x14ac:dyDescent="0.3">
      <c r="E51" s="2199"/>
      <c r="G51" s="2199"/>
    </row>
    <row r="52" spans="2:7" ht="15.75" customHeight="1" x14ac:dyDescent="0.3">
      <c r="E52" s="2199"/>
      <c r="G52" s="2199"/>
    </row>
    <row r="53" spans="2:7" ht="15.75" customHeight="1" x14ac:dyDescent="0.3">
      <c r="E53" s="2199"/>
      <c r="G53" s="2199"/>
    </row>
    <row r="54" spans="2:7" ht="15.75" customHeight="1" x14ac:dyDescent="0.3">
      <c r="E54" s="2199"/>
      <c r="G54" s="2199"/>
    </row>
    <row r="55" spans="2:7" ht="15.75" customHeight="1" x14ac:dyDescent="0.3">
      <c r="E55" s="2199"/>
      <c r="G55" s="2199"/>
    </row>
    <row r="56" spans="2:7" ht="15.75" customHeight="1" x14ac:dyDescent="0.3">
      <c r="E56" s="2199"/>
      <c r="G56" s="2199"/>
    </row>
    <row r="57" spans="2:7" ht="15.75" customHeight="1" x14ac:dyDescent="0.3">
      <c r="E57" s="2199"/>
      <c r="G57" s="2199"/>
    </row>
    <row r="58" spans="2:7" ht="15.75" customHeight="1" x14ac:dyDescent="0.3">
      <c r="E58" s="2199"/>
      <c r="G58" s="2199"/>
    </row>
    <row r="59" spans="2:7" ht="15.75" customHeight="1" x14ac:dyDescent="0.3">
      <c r="E59" s="2199"/>
      <c r="G59" s="2199"/>
    </row>
    <row r="60" spans="2:7" ht="15.75" customHeight="1" x14ac:dyDescent="0.3">
      <c r="E60" s="2199"/>
      <c r="G60" s="2199"/>
    </row>
    <row r="61" spans="2:7" ht="15.75" customHeight="1" x14ac:dyDescent="0.3">
      <c r="E61" s="2199"/>
      <c r="G61" s="2199"/>
    </row>
    <row r="62" spans="2:7" ht="15.75" customHeight="1" x14ac:dyDescent="0.3">
      <c r="E62" s="2199"/>
      <c r="G62" s="2199"/>
    </row>
    <row r="63" spans="2:7" ht="15.75" customHeight="1" x14ac:dyDescent="0.3">
      <c r="E63" s="2199"/>
      <c r="G63" s="2199"/>
    </row>
    <row r="64" spans="2:7" ht="15.75" customHeight="1" x14ac:dyDescent="0.3">
      <c r="E64" s="2199"/>
      <c r="G64" s="2199"/>
    </row>
    <row r="65" spans="5:7" ht="15.75" customHeight="1" x14ac:dyDescent="0.3">
      <c r="E65" s="2199"/>
      <c r="G65" s="2199"/>
    </row>
    <row r="66" spans="5:7" ht="15.75" customHeight="1" x14ac:dyDescent="0.3">
      <c r="E66" s="2199"/>
      <c r="G66" s="2199"/>
    </row>
    <row r="67" spans="5:7" ht="15.75" customHeight="1" x14ac:dyDescent="0.3">
      <c r="E67" s="2199"/>
      <c r="G67" s="2199"/>
    </row>
    <row r="68" spans="5:7" ht="15.75" customHeight="1" x14ac:dyDescent="0.3">
      <c r="E68" s="2199"/>
      <c r="G68" s="2199"/>
    </row>
    <row r="69" spans="5:7" ht="15.75" customHeight="1" x14ac:dyDescent="0.3">
      <c r="E69" s="2199"/>
      <c r="G69" s="2199"/>
    </row>
    <row r="70" spans="5:7" ht="15.75" customHeight="1" x14ac:dyDescent="0.3">
      <c r="E70" s="2199"/>
      <c r="G70" s="2199"/>
    </row>
    <row r="71" spans="5:7" ht="15.75" customHeight="1" x14ac:dyDescent="0.3">
      <c r="E71" s="2199"/>
      <c r="G71" s="2199"/>
    </row>
    <row r="72" spans="5:7" ht="15.75" customHeight="1" x14ac:dyDescent="0.3">
      <c r="E72" s="2199"/>
      <c r="G72" s="2199"/>
    </row>
    <row r="73" spans="5:7" ht="15.75" customHeight="1" x14ac:dyDescent="0.3">
      <c r="E73" s="2199"/>
      <c r="G73" s="2199"/>
    </row>
    <row r="74" spans="5:7" ht="15.75" customHeight="1" x14ac:dyDescent="0.3">
      <c r="E74" s="2199"/>
      <c r="G74" s="2199"/>
    </row>
    <row r="75" spans="5:7" ht="15.75" customHeight="1" x14ac:dyDescent="0.3">
      <c r="E75" s="2199"/>
      <c r="G75" s="2199"/>
    </row>
    <row r="76" spans="5:7" ht="15.75" customHeight="1" x14ac:dyDescent="0.3">
      <c r="E76" s="2199"/>
      <c r="G76" s="2199"/>
    </row>
    <row r="77" spans="5:7" ht="15.75" customHeight="1" x14ac:dyDescent="0.3">
      <c r="E77" s="2199"/>
      <c r="G77" s="2199"/>
    </row>
    <row r="78" spans="5:7" ht="15.75" customHeight="1" x14ac:dyDescent="0.3">
      <c r="E78" s="2199"/>
      <c r="G78" s="2199"/>
    </row>
    <row r="79" spans="5:7" ht="15.75" customHeight="1" x14ac:dyDescent="0.3">
      <c r="E79" s="2199"/>
      <c r="G79" s="2199"/>
    </row>
    <row r="80" spans="5:7" ht="15.75" customHeight="1" x14ac:dyDescent="0.3">
      <c r="E80" s="2199"/>
      <c r="G80" s="2199"/>
    </row>
    <row r="81" spans="5:7" ht="15.75" customHeight="1" x14ac:dyDescent="0.3">
      <c r="E81" s="2199"/>
      <c r="G81" s="2199"/>
    </row>
    <row r="82" spans="5:7" ht="15.75" customHeight="1" x14ac:dyDescent="0.3">
      <c r="E82" s="2199"/>
      <c r="G82" s="2199"/>
    </row>
    <row r="83" spans="5:7" ht="15.75" customHeight="1" x14ac:dyDescent="0.3">
      <c r="E83" s="2199"/>
      <c r="G83" s="2199"/>
    </row>
    <row r="84" spans="5:7" ht="15.75" customHeight="1" x14ac:dyDescent="0.3">
      <c r="E84" s="2199"/>
      <c r="G84" s="2199"/>
    </row>
    <row r="85" spans="5:7" ht="15.75" customHeight="1" x14ac:dyDescent="0.3">
      <c r="E85" s="2199"/>
      <c r="G85" s="2199"/>
    </row>
    <row r="86" spans="5:7" ht="15.75" customHeight="1" x14ac:dyDescent="0.3">
      <c r="E86" s="2199"/>
      <c r="G86" s="2199"/>
    </row>
    <row r="87" spans="5:7" ht="15.75" customHeight="1" x14ac:dyDescent="0.3">
      <c r="E87" s="2199"/>
      <c r="G87" s="2199"/>
    </row>
    <row r="88" spans="5:7" ht="15.75" customHeight="1" x14ac:dyDescent="0.3">
      <c r="E88" s="2199"/>
      <c r="G88" s="2199"/>
    </row>
    <row r="89" spans="5:7" ht="15.75" customHeight="1" x14ac:dyDescent="0.3">
      <c r="E89" s="2199"/>
      <c r="G89" s="2199"/>
    </row>
    <row r="90" spans="5:7" ht="15.75" customHeight="1" x14ac:dyDescent="0.3">
      <c r="E90" s="2199"/>
      <c r="G90" s="2199"/>
    </row>
    <row r="91" spans="5:7" ht="15.75" customHeight="1" x14ac:dyDescent="0.3">
      <c r="E91" s="2199"/>
      <c r="G91" s="2199"/>
    </row>
    <row r="92" spans="5:7" ht="15.75" customHeight="1" x14ac:dyDescent="0.3">
      <c r="E92" s="2199"/>
      <c r="G92" s="2199"/>
    </row>
    <row r="93" spans="5:7" ht="15.75" customHeight="1" x14ac:dyDescent="0.3">
      <c r="E93" s="2199"/>
      <c r="G93" s="2199"/>
    </row>
    <row r="94" spans="5:7" ht="15.75" customHeight="1" x14ac:dyDescent="0.3">
      <c r="E94" s="2199"/>
      <c r="G94" s="2199"/>
    </row>
    <row r="95" spans="5:7" ht="15.75" customHeight="1" x14ac:dyDescent="0.3">
      <c r="E95" s="2199"/>
      <c r="G95" s="2199"/>
    </row>
    <row r="96" spans="5:7" ht="15.75" customHeight="1" x14ac:dyDescent="0.3">
      <c r="E96" s="2199"/>
      <c r="G96" s="2199"/>
    </row>
    <row r="97" spans="5:7" ht="15.75" customHeight="1" x14ac:dyDescent="0.3">
      <c r="E97" s="2199"/>
      <c r="G97" s="2199"/>
    </row>
    <row r="98" spans="5:7" ht="15.75" customHeight="1" x14ac:dyDescent="0.3">
      <c r="E98" s="2199"/>
      <c r="G98" s="2199"/>
    </row>
    <row r="99" spans="5:7" ht="15.75" customHeight="1" x14ac:dyDescent="0.3">
      <c r="E99" s="2199"/>
      <c r="G99" s="2199"/>
    </row>
    <row r="100" spans="5:7" ht="15.75" customHeight="1" x14ac:dyDescent="0.3">
      <c r="E100" s="2199"/>
      <c r="G100" s="2199"/>
    </row>
    <row r="101" spans="5:7" ht="15.75" customHeight="1" x14ac:dyDescent="0.3">
      <c r="E101" s="2199"/>
      <c r="G101" s="2199"/>
    </row>
    <row r="102" spans="5:7" ht="15.75" customHeight="1" x14ac:dyDescent="0.3">
      <c r="E102" s="2199"/>
      <c r="G102" s="2199"/>
    </row>
    <row r="103" spans="5:7" ht="15.75" customHeight="1" x14ac:dyDescent="0.3">
      <c r="E103" s="2199"/>
      <c r="G103" s="2199"/>
    </row>
    <row r="104" spans="5:7" ht="15.75" customHeight="1" x14ac:dyDescent="0.3">
      <c r="E104" s="2199"/>
      <c r="G104" s="2199"/>
    </row>
    <row r="105" spans="5:7" ht="15.75" customHeight="1" x14ac:dyDescent="0.3">
      <c r="E105" s="2199"/>
      <c r="G105" s="2199"/>
    </row>
    <row r="106" spans="5:7" ht="15.75" customHeight="1" x14ac:dyDescent="0.3">
      <c r="E106" s="2199"/>
      <c r="G106" s="2199"/>
    </row>
    <row r="107" spans="5:7" ht="15.75" customHeight="1" x14ac:dyDescent="0.3">
      <c r="E107" s="2199"/>
      <c r="G107" s="2199"/>
    </row>
    <row r="108" spans="5:7" ht="15.75" customHeight="1" x14ac:dyDescent="0.3">
      <c r="E108" s="2199"/>
      <c r="G108" s="2199"/>
    </row>
    <row r="109" spans="5:7" ht="15.75" customHeight="1" x14ac:dyDescent="0.3">
      <c r="E109" s="2199"/>
      <c r="G109" s="2199"/>
    </row>
    <row r="110" spans="5:7" ht="15.75" customHeight="1" x14ac:dyDescent="0.3">
      <c r="E110" s="2199"/>
      <c r="G110" s="2199"/>
    </row>
    <row r="111" spans="5:7" ht="15.75" customHeight="1" x14ac:dyDescent="0.3">
      <c r="E111" s="2199"/>
      <c r="G111" s="2199"/>
    </row>
    <row r="112" spans="5:7" ht="15.75" customHeight="1" x14ac:dyDescent="0.3">
      <c r="E112" s="2199"/>
      <c r="G112" s="2199"/>
    </row>
    <row r="113" spans="5:7" ht="15.75" customHeight="1" x14ac:dyDescent="0.3">
      <c r="E113" s="2199"/>
      <c r="G113" s="2199"/>
    </row>
    <row r="114" spans="5:7" ht="15.75" customHeight="1" x14ac:dyDescent="0.3">
      <c r="E114" s="2199"/>
      <c r="G114" s="2199"/>
    </row>
    <row r="115" spans="5:7" ht="15.75" customHeight="1" x14ac:dyDescent="0.3">
      <c r="E115" s="2199"/>
      <c r="G115" s="2199"/>
    </row>
    <row r="116" spans="5:7" ht="15.75" customHeight="1" x14ac:dyDescent="0.3">
      <c r="E116" s="2199"/>
      <c r="G116" s="2199"/>
    </row>
    <row r="117" spans="5:7" ht="15.75" customHeight="1" x14ac:dyDescent="0.3">
      <c r="E117" s="2199"/>
      <c r="G117" s="2199"/>
    </row>
    <row r="118" spans="5:7" ht="15.75" customHeight="1" x14ac:dyDescent="0.3">
      <c r="E118" s="2199"/>
      <c r="G118" s="2199"/>
    </row>
    <row r="119" spans="5:7" ht="15.75" customHeight="1" x14ac:dyDescent="0.3">
      <c r="E119" s="2199"/>
      <c r="G119" s="2199"/>
    </row>
    <row r="120" spans="5:7" ht="15.75" customHeight="1" x14ac:dyDescent="0.3">
      <c r="E120" s="2199"/>
      <c r="G120" s="2199"/>
    </row>
    <row r="121" spans="5:7" ht="15.75" customHeight="1" x14ac:dyDescent="0.3">
      <c r="E121" s="2199"/>
      <c r="G121" s="2199"/>
    </row>
    <row r="122" spans="5:7" ht="15.75" customHeight="1" x14ac:dyDescent="0.3">
      <c r="E122" s="2199"/>
      <c r="G122" s="2199"/>
    </row>
    <row r="123" spans="5:7" ht="15.75" customHeight="1" x14ac:dyDescent="0.3">
      <c r="E123" s="2199"/>
      <c r="G123" s="2199"/>
    </row>
    <row r="124" spans="5:7" ht="15.75" customHeight="1" x14ac:dyDescent="0.3">
      <c r="E124" s="2199"/>
      <c r="G124" s="2199"/>
    </row>
    <row r="125" spans="5:7" ht="15.75" customHeight="1" x14ac:dyDescent="0.3">
      <c r="E125" s="2199"/>
      <c r="G125" s="2199"/>
    </row>
    <row r="126" spans="5:7" ht="15.75" customHeight="1" x14ac:dyDescent="0.3">
      <c r="E126" s="2199"/>
      <c r="G126" s="2199"/>
    </row>
    <row r="127" spans="5:7" ht="15.75" customHeight="1" x14ac:dyDescent="0.3">
      <c r="E127" s="2199"/>
      <c r="G127" s="2199"/>
    </row>
    <row r="128" spans="5:7" ht="15.75" customHeight="1" x14ac:dyDescent="0.3">
      <c r="E128" s="2199"/>
      <c r="G128" s="2199"/>
    </row>
    <row r="129" spans="5:7" ht="15.75" customHeight="1" x14ac:dyDescent="0.3">
      <c r="E129" s="2199"/>
      <c r="G129" s="2199"/>
    </row>
    <row r="130" spans="5:7" ht="15.75" customHeight="1" x14ac:dyDescent="0.3">
      <c r="E130" s="2199"/>
      <c r="G130" s="2199"/>
    </row>
    <row r="131" spans="5:7" ht="15.75" customHeight="1" x14ac:dyDescent="0.3">
      <c r="E131" s="2199"/>
      <c r="G131" s="2199"/>
    </row>
    <row r="132" spans="5:7" ht="15.75" customHeight="1" x14ac:dyDescent="0.3">
      <c r="E132" s="2199"/>
      <c r="G132" s="2199"/>
    </row>
    <row r="133" spans="5:7" ht="15.75" customHeight="1" x14ac:dyDescent="0.3">
      <c r="E133" s="2199"/>
      <c r="G133" s="2199"/>
    </row>
    <row r="134" spans="5:7" ht="15.75" customHeight="1" x14ac:dyDescent="0.3">
      <c r="E134" s="2199"/>
      <c r="G134" s="2199"/>
    </row>
    <row r="135" spans="5:7" ht="15.75" customHeight="1" x14ac:dyDescent="0.3">
      <c r="E135" s="2199"/>
      <c r="G135" s="2199"/>
    </row>
    <row r="136" spans="5:7" ht="15.75" customHeight="1" x14ac:dyDescent="0.3">
      <c r="E136" s="2199"/>
      <c r="G136" s="2199"/>
    </row>
    <row r="137" spans="5:7" ht="15.75" customHeight="1" x14ac:dyDescent="0.3">
      <c r="E137" s="2199"/>
      <c r="G137" s="2199"/>
    </row>
    <row r="138" spans="5:7" ht="15.75" customHeight="1" x14ac:dyDescent="0.3">
      <c r="E138" s="2199"/>
      <c r="G138" s="2199"/>
    </row>
    <row r="139" spans="5:7" ht="15.75" customHeight="1" x14ac:dyDescent="0.3">
      <c r="E139" s="2199"/>
      <c r="G139" s="2199"/>
    </row>
    <row r="140" spans="5:7" ht="15.75" customHeight="1" x14ac:dyDescent="0.3">
      <c r="E140" s="2199"/>
      <c r="G140" s="2199"/>
    </row>
    <row r="141" spans="5:7" ht="15.75" customHeight="1" x14ac:dyDescent="0.3">
      <c r="E141" s="2199"/>
      <c r="G141" s="2199"/>
    </row>
    <row r="142" spans="5:7" ht="15.75" customHeight="1" x14ac:dyDescent="0.3">
      <c r="E142" s="2199"/>
      <c r="G142" s="2199"/>
    </row>
    <row r="143" spans="5:7" ht="15.75" customHeight="1" x14ac:dyDescent="0.3">
      <c r="E143" s="2199"/>
      <c r="G143" s="2199"/>
    </row>
    <row r="144" spans="5:7" ht="15.75" customHeight="1" x14ac:dyDescent="0.3">
      <c r="E144" s="2199"/>
      <c r="G144" s="2199"/>
    </row>
    <row r="145" spans="5:7" ht="15.75" customHeight="1" x14ac:dyDescent="0.3">
      <c r="E145" s="2199"/>
      <c r="G145" s="2199"/>
    </row>
    <row r="146" spans="5:7" ht="15.75" customHeight="1" x14ac:dyDescent="0.3">
      <c r="E146" s="2199"/>
      <c r="G146" s="2199"/>
    </row>
    <row r="147" spans="5:7" ht="15.75" customHeight="1" x14ac:dyDescent="0.3">
      <c r="E147" s="2199"/>
      <c r="G147" s="2199"/>
    </row>
    <row r="148" spans="5:7" ht="15.75" customHeight="1" x14ac:dyDescent="0.3">
      <c r="E148" s="2199"/>
      <c r="G148" s="2199"/>
    </row>
    <row r="149" spans="5:7" ht="15.75" customHeight="1" x14ac:dyDescent="0.3">
      <c r="E149" s="2199"/>
      <c r="G149" s="2199"/>
    </row>
    <row r="150" spans="5:7" ht="15.75" customHeight="1" x14ac:dyDescent="0.3">
      <c r="E150" s="2199"/>
      <c r="G150" s="2199"/>
    </row>
    <row r="151" spans="5:7" ht="15.75" customHeight="1" x14ac:dyDescent="0.3">
      <c r="E151" s="2199"/>
      <c r="G151" s="2199"/>
    </row>
    <row r="152" spans="5:7" ht="15.75" customHeight="1" x14ac:dyDescent="0.3">
      <c r="E152" s="2199"/>
      <c r="G152" s="2199"/>
    </row>
    <row r="153" spans="5:7" ht="15.75" customHeight="1" x14ac:dyDescent="0.3">
      <c r="E153" s="2199"/>
      <c r="G153" s="2199"/>
    </row>
    <row r="154" spans="5:7" ht="15.75" customHeight="1" x14ac:dyDescent="0.3">
      <c r="E154" s="2199"/>
      <c r="G154" s="2199"/>
    </row>
    <row r="155" spans="5:7" ht="15.75" customHeight="1" x14ac:dyDescent="0.3">
      <c r="E155" s="2199"/>
      <c r="G155" s="2199"/>
    </row>
    <row r="156" spans="5:7" ht="15.75" customHeight="1" x14ac:dyDescent="0.3">
      <c r="E156" s="2199"/>
      <c r="G156" s="2199"/>
    </row>
    <row r="157" spans="5:7" ht="15.75" customHeight="1" x14ac:dyDescent="0.3">
      <c r="E157" s="2199"/>
      <c r="G157" s="2199"/>
    </row>
    <row r="158" spans="5:7" ht="15.75" customHeight="1" x14ac:dyDescent="0.3">
      <c r="E158" s="2199"/>
      <c r="G158" s="2199"/>
    </row>
    <row r="159" spans="5:7" ht="15.75" customHeight="1" x14ac:dyDescent="0.3">
      <c r="E159" s="2199"/>
      <c r="G159" s="2199"/>
    </row>
    <row r="160" spans="5:7" ht="15.75" customHeight="1" x14ac:dyDescent="0.3">
      <c r="E160" s="2199"/>
      <c r="G160" s="2199"/>
    </row>
    <row r="161" spans="5:7" ht="15.75" customHeight="1" x14ac:dyDescent="0.3">
      <c r="E161" s="2199"/>
      <c r="G161" s="2199"/>
    </row>
    <row r="162" spans="5:7" ht="15.75" customHeight="1" x14ac:dyDescent="0.3">
      <c r="E162" s="2199"/>
      <c r="G162" s="2199"/>
    </row>
    <row r="163" spans="5:7" ht="15.75" customHeight="1" x14ac:dyDescent="0.3">
      <c r="E163" s="2199"/>
      <c r="G163" s="2199"/>
    </row>
    <row r="164" spans="5:7" ht="15.75" customHeight="1" x14ac:dyDescent="0.3">
      <c r="E164" s="2199"/>
      <c r="G164" s="2199"/>
    </row>
    <row r="165" spans="5:7" ht="15.75" customHeight="1" x14ac:dyDescent="0.3">
      <c r="E165" s="2199"/>
      <c r="G165" s="2199"/>
    </row>
    <row r="166" spans="5:7" ht="15.75" customHeight="1" x14ac:dyDescent="0.3">
      <c r="E166" s="2199"/>
      <c r="G166" s="2199"/>
    </row>
    <row r="167" spans="5:7" ht="15.75" customHeight="1" x14ac:dyDescent="0.3">
      <c r="E167" s="2199"/>
      <c r="G167" s="2199"/>
    </row>
    <row r="168" spans="5:7" ht="15.75" customHeight="1" x14ac:dyDescent="0.3">
      <c r="E168" s="2199"/>
      <c r="G168" s="2199"/>
    </row>
    <row r="169" spans="5:7" ht="15.75" customHeight="1" x14ac:dyDescent="0.3">
      <c r="E169" s="2199"/>
      <c r="G169" s="2199"/>
    </row>
    <row r="170" spans="5:7" ht="15.75" customHeight="1" x14ac:dyDescent="0.3">
      <c r="E170" s="2199"/>
      <c r="G170" s="2199"/>
    </row>
    <row r="171" spans="5:7" ht="15.75" customHeight="1" x14ac:dyDescent="0.3">
      <c r="E171" s="2199"/>
      <c r="G171" s="2199"/>
    </row>
    <row r="172" spans="5:7" ht="15.75" customHeight="1" x14ac:dyDescent="0.3">
      <c r="E172" s="2199"/>
      <c r="G172" s="2199"/>
    </row>
    <row r="173" spans="5:7" ht="15.75" customHeight="1" x14ac:dyDescent="0.3">
      <c r="E173" s="2199"/>
      <c r="G173" s="2199"/>
    </row>
    <row r="174" spans="5:7" ht="15.75" customHeight="1" x14ac:dyDescent="0.3">
      <c r="E174" s="2199"/>
      <c r="G174" s="2199"/>
    </row>
    <row r="175" spans="5:7" ht="15.75" customHeight="1" x14ac:dyDescent="0.3">
      <c r="E175" s="2199"/>
      <c r="G175" s="2199"/>
    </row>
    <row r="176" spans="5:7" ht="15.75" customHeight="1" x14ac:dyDescent="0.3">
      <c r="E176" s="2199"/>
      <c r="G176" s="2199"/>
    </row>
    <row r="177" spans="5:7" ht="15.75" customHeight="1" x14ac:dyDescent="0.3">
      <c r="E177" s="2199"/>
      <c r="G177" s="2199"/>
    </row>
    <row r="178" spans="5:7" ht="15.75" customHeight="1" x14ac:dyDescent="0.3">
      <c r="E178" s="2199"/>
      <c r="G178" s="2199"/>
    </row>
    <row r="179" spans="5:7" ht="15.75" customHeight="1" x14ac:dyDescent="0.3">
      <c r="E179" s="2199"/>
      <c r="G179" s="2199"/>
    </row>
    <row r="180" spans="5:7" ht="15.75" customHeight="1" x14ac:dyDescent="0.3">
      <c r="E180" s="2199"/>
      <c r="G180" s="2199"/>
    </row>
    <row r="181" spans="5:7" ht="15.75" customHeight="1" x14ac:dyDescent="0.3">
      <c r="E181" s="2199"/>
      <c r="G181" s="2199"/>
    </row>
    <row r="182" spans="5:7" ht="15.75" customHeight="1" x14ac:dyDescent="0.3">
      <c r="E182" s="2199"/>
      <c r="G182" s="2199"/>
    </row>
    <row r="183" spans="5:7" ht="15.75" customHeight="1" x14ac:dyDescent="0.3">
      <c r="E183" s="2199"/>
      <c r="G183" s="2199"/>
    </row>
    <row r="184" spans="5:7" ht="15.75" customHeight="1" x14ac:dyDescent="0.3">
      <c r="E184" s="2199"/>
      <c r="G184" s="2199"/>
    </row>
    <row r="185" spans="5:7" ht="15.75" customHeight="1" x14ac:dyDescent="0.3">
      <c r="E185" s="2199"/>
      <c r="G185" s="2199"/>
    </row>
    <row r="186" spans="5:7" ht="15.75" customHeight="1" x14ac:dyDescent="0.3">
      <c r="E186" s="2199"/>
      <c r="G186" s="2199"/>
    </row>
    <row r="187" spans="5:7" ht="15.75" customHeight="1" x14ac:dyDescent="0.3">
      <c r="E187" s="2199"/>
      <c r="G187" s="2199"/>
    </row>
    <row r="188" spans="5:7" ht="15.75" customHeight="1" x14ac:dyDescent="0.3">
      <c r="E188" s="2199"/>
      <c r="G188" s="2199"/>
    </row>
    <row r="189" spans="5:7" ht="15.75" customHeight="1" x14ac:dyDescent="0.3">
      <c r="E189" s="2199"/>
      <c r="G189" s="2199"/>
    </row>
    <row r="190" spans="5:7" ht="15.75" customHeight="1" x14ac:dyDescent="0.3">
      <c r="E190" s="2199"/>
      <c r="G190" s="2199"/>
    </row>
    <row r="191" spans="5:7" ht="15.75" customHeight="1" x14ac:dyDescent="0.3">
      <c r="E191" s="2199"/>
      <c r="G191" s="2199"/>
    </row>
    <row r="192" spans="5:7" ht="15.75" customHeight="1" x14ac:dyDescent="0.3">
      <c r="E192" s="2199"/>
      <c r="G192" s="2199"/>
    </row>
    <row r="193" spans="5:7" ht="15.75" customHeight="1" x14ac:dyDescent="0.3">
      <c r="E193" s="2199"/>
      <c r="G193" s="2199"/>
    </row>
    <row r="194" spans="5:7" ht="15.75" customHeight="1" x14ac:dyDescent="0.3">
      <c r="E194" s="2199"/>
      <c r="G194" s="2199"/>
    </row>
    <row r="195" spans="5:7" ht="15.75" customHeight="1" x14ac:dyDescent="0.3">
      <c r="E195" s="2199"/>
      <c r="G195" s="2199"/>
    </row>
    <row r="196" spans="5:7" ht="15.75" customHeight="1" x14ac:dyDescent="0.3">
      <c r="E196" s="2199"/>
      <c r="G196" s="2199"/>
    </row>
    <row r="197" spans="5:7" ht="15.75" customHeight="1" x14ac:dyDescent="0.3">
      <c r="E197" s="2199"/>
      <c r="G197" s="2199"/>
    </row>
    <row r="198" spans="5:7" ht="15.75" customHeight="1" x14ac:dyDescent="0.3">
      <c r="E198" s="2199"/>
      <c r="G198" s="2199"/>
    </row>
    <row r="199" spans="5:7" ht="15.75" customHeight="1" x14ac:dyDescent="0.3">
      <c r="E199" s="2199"/>
      <c r="G199" s="2199"/>
    </row>
    <row r="200" spans="5:7" ht="15.75" customHeight="1" x14ac:dyDescent="0.3">
      <c r="E200" s="2199"/>
      <c r="G200" s="2199"/>
    </row>
    <row r="201" spans="5:7" ht="15.75" customHeight="1" x14ac:dyDescent="0.3">
      <c r="E201" s="2199"/>
      <c r="G201" s="2199"/>
    </row>
    <row r="202" spans="5:7" ht="15.75" customHeight="1" x14ac:dyDescent="0.3">
      <c r="E202" s="2199"/>
      <c r="G202" s="2199"/>
    </row>
    <row r="203" spans="5:7" ht="15.75" customHeight="1" x14ac:dyDescent="0.3">
      <c r="E203" s="2199"/>
      <c r="G203" s="2199"/>
    </row>
    <row r="204" spans="5:7" ht="15.75" customHeight="1" x14ac:dyDescent="0.3">
      <c r="E204" s="2199"/>
      <c r="G204" s="2199"/>
    </row>
    <row r="205" spans="5:7" ht="15.75" customHeight="1" x14ac:dyDescent="0.3">
      <c r="E205" s="2199"/>
      <c r="G205" s="2199"/>
    </row>
    <row r="206" spans="5:7" ht="15.75" customHeight="1" x14ac:dyDescent="0.3">
      <c r="E206" s="2199"/>
      <c r="G206" s="2199"/>
    </row>
    <row r="207" spans="5:7" ht="15.75" customHeight="1" x14ac:dyDescent="0.3">
      <c r="E207" s="2199"/>
      <c r="G207" s="2199"/>
    </row>
    <row r="208" spans="5:7" ht="15.75" customHeight="1" x14ac:dyDescent="0.3">
      <c r="E208" s="2199"/>
      <c r="G208" s="2199"/>
    </row>
    <row r="209" spans="5:7" ht="15.75" customHeight="1" x14ac:dyDescent="0.3">
      <c r="E209" s="2199"/>
      <c r="G209" s="2199"/>
    </row>
    <row r="210" spans="5:7" ht="15.75" customHeight="1" x14ac:dyDescent="0.3">
      <c r="E210" s="2199"/>
      <c r="G210" s="2199"/>
    </row>
    <row r="211" spans="5:7" ht="15.75" customHeight="1" x14ac:dyDescent="0.3">
      <c r="E211" s="2199"/>
      <c r="G211" s="2199"/>
    </row>
    <row r="212" spans="5:7" ht="15.75" customHeight="1" x14ac:dyDescent="0.3">
      <c r="E212" s="2199"/>
      <c r="G212" s="2199"/>
    </row>
    <row r="213" spans="5:7" ht="15.75" customHeight="1" x14ac:dyDescent="0.3">
      <c r="E213" s="2199"/>
      <c r="G213" s="2199"/>
    </row>
    <row r="214" spans="5:7" ht="15.75" customHeight="1" x14ac:dyDescent="0.3">
      <c r="E214" s="2199"/>
      <c r="G214" s="2199"/>
    </row>
    <row r="215" spans="5:7" ht="15.75" customHeight="1" x14ac:dyDescent="0.3">
      <c r="E215" s="2199"/>
      <c r="G215" s="2199"/>
    </row>
    <row r="216" spans="5:7" ht="15.75" customHeight="1" x14ac:dyDescent="0.3">
      <c r="E216" s="2199"/>
      <c r="G216" s="2199"/>
    </row>
    <row r="217" spans="5:7" ht="15.75" customHeight="1" x14ac:dyDescent="0.3">
      <c r="E217" s="2199"/>
      <c r="G217" s="2199"/>
    </row>
    <row r="218" spans="5:7" ht="15.75" customHeight="1" x14ac:dyDescent="0.3">
      <c r="E218" s="2199"/>
      <c r="G218" s="2199"/>
    </row>
    <row r="219" spans="5:7" ht="15.75" customHeight="1" x14ac:dyDescent="0.3">
      <c r="E219" s="2199"/>
      <c r="G219" s="2199"/>
    </row>
    <row r="220" spans="5:7" ht="15.75" customHeight="1" x14ac:dyDescent="0.3">
      <c r="E220" s="2199"/>
      <c r="G220" s="2199"/>
    </row>
    <row r="221" spans="5:7" ht="15.75" customHeight="1" x14ac:dyDescent="0.3">
      <c r="E221" s="2199"/>
      <c r="G221" s="2199"/>
    </row>
    <row r="222" spans="5:7" ht="15.75" customHeight="1" x14ac:dyDescent="0.3">
      <c r="E222" s="2199"/>
      <c r="G222" s="2199"/>
    </row>
    <row r="223" spans="5:7" ht="15.75" customHeight="1" x14ac:dyDescent="0.3">
      <c r="E223" s="2199"/>
      <c r="G223" s="2199"/>
    </row>
    <row r="224" spans="5:7" ht="15.75" customHeight="1" x14ac:dyDescent="0.3">
      <c r="E224" s="2199"/>
      <c r="G224" s="2199"/>
    </row>
    <row r="225" spans="5:7" ht="15.75" customHeight="1" x14ac:dyDescent="0.3">
      <c r="E225" s="2199"/>
      <c r="G225" s="2199"/>
    </row>
    <row r="226" spans="5:7" ht="15.75" customHeight="1" x14ac:dyDescent="0.3">
      <c r="E226" s="2199"/>
      <c r="G226" s="2199"/>
    </row>
    <row r="227" spans="5:7" ht="15.75" customHeight="1" x14ac:dyDescent="0.3">
      <c r="E227" s="2199"/>
      <c r="G227" s="2199"/>
    </row>
    <row r="228" spans="5:7" ht="15.75" customHeight="1" x14ac:dyDescent="0.3">
      <c r="E228" s="2199"/>
      <c r="G228" s="2199"/>
    </row>
    <row r="229" spans="5:7" ht="15.75" customHeight="1" x14ac:dyDescent="0.3">
      <c r="E229" s="2199"/>
      <c r="G229" s="2199"/>
    </row>
    <row r="230" spans="5:7" ht="15.75" customHeight="1" x14ac:dyDescent="0.3">
      <c r="E230" s="2199"/>
      <c r="G230" s="2199"/>
    </row>
    <row r="231" spans="5:7" ht="15.75" customHeight="1" x14ac:dyDescent="0.3">
      <c r="E231" s="2199"/>
      <c r="G231" s="2199"/>
    </row>
    <row r="232" spans="5:7" ht="15.75" customHeight="1" x14ac:dyDescent="0.3">
      <c r="E232" s="2199"/>
      <c r="G232" s="2199"/>
    </row>
    <row r="233" spans="5:7" ht="15.75" customHeight="1" x14ac:dyDescent="0.3">
      <c r="E233" s="2199"/>
      <c r="G233" s="2199"/>
    </row>
    <row r="234" spans="5:7" ht="15.75" customHeight="1" x14ac:dyDescent="0.3">
      <c r="E234" s="2199"/>
      <c r="G234" s="2199"/>
    </row>
    <row r="235" spans="5:7" ht="15.75" customHeight="1" x14ac:dyDescent="0.3">
      <c r="E235" s="2199"/>
      <c r="G235" s="2199"/>
    </row>
    <row r="236" spans="5:7" ht="15.75" customHeight="1" x14ac:dyDescent="0.3">
      <c r="E236" s="2199"/>
      <c r="G236" s="2199"/>
    </row>
    <row r="237" spans="5:7" ht="15.75" customHeight="1" x14ac:dyDescent="0.3">
      <c r="E237" s="2199"/>
      <c r="G237" s="2199"/>
    </row>
    <row r="238" spans="5:7" ht="15.75" customHeight="1" x14ac:dyDescent="0.3">
      <c r="E238" s="2199"/>
      <c r="G238" s="2199"/>
    </row>
    <row r="239" spans="5:7" ht="15.75" customHeight="1" x14ac:dyDescent="0.3">
      <c r="E239" s="2199"/>
      <c r="G239" s="2199"/>
    </row>
    <row r="240" spans="5:7" ht="15.75" customHeight="1" x14ac:dyDescent="0.3">
      <c r="E240" s="2199"/>
      <c r="G240" s="2199"/>
    </row>
    <row r="241" spans="5:7" ht="15.75" customHeight="1" x14ac:dyDescent="0.3">
      <c r="E241" s="2199"/>
      <c r="G241" s="2199"/>
    </row>
    <row r="242" spans="5:7" ht="15.75" customHeight="1" x14ac:dyDescent="0.3">
      <c r="E242" s="2199"/>
      <c r="G242" s="2199"/>
    </row>
    <row r="243" spans="5:7" ht="15.75" customHeight="1" x14ac:dyDescent="0.3">
      <c r="E243" s="2199"/>
      <c r="G243" s="2199"/>
    </row>
    <row r="244" spans="5:7" ht="15.75" customHeight="1" x14ac:dyDescent="0.3">
      <c r="E244" s="2199"/>
      <c r="G244" s="2199"/>
    </row>
    <row r="245" spans="5:7" ht="15.75" customHeight="1" x14ac:dyDescent="0.3">
      <c r="E245" s="2199"/>
      <c r="G245" s="2199"/>
    </row>
    <row r="246" spans="5:7" ht="15.75" customHeight="1" x14ac:dyDescent="0.3">
      <c r="E246" s="2199"/>
      <c r="G246" s="2199"/>
    </row>
    <row r="247" spans="5:7" ht="15.75" customHeight="1" x14ac:dyDescent="0.3">
      <c r="E247" s="2199"/>
      <c r="G247" s="2199"/>
    </row>
    <row r="248" spans="5:7" ht="15.75" customHeight="1" x14ac:dyDescent="0.3">
      <c r="E248" s="2199"/>
      <c r="G248" s="2199"/>
    </row>
    <row r="249" spans="5:7" ht="15.75" customHeight="1" x14ac:dyDescent="0.3">
      <c r="E249" s="2199"/>
      <c r="G249" s="2199"/>
    </row>
    <row r="250" spans="5:7" ht="15.75" customHeight="1" x14ac:dyDescent="0.3">
      <c r="E250" s="2199"/>
      <c r="G250" s="2199"/>
    </row>
    <row r="251" spans="5:7" ht="15.75" customHeight="1" x14ac:dyDescent="0.3"/>
    <row r="252" spans="5:7" ht="15.75" customHeight="1" x14ac:dyDescent="0.3"/>
    <row r="253" spans="5:7" ht="15.75" customHeight="1" x14ac:dyDescent="0.3"/>
    <row r="254" spans="5:7" ht="15.75" customHeight="1" x14ac:dyDescent="0.3"/>
    <row r="255" spans="5:7" ht="15.75" customHeight="1" x14ac:dyDescent="0.3"/>
    <row r="256" spans="5:7"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1">
    <mergeCell ref="C7:D7"/>
  </mergeCells>
  <dataValidations count="1">
    <dataValidation type="list" allowBlank="1" showErrorMessage="1" sqref="B17 B22 B27 B32" xr:uid="{BF202F4D-65B9-4D85-900E-46A440FE5331}">
      <formula1>$B$45:$B$50</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0EB6-38AC-44D0-897F-9D748E78D0EA}">
  <dimension ref="A1:AD899"/>
  <sheetViews>
    <sheetView zoomScale="79" workbookViewId="0">
      <selection activeCell="AD12" sqref="AD12"/>
    </sheetView>
  </sheetViews>
  <sheetFormatPr defaultColWidth="12.44140625" defaultRowHeight="15" customHeight="1" x14ac:dyDescent="0.3"/>
  <cols>
    <col min="1" max="1" width="2.6640625" style="2198" customWidth="1"/>
    <col min="2" max="2" width="9.109375" style="2198" customWidth="1"/>
    <col min="3" max="3" width="31.21875" style="2198" customWidth="1"/>
    <col min="4" max="4" width="34" style="2198" customWidth="1"/>
    <col min="5" max="5" width="8.88671875" style="2198" customWidth="1"/>
    <col min="6" max="6" width="32.44140625" style="2198" customWidth="1"/>
    <col min="7" max="7" width="12.77734375" style="2198" customWidth="1"/>
    <col min="8" max="8" width="12.77734375" style="2198" hidden="1" customWidth="1"/>
    <col min="9" max="9" width="12.77734375" style="2198" customWidth="1"/>
    <col min="10" max="12" width="12.77734375" style="2198" hidden="1" customWidth="1"/>
    <col min="13" max="17" width="14.88671875" style="2198" hidden="1" customWidth="1"/>
    <col min="18" max="18" width="14.88671875" style="2198" customWidth="1"/>
    <col min="19" max="21" width="14.88671875" style="2198" hidden="1" customWidth="1"/>
    <col min="22" max="23" width="14.44140625" style="2198" hidden="1" customWidth="1"/>
    <col min="24" max="25" width="11.5546875" style="2198" hidden="1" customWidth="1"/>
    <col min="26" max="26" width="11.5546875" style="2198" customWidth="1"/>
    <col min="27" max="30" width="11.6640625" style="2198" customWidth="1"/>
    <col min="31" max="16384" width="12.44140625" style="2198"/>
  </cols>
  <sheetData>
    <row r="1" spans="1:30" ht="23.25" customHeight="1" x14ac:dyDescent="0.35">
      <c r="A1" s="2309"/>
      <c r="B1" s="2310" t="s">
        <v>2340</v>
      </c>
    </row>
    <row r="2" spans="1:30" ht="13.5" customHeight="1" x14ac:dyDescent="0.3">
      <c r="A2" s="2309"/>
      <c r="B2" s="2311" t="s">
        <v>340</v>
      </c>
      <c r="C2" s="2201"/>
      <c r="D2" s="2201"/>
      <c r="E2" s="2201"/>
      <c r="F2" s="2201"/>
      <c r="G2" s="2201"/>
      <c r="H2" s="2201"/>
      <c r="I2" s="2201"/>
      <c r="J2" s="2201"/>
      <c r="K2" s="2201"/>
      <c r="L2" s="2201"/>
      <c r="M2" s="2201"/>
      <c r="N2" s="2201"/>
      <c r="O2" s="2201"/>
      <c r="P2" s="2201"/>
      <c r="Q2" s="2201"/>
      <c r="R2" s="2201"/>
      <c r="S2" s="2201"/>
      <c r="T2" s="2201"/>
      <c r="U2" s="2201"/>
      <c r="V2" s="2201"/>
      <c r="W2" s="2201"/>
      <c r="X2" s="2201"/>
      <c r="Y2" s="2201"/>
      <c r="Z2" s="2201"/>
    </row>
    <row r="3" spans="1:30" ht="15.75" customHeight="1" x14ac:dyDescent="0.3">
      <c r="B3" s="2312"/>
    </row>
    <row r="4" spans="1:30" ht="19.2" customHeight="1" x14ac:dyDescent="0.3">
      <c r="B4" s="2313" t="s">
        <v>1330</v>
      </c>
      <c r="C4" s="2314"/>
      <c r="D4" s="2314"/>
    </row>
    <row r="5" spans="1:30" ht="19.2" customHeight="1" x14ac:dyDescent="0.3">
      <c r="B5" s="2313" t="s">
        <v>341</v>
      </c>
      <c r="C5" s="2314"/>
      <c r="D5" s="2314"/>
    </row>
    <row r="6" spans="1:30" ht="15.75" customHeight="1" x14ac:dyDescent="0.3">
      <c r="B6" s="2312"/>
    </row>
    <row r="7" spans="1:30" ht="15.75" customHeight="1" x14ac:dyDescent="0.3">
      <c r="B7" s="2315" t="s">
        <v>342</v>
      </c>
    </row>
    <row r="8" spans="1:30" ht="9" customHeight="1" x14ac:dyDescent="0.3">
      <c r="B8" s="2316"/>
      <c r="G8" s="2199"/>
      <c r="H8" s="2199"/>
      <c r="I8" s="2199"/>
      <c r="J8" s="2199"/>
      <c r="K8" s="2199"/>
      <c r="L8" s="2199"/>
      <c r="Z8" s="2199"/>
    </row>
    <row r="9" spans="1:30" ht="15.75" customHeight="1" x14ac:dyDescent="0.3">
      <c r="B9" s="2317" t="s">
        <v>301</v>
      </c>
      <c r="C9" s="2318" t="s">
        <v>343</v>
      </c>
      <c r="D9" s="2319" t="s">
        <v>344</v>
      </c>
      <c r="E9" s="2319" t="s">
        <v>345</v>
      </c>
      <c r="F9" s="2319" t="s">
        <v>346</v>
      </c>
      <c r="G9" s="2320" t="s">
        <v>347</v>
      </c>
      <c r="H9" s="2321">
        <v>2025</v>
      </c>
      <c r="I9" s="2321">
        <v>2024</v>
      </c>
      <c r="J9" s="2321">
        <v>2023</v>
      </c>
      <c r="K9" s="2321">
        <v>2022</v>
      </c>
      <c r="L9" s="2321">
        <v>2021</v>
      </c>
      <c r="M9" s="2321">
        <v>2020</v>
      </c>
      <c r="N9" s="2321">
        <v>2019</v>
      </c>
      <c r="O9" s="2322">
        <v>2018</v>
      </c>
      <c r="P9" s="2322">
        <v>2017</v>
      </c>
      <c r="Q9" s="2322">
        <v>2016</v>
      </c>
      <c r="R9" s="2322">
        <v>2015</v>
      </c>
      <c r="S9" s="2322">
        <v>2014</v>
      </c>
      <c r="T9" s="2322">
        <v>2013</v>
      </c>
      <c r="U9" s="2322">
        <v>2012</v>
      </c>
      <c r="V9" s="2322">
        <v>2011</v>
      </c>
      <c r="W9" s="2322">
        <v>2010</v>
      </c>
      <c r="X9" s="2322">
        <v>2009</v>
      </c>
      <c r="Y9" s="2322">
        <v>2008</v>
      </c>
      <c r="Z9" s="2323" t="s">
        <v>332</v>
      </c>
    </row>
    <row r="10" spans="1:30" ht="24" customHeight="1" x14ac:dyDescent="0.3">
      <c r="A10" s="2324"/>
      <c r="B10" s="2325">
        <v>1</v>
      </c>
      <c r="C10" s="2326" t="s">
        <v>572</v>
      </c>
      <c r="D10" s="2327" t="s">
        <v>2156</v>
      </c>
      <c r="E10" s="2328" t="s">
        <v>1313</v>
      </c>
      <c r="F10" s="2329" t="s">
        <v>1314</v>
      </c>
      <c r="G10" s="2330">
        <v>2011</v>
      </c>
      <c r="I10" s="2331">
        <v>48334</v>
      </c>
      <c r="J10" s="4285">
        <v>53641</v>
      </c>
      <c r="K10" s="4285">
        <v>56625</v>
      </c>
      <c r="L10" s="4286">
        <v>69295</v>
      </c>
      <c r="M10" s="4285">
        <v>66426</v>
      </c>
      <c r="N10" s="4285">
        <v>61057</v>
      </c>
      <c r="O10" s="4286">
        <v>55569</v>
      </c>
      <c r="P10" s="4285">
        <v>76173</v>
      </c>
      <c r="Q10" s="2333">
        <v>70085</v>
      </c>
      <c r="R10" s="2333">
        <v>60426</v>
      </c>
      <c r="S10" s="2333">
        <v>53963</v>
      </c>
      <c r="T10" s="2333">
        <v>44775</v>
      </c>
      <c r="U10" s="2333">
        <v>61456</v>
      </c>
      <c r="V10" s="2333">
        <v>45189</v>
      </c>
      <c r="W10" s="2334">
        <v>0</v>
      </c>
      <c r="X10" s="2332"/>
      <c r="Y10" s="2335"/>
      <c r="Z10" s="2332"/>
      <c r="AA10" s="2324"/>
      <c r="AB10" s="2324"/>
      <c r="AC10" s="2324"/>
      <c r="AD10" s="2324"/>
    </row>
    <row r="11" spans="1:30" ht="24" customHeight="1" x14ac:dyDescent="0.3">
      <c r="A11" s="2324"/>
      <c r="B11" s="2325" t="s">
        <v>1226</v>
      </c>
      <c r="C11" s="2224" t="s">
        <v>374</v>
      </c>
      <c r="D11" s="2224" t="s">
        <v>1315</v>
      </c>
      <c r="E11" s="2336" t="s">
        <v>453</v>
      </c>
      <c r="F11" s="2299" t="s">
        <v>1316</v>
      </c>
      <c r="G11" s="2337" t="s">
        <v>1226</v>
      </c>
      <c r="I11" s="2338">
        <f>I10/V10</f>
        <v>1.069596583239284</v>
      </c>
      <c r="J11" s="4287">
        <v>1.1870366682157163</v>
      </c>
      <c r="K11" s="4287">
        <v>1.25</v>
      </c>
      <c r="L11" s="4288">
        <v>1.53</v>
      </c>
      <c r="M11" s="4287">
        <v>1.47</v>
      </c>
      <c r="N11" s="4287">
        <v>1.35</v>
      </c>
      <c r="O11" s="4288">
        <v>1.23</v>
      </c>
      <c r="P11" s="4287">
        <v>1.69</v>
      </c>
      <c r="Q11" s="2339">
        <v>1.55</v>
      </c>
      <c r="R11" s="2339">
        <v>1.34</v>
      </c>
      <c r="S11" s="2339">
        <v>1.19</v>
      </c>
      <c r="T11" s="2339">
        <v>0.99</v>
      </c>
      <c r="U11" s="2339">
        <v>1.36</v>
      </c>
      <c r="V11" s="2339">
        <v>1</v>
      </c>
      <c r="W11" s="2340"/>
      <c r="X11" s="2341"/>
      <c r="Y11" s="2342"/>
      <c r="Z11" s="2341"/>
      <c r="AA11" s="2324"/>
      <c r="AB11" s="2324"/>
      <c r="AC11" s="2324"/>
      <c r="AD11" s="2324"/>
    </row>
    <row r="12" spans="1:30" ht="24" customHeight="1" x14ac:dyDescent="0.3">
      <c r="A12" s="2324"/>
      <c r="B12" s="2325" t="s">
        <v>1226</v>
      </c>
      <c r="C12" s="2327" t="s">
        <v>572</v>
      </c>
      <c r="D12" s="2327" t="s">
        <v>1317</v>
      </c>
      <c r="E12" s="2328" t="s">
        <v>733</v>
      </c>
      <c r="F12" s="2329" t="s">
        <v>1318</v>
      </c>
      <c r="G12" s="2343" t="s">
        <v>1226</v>
      </c>
      <c r="I12" s="2331">
        <v>17912</v>
      </c>
      <c r="J12" s="4289">
        <v>25780</v>
      </c>
      <c r="K12" s="4289">
        <v>15934</v>
      </c>
      <c r="L12" s="4290">
        <v>17595</v>
      </c>
      <c r="M12" s="4289">
        <v>23627</v>
      </c>
      <c r="N12" s="4289">
        <v>22635</v>
      </c>
      <c r="O12" s="4290">
        <v>13891</v>
      </c>
      <c r="P12" s="4289">
        <v>38768</v>
      </c>
      <c r="Q12" s="2345">
        <v>42223</v>
      </c>
      <c r="R12" s="2345">
        <v>41648</v>
      </c>
      <c r="S12" s="2345">
        <v>39608</v>
      </c>
      <c r="T12" s="2345">
        <v>32449</v>
      </c>
      <c r="U12" s="2345">
        <v>43691</v>
      </c>
      <c r="V12" s="2345">
        <v>32348</v>
      </c>
      <c r="W12" s="2334" t="s">
        <v>1226</v>
      </c>
      <c r="X12" s="2344"/>
      <c r="Y12" s="2335"/>
      <c r="Z12" s="2344"/>
      <c r="AA12" s="2324"/>
      <c r="AB12" s="2324"/>
      <c r="AC12" s="2324"/>
      <c r="AD12" s="2324"/>
    </row>
    <row r="13" spans="1:30" ht="24" customHeight="1" x14ac:dyDescent="0.3">
      <c r="A13" s="2324"/>
      <c r="B13" s="2325" t="s">
        <v>1226</v>
      </c>
      <c r="C13" s="2224" t="s">
        <v>374</v>
      </c>
      <c r="D13" s="2224" t="s">
        <v>1317</v>
      </c>
      <c r="E13" s="2336" t="s">
        <v>844</v>
      </c>
      <c r="F13" s="2299" t="s">
        <v>1319</v>
      </c>
      <c r="G13" s="2337"/>
      <c r="I13" s="2346">
        <f>I12*C32</f>
        <v>7881.28</v>
      </c>
      <c r="J13" s="4291">
        <v>11343.2</v>
      </c>
      <c r="K13" s="4291">
        <v>7011</v>
      </c>
      <c r="L13" s="4292">
        <v>7741.8</v>
      </c>
      <c r="M13" s="4291">
        <v>10395.9</v>
      </c>
      <c r="N13" s="4291">
        <v>9959.4</v>
      </c>
      <c r="O13" s="4292">
        <v>6112</v>
      </c>
      <c r="P13" s="4291">
        <v>17057.900000000001</v>
      </c>
      <c r="Q13" s="2347">
        <v>18578.099999999999</v>
      </c>
      <c r="R13" s="2347">
        <v>18325.099999999999</v>
      </c>
      <c r="S13" s="2347">
        <v>17427.5</v>
      </c>
      <c r="T13" s="2347">
        <v>14277.6</v>
      </c>
      <c r="U13" s="2347">
        <v>19224</v>
      </c>
      <c r="V13" s="2347">
        <v>14233.1</v>
      </c>
      <c r="W13" s="2348"/>
      <c r="X13" s="2341"/>
      <c r="Y13" s="2342"/>
      <c r="Z13" s="2341"/>
      <c r="AA13" s="2324"/>
      <c r="AB13" s="2324"/>
      <c r="AC13" s="2324"/>
      <c r="AD13" s="2324"/>
    </row>
    <row r="14" spans="1:30" ht="24" customHeight="1" x14ac:dyDescent="0.3">
      <c r="A14" s="2324"/>
      <c r="B14" s="2325"/>
      <c r="C14" s="2327"/>
      <c r="D14" s="2327" t="s">
        <v>1317</v>
      </c>
      <c r="E14" s="2328" t="s">
        <v>385</v>
      </c>
      <c r="F14" s="2329" t="s">
        <v>1320</v>
      </c>
      <c r="G14" s="2343"/>
      <c r="I14" s="2349">
        <f>I13*1000</f>
        <v>7881280</v>
      </c>
      <c r="J14" s="4289">
        <v>11343200</v>
      </c>
      <c r="K14" s="4289"/>
      <c r="L14" s="4290"/>
      <c r="M14" s="4289"/>
      <c r="N14" s="4289"/>
      <c r="O14" s="4290"/>
      <c r="P14" s="4289"/>
      <c r="Q14" s="2345"/>
      <c r="R14" s="2345"/>
      <c r="S14" s="2345"/>
      <c r="T14" s="2345"/>
      <c r="U14" s="2345"/>
      <c r="V14" s="2345"/>
      <c r="W14" s="2334"/>
      <c r="X14" s="2344"/>
      <c r="Y14" s="2335"/>
      <c r="Z14" s="2344"/>
      <c r="AA14" s="2324"/>
      <c r="AB14" s="2324"/>
      <c r="AC14" s="2324"/>
      <c r="AD14" s="2324"/>
    </row>
    <row r="15" spans="1:30" ht="24" customHeight="1" x14ac:dyDescent="0.3">
      <c r="A15" s="2324"/>
      <c r="B15" s="2325" t="s">
        <v>1226</v>
      </c>
      <c r="C15" s="2224" t="s">
        <v>374</v>
      </c>
      <c r="D15" s="2224" t="s">
        <v>1321</v>
      </c>
      <c r="E15" s="2336" t="s">
        <v>378</v>
      </c>
      <c r="F15" s="2299"/>
      <c r="G15" s="2337" t="s">
        <v>1226</v>
      </c>
      <c r="I15" s="2346">
        <f>I14*19.2</f>
        <v>151320576</v>
      </c>
      <c r="J15" s="4291">
        <v>226864000</v>
      </c>
      <c r="K15" s="4291">
        <v>140219200</v>
      </c>
      <c r="L15" s="4292">
        <v>154836000</v>
      </c>
      <c r="M15" s="4291">
        <v>207917600</v>
      </c>
      <c r="N15" s="4291">
        <v>199188000</v>
      </c>
      <c r="O15" s="4292">
        <v>122240800</v>
      </c>
      <c r="P15" s="4291">
        <v>341158400</v>
      </c>
      <c r="Q15" s="2347">
        <v>371562400</v>
      </c>
      <c r="R15" s="2347">
        <v>366502400</v>
      </c>
      <c r="S15" s="2347">
        <v>348550400</v>
      </c>
      <c r="T15" s="2347">
        <v>285551200</v>
      </c>
      <c r="U15" s="2347">
        <v>384480800</v>
      </c>
      <c r="V15" s="2347">
        <v>284662400</v>
      </c>
      <c r="W15" s="2348" t="s">
        <v>1226</v>
      </c>
      <c r="X15" s="2341"/>
      <c r="Y15" s="2342"/>
      <c r="Z15" s="2341"/>
      <c r="AA15" s="2324"/>
      <c r="AB15" s="2324"/>
      <c r="AC15" s="2324"/>
      <c r="AD15" s="2324"/>
    </row>
    <row r="16" spans="1:30" ht="24" customHeight="1" x14ac:dyDescent="0.3">
      <c r="A16" s="2324"/>
      <c r="B16" s="2325" t="s">
        <v>1226</v>
      </c>
      <c r="C16" s="2327" t="s">
        <v>374</v>
      </c>
      <c r="D16" s="2327" t="s">
        <v>1322</v>
      </c>
      <c r="E16" s="2328" t="s">
        <v>350</v>
      </c>
      <c r="F16" s="2329" t="s">
        <v>1323</v>
      </c>
      <c r="G16" s="2343"/>
      <c r="I16" s="4299">
        <f>I15/25.31</f>
        <v>5978687.3172659026</v>
      </c>
      <c r="J16" s="4289">
        <v>8963413.6704859752</v>
      </c>
      <c r="K16" s="4289">
        <v>5540071.0999999996</v>
      </c>
      <c r="L16" s="4290">
        <v>6117582</v>
      </c>
      <c r="M16" s="4289">
        <v>8214840</v>
      </c>
      <c r="N16" s="4289">
        <v>7869932.7999999998</v>
      </c>
      <c r="O16" s="4290">
        <v>4829743.2</v>
      </c>
      <c r="P16" s="4289">
        <v>13479194</v>
      </c>
      <c r="Q16" s="2345">
        <v>14680458.300000001</v>
      </c>
      <c r="R16" s="2345">
        <v>14480537.300000001</v>
      </c>
      <c r="S16" s="2345">
        <v>13771252.5</v>
      </c>
      <c r="T16" s="2345">
        <v>11282149.300000001</v>
      </c>
      <c r="U16" s="2345">
        <v>15190865.300000001</v>
      </c>
      <c r="V16" s="2345">
        <v>11247032.800000001</v>
      </c>
      <c r="W16" s="2334"/>
      <c r="X16" s="2344"/>
      <c r="Y16" s="2335"/>
      <c r="Z16" s="2344"/>
      <c r="AA16" s="2324"/>
      <c r="AB16" s="2324"/>
      <c r="AC16" s="2324"/>
      <c r="AD16" s="2324"/>
    </row>
    <row r="17" spans="1:30" ht="24" customHeight="1" x14ac:dyDescent="0.3">
      <c r="A17" s="2324"/>
      <c r="B17" s="2325" t="s">
        <v>1226</v>
      </c>
      <c r="C17" s="2224" t="s">
        <v>572</v>
      </c>
      <c r="D17" s="2224" t="s">
        <v>1324</v>
      </c>
      <c r="E17" s="2336" t="s">
        <v>642</v>
      </c>
      <c r="F17" s="2299" t="s">
        <v>1226</v>
      </c>
      <c r="G17" s="2337" t="s">
        <v>1226</v>
      </c>
      <c r="I17" s="2350">
        <v>515312</v>
      </c>
      <c r="J17" s="4291">
        <v>138050</v>
      </c>
      <c r="K17" s="4291">
        <v>731511</v>
      </c>
      <c r="L17" s="4292">
        <v>675155</v>
      </c>
      <c r="M17" s="4291">
        <v>549545</v>
      </c>
      <c r="N17" s="4291">
        <v>721306</v>
      </c>
      <c r="O17" s="4292">
        <v>886018</v>
      </c>
      <c r="P17" s="4291">
        <v>844970</v>
      </c>
      <c r="Q17" s="2347">
        <v>850060</v>
      </c>
      <c r="R17" s="4297">
        <v>383895</v>
      </c>
      <c r="S17" s="2347" t="s">
        <v>1226</v>
      </c>
      <c r="T17" s="2347" t="s">
        <v>1226</v>
      </c>
      <c r="U17" s="2347" t="s">
        <v>1226</v>
      </c>
      <c r="V17" s="2347" t="s">
        <v>1226</v>
      </c>
      <c r="W17" s="2348" t="s">
        <v>1226</v>
      </c>
      <c r="X17" s="2341"/>
      <c r="Y17" s="2342"/>
      <c r="Z17" s="2341"/>
      <c r="AA17" s="2324"/>
      <c r="AB17" s="2324"/>
      <c r="AC17" s="2324"/>
      <c r="AD17" s="2324"/>
    </row>
    <row r="18" spans="1:30" ht="24" customHeight="1" x14ac:dyDescent="0.3">
      <c r="A18" s="2324"/>
      <c r="B18" s="2351">
        <v>2</v>
      </c>
      <c r="C18" s="2352" t="s">
        <v>572</v>
      </c>
      <c r="D18" s="2352" t="s">
        <v>2157</v>
      </c>
      <c r="E18" s="2353" t="s">
        <v>1313</v>
      </c>
      <c r="F18" s="2354" t="s">
        <v>1314</v>
      </c>
      <c r="G18" s="2355">
        <v>2009</v>
      </c>
      <c r="I18" s="2356">
        <v>48347</v>
      </c>
      <c r="J18" s="4293">
        <v>41359</v>
      </c>
      <c r="K18" s="4293">
        <v>43934</v>
      </c>
      <c r="L18" s="4294">
        <v>53590</v>
      </c>
      <c r="M18" s="4293">
        <v>50307</v>
      </c>
      <c r="N18" s="4293">
        <v>48029</v>
      </c>
      <c r="O18" s="4294">
        <v>53050</v>
      </c>
      <c r="P18" s="4293">
        <v>50041</v>
      </c>
      <c r="Q18" s="2358">
        <v>55082</v>
      </c>
      <c r="R18" s="2358">
        <v>52963</v>
      </c>
      <c r="S18" s="2358">
        <v>42998</v>
      </c>
      <c r="T18" s="2358">
        <v>37253</v>
      </c>
      <c r="U18" s="2358">
        <v>37352</v>
      </c>
      <c r="V18" s="2358">
        <v>34000</v>
      </c>
      <c r="W18" s="2359">
        <v>34632</v>
      </c>
      <c r="X18" s="2357"/>
      <c r="Y18" s="2360"/>
      <c r="Z18" s="2357"/>
      <c r="AA18" s="2324"/>
      <c r="AB18" s="2324"/>
      <c r="AC18" s="2324"/>
      <c r="AD18" s="2324"/>
    </row>
    <row r="19" spans="1:30" ht="24" customHeight="1" x14ac:dyDescent="0.3">
      <c r="A19" s="2324"/>
      <c r="B19" s="2325" t="s">
        <v>1226</v>
      </c>
      <c r="C19" s="2224" t="s">
        <v>374</v>
      </c>
      <c r="D19" s="2224" t="s">
        <v>1315</v>
      </c>
      <c r="E19" s="2336" t="s">
        <v>453</v>
      </c>
      <c r="F19" s="2299" t="s">
        <v>1325</v>
      </c>
      <c r="G19" s="2337" t="s">
        <v>1226</v>
      </c>
      <c r="I19" s="2361">
        <f>I18/W18</f>
        <v>1.3960210210210211</v>
      </c>
      <c r="J19" s="4295">
        <v>1.1942423192423193</v>
      </c>
      <c r="K19" s="4295">
        <v>1.27</v>
      </c>
      <c r="L19" s="4296">
        <v>1.55</v>
      </c>
      <c r="M19" s="4295">
        <v>1.45</v>
      </c>
      <c r="N19" s="4295">
        <v>1.39</v>
      </c>
      <c r="O19" s="4296">
        <v>1.53</v>
      </c>
      <c r="P19" s="4295">
        <v>1.44</v>
      </c>
      <c r="Q19" s="2362">
        <v>1.59</v>
      </c>
      <c r="R19" s="2362">
        <v>1.53</v>
      </c>
      <c r="S19" s="2362">
        <v>1.24</v>
      </c>
      <c r="T19" s="2362">
        <v>1.08</v>
      </c>
      <c r="U19" s="2362">
        <v>1.08</v>
      </c>
      <c r="V19" s="2362">
        <v>0.98</v>
      </c>
      <c r="W19" s="2363">
        <v>1</v>
      </c>
      <c r="X19" s="2341"/>
      <c r="Y19" s="2342"/>
      <c r="Z19" s="2341"/>
      <c r="AA19" s="2324"/>
      <c r="AB19" s="2324"/>
      <c r="AC19" s="2324"/>
      <c r="AD19" s="2324"/>
    </row>
    <row r="20" spans="1:30" ht="24" customHeight="1" x14ac:dyDescent="0.3">
      <c r="A20" s="2324"/>
      <c r="B20" s="2325" t="s">
        <v>1226</v>
      </c>
      <c r="C20" s="2327" t="s">
        <v>572</v>
      </c>
      <c r="D20" s="2327" t="s">
        <v>1317</v>
      </c>
      <c r="E20" s="2328" t="s">
        <v>1326</v>
      </c>
      <c r="F20" s="2329" t="s">
        <v>1318</v>
      </c>
      <c r="G20" s="2343" t="s">
        <v>1226</v>
      </c>
      <c r="I20" s="2364">
        <v>7402</v>
      </c>
      <c r="J20" s="4289">
        <v>13121</v>
      </c>
      <c r="K20" s="4289">
        <v>6674</v>
      </c>
      <c r="L20" s="4290">
        <v>8878</v>
      </c>
      <c r="M20" s="4289">
        <v>16091</v>
      </c>
      <c r="N20" s="4289">
        <v>15524</v>
      </c>
      <c r="O20" s="4290">
        <v>4776</v>
      </c>
      <c r="P20" s="4289">
        <v>16859</v>
      </c>
      <c r="Q20" s="2345">
        <v>25438</v>
      </c>
      <c r="R20" s="2345">
        <v>28092</v>
      </c>
      <c r="S20" s="2345">
        <v>27917</v>
      </c>
      <c r="T20" s="2345">
        <v>15725</v>
      </c>
      <c r="U20" s="2345">
        <v>20860</v>
      </c>
      <c r="V20" s="2345">
        <v>21092</v>
      </c>
      <c r="W20" s="2334">
        <v>14911</v>
      </c>
      <c r="X20" s="2344"/>
      <c r="Y20" s="2335"/>
      <c r="Z20" s="2344"/>
      <c r="AA20" s="2324"/>
      <c r="AB20" s="2324"/>
      <c r="AC20" s="2324"/>
      <c r="AD20" s="2324"/>
    </row>
    <row r="21" spans="1:30" ht="24" customHeight="1" x14ac:dyDescent="0.3">
      <c r="A21" s="2324"/>
      <c r="B21" s="2325" t="s">
        <v>1226</v>
      </c>
      <c r="C21" s="2224" t="s">
        <v>572</v>
      </c>
      <c r="D21" s="2224" t="s">
        <v>1317</v>
      </c>
      <c r="E21" s="2336" t="s">
        <v>844</v>
      </c>
      <c r="F21" s="2299" t="s">
        <v>1319</v>
      </c>
      <c r="G21" s="2337" t="s">
        <v>1226</v>
      </c>
      <c r="I21" s="2365">
        <f>I20*C32</f>
        <v>3256.88</v>
      </c>
      <c r="J21" s="4291">
        <v>5773.24</v>
      </c>
      <c r="K21" s="4291">
        <v>2936.56</v>
      </c>
      <c r="L21" s="4292">
        <v>3906.32</v>
      </c>
      <c r="M21" s="4291">
        <v>7080.04</v>
      </c>
      <c r="N21" s="4291">
        <v>6830.56</v>
      </c>
      <c r="O21" s="4292">
        <v>2101.44</v>
      </c>
      <c r="P21" s="4291">
        <v>7417.96</v>
      </c>
      <c r="Q21" s="2347">
        <v>11192.72</v>
      </c>
      <c r="R21" s="2347">
        <v>12360.48</v>
      </c>
      <c r="S21" s="2347">
        <v>12283.48</v>
      </c>
      <c r="T21" s="2347">
        <v>6919</v>
      </c>
      <c r="U21" s="2347">
        <v>9178.4</v>
      </c>
      <c r="V21" s="2347">
        <v>9280.48</v>
      </c>
      <c r="W21" s="2348">
        <v>6560.84</v>
      </c>
      <c r="X21" s="2341"/>
      <c r="Y21" s="2342"/>
      <c r="Z21" s="2341"/>
      <c r="AA21" s="2324"/>
      <c r="AB21" s="2324"/>
      <c r="AC21" s="2324"/>
      <c r="AD21" s="2324"/>
    </row>
    <row r="22" spans="1:30" ht="24" customHeight="1" x14ac:dyDescent="0.3">
      <c r="A22" s="2324"/>
      <c r="B22" s="2325"/>
      <c r="C22" s="2327"/>
      <c r="D22" s="2327" t="s">
        <v>1317</v>
      </c>
      <c r="E22" s="2328" t="s">
        <v>385</v>
      </c>
      <c r="F22" s="2329" t="s">
        <v>1320</v>
      </c>
      <c r="G22" s="2343"/>
      <c r="I22" s="2366">
        <f>I21*1000</f>
        <v>3256880</v>
      </c>
      <c r="J22" s="4289">
        <v>5773240</v>
      </c>
      <c r="K22" s="4289"/>
      <c r="L22" s="4290"/>
      <c r="M22" s="4289"/>
      <c r="N22" s="4289"/>
      <c r="O22" s="4290"/>
      <c r="P22" s="4289"/>
      <c r="Q22" s="2345"/>
      <c r="R22" s="2345"/>
      <c r="S22" s="2345"/>
      <c r="T22" s="2345"/>
      <c r="U22" s="2345"/>
      <c r="V22" s="2345"/>
      <c r="W22" s="2334"/>
      <c r="X22" s="2344"/>
      <c r="Y22" s="2335"/>
      <c r="Z22" s="2344"/>
      <c r="AA22" s="2324"/>
      <c r="AB22" s="2324"/>
      <c r="AC22" s="2324"/>
      <c r="AD22" s="2324"/>
    </row>
    <row r="23" spans="1:30" ht="24" customHeight="1" x14ac:dyDescent="0.3">
      <c r="A23" s="2324"/>
      <c r="B23" s="2325" t="s">
        <v>1226</v>
      </c>
      <c r="C23" s="2224" t="s">
        <v>374</v>
      </c>
      <c r="D23" s="2224" t="s">
        <v>1321</v>
      </c>
      <c r="E23" s="2336" t="s">
        <v>378</v>
      </c>
      <c r="F23" s="2299"/>
      <c r="G23" s="2300" t="s">
        <v>1226</v>
      </c>
      <c r="I23" s="2365">
        <f>I22*19.2</f>
        <v>62532096</v>
      </c>
      <c r="J23" s="4291">
        <v>115464799.99999999</v>
      </c>
      <c r="K23" s="4291">
        <v>58731200</v>
      </c>
      <c r="L23" s="4292">
        <v>78126400</v>
      </c>
      <c r="M23" s="4291">
        <v>141600800</v>
      </c>
      <c r="N23" s="4291">
        <v>136611200</v>
      </c>
      <c r="O23" s="4291">
        <v>42028800</v>
      </c>
      <c r="P23" s="4291">
        <v>148359200</v>
      </c>
      <c r="Q23" s="2347">
        <v>223854400</v>
      </c>
      <c r="R23" s="2347">
        <v>247209600</v>
      </c>
      <c r="S23" s="2347">
        <v>245669600</v>
      </c>
      <c r="T23" s="2347">
        <v>138380000</v>
      </c>
      <c r="U23" s="2347">
        <v>183568000</v>
      </c>
      <c r="V23" s="2347">
        <v>185609600</v>
      </c>
      <c r="W23" s="2348">
        <v>131216800</v>
      </c>
      <c r="X23" s="2341"/>
      <c r="Y23" s="2342"/>
      <c r="Z23" s="2341"/>
      <c r="AA23" s="2324"/>
      <c r="AB23" s="2324"/>
      <c r="AC23" s="2324"/>
      <c r="AD23" s="2324"/>
    </row>
    <row r="24" spans="1:30" ht="30" customHeight="1" x14ac:dyDescent="0.3">
      <c r="A24" s="2324"/>
      <c r="B24" s="2325" t="s">
        <v>1226</v>
      </c>
      <c r="C24" s="2327" t="s">
        <v>374</v>
      </c>
      <c r="D24" s="2327" t="s">
        <v>1322</v>
      </c>
      <c r="E24" s="2328" t="s">
        <v>350</v>
      </c>
      <c r="F24" s="2329"/>
      <c r="G24" s="2367" t="s">
        <v>1226</v>
      </c>
      <c r="I24" s="4298">
        <f>I23/25.31</f>
        <v>2470647.8071908336</v>
      </c>
      <c r="J24" s="4289">
        <v>4562022.9158435399</v>
      </c>
      <c r="K24" s="4289">
        <v>2320474.1</v>
      </c>
      <c r="L24" s="4289">
        <v>3086779.9</v>
      </c>
      <c r="M24" s="4289">
        <v>5594658.2000000002</v>
      </c>
      <c r="N24" s="4289">
        <v>5397518.7699999996</v>
      </c>
      <c r="O24" s="4289">
        <v>1660561.04</v>
      </c>
      <c r="P24" s="4289">
        <v>5861683.1299999999</v>
      </c>
      <c r="Q24" s="2345">
        <v>8844504.1500000004</v>
      </c>
      <c r="R24" s="2345">
        <v>9767269.8499999996</v>
      </c>
      <c r="S24" s="2345">
        <v>9706424.3399999999</v>
      </c>
      <c r="T24" s="2345">
        <v>5467404.1900000004</v>
      </c>
      <c r="U24" s="2345">
        <v>7252785.46</v>
      </c>
      <c r="V24" s="2345">
        <v>7333449.2300000004</v>
      </c>
      <c r="W24" s="2334">
        <v>5184385.62</v>
      </c>
      <c r="X24" s="2344"/>
      <c r="Y24" s="2335"/>
      <c r="Z24" s="2344"/>
      <c r="AA24" s="2324"/>
      <c r="AB24" s="2324"/>
      <c r="AC24" s="2324"/>
      <c r="AD24" s="2324"/>
    </row>
    <row r="25" spans="1:30" ht="30" customHeight="1" x14ac:dyDescent="0.3">
      <c r="A25" s="2324"/>
      <c r="B25" s="2325" t="s">
        <v>1226</v>
      </c>
      <c r="C25" s="2224" t="s">
        <v>572</v>
      </c>
      <c r="D25" s="2224" t="s">
        <v>403</v>
      </c>
      <c r="E25" s="2336" t="s">
        <v>350</v>
      </c>
      <c r="F25" s="2299" t="s">
        <v>1226</v>
      </c>
      <c r="G25" s="2300" t="s">
        <v>1226</v>
      </c>
      <c r="I25" s="2368">
        <v>0</v>
      </c>
      <c r="J25" s="4291">
        <v>0</v>
      </c>
      <c r="K25" s="4291">
        <v>355883</v>
      </c>
      <c r="L25" s="4292">
        <v>357994</v>
      </c>
      <c r="M25" s="4291">
        <v>398349</v>
      </c>
      <c r="N25" s="4291">
        <v>530803</v>
      </c>
      <c r="O25" s="4291">
        <v>177477</v>
      </c>
      <c r="P25" s="4291">
        <v>0</v>
      </c>
      <c r="Q25" s="2347">
        <v>0</v>
      </c>
      <c r="R25" s="2347">
        <v>0</v>
      </c>
      <c r="S25" s="2347">
        <v>0</v>
      </c>
      <c r="T25" s="2347">
        <v>0</v>
      </c>
      <c r="U25" s="2347" t="s">
        <v>1226</v>
      </c>
      <c r="V25" s="2347" t="s">
        <v>1226</v>
      </c>
      <c r="W25" s="2348" t="s">
        <v>1226</v>
      </c>
      <c r="X25" s="2341"/>
      <c r="Y25" s="2342"/>
      <c r="Z25" s="2341"/>
      <c r="AA25" s="2324"/>
      <c r="AB25" s="2324"/>
      <c r="AC25" s="2324"/>
      <c r="AD25" s="2324"/>
    </row>
    <row r="26" spans="1:30" ht="24" customHeight="1" x14ac:dyDescent="0.3">
      <c r="A26" s="2324"/>
      <c r="B26" s="2325"/>
      <c r="C26" s="2327"/>
      <c r="D26" s="2327"/>
      <c r="E26" s="2328"/>
      <c r="F26" s="2329"/>
      <c r="G26" s="2369"/>
      <c r="H26" s="2344"/>
      <c r="I26" s="2344"/>
      <c r="J26" s="2344"/>
      <c r="K26" s="2344"/>
      <c r="L26" s="2344"/>
      <c r="M26" s="2344"/>
      <c r="N26" s="2344"/>
      <c r="O26" s="2344"/>
      <c r="P26" s="2344"/>
      <c r="Q26" s="2344"/>
      <c r="R26" s="2344"/>
      <c r="S26" s="2344"/>
      <c r="T26" s="2344"/>
      <c r="U26" s="2335"/>
      <c r="V26" s="2344"/>
      <c r="W26" s="2335"/>
      <c r="X26" s="2344"/>
      <c r="Y26" s="2335"/>
      <c r="Z26" s="2344"/>
      <c r="AA26" s="2324"/>
      <c r="AB26" s="2324"/>
      <c r="AC26" s="2324"/>
      <c r="AD26" s="2324"/>
    </row>
    <row r="27" spans="1:30" ht="24" customHeight="1" x14ac:dyDescent="0.3">
      <c r="A27" s="2324"/>
      <c r="B27" s="2370"/>
      <c r="C27" s="2234"/>
      <c r="D27" s="2234"/>
      <c r="E27" s="2371"/>
      <c r="F27" s="2372"/>
      <c r="G27" s="2373"/>
      <c r="H27" s="2374"/>
      <c r="I27" s="2374"/>
      <c r="J27" s="2374"/>
      <c r="K27" s="2374"/>
      <c r="L27" s="2374"/>
      <c r="M27" s="2374"/>
      <c r="N27" s="2374"/>
      <c r="O27" s="2374"/>
      <c r="P27" s="2374"/>
      <c r="Q27" s="2374"/>
      <c r="R27" s="2374"/>
      <c r="S27" s="2374"/>
      <c r="T27" s="2374"/>
      <c r="U27" s="2375"/>
      <c r="V27" s="2374"/>
      <c r="W27" s="2375"/>
      <c r="X27" s="2374"/>
      <c r="Y27" s="2375"/>
      <c r="Z27" s="2374"/>
      <c r="AA27" s="2324"/>
      <c r="AB27" s="2324"/>
      <c r="AC27" s="2324"/>
      <c r="AD27" s="2324"/>
    </row>
    <row r="28" spans="1:30" ht="15.75" customHeight="1" x14ac:dyDescent="0.3">
      <c r="A28" s="2324"/>
      <c r="B28" s="2376"/>
      <c r="C28" s="2324"/>
      <c r="D28" s="2324"/>
      <c r="E28" s="2324"/>
      <c r="F28" s="2324"/>
      <c r="G28" s="2257"/>
      <c r="H28" s="2257"/>
      <c r="I28" s="2257"/>
      <c r="J28" s="2257"/>
      <c r="K28" s="2257"/>
      <c r="L28" s="2257"/>
      <c r="M28" s="2377"/>
      <c r="N28" s="2377"/>
      <c r="O28" s="2377"/>
      <c r="P28" s="2377"/>
      <c r="Q28" s="2377"/>
      <c r="R28" s="2377"/>
      <c r="S28" s="2377"/>
      <c r="T28" s="2377"/>
      <c r="U28" s="2377"/>
      <c r="V28" s="2377"/>
      <c r="W28" s="2377"/>
      <c r="X28" s="2377"/>
      <c r="Y28" s="2377"/>
      <c r="Z28" s="2377"/>
      <c r="AA28" s="2324"/>
      <c r="AB28" s="2324"/>
      <c r="AC28" s="2324"/>
      <c r="AD28" s="2324"/>
    </row>
    <row r="29" spans="1:30" ht="15.75" customHeight="1" x14ac:dyDescent="0.3">
      <c r="A29" s="2324"/>
      <c r="B29" s="2378" t="s">
        <v>355</v>
      </c>
      <c r="C29" s="2379" t="s">
        <v>356</v>
      </c>
      <c r="D29" s="2324"/>
      <c r="E29" s="2324"/>
      <c r="F29" s="2324"/>
      <c r="G29" s="2257"/>
      <c r="H29" s="2257"/>
      <c r="I29" s="2257"/>
      <c r="J29" s="2257"/>
      <c r="K29" s="2257"/>
      <c r="L29" s="2257"/>
      <c r="M29" s="2377"/>
      <c r="N29" s="2377"/>
      <c r="O29" s="2377"/>
      <c r="P29" s="2377"/>
      <c r="Q29" s="2377"/>
      <c r="R29" s="2377"/>
      <c r="S29" s="2377"/>
      <c r="T29" s="2377"/>
      <c r="U29" s="2377"/>
      <c r="V29" s="2377"/>
      <c r="W29" s="2377"/>
      <c r="X29" s="2377"/>
      <c r="Y29" s="2377"/>
      <c r="Z29" s="2377"/>
      <c r="AA29" s="2324"/>
      <c r="AB29" s="2324"/>
      <c r="AC29" s="2324"/>
      <c r="AD29" s="2324"/>
    </row>
    <row r="30" spans="1:30" ht="15.75" customHeight="1" x14ac:dyDescent="0.3">
      <c r="A30" s="2324"/>
      <c r="B30" s="2376"/>
      <c r="C30" s="2324"/>
      <c r="D30" s="2324"/>
      <c r="E30" s="2324"/>
      <c r="F30" s="2324"/>
      <c r="G30" s="2257"/>
      <c r="H30" s="2257"/>
      <c r="I30" s="2257"/>
      <c r="J30" s="2257"/>
      <c r="K30" s="2257"/>
      <c r="L30" s="2257"/>
      <c r="M30" s="2377"/>
      <c r="N30" s="2377"/>
      <c r="O30" s="2377"/>
      <c r="P30" s="2377"/>
      <c r="Q30" s="2377"/>
      <c r="R30" s="2377"/>
      <c r="S30" s="2377"/>
      <c r="T30" s="2377"/>
      <c r="U30" s="2377"/>
      <c r="V30" s="2377"/>
      <c r="W30" s="2377"/>
      <c r="X30" s="2377"/>
      <c r="Y30" s="2377"/>
      <c r="Z30" s="2377"/>
      <c r="AA30" s="2324"/>
      <c r="AB30" s="2324"/>
      <c r="AC30" s="2324"/>
      <c r="AD30" s="2324"/>
    </row>
    <row r="31" spans="1:30" ht="15.75" customHeight="1" x14ac:dyDescent="0.3">
      <c r="A31" s="2324"/>
      <c r="B31" s="4429" t="s">
        <v>357</v>
      </c>
      <c r="C31" s="4430"/>
      <c r="D31" s="2324"/>
      <c r="E31" s="2324"/>
      <c r="F31" s="2324"/>
      <c r="G31" s="2257"/>
      <c r="H31" s="2257"/>
      <c r="I31" s="2257"/>
      <c r="J31" s="2257"/>
      <c r="K31" s="2257"/>
      <c r="L31" s="2257"/>
      <c r="M31" s="2377"/>
      <c r="N31" s="2377"/>
      <c r="O31" s="2377"/>
      <c r="P31" s="2377"/>
      <c r="Q31" s="2377"/>
      <c r="R31" s="2377"/>
      <c r="S31" s="2377"/>
      <c r="T31" s="2377"/>
      <c r="U31" s="2377"/>
      <c r="V31" s="2377"/>
      <c r="W31" s="2377"/>
      <c r="X31" s="2377"/>
      <c r="Y31" s="2377"/>
      <c r="Z31" s="2377"/>
      <c r="AA31" s="2324"/>
      <c r="AB31" s="2324"/>
      <c r="AC31" s="2324"/>
      <c r="AD31" s="2324"/>
    </row>
    <row r="32" spans="1:30" ht="15.75" customHeight="1" x14ac:dyDescent="0.3">
      <c r="A32" s="2324"/>
      <c r="B32" s="2380" t="s">
        <v>1327</v>
      </c>
      <c r="C32" s="2381">
        <v>0.44</v>
      </c>
      <c r="D32" s="2382" t="s">
        <v>1328</v>
      </c>
      <c r="E32" s="2382"/>
      <c r="F32" s="2382"/>
      <c r="G32" s="2383" t="s">
        <v>1329</v>
      </c>
      <c r="H32" s="2257"/>
      <c r="I32" s="2257"/>
      <c r="J32" s="2257"/>
      <c r="K32" s="2257"/>
      <c r="L32" s="2257"/>
      <c r="M32" s="2377"/>
      <c r="N32" s="2377"/>
      <c r="O32" s="2377"/>
      <c r="P32" s="2377"/>
      <c r="Q32" s="2377"/>
      <c r="R32" s="2377"/>
      <c r="S32" s="2377"/>
      <c r="T32" s="2377"/>
      <c r="U32" s="2377"/>
      <c r="V32" s="2377"/>
      <c r="W32" s="2377"/>
      <c r="X32" s="2377"/>
      <c r="Y32" s="2377"/>
      <c r="Z32" s="2377"/>
      <c r="AA32" s="2324"/>
      <c r="AB32" s="2324"/>
      <c r="AC32" s="2324"/>
      <c r="AD32" s="2324"/>
    </row>
    <row r="33" spans="1:30" ht="15.75" customHeight="1" x14ac:dyDescent="0.3">
      <c r="A33" s="2324"/>
      <c r="B33" s="2380" t="s">
        <v>301</v>
      </c>
      <c r="C33" s="2384" t="s">
        <v>2158</v>
      </c>
      <c r="D33" s="2385"/>
      <c r="E33" s="2385"/>
      <c r="F33" s="2385"/>
      <c r="G33" s="2257"/>
      <c r="H33" s="2257"/>
      <c r="I33" s="2257"/>
      <c r="J33" s="2257"/>
      <c r="K33" s="2257"/>
      <c r="L33" s="2257"/>
      <c r="M33" s="2377"/>
      <c r="N33" s="2377"/>
      <c r="O33" s="2377"/>
      <c r="P33" s="2377"/>
      <c r="Q33" s="2377"/>
      <c r="R33" s="2377"/>
      <c r="S33" s="2377"/>
      <c r="T33" s="2377"/>
      <c r="U33" s="2377"/>
      <c r="V33" s="2377"/>
      <c r="W33" s="2377"/>
      <c r="X33" s="2377"/>
      <c r="Y33" s="2377"/>
      <c r="Z33" s="2377"/>
      <c r="AA33" s="2324"/>
      <c r="AB33" s="2324"/>
      <c r="AC33" s="2324"/>
      <c r="AD33" s="2324"/>
    </row>
    <row r="34" spans="1:30" ht="15.75" customHeight="1" x14ac:dyDescent="0.3"/>
    <row r="35" spans="1:30" ht="15.75" customHeight="1" x14ac:dyDescent="0.3"/>
    <row r="36" spans="1:30" ht="15.75" customHeight="1" x14ac:dyDescent="0.3"/>
    <row r="37" spans="1:30" ht="15.75" customHeight="1" x14ac:dyDescent="0.3"/>
    <row r="38" spans="1:30" ht="15.75" customHeight="1" x14ac:dyDescent="0.3"/>
    <row r="39" spans="1:30" ht="15.75" customHeight="1" x14ac:dyDescent="0.3"/>
    <row r="40" spans="1:30" ht="15.75" customHeight="1" x14ac:dyDescent="0.3"/>
    <row r="41" spans="1:30" ht="15.75" customHeight="1" x14ac:dyDescent="0.3"/>
    <row r="42" spans="1:30" ht="15.75" customHeight="1" x14ac:dyDescent="0.3"/>
    <row r="43" spans="1:30" ht="15.75" customHeight="1" x14ac:dyDescent="0.3"/>
    <row r="44" spans="1:30" ht="15.75" customHeight="1" x14ac:dyDescent="0.3"/>
    <row r="45" spans="1:30" ht="15.75" customHeight="1" x14ac:dyDescent="0.3"/>
    <row r="46" spans="1:30" ht="15.75" customHeight="1" x14ac:dyDescent="0.3"/>
    <row r="47" spans="1:30" ht="15.75" customHeight="1" x14ac:dyDescent="0.3"/>
    <row r="48" spans="1:30"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sheetData>
  <mergeCells count="1">
    <mergeCell ref="B31:C31"/>
  </mergeCells>
  <hyperlinks>
    <hyperlink ref="G32" r:id="rId1" xr:uid="{4296AD33-1ECA-4399-8DE7-FCDA13C692D6}"/>
  </hyperlink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924C6-83B7-4648-A05E-A391ADAF23E3}">
  <dimension ref="A1:N996"/>
  <sheetViews>
    <sheetView topLeftCell="A10" workbookViewId="0">
      <selection activeCell="I10" sqref="I10"/>
    </sheetView>
  </sheetViews>
  <sheetFormatPr defaultColWidth="12.44140625" defaultRowHeight="15" customHeight="1" x14ac:dyDescent="0.3"/>
  <cols>
    <col min="1" max="1" width="2.6640625" style="428" customWidth="1"/>
    <col min="2" max="2" width="35.109375" style="428" customWidth="1"/>
    <col min="3" max="3" width="25.44140625" style="428" customWidth="1"/>
    <col min="4" max="4" width="1.5546875" style="428" customWidth="1"/>
    <col min="5" max="5" width="14.6640625" style="428" customWidth="1"/>
    <col min="6" max="6" width="7.33203125" style="428" customWidth="1"/>
    <col min="7" max="7" width="34" style="428" customWidth="1"/>
    <col min="8" max="11" width="20.33203125" style="428" customWidth="1"/>
    <col min="12" max="12" width="1.5546875" style="428" customWidth="1"/>
    <col min="13" max="13" width="15.21875" style="428" customWidth="1"/>
    <col min="14" max="14" width="11.6640625" style="428" customWidth="1"/>
    <col min="15" max="16384" width="12.44140625" style="428"/>
  </cols>
  <sheetData>
    <row r="1" spans="1:14" ht="21.75" customHeight="1" x14ac:dyDescent="0.35">
      <c r="A1" s="424"/>
      <c r="B1" s="425" t="s">
        <v>549</v>
      </c>
      <c r="C1" s="426"/>
      <c r="D1" s="427"/>
      <c r="F1" s="427"/>
      <c r="L1" s="427"/>
    </row>
    <row r="2" spans="1:14" ht="15.75" customHeight="1" x14ac:dyDescent="0.3">
      <c r="A2" s="424"/>
      <c r="B2" s="429" t="s">
        <v>299</v>
      </c>
      <c r="C2" s="430"/>
      <c r="D2" s="430"/>
      <c r="E2" s="430"/>
      <c r="F2" s="430"/>
      <c r="G2" s="430"/>
      <c r="H2" s="430"/>
      <c r="I2" s="430"/>
      <c r="J2" s="430"/>
      <c r="K2" s="430"/>
      <c r="L2" s="430"/>
      <c r="M2" s="430"/>
    </row>
    <row r="3" spans="1:14" ht="9.75" customHeight="1" x14ac:dyDescent="0.3">
      <c r="A3" s="427"/>
      <c r="B3" s="431"/>
      <c r="D3" s="427"/>
      <c r="F3" s="427"/>
      <c r="L3" s="427"/>
    </row>
    <row r="4" spans="1:14" ht="6" customHeight="1" x14ac:dyDescent="0.3">
      <c r="B4" s="427"/>
      <c r="D4" s="427"/>
      <c r="F4" s="427"/>
      <c r="L4" s="427"/>
    </row>
    <row r="5" spans="1:14" ht="6" customHeight="1" x14ac:dyDescent="0.3">
      <c r="A5" s="431"/>
      <c r="D5" s="427"/>
      <c r="F5" s="427"/>
      <c r="L5" s="427"/>
    </row>
    <row r="6" spans="1:14" ht="15.75" customHeight="1" x14ac:dyDescent="0.3">
      <c r="C6" s="428">
        <v>1000000</v>
      </c>
      <c r="D6" s="427"/>
      <c r="E6" s="427"/>
      <c r="F6" s="427"/>
      <c r="L6" s="427"/>
    </row>
    <row r="7" spans="1:14" ht="37.200000000000003" customHeight="1" x14ac:dyDescent="0.3">
      <c r="A7" s="432"/>
      <c r="B7" s="433">
        <v>2024</v>
      </c>
      <c r="C7" s="434" t="s">
        <v>22</v>
      </c>
      <c r="D7" s="432"/>
      <c r="E7" s="435" t="s">
        <v>300</v>
      </c>
      <c r="F7" s="432"/>
      <c r="G7" s="433">
        <v>2024</v>
      </c>
      <c r="H7" s="4385" t="s">
        <v>23</v>
      </c>
      <c r="I7" s="4386"/>
      <c r="J7" s="4386"/>
      <c r="K7" s="4386"/>
      <c r="L7" s="609"/>
      <c r="M7" s="435" t="s">
        <v>300</v>
      </c>
      <c r="N7" s="432"/>
    </row>
    <row r="8" spans="1:14" ht="18" customHeight="1" x14ac:dyDescent="0.35">
      <c r="B8" s="436" t="s">
        <v>301</v>
      </c>
      <c r="C8" s="437">
        <v>1</v>
      </c>
      <c r="D8" s="427"/>
      <c r="E8" s="438"/>
      <c r="F8" s="427"/>
      <c r="G8" s="436" t="s">
        <v>301</v>
      </c>
      <c r="H8" s="648">
        <v>1</v>
      </c>
      <c r="I8" s="572">
        <v>2</v>
      </c>
      <c r="J8" s="649">
        <v>3</v>
      </c>
      <c r="K8" s="572">
        <v>4</v>
      </c>
      <c r="L8" s="610"/>
      <c r="M8" s="438"/>
    </row>
    <row r="9" spans="1:14" ht="46.5" customHeight="1" x14ac:dyDescent="0.3">
      <c r="B9" s="439" t="s">
        <v>302</v>
      </c>
      <c r="C9" s="440" t="s">
        <v>1907</v>
      </c>
      <c r="D9" s="441"/>
      <c r="E9" s="442"/>
      <c r="F9" s="443"/>
      <c r="G9" s="439" t="s">
        <v>302</v>
      </c>
      <c r="H9" s="573" t="s">
        <v>1331</v>
      </c>
      <c r="I9" s="573" t="s">
        <v>1332</v>
      </c>
      <c r="J9" s="573" t="s">
        <v>2410</v>
      </c>
      <c r="K9" s="573" t="s">
        <v>1333</v>
      </c>
      <c r="L9" s="611"/>
      <c r="M9" s="442"/>
    </row>
    <row r="10" spans="1:14" ht="46.5" customHeight="1" x14ac:dyDescent="0.3">
      <c r="B10" s="444" t="s">
        <v>304</v>
      </c>
      <c r="C10" s="1123" t="s">
        <v>1334</v>
      </c>
      <c r="D10" s="441"/>
      <c r="E10" s="446"/>
      <c r="F10" s="443"/>
      <c r="G10" s="444" t="s">
        <v>304</v>
      </c>
      <c r="H10" s="445" t="s">
        <v>1335</v>
      </c>
      <c r="I10" s="445" t="s">
        <v>1336</v>
      </c>
      <c r="J10" s="445" t="s">
        <v>1337</v>
      </c>
      <c r="K10" s="445" t="s">
        <v>1338</v>
      </c>
      <c r="L10" s="612"/>
      <c r="M10" s="446"/>
    </row>
    <row r="11" spans="1:14" ht="18.75" customHeight="1" x14ac:dyDescent="0.3">
      <c r="A11" s="447"/>
      <c r="B11" s="448" t="s">
        <v>306</v>
      </c>
      <c r="C11" s="449">
        <f>(C17*C18)+(C22*C23)</f>
        <v>15.882576512393547</v>
      </c>
      <c r="D11" s="450"/>
      <c r="E11" s="451">
        <f>SUM(C11:C11)</f>
        <v>15.882576512393547</v>
      </c>
      <c r="F11" s="452"/>
      <c r="G11" s="448" t="s">
        <v>306</v>
      </c>
      <c r="H11" s="1089">
        <f>(H17*H18)</f>
        <v>95.135812200000004</v>
      </c>
      <c r="I11" s="2387">
        <f t="shared" ref="I11:K11" si="0">(I17*I18)</f>
        <v>4530.7653916832487</v>
      </c>
      <c r="J11" s="1089">
        <f t="shared" si="0"/>
        <v>3190.9642900249605</v>
      </c>
      <c r="K11" s="651">
        <f t="shared" si="0"/>
        <v>11891.638411542193</v>
      </c>
      <c r="L11" s="614"/>
      <c r="M11" s="451">
        <f t="shared" ref="M11:M12" si="1">SUM(H11:K11)</f>
        <v>19708.503905450401</v>
      </c>
      <c r="N11" s="447"/>
    </row>
    <row r="12" spans="1:14" ht="18.75" customHeight="1" x14ac:dyDescent="0.3">
      <c r="A12" s="447"/>
      <c r="B12" s="453" t="s">
        <v>307</v>
      </c>
      <c r="C12" s="454">
        <f>(C27*C28)+(C32*C33)+(C37*C38)</f>
        <v>9.434377421121301</v>
      </c>
      <c r="D12" s="455"/>
      <c r="E12" s="456">
        <f>SUM(C12:C12)</f>
        <v>9.434377421121301</v>
      </c>
      <c r="F12" s="457"/>
      <c r="G12" s="453" t="s">
        <v>307</v>
      </c>
      <c r="H12" s="577">
        <f>(H22*H23)</f>
        <v>0</v>
      </c>
      <c r="I12" s="577">
        <f t="shared" ref="I12:K12" si="2">(I22*I23)</f>
        <v>0</v>
      </c>
      <c r="J12" s="577">
        <f t="shared" si="2"/>
        <v>0</v>
      </c>
      <c r="K12" s="577">
        <f t="shared" si="2"/>
        <v>0</v>
      </c>
      <c r="L12" s="614"/>
      <c r="M12" s="456">
        <f t="shared" si="1"/>
        <v>0</v>
      </c>
      <c r="N12" s="447"/>
    </row>
    <row r="13" spans="1:14" ht="18.75" customHeight="1" x14ac:dyDescent="0.3">
      <c r="A13" s="447"/>
      <c r="B13" s="448" t="s">
        <v>308</v>
      </c>
      <c r="C13" s="458" t="s">
        <v>8</v>
      </c>
      <c r="D13" s="459"/>
      <c r="E13" s="460"/>
      <c r="F13" s="461"/>
      <c r="G13" s="448" t="s">
        <v>308</v>
      </c>
      <c r="H13" s="654" t="s">
        <v>8</v>
      </c>
      <c r="I13" s="578" t="s">
        <v>8</v>
      </c>
      <c r="J13" s="654" t="s">
        <v>8</v>
      </c>
      <c r="K13" s="578" t="s">
        <v>8</v>
      </c>
      <c r="L13" s="615"/>
      <c r="M13" s="460"/>
      <c r="N13" s="447"/>
    </row>
    <row r="14" spans="1:14" ht="18.75" customHeight="1" x14ac:dyDescent="0.3">
      <c r="A14" s="447"/>
      <c r="B14" s="462" t="s">
        <v>309</v>
      </c>
      <c r="C14" s="463">
        <f>C11-C12</f>
        <v>6.4481990912722456</v>
      </c>
      <c r="D14" s="455"/>
      <c r="E14" s="464">
        <f>SUM(C14:C14)</f>
        <v>6.4481990912722456</v>
      </c>
      <c r="F14" s="457"/>
      <c r="G14" s="462" t="s">
        <v>309</v>
      </c>
      <c r="H14" s="655">
        <f t="shared" ref="H14:K14" si="3">H11-H12</f>
        <v>95.135812200000004</v>
      </c>
      <c r="I14" s="579">
        <f t="shared" si="3"/>
        <v>4530.7653916832487</v>
      </c>
      <c r="J14" s="655">
        <f t="shared" si="3"/>
        <v>3190.9642900249605</v>
      </c>
      <c r="K14" s="579">
        <f t="shared" si="3"/>
        <v>11891.638411542193</v>
      </c>
      <c r="L14" s="614"/>
      <c r="M14" s="464">
        <f>SUM(H14:K14)</f>
        <v>19708.503905450401</v>
      </c>
      <c r="N14" s="447"/>
    </row>
    <row r="15" spans="1:14" ht="19.5" customHeight="1" x14ac:dyDescent="0.4">
      <c r="B15" s="465" t="s">
        <v>310</v>
      </c>
      <c r="C15" s="466"/>
      <c r="D15" s="467"/>
      <c r="E15" s="468"/>
      <c r="F15" s="467"/>
      <c r="G15" s="616" t="s">
        <v>395</v>
      </c>
      <c r="H15" s="659"/>
      <c r="I15" s="617"/>
      <c r="J15" s="659"/>
      <c r="K15" s="617"/>
      <c r="L15" s="618"/>
      <c r="M15" s="468"/>
      <c r="N15" s="427"/>
    </row>
    <row r="16" spans="1:14" ht="35.4" customHeight="1" x14ac:dyDescent="0.3">
      <c r="A16" s="447"/>
      <c r="B16" s="469" t="s">
        <v>311</v>
      </c>
      <c r="C16" s="470" t="s">
        <v>403</v>
      </c>
      <c r="D16" s="457"/>
      <c r="E16" s="471"/>
      <c r="F16" s="457"/>
      <c r="G16" s="469" t="s">
        <v>311</v>
      </c>
      <c r="H16" s="601" t="s">
        <v>496</v>
      </c>
      <c r="I16" s="601" t="s">
        <v>496</v>
      </c>
      <c r="J16" s="601" t="s">
        <v>496</v>
      </c>
      <c r="K16" s="601" t="s">
        <v>496</v>
      </c>
      <c r="L16" s="619"/>
      <c r="M16" s="620"/>
      <c r="N16" s="447"/>
    </row>
    <row r="17" spans="1:14" ht="21" customHeight="1" x14ac:dyDescent="0.3">
      <c r="A17" s="447"/>
      <c r="B17" s="472" t="s">
        <v>313</v>
      </c>
      <c r="C17" s="473">
        <f>'CF-1506|GDS'!I10</f>
        <v>10295.85</v>
      </c>
      <c r="D17" s="474"/>
      <c r="F17" s="475"/>
      <c r="G17" s="472" t="s">
        <v>398</v>
      </c>
      <c r="H17" s="662">
        <f>'CF-1506|GDS'!H29</f>
        <v>45.63</v>
      </c>
      <c r="I17" s="662">
        <f>'CF-1506|GDS'!H30</f>
        <v>5584.87</v>
      </c>
      <c r="J17" s="662">
        <f>'CF-1506|GDS'!H31</f>
        <v>4430.2699999999995</v>
      </c>
      <c r="K17" s="621">
        <f>'CF-1506|GDS'!H34</f>
        <v>3030.6705000000002</v>
      </c>
      <c r="L17" s="622"/>
      <c r="M17" s="623"/>
      <c r="N17" s="447"/>
    </row>
    <row r="18" spans="1:14" ht="18.75" customHeight="1" x14ac:dyDescent="0.3">
      <c r="A18" s="447"/>
      <c r="B18" s="476" t="s">
        <v>314</v>
      </c>
      <c r="C18" s="477">
        <v>1.5392919999999998E-3</v>
      </c>
      <c r="D18" s="478"/>
      <c r="F18" s="479"/>
      <c r="G18" s="476" t="s">
        <v>314</v>
      </c>
      <c r="H18" s="584">
        <v>2.08494</v>
      </c>
      <c r="I18" s="584">
        <v>0.81125709133484736</v>
      </c>
      <c r="J18" s="584">
        <v>0.7202640674326759</v>
      </c>
      <c r="K18" s="584">
        <v>3.9237648604631192</v>
      </c>
      <c r="L18" s="614"/>
      <c r="M18" s="491"/>
      <c r="N18" s="447"/>
    </row>
    <row r="19" spans="1:14" ht="19.5" customHeight="1" x14ac:dyDescent="0.3">
      <c r="A19" s="447"/>
      <c r="B19" s="480" t="s">
        <v>315</v>
      </c>
      <c r="C19" s="481">
        <f>C17*C18</f>
        <v>15.848319538199998</v>
      </c>
      <c r="D19" s="478"/>
      <c r="F19" s="479"/>
      <c r="G19" s="480" t="s">
        <v>315</v>
      </c>
      <c r="H19" s="664">
        <f>H17*H18</f>
        <v>95.135812200000004</v>
      </c>
      <c r="I19" s="663">
        <f>I17*I18</f>
        <v>4530.7653916832487</v>
      </c>
      <c r="J19" s="664">
        <f>J17*J18</f>
        <v>3190.9642900249605</v>
      </c>
      <c r="K19" s="585">
        <f>K17*K18</f>
        <v>11891.638411542193</v>
      </c>
      <c r="L19" s="614"/>
      <c r="M19" s="494"/>
      <c r="N19" s="647"/>
    </row>
    <row r="20" spans="1:14" ht="19.5" customHeight="1" x14ac:dyDescent="0.4">
      <c r="B20" s="465" t="s">
        <v>310</v>
      </c>
      <c r="C20" s="466"/>
      <c r="D20" s="467"/>
      <c r="F20" s="467"/>
      <c r="G20" s="465" t="s">
        <v>316</v>
      </c>
      <c r="H20" s="665"/>
      <c r="I20" s="587"/>
      <c r="J20" s="665"/>
      <c r="K20" s="587"/>
      <c r="L20" s="618"/>
      <c r="M20" s="467"/>
    </row>
    <row r="21" spans="1:14" ht="37.950000000000003" customHeight="1" x14ac:dyDescent="0.3">
      <c r="A21" s="447"/>
      <c r="B21" s="469" t="s">
        <v>311</v>
      </c>
      <c r="C21" s="470" t="s">
        <v>352</v>
      </c>
      <c r="D21" s="2388"/>
      <c r="F21" s="457"/>
      <c r="G21" s="469" t="s">
        <v>183</v>
      </c>
      <c r="H21" s="601" t="s">
        <v>1339</v>
      </c>
      <c r="I21" s="601" t="s">
        <v>1339</v>
      </c>
      <c r="J21" s="601" t="s">
        <v>1339</v>
      </c>
      <c r="K21" s="601" t="s">
        <v>1339</v>
      </c>
      <c r="L21" s="619"/>
      <c r="M21" s="620"/>
      <c r="N21" s="447"/>
    </row>
    <row r="22" spans="1:14" ht="21" customHeight="1" x14ac:dyDescent="0.3">
      <c r="A22" s="447"/>
      <c r="B22" s="472" t="s">
        <v>319</v>
      </c>
      <c r="C22" s="473">
        <f>'CF-1506|GDS'!J11</f>
        <v>20151.16129032258</v>
      </c>
      <c r="D22" s="474"/>
      <c r="F22" s="475"/>
      <c r="G22" s="486" t="s">
        <v>398</v>
      </c>
      <c r="H22" s="666">
        <f>H17</f>
        <v>45.63</v>
      </c>
      <c r="I22" s="589">
        <f>I17</f>
        <v>5584.87</v>
      </c>
      <c r="J22" s="666">
        <f>J17</f>
        <v>4430.2699999999995</v>
      </c>
      <c r="K22" s="589">
        <f>K17</f>
        <v>3030.6705000000002</v>
      </c>
      <c r="L22" s="622"/>
      <c r="M22" s="623"/>
      <c r="N22" s="447"/>
    </row>
    <row r="23" spans="1:14" ht="18.75" customHeight="1" x14ac:dyDescent="0.3">
      <c r="A23" s="447"/>
      <c r="B23" s="476" t="s">
        <v>314</v>
      </c>
      <c r="C23" s="477">
        <v>1.7E-6</v>
      </c>
      <c r="D23" s="478"/>
      <c r="E23" s="1095"/>
      <c r="F23" s="479"/>
      <c r="G23" s="489" t="s">
        <v>314</v>
      </c>
      <c r="H23" s="590">
        <v>0</v>
      </c>
      <c r="I23" s="590">
        <v>0</v>
      </c>
      <c r="J23" s="590">
        <v>0</v>
      </c>
      <c r="K23" s="590">
        <v>0</v>
      </c>
      <c r="L23" s="614"/>
      <c r="M23" s="491"/>
      <c r="N23" s="447"/>
    </row>
    <row r="24" spans="1:14" ht="19.5" customHeight="1" x14ac:dyDescent="0.3">
      <c r="A24" s="447"/>
      <c r="B24" s="480" t="s">
        <v>315</v>
      </c>
      <c r="C24" s="481">
        <f>C22*C23</f>
        <v>3.4256974193548388E-2</v>
      </c>
      <c r="D24" s="478"/>
      <c r="E24" s="1096"/>
      <c r="F24" s="479"/>
      <c r="G24" s="492" t="s">
        <v>315</v>
      </c>
      <c r="H24" s="668">
        <f t="shared" ref="H24:K24" si="4">H22*H23</f>
        <v>0</v>
      </c>
      <c r="I24" s="591">
        <f t="shared" si="4"/>
        <v>0</v>
      </c>
      <c r="J24" s="624">
        <f t="shared" si="4"/>
        <v>0</v>
      </c>
      <c r="K24" s="624">
        <f t="shared" si="4"/>
        <v>0</v>
      </c>
      <c r="L24" s="614"/>
      <c r="M24" s="494"/>
      <c r="N24" s="447"/>
    </row>
    <row r="25" spans="1:14" ht="21" customHeight="1" x14ac:dyDescent="0.4">
      <c r="B25" s="465" t="s">
        <v>316</v>
      </c>
      <c r="C25" s="482"/>
      <c r="D25" s="483"/>
      <c r="E25" s="484"/>
      <c r="F25" s="483"/>
      <c r="G25" s="498" t="s">
        <v>320</v>
      </c>
      <c r="H25" s="626" t="s">
        <v>401</v>
      </c>
      <c r="I25" s="626" t="s">
        <v>401</v>
      </c>
      <c r="J25" s="626" t="s">
        <v>401</v>
      </c>
      <c r="K25" s="626" t="s">
        <v>401</v>
      </c>
      <c r="L25" s="618"/>
      <c r="M25" s="495"/>
    </row>
    <row r="26" spans="1:14" ht="32.4" customHeight="1" x14ac:dyDescent="0.3">
      <c r="A26" s="447"/>
      <c r="B26" s="469" t="s">
        <v>183</v>
      </c>
      <c r="C26" s="470" t="s">
        <v>400</v>
      </c>
      <c r="D26" s="479"/>
      <c r="E26" s="485"/>
      <c r="F26" s="479"/>
      <c r="G26" s="502" t="s">
        <v>322</v>
      </c>
      <c r="H26" s="674">
        <v>13</v>
      </c>
      <c r="I26" s="596">
        <v>13</v>
      </c>
      <c r="J26" s="674">
        <v>13</v>
      </c>
      <c r="K26" s="596">
        <v>13</v>
      </c>
      <c r="L26" s="614"/>
      <c r="M26" s="496"/>
      <c r="N26" s="447"/>
    </row>
    <row r="27" spans="1:14" ht="21" customHeight="1" x14ac:dyDescent="0.3">
      <c r="A27" s="447"/>
      <c r="B27" s="486" t="s">
        <v>2342</v>
      </c>
      <c r="C27" s="487">
        <f>'CF-1506|GDS'!H10</f>
        <v>5780.6260000000002</v>
      </c>
      <c r="D27" s="479"/>
      <c r="E27" s="488"/>
      <c r="F27" s="479"/>
      <c r="G27" s="506" t="s">
        <v>323</v>
      </c>
      <c r="H27" s="496" t="s">
        <v>324</v>
      </c>
      <c r="I27" s="595" t="s">
        <v>324</v>
      </c>
      <c r="J27" s="496" t="s">
        <v>324</v>
      </c>
      <c r="K27" s="595" t="s">
        <v>324</v>
      </c>
      <c r="L27" s="622"/>
      <c r="M27" s="623"/>
      <c r="N27" s="447"/>
    </row>
    <row r="28" spans="1:14" ht="21" customHeight="1" x14ac:dyDescent="0.3">
      <c r="A28" s="447"/>
      <c r="B28" s="489" t="s">
        <v>314</v>
      </c>
      <c r="C28" s="490">
        <v>1.5392919999999998E-3</v>
      </c>
      <c r="D28" s="479"/>
      <c r="E28" s="491"/>
      <c r="F28" s="479"/>
      <c r="G28" s="508" t="s">
        <v>325</v>
      </c>
      <c r="H28" s="674" t="s">
        <v>326</v>
      </c>
      <c r="I28" s="596" t="s">
        <v>326</v>
      </c>
      <c r="J28" s="674" t="s">
        <v>326</v>
      </c>
      <c r="K28" s="627" t="s">
        <v>326</v>
      </c>
      <c r="L28" s="614"/>
      <c r="M28" s="491"/>
      <c r="N28" s="447"/>
    </row>
    <row r="29" spans="1:14" ht="21" customHeight="1" x14ac:dyDescent="0.3">
      <c r="A29" s="447"/>
      <c r="B29" s="492" t="s">
        <v>315</v>
      </c>
      <c r="C29" s="493">
        <f t="shared" ref="C29" si="5">C27*C28</f>
        <v>8.8980713567919985</v>
      </c>
      <c r="D29" s="479"/>
      <c r="E29" s="494"/>
      <c r="F29" s="479"/>
      <c r="G29" s="506" t="s">
        <v>327</v>
      </c>
      <c r="H29" s="595" t="s">
        <v>402</v>
      </c>
      <c r="I29" s="595" t="s">
        <v>402</v>
      </c>
      <c r="J29" s="595" t="s">
        <v>402</v>
      </c>
      <c r="K29" s="595" t="s">
        <v>402</v>
      </c>
      <c r="L29" s="614"/>
      <c r="M29" s="494"/>
      <c r="N29" s="447"/>
    </row>
    <row r="30" spans="1:14" ht="21" customHeight="1" x14ac:dyDescent="0.4">
      <c r="B30" s="465" t="s">
        <v>316</v>
      </c>
      <c r="C30" s="482"/>
      <c r="D30" s="483"/>
      <c r="E30" s="495"/>
      <c r="F30" s="483"/>
      <c r="G30" s="510" t="s">
        <v>329</v>
      </c>
      <c r="H30" s="596">
        <v>12</v>
      </c>
      <c r="I30" s="596">
        <v>12</v>
      </c>
      <c r="J30" s="596">
        <v>12</v>
      </c>
      <c r="K30" s="596">
        <v>12</v>
      </c>
      <c r="L30" s="618"/>
      <c r="M30" s="495"/>
    </row>
    <row r="31" spans="1:14" ht="30.6" customHeight="1" x14ac:dyDescent="0.3">
      <c r="A31" s="447"/>
      <c r="B31" s="469" t="s">
        <v>183</v>
      </c>
      <c r="C31" s="470" t="s">
        <v>352</v>
      </c>
      <c r="D31" s="479"/>
      <c r="E31" s="496"/>
      <c r="F31" s="479"/>
      <c r="G31" s="453" t="s">
        <v>330</v>
      </c>
      <c r="H31" s="496" t="s">
        <v>324</v>
      </c>
      <c r="I31" s="595" t="s">
        <v>324</v>
      </c>
      <c r="J31" s="496" t="s">
        <v>324</v>
      </c>
      <c r="K31" s="595" t="s">
        <v>324</v>
      </c>
      <c r="L31" s="614"/>
      <c r="M31" s="496"/>
      <c r="N31" s="447"/>
    </row>
    <row r="32" spans="1:14" ht="21" customHeight="1" x14ac:dyDescent="0.3">
      <c r="A32" s="447"/>
      <c r="B32" s="486" t="s">
        <v>2342</v>
      </c>
      <c r="C32" s="487">
        <f>'CF-1506|GDS'!H11</f>
        <v>23805.64842454395</v>
      </c>
      <c r="D32" s="479"/>
      <c r="E32" s="488"/>
      <c r="F32" s="479"/>
      <c r="G32" s="510" t="s">
        <v>331</v>
      </c>
      <c r="H32" s="674" t="s">
        <v>324</v>
      </c>
      <c r="I32" s="596" t="s">
        <v>324</v>
      </c>
      <c r="J32" s="674" t="s">
        <v>324</v>
      </c>
      <c r="K32" s="596" t="s">
        <v>324</v>
      </c>
      <c r="L32" s="622"/>
      <c r="M32" s="623"/>
      <c r="N32" s="447"/>
    </row>
    <row r="33" spans="1:14" ht="21" customHeight="1" x14ac:dyDescent="0.3">
      <c r="A33" s="447"/>
      <c r="B33" s="489" t="s">
        <v>314</v>
      </c>
      <c r="C33" s="490">
        <v>1.7E-6</v>
      </c>
      <c r="D33" s="479"/>
      <c r="E33" s="491"/>
      <c r="F33" s="479"/>
      <c r="G33" s="462" t="s">
        <v>332</v>
      </c>
      <c r="H33" s="675" t="s">
        <v>333</v>
      </c>
      <c r="I33" s="555" t="s">
        <v>333</v>
      </c>
      <c r="J33" s="676" t="s">
        <v>333</v>
      </c>
      <c r="K33" s="555" t="s">
        <v>333</v>
      </c>
      <c r="L33" s="614"/>
      <c r="M33" s="491"/>
      <c r="N33" s="447"/>
    </row>
    <row r="34" spans="1:14" ht="21" customHeight="1" x14ac:dyDescent="0.3">
      <c r="A34" s="447"/>
      <c r="B34" s="492" t="s">
        <v>315</v>
      </c>
      <c r="C34" s="493">
        <f t="shared" ref="C34" si="6">C32*C33</f>
        <v>4.0469602321724717E-2</v>
      </c>
      <c r="D34" s="479"/>
      <c r="E34" s="494"/>
      <c r="F34" s="479"/>
      <c r="G34" s="4158" t="s">
        <v>2324</v>
      </c>
      <c r="H34" s="4162">
        <f>H14/H30</f>
        <v>7.92798435</v>
      </c>
      <c r="I34" s="4162">
        <f t="shared" ref="I34:K34" si="7">I14/I30</f>
        <v>377.56378264027074</v>
      </c>
      <c r="J34" s="4162">
        <f t="shared" si="7"/>
        <v>265.91369083541338</v>
      </c>
      <c r="K34" s="4162">
        <f t="shared" si="7"/>
        <v>990.96986762851611</v>
      </c>
      <c r="L34" s="614"/>
      <c r="M34" s="494"/>
      <c r="N34" s="447"/>
    </row>
    <row r="35" spans="1:14" ht="28.5" customHeight="1" x14ac:dyDescent="0.4">
      <c r="A35" s="447"/>
      <c r="B35" s="465" t="s">
        <v>316</v>
      </c>
      <c r="C35" s="482"/>
      <c r="D35" s="500"/>
      <c r="E35" s="501"/>
      <c r="F35" s="500"/>
      <c r="L35" s="614"/>
      <c r="M35" s="496"/>
      <c r="N35" s="447"/>
    </row>
    <row r="36" spans="1:14" ht="24" customHeight="1" x14ac:dyDescent="0.3">
      <c r="B36" s="469" t="s">
        <v>183</v>
      </c>
      <c r="C36" s="470" t="s">
        <v>361</v>
      </c>
      <c r="D36" s="504"/>
      <c r="E36" s="505"/>
      <c r="F36" s="504"/>
      <c r="L36" s="618"/>
      <c r="M36" s="495"/>
    </row>
    <row r="37" spans="1:14" ht="20.399999999999999" customHeight="1" x14ac:dyDescent="0.3">
      <c r="A37" s="447"/>
      <c r="B37" s="486" t="s">
        <v>369</v>
      </c>
      <c r="C37" s="487">
        <f>'CF-1506|GDS'!H14</f>
        <v>13572.289765624999</v>
      </c>
      <c r="D37" s="479"/>
      <c r="E37" s="496"/>
      <c r="F37" s="479"/>
      <c r="L37" s="614"/>
      <c r="M37" s="496"/>
      <c r="N37" s="447"/>
    </row>
    <row r="38" spans="1:14" ht="20.399999999999999" customHeight="1" x14ac:dyDescent="0.3">
      <c r="A38" s="447"/>
      <c r="B38" s="489" t="s">
        <v>314</v>
      </c>
      <c r="C38" s="490">
        <v>3.6533000000000004E-5</v>
      </c>
      <c r="D38" s="479"/>
      <c r="E38" s="496"/>
      <c r="F38" s="479"/>
      <c r="L38" s="614"/>
      <c r="M38" s="496"/>
      <c r="N38" s="447"/>
    </row>
    <row r="39" spans="1:14" ht="20.399999999999999" customHeight="1" x14ac:dyDescent="0.3">
      <c r="A39" s="447"/>
      <c r="B39" s="492" t="s">
        <v>315</v>
      </c>
      <c r="C39" s="493">
        <f t="shared" ref="C39" si="8">C37*C38</f>
        <v>0.49583646200757814</v>
      </c>
      <c r="D39" s="479"/>
      <c r="E39" s="496"/>
      <c r="F39" s="479"/>
      <c r="L39" s="614"/>
      <c r="M39" s="496"/>
      <c r="N39" s="447"/>
    </row>
    <row r="40" spans="1:14" ht="28.5" customHeight="1" x14ac:dyDescent="0.3">
      <c r="B40" s="498" t="s">
        <v>320</v>
      </c>
      <c r="C40" s="499" t="s">
        <v>499</v>
      </c>
      <c r="D40" s="467"/>
      <c r="E40" s="467"/>
      <c r="F40" s="467"/>
      <c r="L40" s="618"/>
      <c r="M40" s="467"/>
    </row>
    <row r="41" spans="1:14" ht="25.5" customHeight="1" x14ac:dyDescent="0.3">
      <c r="B41" s="502" t="s">
        <v>322</v>
      </c>
      <c r="C41" s="503">
        <v>3</v>
      </c>
      <c r="D41" s="483"/>
      <c r="E41" s="495"/>
      <c r="F41" s="483"/>
      <c r="L41" s="618"/>
      <c r="M41" s="495"/>
    </row>
    <row r="42" spans="1:14" ht="25.5" customHeight="1" x14ac:dyDescent="0.3">
      <c r="B42" s="506" t="s">
        <v>323</v>
      </c>
      <c r="C42" s="507" t="s">
        <v>324</v>
      </c>
      <c r="D42" s="483"/>
      <c r="E42" s="495"/>
      <c r="F42" s="483"/>
      <c r="L42" s="618"/>
      <c r="M42" s="495"/>
    </row>
    <row r="43" spans="1:14" ht="25.5" customHeight="1" x14ac:dyDescent="0.3">
      <c r="B43" s="508" t="s">
        <v>325</v>
      </c>
      <c r="C43" s="509" t="s">
        <v>326</v>
      </c>
      <c r="D43" s="483"/>
      <c r="E43" s="495"/>
      <c r="F43" s="483"/>
      <c r="L43" s="618"/>
      <c r="M43" s="495"/>
    </row>
    <row r="44" spans="1:14" ht="25.5" customHeight="1" x14ac:dyDescent="0.3">
      <c r="B44" s="506" t="s">
        <v>327</v>
      </c>
      <c r="C44" s="507" t="s">
        <v>729</v>
      </c>
      <c r="D44" s="483"/>
      <c r="E44" s="483"/>
      <c r="F44" s="483"/>
      <c r="L44" s="427"/>
      <c r="M44" s="427"/>
    </row>
    <row r="45" spans="1:14" ht="25.5" customHeight="1" x14ac:dyDescent="0.3">
      <c r="B45" s="510" t="s">
        <v>329</v>
      </c>
      <c r="C45" s="509">
        <v>1</v>
      </c>
      <c r="D45" s="483"/>
      <c r="E45" s="483"/>
      <c r="F45" s="483"/>
      <c r="L45" s="427"/>
      <c r="M45" s="427"/>
    </row>
    <row r="46" spans="1:14" ht="25.5" customHeight="1" x14ac:dyDescent="0.3">
      <c r="B46" s="453" t="s">
        <v>330</v>
      </c>
      <c r="C46" s="507" t="s">
        <v>324</v>
      </c>
      <c r="D46" s="483"/>
      <c r="E46" s="483"/>
      <c r="F46" s="483"/>
      <c r="L46" s="427"/>
      <c r="M46" s="427"/>
    </row>
    <row r="47" spans="1:14" ht="25.5" customHeight="1" x14ac:dyDescent="0.3">
      <c r="B47" s="510" t="s">
        <v>331</v>
      </c>
      <c r="C47" s="509" t="s">
        <v>324</v>
      </c>
      <c r="D47" s="483"/>
      <c r="E47" s="483"/>
      <c r="F47" s="483"/>
      <c r="L47" s="427"/>
      <c r="M47" s="427"/>
    </row>
    <row r="48" spans="1:14" ht="25.5" customHeight="1" x14ac:dyDescent="0.3">
      <c r="B48" s="462" t="s">
        <v>332</v>
      </c>
      <c r="C48" s="511" t="s">
        <v>333</v>
      </c>
      <c r="D48" s="483"/>
      <c r="E48" s="483"/>
      <c r="F48" s="483"/>
      <c r="L48" s="427"/>
      <c r="M48" s="427"/>
    </row>
    <row r="49" spans="2:13" ht="15.75" customHeight="1" x14ac:dyDescent="0.3">
      <c r="B49" s="427"/>
      <c r="C49" s="427"/>
      <c r="D49" s="427"/>
      <c r="F49" s="427"/>
      <c r="L49" s="427"/>
      <c r="M49" s="427"/>
    </row>
    <row r="50" spans="2:13" ht="15.75" customHeight="1" x14ac:dyDescent="0.3">
      <c r="B50" s="512" t="s">
        <v>334</v>
      </c>
      <c r="C50" s="427"/>
      <c r="D50" s="427"/>
      <c r="F50" s="427"/>
      <c r="L50" s="427"/>
      <c r="M50" s="427"/>
    </row>
    <row r="51" spans="2:13" ht="15.75" customHeight="1" x14ac:dyDescent="0.3">
      <c r="B51" s="512" t="s">
        <v>335</v>
      </c>
      <c r="C51" s="427"/>
      <c r="D51" s="427"/>
      <c r="F51" s="427"/>
      <c r="L51" s="427"/>
      <c r="M51" s="427"/>
    </row>
    <row r="52" spans="2:13" ht="15.75" customHeight="1" x14ac:dyDescent="0.3">
      <c r="B52" s="512" t="s">
        <v>336</v>
      </c>
      <c r="C52" s="427"/>
      <c r="D52" s="427"/>
      <c r="F52" s="427"/>
      <c r="L52" s="427"/>
      <c r="M52" s="427"/>
    </row>
    <row r="53" spans="2:13" ht="15.75" customHeight="1" x14ac:dyDescent="0.3">
      <c r="B53" s="512" t="s">
        <v>337</v>
      </c>
      <c r="C53" s="427"/>
      <c r="D53" s="427"/>
      <c r="F53" s="427"/>
      <c r="L53" s="427"/>
      <c r="M53" s="427"/>
    </row>
    <row r="54" spans="2:13" ht="15.75" customHeight="1" x14ac:dyDescent="0.3">
      <c r="B54" s="512" t="s">
        <v>338</v>
      </c>
      <c r="D54" s="427"/>
      <c r="F54" s="427"/>
      <c r="L54" s="427"/>
    </row>
    <row r="55" spans="2:13" ht="15.75" customHeight="1" x14ac:dyDescent="0.3">
      <c r="B55" s="512" t="s">
        <v>339</v>
      </c>
      <c r="D55" s="427"/>
      <c r="F55" s="427"/>
      <c r="L55" s="427"/>
    </row>
    <row r="56" spans="2:13" ht="15.75" customHeight="1" x14ac:dyDescent="0.3">
      <c r="D56" s="427"/>
      <c r="F56" s="427"/>
      <c r="L56" s="427"/>
    </row>
    <row r="57" spans="2:13" ht="15.75" customHeight="1" x14ac:dyDescent="0.3">
      <c r="D57" s="427"/>
      <c r="F57" s="427"/>
      <c r="L57" s="427"/>
    </row>
    <row r="58" spans="2:13" ht="15.75" customHeight="1" x14ac:dyDescent="0.3">
      <c r="D58" s="427"/>
      <c r="F58" s="427"/>
      <c r="L58" s="427"/>
    </row>
    <row r="59" spans="2:13" ht="15.75" customHeight="1" x14ac:dyDescent="0.3">
      <c r="D59" s="427"/>
      <c r="F59" s="427"/>
      <c r="L59" s="427"/>
    </row>
    <row r="60" spans="2:13" ht="15.75" customHeight="1" x14ac:dyDescent="0.3">
      <c r="D60" s="427"/>
      <c r="F60" s="427"/>
      <c r="L60" s="427"/>
    </row>
    <row r="61" spans="2:13" ht="15.75" customHeight="1" x14ac:dyDescent="0.3">
      <c r="D61" s="427"/>
      <c r="F61" s="427"/>
      <c r="L61" s="427"/>
    </row>
    <row r="62" spans="2:13" ht="15.75" customHeight="1" x14ac:dyDescent="0.3">
      <c r="D62" s="427"/>
      <c r="F62" s="427"/>
      <c r="L62" s="427"/>
    </row>
    <row r="63" spans="2:13" ht="15.75" customHeight="1" x14ac:dyDescent="0.3">
      <c r="D63" s="427"/>
      <c r="F63" s="427"/>
      <c r="L63" s="427"/>
    </row>
    <row r="64" spans="2:13" ht="15.75" customHeight="1" x14ac:dyDescent="0.3">
      <c r="D64" s="427"/>
      <c r="F64" s="427"/>
      <c r="L64" s="427"/>
    </row>
    <row r="65" spans="4:12" ht="15.75" customHeight="1" x14ac:dyDescent="0.3">
      <c r="D65" s="427"/>
      <c r="F65" s="427"/>
      <c r="L65" s="427"/>
    </row>
    <row r="66" spans="4:12" ht="15.75" customHeight="1" x14ac:dyDescent="0.3">
      <c r="D66" s="427"/>
      <c r="F66" s="427"/>
      <c r="L66" s="427"/>
    </row>
    <row r="67" spans="4:12" ht="15.75" customHeight="1" x14ac:dyDescent="0.3">
      <c r="D67" s="427"/>
      <c r="F67" s="427"/>
      <c r="L67" s="427"/>
    </row>
    <row r="68" spans="4:12" ht="15.75" customHeight="1" x14ac:dyDescent="0.3">
      <c r="D68" s="427"/>
      <c r="F68" s="427"/>
      <c r="L68" s="427"/>
    </row>
    <row r="69" spans="4:12" ht="15.75" customHeight="1" x14ac:dyDescent="0.3">
      <c r="D69" s="427"/>
      <c r="F69" s="427"/>
      <c r="L69" s="427"/>
    </row>
    <row r="70" spans="4:12" ht="15.75" customHeight="1" x14ac:dyDescent="0.3">
      <c r="D70" s="427"/>
      <c r="F70" s="427"/>
      <c r="L70" s="427"/>
    </row>
    <row r="71" spans="4:12" ht="15.75" customHeight="1" x14ac:dyDescent="0.3">
      <c r="D71" s="427"/>
      <c r="F71" s="427"/>
      <c r="L71" s="427"/>
    </row>
    <row r="72" spans="4:12" ht="15.75" customHeight="1" x14ac:dyDescent="0.3">
      <c r="D72" s="427"/>
      <c r="F72" s="427"/>
      <c r="L72" s="427"/>
    </row>
    <row r="73" spans="4:12" ht="15.75" customHeight="1" x14ac:dyDescent="0.3">
      <c r="D73" s="427"/>
      <c r="F73" s="427"/>
      <c r="L73" s="427"/>
    </row>
    <row r="74" spans="4:12" ht="15.75" customHeight="1" x14ac:dyDescent="0.3">
      <c r="D74" s="427"/>
      <c r="F74" s="427"/>
      <c r="L74" s="427"/>
    </row>
    <row r="75" spans="4:12" ht="15.75" customHeight="1" x14ac:dyDescent="0.3">
      <c r="D75" s="427"/>
      <c r="F75" s="427"/>
      <c r="L75" s="427"/>
    </row>
    <row r="76" spans="4:12" ht="15.75" customHeight="1" x14ac:dyDescent="0.3">
      <c r="D76" s="427"/>
      <c r="F76" s="427"/>
      <c r="L76" s="427"/>
    </row>
    <row r="77" spans="4:12" ht="15.75" customHeight="1" x14ac:dyDescent="0.3">
      <c r="D77" s="427"/>
      <c r="F77" s="427"/>
      <c r="L77" s="427"/>
    </row>
    <row r="78" spans="4:12" ht="15.75" customHeight="1" x14ac:dyDescent="0.3">
      <c r="D78" s="427"/>
      <c r="F78" s="427"/>
      <c r="L78" s="427"/>
    </row>
    <row r="79" spans="4:12" ht="15.75" customHeight="1" x14ac:dyDescent="0.3">
      <c r="D79" s="427"/>
      <c r="F79" s="427"/>
      <c r="L79" s="427"/>
    </row>
    <row r="80" spans="4:12" ht="15.75" customHeight="1" x14ac:dyDescent="0.3">
      <c r="D80" s="427"/>
      <c r="F80" s="427"/>
      <c r="L80" s="427"/>
    </row>
    <row r="81" spans="4:12" ht="15.75" customHeight="1" x14ac:dyDescent="0.3">
      <c r="D81" s="427"/>
      <c r="F81" s="427"/>
      <c r="L81" s="427"/>
    </row>
    <row r="82" spans="4:12" ht="15.75" customHeight="1" x14ac:dyDescent="0.3">
      <c r="D82" s="427"/>
      <c r="F82" s="427"/>
      <c r="L82" s="427"/>
    </row>
    <row r="83" spans="4:12" ht="15.75" customHeight="1" x14ac:dyDescent="0.3">
      <c r="D83" s="427"/>
      <c r="F83" s="427"/>
      <c r="L83" s="427"/>
    </row>
    <row r="84" spans="4:12" ht="15.75" customHeight="1" x14ac:dyDescent="0.3">
      <c r="D84" s="427"/>
      <c r="F84" s="427"/>
      <c r="L84" s="427"/>
    </row>
    <row r="85" spans="4:12" ht="15.75" customHeight="1" x14ac:dyDescent="0.3">
      <c r="D85" s="427"/>
      <c r="F85" s="427"/>
      <c r="L85" s="427"/>
    </row>
    <row r="86" spans="4:12" ht="15.75" customHeight="1" x14ac:dyDescent="0.3">
      <c r="D86" s="427"/>
      <c r="F86" s="427"/>
      <c r="L86" s="427"/>
    </row>
    <row r="87" spans="4:12" ht="15.75" customHeight="1" x14ac:dyDescent="0.3">
      <c r="D87" s="427"/>
      <c r="F87" s="427"/>
      <c r="L87" s="427"/>
    </row>
    <row r="88" spans="4:12" ht="15.75" customHeight="1" x14ac:dyDescent="0.3">
      <c r="D88" s="427"/>
      <c r="F88" s="427"/>
      <c r="L88" s="427"/>
    </row>
    <row r="89" spans="4:12" ht="15.75" customHeight="1" x14ac:dyDescent="0.3">
      <c r="D89" s="427"/>
      <c r="F89" s="427"/>
      <c r="L89" s="427"/>
    </row>
    <row r="90" spans="4:12" ht="15.75" customHeight="1" x14ac:dyDescent="0.3">
      <c r="D90" s="427"/>
      <c r="F90" s="427"/>
      <c r="L90" s="427"/>
    </row>
    <row r="91" spans="4:12" ht="15.75" customHeight="1" x14ac:dyDescent="0.3">
      <c r="D91" s="427"/>
      <c r="F91" s="427"/>
      <c r="L91" s="427"/>
    </row>
    <row r="92" spans="4:12" ht="15.75" customHeight="1" x14ac:dyDescent="0.3">
      <c r="D92" s="427"/>
      <c r="F92" s="427"/>
      <c r="L92" s="427"/>
    </row>
    <row r="93" spans="4:12" ht="15.75" customHeight="1" x14ac:dyDescent="0.3">
      <c r="D93" s="427"/>
      <c r="F93" s="427"/>
      <c r="L93" s="427"/>
    </row>
    <row r="94" spans="4:12" ht="15.75" customHeight="1" x14ac:dyDescent="0.3">
      <c r="D94" s="427"/>
      <c r="F94" s="427"/>
      <c r="L94" s="427"/>
    </row>
    <row r="95" spans="4:12" ht="15.75" customHeight="1" x14ac:dyDescent="0.3">
      <c r="D95" s="427"/>
      <c r="F95" s="427"/>
      <c r="L95" s="427"/>
    </row>
    <row r="96" spans="4:12" ht="15.75" customHeight="1" x14ac:dyDescent="0.3">
      <c r="D96" s="427"/>
      <c r="F96" s="427"/>
      <c r="L96" s="427"/>
    </row>
    <row r="97" spans="4:12" ht="15.75" customHeight="1" x14ac:dyDescent="0.3">
      <c r="D97" s="427"/>
      <c r="F97" s="427"/>
      <c r="L97" s="427"/>
    </row>
    <row r="98" spans="4:12" ht="15.75" customHeight="1" x14ac:dyDescent="0.3">
      <c r="D98" s="427"/>
      <c r="F98" s="427"/>
      <c r="L98" s="427"/>
    </row>
    <row r="99" spans="4:12" ht="15.75" customHeight="1" x14ac:dyDescent="0.3">
      <c r="D99" s="427"/>
      <c r="F99" s="427"/>
      <c r="L99" s="427"/>
    </row>
    <row r="100" spans="4:12" ht="15.75" customHeight="1" x14ac:dyDescent="0.3">
      <c r="D100" s="427"/>
      <c r="F100" s="427"/>
      <c r="L100" s="427"/>
    </row>
    <row r="101" spans="4:12" ht="15.75" customHeight="1" x14ac:dyDescent="0.3">
      <c r="D101" s="427"/>
      <c r="F101" s="427"/>
      <c r="L101" s="427"/>
    </row>
    <row r="102" spans="4:12" ht="15.75" customHeight="1" x14ac:dyDescent="0.3">
      <c r="D102" s="427"/>
      <c r="F102" s="427"/>
      <c r="L102" s="427"/>
    </row>
    <row r="103" spans="4:12" ht="15.75" customHeight="1" x14ac:dyDescent="0.3">
      <c r="D103" s="427"/>
      <c r="F103" s="427"/>
      <c r="L103" s="427"/>
    </row>
    <row r="104" spans="4:12" ht="15.75" customHeight="1" x14ac:dyDescent="0.3">
      <c r="D104" s="427"/>
      <c r="F104" s="427"/>
      <c r="L104" s="427"/>
    </row>
    <row r="105" spans="4:12" ht="15.75" customHeight="1" x14ac:dyDescent="0.3">
      <c r="D105" s="427"/>
      <c r="F105" s="427"/>
      <c r="L105" s="427"/>
    </row>
    <row r="106" spans="4:12" ht="15.75" customHeight="1" x14ac:dyDescent="0.3">
      <c r="D106" s="427"/>
      <c r="F106" s="427"/>
      <c r="L106" s="427"/>
    </row>
    <row r="107" spans="4:12" ht="15.75" customHeight="1" x14ac:dyDescent="0.3">
      <c r="D107" s="427"/>
      <c r="F107" s="427"/>
      <c r="L107" s="427"/>
    </row>
    <row r="108" spans="4:12" ht="15.75" customHeight="1" x14ac:dyDescent="0.3">
      <c r="D108" s="427"/>
      <c r="F108" s="427"/>
      <c r="L108" s="427"/>
    </row>
    <row r="109" spans="4:12" ht="15.75" customHeight="1" x14ac:dyDescent="0.3">
      <c r="D109" s="427"/>
      <c r="F109" s="427"/>
      <c r="L109" s="427"/>
    </row>
    <row r="110" spans="4:12" ht="15.75" customHeight="1" x14ac:dyDescent="0.3">
      <c r="D110" s="427"/>
      <c r="F110" s="427"/>
      <c r="L110" s="427"/>
    </row>
    <row r="111" spans="4:12" ht="15.75" customHeight="1" x14ac:dyDescent="0.3">
      <c r="D111" s="427"/>
      <c r="F111" s="427"/>
      <c r="L111" s="427"/>
    </row>
    <row r="112" spans="4:12" ht="15.75" customHeight="1" x14ac:dyDescent="0.3">
      <c r="D112" s="427"/>
      <c r="F112" s="427"/>
      <c r="L112" s="427"/>
    </row>
    <row r="113" spans="4:12" ht="15.75" customHeight="1" x14ac:dyDescent="0.3">
      <c r="D113" s="427"/>
      <c r="F113" s="427"/>
      <c r="L113" s="427"/>
    </row>
    <row r="114" spans="4:12" ht="15.75" customHeight="1" x14ac:dyDescent="0.3">
      <c r="D114" s="427"/>
      <c r="F114" s="427"/>
      <c r="L114" s="427"/>
    </row>
    <row r="115" spans="4:12" ht="15.75" customHeight="1" x14ac:dyDescent="0.3">
      <c r="D115" s="427"/>
      <c r="F115" s="427"/>
      <c r="L115" s="427"/>
    </row>
    <row r="116" spans="4:12" ht="15.75" customHeight="1" x14ac:dyDescent="0.3">
      <c r="D116" s="427"/>
      <c r="F116" s="427"/>
      <c r="L116" s="427"/>
    </row>
    <row r="117" spans="4:12" ht="15.75" customHeight="1" x14ac:dyDescent="0.3">
      <c r="D117" s="427"/>
      <c r="F117" s="427"/>
      <c r="L117" s="427"/>
    </row>
    <row r="118" spans="4:12" ht="15.75" customHeight="1" x14ac:dyDescent="0.3">
      <c r="D118" s="427"/>
      <c r="F118" s="427"/>
      <c r="L118" s="427"/>
    </row>
    <row r="119" spans="4:12" ht="15.75" customHeight="1" x14ac:dyDescent="0.3">
      <c r="D119" s="427"/>
      <c r="F119" s="427"/>
      <c r="L119" s="427"/>
    </row>
    <row r="120" spans="4:12" ht="15.75" customHeight="1" x14ac:dyDescent="0.3">
      <c r="D120" s="427"/>
      <c r="F120" s="427"/>
      <c r="L120" s="427"/>
    </row>
    <row r="121" spans="4:12" ht="15.75" customHeight="1" x14ac:dyDescent="0.3">
      <c r="D121" s="427"/>
      <c r="F121" s="427"/>
      <c r="L121" s="427"/>
    </row>
    <row r="122" spans="4:12" ht="15.75" customHeight="1" x14ac:dyDescent="0.3">
      <c r="D122" s="427"/>
      <c r="F122" s="427"/>
      <c r="L122" s="427"/>
    </row>
    <row r="123" spans="4:12" ht="15.75" customHeight="1" x14ac:dyDescent="0.3">
      <c r="D123" s="427"/>
      <c r="F123" s="427"/>
      <c r="L123" s="427"/>
    </row>
    <row r="124" spans="4:12" ht="15.75" customHeight="1" x14ac:dyDescent="0.3">
      <c r="D124" s="427"/>
      <c r="F124" s="427"/>
      <c r="L124" s="427"/>
    </row>
    <row r="125" spans="4:12" ht="15.75" customHeight="1" x14ac:dyDescent="0.3">
      <c r="D125" s="427"/>
      <c r="F125" s="427"/>
      <c r="L125" s="427"/>
    </row>
    <row r="126" spans="4:12" ht="15.75" customHeight="1" x14ac:dyDescent="0.3">
      <c r="D126" s="427"/>
      <c r="F126" s="427"/>
      <c r="L126" s="427"/>
    </row>
    <row r="127" spans="4:12" ht="15.75" customHeight="1" x14ac:dyDescent="0.3">
      <c r="D127" s="427"/>
      <c r="F127" s="427"/>
      <c r="L127" s="427"/>
    </row>
    <row r="128" spans="4:12" ht="15.75" customHeight="1" x14ac:dyDescent="0.3">
      <c r="D128" s="427"/>
      <c r="F128" s="427"/>
      <c r="L128" s="427"/>
    </row>
    <row r="129" spans="4:12" ht="15.75" customHeight="1" x14ac:dyDescent="0.3">
      <c r="D129" s="427"/>
      <c r="F129" s="427"/>
      <c r="L129" s="427"/>
    </row>
    <row r="130" spans="4:12" ht="15.75" customHeight="1" x14ac:dyDescent="0.3">
      <c r="D130" s="427"/>
      <c r="F130" s="427"/>
      <c r="L130" s="427"/>
    </row>
    <row r="131" spans="4:12" ht="15.75" customHeight="1" x14ac:dyDescent="0.3">
      <c r="D131" s="427"/>
      <c r="F131" s="427"/>
      <c r="L131" s="427"/>
    </row>
    <row r="132" spans="4:12" ht="15.75" customHeight="1" x14ac:dyDescent="0.3">
      <c r="D132" s="427"/>
      <c r="F132" s="427"/>
      <c r="L132" s="427"/>
    </row>
    <row r="133" spans="4:12" ht="15.75" customHeight="1" x14ac:dyDescent="0.3">
      <c r="D133" s="427"/>
      <c r="F133" s="427"/>
      <c r="L133" s="427"/>
    </row>
    <row r="134" spans="4:12" ht="15.75" customHeight="1" x14ac:dyDescent="0.3">
      <c r="D134" s="427"/>
      <c r="F134" s="427"/>
      <c r="L134" s="427"/>
    </row>
    <row r="135" spans="4:12" ht="15.75" customHeight="1" x14ac:dyDescent="0.3">
      <c r="D135" s="427"/>
      <c r="F135" s="427"/>
      <c r="L135" s="427"/>
    </row>
    <row r="136" spans="4:12" ht="15.75" customHeight="1" x14ac:dyDescent="0.3">
      <c r="D136" s="427"/>
      <c r="F136" s="427"/>
      <c r="L136" s="427"/>
    </row>
    <row r="137" spans="4:12" ht="15.75" customHeight="1" x14ac:dyDescent="0.3">
      <c r="D137" s="427"/>
      <c r="F137" s="427"/>
      <c r="L137" s="427"/>
    </row>
    <row r="138" spans="4:12" ht="15.75" customHeight="1" x14ac:dyDescent="0.3">
      <c r="D138" s="427"/>
      <c r="F138" s="427"/>
      <c r="L138" s="427"/>
    </row>
    <row r="139" spans="4:12" ht="15.75" customHeight="1" x14ac:dyDescent="0.3">
      <c r="D139" s="427"/>
      <c r="F139" s="427"/>
      <c r="L139" s="427"/>
    </row>
    <row r="140" spans="4:12" ht="15.75" customHeight="1" x14ac:dyDescent="0.3">
      <c r="D140" s="427"/>
      <c r="F140" s="427"/>
      <c r="L140" s="427"/>
    </row>
    <row r="141" spans="4:12" ht="15.75" customHeight="1" x14ac:dyDescent="0.3">
      <c r="D141" s="427"/>
      <c r="F141" s="427"/>
      <c r="L141" s="427"/>
    </row>
    <row r="142" spans="4:12" ht="15.75" customHeight="1" x14ac:dyDescent="0.3">
      <c r="D142" s="427"/>
      <c r="F142" s="427"/>
      <c r="L142" s="427"/>
    </row>
    <row r="143" spans="4:12" ht="15.75" customHeight="1" x14ac:dyDescent="0.3">
      <c r="D143" s="427"/>
      <c r="F143" s="427"/>
      <c r="L143" s="427"/>
    </row>
    <row r="144" spans="4:12" ht="15.75" customHeight="1" x14ac:dyDescent="0.3">
      <c r="D144" s="427"/>
      <c r="F144" s="427"/>
      <c r="L144" s="427"/>
    </row>
    <row r="145" spans="4:12" ht="15.75" customHeight="1" x14ac:dyDescent="0.3">
      <c r="D145" s="427"/>
      <c r="F145" s="427"/>
      <c r="L145" s="427"/>
    </row>
    <row r="146" spans="4:12" ht="15.75" customHeight="1" x14ac:dyDescent="0.3">
      <c r="D146" s="427"/>
      <c r="F146" s="427"/>
      <c r="L146" s="427"/>
    </row>
    <row r="147" spans="4:12" ht="15.75" customHeight="1" x14ac:dyDescent="0.3">
      <c r="D147" s="427"/>
      <c r="F147" s="427"/>
      <c r="L147" s="427"/>
    </row>
    <row r="148" spans="4:12" ht="15.75" customHeight="1" x14ac:dyDescent="0.3">
      <c r="D148" s="427"/>
      <c r="F148" s="427"/>
      <c r="L148" s="427"/>
    </row>
    <row r="149" spans="4:12" ht="15.75" customHeight="1" x14ac:dyDescent="0.3">
      <c r="D149" s="427"/>
      <c r="F149" s="427"/>
      <c r="L149" s="427"/>
    </row>
    <row r="150" spans="4:12" ht="15.75" customHeight="1" x14ac:dyDescent="0.3">
      <c r="D150" s="427"/>
      <c r="F150" s="427"/>
      <c r="L150" s="427"/>
    </row>
    <row r="151" spans="4:12" ht="15.75" customHeight="1" x14ac:dyDescent="0.3">
      <c r="D151" s="427"/>
      <c r="F151" s="427"/>
      <c r="L151" s="427"/>
    </row>
    <row r="152" spans="4:12" ht="15.75" customHeight="1" x14ac:dyDescent="0.3">
      <c r="D152" s="427"/>
      <c r="F152" s="427"/>
      <c r="L152" s="427"/>
    </row>
    <row r="153" spans="4:12" ht="15.75" customHeight="1" x14ac:dyDescent="0.3">
      <c r="D153" s="427"/>
      <c r="F153" s="427"/>
      <c r="L153" s="427"/>
    </row>
    <row r="154" spans="4:12" ht="15.75" customHeight="1" x14ac:dyDescent="0.3">
      <c r="D154" s="427"/>
      <c r="F154" s="427"/>
      <c r="L154" s="427"/>
    </row>
    <row r="155" spans="4:12" ht="15.75" customHeight="1" x14ac:dyDescent="0.3">
      <c r="D155" s="427"/>
      <c r="F155" s="427"/>
      <c r="L155" s="427"/>
    </row>
    <row r="156" spans="4:12" ht="15.75" customHeight="1" x14ac:dyDescent="0.3">
      <c r="D156" s="427"/>
      <c r="F156" s="427"/>
      <c r="L156" s="427"/>
    </row>
    <row r="157" spans="4:12" ht="15.75" customHeight="1" x14ac:dyDescent="0.3">
      <c r="D157" s="427"/>
      <c r="F157" s="427"/>
      <c r="L157" s="427"/>
    </row>
    <row r="158" spans="4:12" ht="15.75" customHeight="1" x14ac:dyDescent="0.3">
      <c r="D158" s="427"/>
      <c r="F158" s="427"/>
      <c r="L158" s="427"/>
    </row>
    <row r="159" spans="4:12" ht="15.75" customHeight="1" x14ac:dyDescent="0.3">
      <c r="D159" s="427"/>
      <c r="F159" s="427"/>
      <c r="L159" s="427"/>
    </row>
    <row r="160" spans="4:12" ht="15.75" customHeight="1" x14ac:dyDescent="0.3">
      <c r="D160" s="427"/>
      <c r="F160" s="427"/>
      <c r="L160" s="427"/>
    </row>
    <row r="161" spans="4:12" ht="15.75" customHeight="1" x14ac:dyDescent="0.3">
      <c r="D161" s="427"/>
      <c r="F161" s="427"/>
      <c r="L161" s="427"/>
    </row>
    <row r="162" spans="4:12" ht="15.75" customHeight="1" x14ac:dyDescent="0.3">
      <c r="D162" s="427"/>
      <c r="F162" s="427"/>
      <c r="L162" s="427"/>
    </row>
    <row r="163" spans="4:12" ht="15.75" customHeight="1" x14ac:dyDescent="0.3">
      <c r="D163" s="427"/>
      <c r="F163" s="427"/>
      <c r="L163" s="427"/>
    </row>
    <row r="164" spans="4:12" ht="15.75" customHeight="1" x14ac:dyDescent="0.3">
      <c r="D164" s="427"/>
      <c r="F164" s="427"/>
      <c r="L164" s="427"/>
    </row>
    <row r="165" spans="4:12" ht="15.75" customHeight="1" x14ac:dyDescent="0.3">
      <c r="D165" s="427"/>
      <c r="F165" s="427"/>
      <c r="L165" s="427"/>
    </row>
    <row r="166" spans="4:12" ht="15.75" customHeight="1" x14ac:dyDescent="0.3">
      <c r="D166" s="427"/>
      <c r="F166" s="427"/>
      <c r="L166" s="427"/>
    </row>
    <row r="167" spans="4:12" ht="15.75" customHeight="1" x14ac:dyDescent="0.3">
      <c r="D167" s="427"/>
      <c r="F167" s="427"/>
      <c r="L167" s="427"/>
    </row>
    <row r="168" spans="4:12" ht="15.75" customHeight="1" x14ac:dyDescent="0.3">
      <c r="D168" s="427"/>
      <c r="F168" s="427"/>
      <c r="L168" s="427"/>
    </row>
    <row r="169" spans="4:12" ht="15.75" customHeight="1" x14ac:dyDescent="0.3">
      <c r="D169" s="427"/>
      <c r="F169" s="427"/>
      <c r="L169" s="427"/>
    </row>
    <row r="170" spans="4:12" ht="15.75" customHeight="1" x14ac:dyDescent="0.3">
      <c r="D170" s="427"/>
      <c r="F170" s="427"/>
      <c r="L170" s="427"/>
    </row>
    <row r="171" spans="4:12" ht="15.75" customHeight="1" x14ac:dyDescent="0.3">
      <c r="D171" s="427"/>
      <c r="F171" s="427"/>
      <c r="L171" s="427"/>
    </row>
    <row r="172" spans="4:12" ht="15.75" customHeight="1" x14ac:dyDescent="0.3">
      <c r="D172" s="427"/>
      <c r="F172" s="427"/>
      <c r="L172" s="427"/>
    </row>
    <row r="173" spans="4:12" ht="15.75" customHeight="1" x14ac:dyDescent="0.3">
      <c r="D173" s="427"/>
      <c r="F173" s="427"/>
      <c r="L173" s="427"/>
    </row>
    <row r="174" spans="4:12" ht="15.75" customHeight="1" x14ac:dyDescent="0.3">
      <c r="D174" s="427"/>
      <c r="F174" s="427"/>
      <c r="L174" s="427"/>
    </row>
    <row r="175" spans="4:12" ht="15.75" customHeight="1" x14ac:dyDescent="0.3">
      <c r="D175" s="427"/>
      <c r="F175" s="427"/>
      <c r="L175" s="427"/>
    </row>
    <row r="176" spans="4:12" ht="15.75" customHeight="1" x14ac:dyDescent="0.3">
      <c r="D176" s="427"/>
      <c r="F176" s="427"/>
      <c r="L176" s="427"/>
    </row>
    <row r="177" spans="4:12" ht="15.75" customHeight="1" x14ac:dyDescent="0.3">
      <c r="D177" s="427"/>
      <c r="F177" s="427"/>
      <c r="L177" s="427"/>
    </row>
    <row r="178" spans="4:12" ht="15.75" customHeight="1" x14ac:dyDescent="0.3">
      <c r="D178" s="427"/>
      <c r="F178" s="427"/>
      <c r="L178" s="427"/>
    </row>
    <row r="179" spans="4:12" ht="15.75" customHeight="1" x14ac:dyDescent="0.3">
      <c r="D179" s="427"/>
      <c r="F179" s="427"/>
      <c r="L179" s="427"/>
    </row>
    <row r="180" spans="4:12" ht="15.75" customHeight="1" x14ac:dyDescent="0.3">
      <c r="D180" s="427"/>
      <c r="F180" s="427"/>
      <c r="L180" s="427"/>
    </row>
    <row r="181" spans="4:12" ht="15.75" customHeight="1" x14ac:dyDescent="0.3">
      <c r="D181" s="427"/>
      <c r="F181" s="427"/>
      <c r="L181" s="427"/>
    </row>
    <row r="182" spans="4:12" ht="15.75" customHeight="1" x14ac:dyDescent="0.3">
      <c r="D182" s="427"/>
      <c r="F182" s="427"/>
      <c r="L182" s="427"/>
    </row>
    <row r="183" spans="4:12" ht="15.75" customHeight="1" x14ac:dyDescent="0.3">
      <c r="D183" s="427"/>
      <c r="F183" s="427"/>
      <c r="L183" s="427"/>
    </row>
    <row r="184" spans="4:12" ht="15.75" customHeight="1" x14ac:dyDescent="0.3">
      <c r="D184" s="427"/>
      <c r="F184" s="427"/>
      <c r="L184" s="427"/>
    </row>
    <row r="185" spans="4:12" ht="15.75" customHeight="1" x14ac:dyDescent="0.3">
      <c r="D185" s="427"/>
      <c r="F185" s="427"/>
      <c r="L185" s="427"/>
    </row>
    <row r="186" spans="4:12" ht="15.75" customHeight="1" x14ac:dyDescent="0.3">
      <c r="D186" s="427"/>
      <c r="F186" s="427"/>
      <c r="L186" s="427"/>
    </row>
    <row r="187" spans="4:12" ht="15.75" customHeight="1" x14ac:dyDescent="0.3">
      <c r="D187" s="427"/>
      <c r="F187" s="427"/>
      <c r="L187" s="427"/>
    </row>
    <row r="188" spans="4:12" ht="15.75" customHeight="1" x14ac:dyDescent="0.3">
      <c r="D188" s="427"/>
      <c r="F188" s="427"/>
      <c r="L188" s="427"/>
    </row>
    <row r="189" spans="4:12" ht="15.75" customHeight="1" x14ac:dyDescent="0.3">
      <c r="D189" s="427"/>
      <c r="F189" s="427"/>
      <c r="L189" s="427"/>
    </row>
    <row r="190" spans="4:12" ht="15.75" customHeight="1" x14ac:dyDescent="0.3">
      <c r="D190" s="427"/>
      <c r="F190" s="427"/>
      <c r="L190" s="427"/>
    </row>
    <row r="191" spans="4:12" ht="15.75" customHeight="1" x14ac:dyDescent="0.3">
      <c r="D191" s="427"/>
      <c r="F191" s="427"/>
      <c r="L191" s="427"/>
    </row>
    <row r="192" spans="4:12" ht="15.75" customHeight="1" x14ac:dyDescent="0.3">
      <c r="D192" s="427"/>
      <c r="F192" s="427"/>
      <c r="L192" s="427"/>
    </row>
    <row r="193" spans="4:12" ht="15.75" customHeight="1" x14ac:dyDescent="0.3">
      <c r="D193" s="427"/>
      <c r="F193" s="427"/>
      <c r="L193" s="427"/>
    </row>
    <row r="194" spans="4:12" ht="15.75" customHeight="1" x14ac:dyDescent="0.3">
      <c r="D194" s="427"/>
      <c r="F194" s="427"/>
      <c r="L194" s="427"/>
    </row>
    <row r="195" spans="4:12" ht="15.75" customHeight="1" x14ac:dyDescent="0.3">
      <c r="D195" s="427"/>
      <c r="F195" s="427"/>
      <c r="L195" s="427"/>
    </row>
    <row r="196" spans="4:12" ht="15.75" customHeight="1" x14ac:dyDescent="0.3">
      <c r="D196" s="427"/>
      <c r="F196" s="427"/>
      <c r="L196" s="427"/>
    </row>
    <row r="197" spans="4:12" ht="15.75" customHeight="1" x14ac:dyDescent="0.3">
      <c r="D197" s="427"/>
      <c r="F197" s="427"/>
      <c r="L197" s="427"/>
    </row>
    <row r="198" spans="4:12" ht="15.75" customHeight="1" x14ac:dyDescent="0.3">
      <c r="D198" s="427"/>
      <c r="F198" s="427"/>
      <c r="L198" s="427"/>
    </row>
    <row r="199" spans="4:12" ht="15.75" customHeight="1" x14ac:dyDescent="0.3">
      <c r="D199" s="427"/>
      <c r="F199" s="427"/>
      <c r="L199" s="427"/>
    </row>
    <row r="200" spans="4:12" ht="15.75" customHeight="1" x14ac:dyDescent="0.3">
      <c r="D200" s="427"/>
      <c r="F200" s="427"/>
      <c r="L200" s="427"/>
    </row>
    <row r="201" spans="4:12" ht="15.75" customHeight="1" x14ac:dyDescent="0.3">
      <c r="D201" s="427"/>
      <c r="F201" s="427"/>
      <c r="L201" s="427"/>
    </row>
    <row r="202" spans="4:12" ht="15.75" customHeight="1" x14ac:dyDescent="0.3">
      <c r="D202" s="427"/>
      <c r="F202" s="427"/>
      <c r="L202" s="427"/>
    </row>
    <row r="203" spans="4:12" ht="15.75" customHeight="1" x14ac:dyDescent="0.3">
      <c r="D203" s="427"/>
      <c r="F203" s="427"/>
      <c r="L203" s="427"/>
    </row>
    <row r="204" spans="4:12" ht="15.75" customHeight="1" x14ac:dyDescent="0.3">
      <c r="D204" s="427"/>
      <c r="F204" s="427"/>
      <c r="L204" s="427"/>
    </row>
    <row r="205" spans="4:12" ht="15.75" customHeight="1" x14ac:dyDescent="0.3">
      <c r="D205" s="427"/>
      <c r="F205" s="427"/>
      <c r="L205" s="427"/>
    </row>
    <row r="206" spans="4:12" ht="15.75" customHeight="1" x14ac:dyDescent="0.3">
      <c r="D206" s="427"/>
      <c r="F206" s="427"/>
      <c r="L206" s="427"/>
    </row>
    <row r="207" spans="4:12" ht="15.75" customHeight="1" x14ac:dyDescent="0.3">
      <c r="D207" s="427"/>
      <c r="F207" s="427"/>
      <c r="L207" s="427"/>
    </row>
    <row r="208" spans="4:12" ht="15.75" customHeight="1" x14ac:dyDescent="0.3">
      <c r="D208" s="427"/>
      <c r="F208" s="427"/>
      <c r="L208" s="427"/>
    </row>
    <row r="209" spans="4:12" ht="15.75" customHeight="1" x14ac:dyDescent="0.3">
      <c r="D209" s="427"/>
      <c r="F209" s="427"/>
      <c r="L209" s="427"/>
    </row>
    <row r="210" spans="4:12" ht="15.75" customHeight="1" x14ac:dyDescent="0.3">
      <c r="D210" s="427"/>
      <c r="F210" s="427"/>
      <c r="L210" s="427"/>
    </row>
    <row r="211" spans="4:12" ht="15.75" customHeight="1" x14ac:dyDescent="0.3">
      <c r="D211" s="427"/>
      <c r="F211" s="427"/>
      <c r="L211" s="427"/>
    </row>
    <row r="212" spans="4:12" ht="15.75" customHeight="1" x14ac:dyDescent="0.3">
      <c r="D212" s="427"/>
      <c r="F212" s="427"/>
      <c r="L212" s="427"/>
    </row>
    <row r="213" spans="4:12" ht="15.75" customHeight="1" x14ac:dyDescent="0.3">
      <c r="D213" s="427"/>
      <c r="F213" s="427"/>
      <c r="L213" s="427"/>
    </row>
    <row r="214" spans="4:12" ht="15.75" customHeight="1" x14ac:dyDescent="0.3">
      <c r="D214" s="427"/>
      <c r="F214" s="427"/>
      <c r="L214" s="427"/>
    </row>
    <row r="215" spans="4:12" ht="15.75" customHeight="1" x14ac:dyDescent="0.3">
      <c r="D215" s="427"/>
      <c r="F215" s="427"/>
      <c r="L215" s="427"/>
    </row>
    <row r="216" spans="4:12" ht="15.75" customHeight="1" x14ac:dyDescent="0.3">
      <c r="D216" s="427"/>
      <c r="F216" s="427"/>
      <c r="L216" s="427"/>
    </row>
    <row r="217" spans="4:12" ht="15.75" customHeight="1" x14ac:dyDescent="0.3">
      <c r="D217" s="427"/>
      <c r="F217" s="427"/>
      <c r="L217" s="427"/>
    </row>
    <row r="218" spans="4:12" ht="15.75" customHeight="1" x14ac:dyDescent="0.3">
      <c r="D218" s="427"/>
      <c r="F218" s="427"/>
      <c r="L218" s="427"/>
    </row>
    <row r="219" spans="4:12" ht="15.75" customHeight="1" x14ac:dyDescent="0.3">
      <c r="D219" s="427"/>
      <c r="F219" s="427"/>
      <c r="L219" s="427"/>
    </row>
    <row r="220" spans="4:12" ht="15.75" customHeight="1" x14ac:dyDescent="0.3">
      <c r="D220" s="427"/>
      <c r="F220" s="427"/>
      <c r="L220" s="427"/>
    </row>
    <row r="221" spans="4:12" ht="15.75" customHeight="1" x14ac:dyDescent="0.3">
      <c r="D221" s="427"/>
      <c r="F221" s="427"/>
      <c r="L221" s="427"/>
    </row>
    <row r="222" spans="4:12" ht="15.75" customHeight="1" x14ac:dyDescent="0.3">
      <c r="D222" s="427"/>
      <c r="F222" s="427"/>
      <c r="L222" s="427"/>
    </row>
    <row r="223" spans="4:12" ht="15.75" customHeight="1" x14ac:dyDescent="0.3">
      <c r="D223" s="427"/>
      <c r="F223" s="427"/>
      <c r="L223" s="427"/>
    </row>
    <row r="224" spans="4:12" ht="15.75" customHeight="1" x14ac:dyDescent="0.3">
      <c r="D224" s="427"/>
      <c r="F224" s="427"/>
      <c r="L224" s="427"/>
    </row>
    <row r="225" spans="4:12" ht="15.75" customHeight="1" x14ac:dyDescent="0.3">
      <c r="D225" s="427"/>
      <c r="F225" s="427"/>
      <c r="L225" s="427"/>
    </row>
    <row r="226" spans="4:12" ht="15.75" customHeight="1" x14ac:dyDescent="0.3">
      <c r="D226" s="427"/>
      <c r="F226" s="427"/>
      <c r="L226" s="427"/>
    </row>
    <row r="227" spans="4:12" ht="15.75" customHeight="1" x14ac:dyDescent="0.3">
      <c r="D227" s="427"/>
      <c r="F227" s="427"/>
      <c r="L227" s="427"/>
    </row>
    <row r="228" spans="4:12" ht="15.75" customHeight="1" x14ac:dyDescent="0.3">
      <c r="D228" s="427"/>
      <c r="F228" s="427"/>
      <c r="L228" s="427"/>
    </row>
    <row r="229" spans="4:12" ht="15.75" customHeight="1" x14ac:dyDescent="0.3">
      <c r="D229" s="427"/>
      <c r="F229" s="427"/>
      <c r="L229" s="427"/>
    </row>
    <row r="230" spans="4:12" ht="15.75" customHeight="1" x14ac:dyDescent="0.3">
      <c r="D230" s="427"/>
      <c r="F230" s="427"/>
      <c r="L230" s="427"/>
    </row>
    <row r="231" spans="4:12" ht="15.75" customHeight="1" x14ac:dyDescent="0.3">
      <c r="D231" s="427"/>
      <c r="F231" s="427"/>
      <c r="L231" s="427"/>
    </row>
    <row r="232" spans="4:12" ht="15.75" customHeight="1" x14ac:dyDescent="0.3">
      <c r="D232" s="427"/>
      <c r="F232" s="427"/>
      <c r="L232" s="427"/>
    </row>
    <row r="233" spans="4:12" ht="15.75" customHeight="1" x14ac:dyDescent="0.3">
      <c r="D233" s="427"/>
      <c r="F233" s="427"/>
      <c r="L233" s="427"/>
    </row>
    <row r="234" spans="4:12" ht="15.75" customHeight="1" x14ac:dyDescent="0.3">
      <c r="D234" s="427"/>
      <c r="F234" s="427"/>
      <c r="L234" s="427"/>
    </row>
    <row r="235" spans="4:12" ht="15.75" customHeight="1" x14ac:dyDescent="0.3">
      <c r="D235" s="427"/>
      <c r="F235" s="427"/>
      <c r="L235" s="427"/>
    </row>
    <row r="236" spans="4:12" ht="15.75" customHeight="1" x14ac:dyDescent="0.3">
      <c r="D236" s="427"/>
      <c r="F236" s="427"/>
      <c r="L236" s="427"/>
    </row>
    <row r="237" spans="4:12" ht="15.75" customHeight="1" x14ac:dyDescent="0.3">
      <c r="D237" s="427"/>
      <c r="F237" s="427"/>
      <c r="L237" s="427"/>
    </row>
    <row r="238" spans="4:12" ht="15.75" customHeight="1" x14ac:dyDescent="0.3">
      <c r="D238" s="427"/>
      <c r="F238" s="427"/>
      <c r="L238" s="427"/>
    </row>
    <row r="239" spans="4:12" ht="15.75" customHeight="1" x14ac:dyDescent="0.3">
      <c r="D239" s="427"/>
      <c r="F239" s="427"/>
      <c r="L239" s="427"/>
    </row>
    <row r="240" spans="4:12" ht="15.75" customHeight="1" x14ac:dyDescent="0.3">
      <c r="D240" s="427"/>
      <c r="F240" s="427"/>
      <c r="L240" s="427"/>
    </row>
    <row r="241" spans="4:12" ht="15.75" customHeight="1" x14ac:dyDescent="0.3">
      <c r="D241" s="427"/>
      <c r="F241" s="427"/>
      <c r="L241" s="427"/>
    </row>
    <row r="242" spans="4:12" ht="15.75" customHeight="1" x14ac:dyDescent="0.3">
      <c r="D242" s="427"/>
      <c r="F242" s="427"/>
      <c r="L242" s="427"/>
    </row>
    <row r="243" spans="4:12" ht="15.75" customHeight="1" x14ac:dyDescent="0.3">
      <c r="D243" s="427"/>
      <c r="F243" s="427"/>
      <c r="L243" s="427"/>
    </row>
    <row r="244" spans="4:12" ht="15.75" customHeight="1" x14ac:dyDescent="0.3">
      <c r="D244" s="427"/>
      <c r="F244" s="427"/>
      <c r="L244" s="427"/>
    </row>
    <row r="245" spans="4:12" ht="15.75" customHeight="1" x14ac:dyDescent="0.3">
      <c r="D245" s="427"/>
      <c r="F245" s="427"/>
      <c r="L245" s="427"/>
    </row>
    <row r="246" spans="4:12" ht="15.75" customHeight="1" x14ac:dyDescent="0.3">
      <c r="D246" s="427"/>
      <c r="F246" s="427"/>
      <c r="L246" s="427"/>
    </row>
    <row r="247" spans="4:12" ht="15.75" customHeight="1" x14ac:dyDescent="0.3">
      <c r="D247" s="427"/>
      <c r="F247" s="427"/>
      <c r="L247" s="427"/>
    </row>
    <row r="248" spans="4:12" ht="15.75" customHeight="1" x14ac:dyDescent="0.3">
      <c r="D248" s="427"/>
      <c r="F248" s="427"/>
      <c r="L248" s="427"/>
    </row>
    <row r="249" spans="4:12" ht="15.75" customHeight="1" x14ac:dyDescent="0.3">
      <c r="D249" s="427"/>
      <c r="F249" s="427"/>
      <c r="L249" s="427"/>
    </row>
    <row r="250" spans="4:12" ht="15.75" customHeight="1" x14ac:dyDescent="0.3">
      <c r="D250" s="427"/>
      <c r="F250" s="427"/>
      <c r="L250" s="427"/>
    </row>
    <row r="251" spans="4:12" ht="15.75" customHeight="1" x14ac:dyDescent="0.3"/>
    <row r="252" spans="4:12" ht="15.75" customHeight="1" x14ac:dyDescent="0.3"/>
    <row r="253" spans="4:12" ht="15.75" customHeight="1" x14ac:dyDescent="0.3"/>
    <row r="254" spans="4:12" ht="15.75" customHeight="1" x14ac:dyDescent="0.3"/>
    <row r="255" spans="4:12" ht="15.75" customHeight="1" x14ac:dyDescent="0.3"/>
    <row r="256" spans="4:12"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1">
    <mergeCell ref="H7:K7"/>
  </mergeCells>
  <dataValidations count="1">
    <dataValidation type="list" allowBlank="1" showErrorMessage="1" sqref="B17 B32 B27 B22 B37" xr:uid="{FB9A3F6A-AD0D-4563-B8CC-8AD5777F0FB2}">
      <formula1>$B$50:$B$55</formula1>
    </dataValidation>
  </dataValidation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73FD2-C5EE-47FF-931A-18AEA853DEED}">
  <dimension ref="A1:AA906"/>
  <sheetViews>
    <sheetView zoomScale="87" workbookViewId="0">
      <selection activeCell="J11" sqref="J11"/>
    </sheetView>
  </sheetViews>
  <sheetFormatPr defaultColWidth="12.44140625" defaultRowHeight="15" customHeight="1" x14ac:dyDescent="0.3"/>
  <cols>
    <col min="1" max="1" width="2.6640625" style="1336" customWidth="1"/>
    <col min="2" max="2" width="9.44140625" style="1336" customWidth="1"/>
    <col min="3" max="3" width="35.77734375" style="1336" customWidth="1"/>
    <col min="4" max="4" width="49.88671875" style="1336" customWidth="1"/>
    <col min="5" max="5" width="9.5546875" style="1336" customWidth="1"/>
    <col min="6" max="6" width="38.88671875" style="1336" customWidth="1"/>
    <col min="7" max="7" width="8.88671875" style="1336" bestFit="1" customWidth="1"/>
    <col min="8" max="10" width="11.33203125" style="1336" customWidth="1"/>
    <col min="11" max="11" width="11.33203125" style="1336" hidden="1" customWidth="1"/>
    <col min="12" max="14" width="12.77734375" style="1336" hidden="1" customWidth="1"/>
    <col min="15" max="16" width="11.5546875" style="1336" hidden="1" customWidth="1"/>
    <col min="17" max="17" width="15.21875" style="1336" hidden="1" customWidth="1"/>
    <col min="18" max="18" width="13.5546875" style="1336" hidden="1" customWidth="1"/>
    <col min="19" max="19" width="12.44140625" style="1336" hidden="1" customWidth="1"/>
    <col min="20" max="20" width="14.6640625" style="1336" hidden="1" customWidth="1"/>
    <col min="21" max="21" width="11.88671875" style="1336" hidden="1" customWidth="1"/>
    <col min="22" max="24" width="11.5546875" style="1336" hidden="1" customWidth="1"/>
    <col min="25" max="25" width="11.5546875" style="1336" customWidth="1"/>
    <col min="26" max="27" width="11.6640625" style="1336" customWidth="1"/>
    <col min="28" max="16384" width="12.44140625" style="1336"/>
  </cols>
  <sheetData>
    <row r="1" spans="1:27" ht="23.25" customHeight="1" x14ac:dyDescent="0.35">
      <c r="A1" s="1334"/>
      <c r="B1" s="1335" t="s">
        <v>2394</v>
      </c>
    </row>
    <row r="2" spans="1:27" ht="13.5" customHeight="1" x14ac:dyDescent="0.3">
      <c r="A2" s="1334"/>
      <c r="B2" s="1337" t="s">
        <v>340</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row>
    <row r="3" spans="1:27" ht="15.75" customHeight="1" x14ac:dyDescent="0.3">
      <c r="B3" s="1339"/>
    </row>
    <row r="4" spans="1:27" ht="19.2" customHeight="1" x14ac:dyDescent="0.3">
      <c r="B4" s="1340" t="s">
        <v>899</v>
      </c>
      <c r="C4" s="1341"/>
      <c r="D4" s="1341"/>
    </row>
    <row r="5" spans="1:27" ht="19.2" customHeight="1" x14ac:dyDescent="0.3">
      <c r="B5" s="1340" t="s">
        <v>341</v>
      </c>
      <c r="C5" s="1341"/>
      <c r="D5" s="1341"/>
    </row>
    <row r="6" spans="1:27" ht="15.75" customHeight="1" x14ac:dyDescent="0.3">
      <c r="B6" s="1339"/>
    </row>
    <row r="7" spans="1:27" ht="15.75" customHeight="1" x14ac:dyDescent="0.3">
      <c r="B7" s="1342" t="s">
        <v>342</v>
      </c>
    </row>
    <row r="8" spans="1:27" ht="9" customHeight="1" x14ac:dyDescent="0.3">
      <c r="B8" s="1343"/>
      <c r="G8" s="1344"/>
      <c r="H8" s="1344"/>
      <c r="I8" s="1344"/>
      <c r="J8" s="1344"/>
      <c r="K8" s="1344"/>
      <c r="L8" s="1344"/>
      <c r="M8" s="1344"/>
      <c r="N8" s="1344"/>
    </row>
    <row r="9" spans="1:27" ht="15.75" customHeight="1" x14ac:dyDescent="0.3">
      <c r="B9" s="1345" t="s">
        <v>301</v>
      </c>
      <c r="C9" s="1346" t="s">
        <v>343</v>
      </c>
      <c r="D9" s="1347" t="s">
        <v>344</v>
      </c>
      <c r="E9" s="1347" t="s">
        <v>345</v>
      </c>
      <c r="F9" s="1347" t="s">
        <v>346</v>
      </c>
      <c r="G9" s="1348" t="s">
        <v>347</v>
      </c>
      <c r="H9" s="2389">
        <v>2024</v>
      </c>
      <c r="I9" s="2389">
        <v>2023</v>
      </c>
      <c r="J9" s="1349">
        <v>2022</v>
      </c>
      <c r="K9" s="1349">
        <v>2021</v>
      </c>
      <c r="L9" s="1349">
        <v>2020</v>
      </c>
      <c r="M9" s="1349">
        <v>2019</v>
      </c>
      <c r="N9" s="1349">
        <v>2018</v>
      </c>
      <c r="O9" s="1349">
        <v>2017</v>
      </c>
      <c r="P9" s="1349">
        <v>2016</v>
      </c>
      <c r="Q9" s="1350">
        <v>2015</v>
      </c>
      <c r="R9" s="1350">
        <v>2014</v>
      </c>
      <c r="S9" s="1350">
        <v>2013</v>
      </c>
      <c r="T9" s="1350">
        <v>2012</v>
      </c>
      <c r="U9" s="1350">
        <v>2011</v>
      </c>
      <c r="V9" s="1350">
        <v>2010</v>
      </c>
      <c r="W9" s="1350">
        <v>2009</v>
      </c>
      <c r="X9" s="1350">
        <v>2008</v>
      </c>
      <c r="Y9" s="2390" t="s">
        <v>332</v>
      </c>
    </row>
    <row r="10" spans="1:27" ht="24" customHeight="1" x14ac:dyDescent="0.3">
      <c r="A10" s="1352"/>
      <c r="B10" s="1366">
        <v>1</v>
      </c>
      <c r="C10" s="1354" t="s">
        <v>348</v>
      </c>
      <c r="D10" s="1355" t="s">
        <v>1340</v>
      </c>
      <c r="E10" s="1376" t="s">
        <v>350</v>
      </c>
      <c r="F10" s="1409"/>
      <c r="G10" s="2391">
        <v>2022</v>
      </c>
      <c r="H10" s="2392">
        <v>5780.6260000000002</v>
      </c>
      <c r="I10" s="2393">
        <v>10295.85</v>
      </c>
      <c r="J10" s="1362"/>
      <c r="K10" s="1362"/>
      <c r="L10" s="1362"/>
      <c r="M10" s="1359"/>
      <c r="N10" s="1359"/>
      <c r="O10" s="1591"/>
      <c r="P10" s="1359"/>
      <c r="Q10" s="1359"/>
      <c r="R10" s="1359"/>
      <c r="S10" s="1359"/>
      <c r="T10" s="1359"/>
      <c r="U10" s="1359"/>
      <c r="V10" s="1359"/>
      <c r="W10" s="1410"/>
      <c r="X10" s="1359"/>
      <c r="Y10" s="2394"/>
      <c r="Z10" s="1352"/>
      <c r="AA10" s="1352"/>
    </row>
    <row r="11" spans="1:27" ht="24" customHeight="1" x14ac:dyDescent="0.3">
      <c r="A11" s="1352"/>
      <c r="B11" s="1366"/>
      <c r="C11" s="1367" t="s">
        <v>348</v>
      </c>
      <c r="D11" s="1367" t="s">
        <v>1341</v>
      </c>
      <c r="E11" s="1368" t="s">
        <v>353</v>
      </c>
      <c r="F11" s="1437"/>
      <c r="G11" s="2395"/>
      <c r="H11" s="2396">
        <v>23805.64842454395</v>
      </c>
      <c r="I11" s="2397">
        <v>22835.630824372762</v>
      </c>
      <c r="J11" s="2398">
        <v>20151.16129032258</v>
      </c>
      <c r="K11" s="1370"/>
      <c r="L11" s="1375"/>
      <c r="M11" s="1370"/>
      <c r="N11" s="1370"/>
      <c r="O11" s="1370"/>
      <c r="P11" s="1370"/>
      <c r="Q11" s="1370"/>
      <c r="R11" s="1370"/>
      <c r="S11" s="1370"/>
      <c r="T11" s="1370"/>
      <c r="U11" s="1370"/>
      <c r="V11" s="1370"/>
      <c r="W11" s="1594"/>
      <c r="X11" s="1370"/>
      <c r="Y11" s="2399"/>
      <c r="Z11" s="1352"/>
      <c r="AA11" s="1352"/>
    </row>
    <row r="12" spans="1:27" ht="24" customHeight="1" x14ac:dyDescent="0.3">
      <c r="A12" s="1352"/>
      <c r="B12" s="1366"/>
      <c r="C12" s="1355" t="s">
        <v>478</v>
      </c>
      <c r="D12" s="1355" t="s">
        <v>1342</v>
      </c>
      <c r="E12" s="1376" t="s">
        <v>371</v>
      </c>
      <c r="F12" s="1409"/>
      <c r="G12" s="2400"/>
      <c r="H12" s="2401" t="s">
        <v>88</v>
      </c>
      <c r="I12" s="4300">
        <v>10212.06</v>
      </c>
      <c r="J12" s="1378"/>
      <c r="K12" s="1378"/>
      <c r="L12" s="1378"/>
      <c r="M12" s="1378"/>
      <c r="N12" s="1378"/>
      <c r="O12" s="1378"/>
      <c r="P12" s="1378"/>
      <c r="Q12" s="1378"/>
      <c r="R12" s="1378"/>
      <c r="S12" s="1378"/>
      <c r="T12" s="1378"/>
      <c r="U12" s="1378"/>
      <c r="V12" s="1378"/>
      <c r="W12" s="1410"/>
      <c r="X12" s="1378"/>
      <c r="Y12" s="2394"/>
      <c r="Z12" s="1352"/>
      <c r="AA12" s="1352"/>
    </row>
    <row r="13" spans="1:27" ht="24" customHeight="1" x14ac:dyDescent="0.3">
      <c r="A13" s="1352"/>
      <c r="B13" s="1366"/>
      <c r="C13" s="1367" t="s">
        <v>478</v>
      </c>
      <c r="D13" s="1367" t="s">
        <v>1343</v>
      </c>
      <c r="E13" s="1368" t="s">
        <v>1344</v>
      </c>
      <c r="F13" s="1437"/>
      <c r="G13" s="2395"/>
      <c r="H13" s="2402">
        <f>I10*25.31</f>
        <v>260587.96349999998</v>
      </c>
      <c r="I13" s="1594"/>
      <c r="J13" s="1370"/>
      <c r="K13" s="1370"/>
      <c r="L13" s="1370"/>
      <c r="M13" s="1370"/>
      <c r="N13" s="1370"/>
      <c r="O13" s="1370"/>
      <c r="P13" s="1370"/>
      <c r="Q13" s="1370"/>
      <c r="R13" s="1370"/>
      <c r="S13" s="1370"/>
      <c r="T13" s="1370"/>
      <c r="U13" s="1370"/>
      <c r="V13" s="1370"/>
      <c r="W13" s="1594"/>
      <c r="X13" s="1370"/>
      <c r="Y13" s="2399"/>
      <c r="Z13" s="1352"/>
      <c r="AA13" s="1352"/>
    </row>
    <row r="14" spans="1:27" ht="24" customHeight="1" x14ac:dyDescent="0.3">
      <c r="A14" s="1352"/>
      <c r="B14" s="1366"/>
      <c r="C14" s="1355" t="s">
        <v>478</v>
      </c>
      <c r="D14" s="1355" t="s">
        <v>1343</v>
      </c>
      <c r="E14" s="1376" t="s">
        <v>385</v>
      </c>
      <c r="F14" s="1409"/>
      <c r="G14" s="2403"/>
      <c r="H14" s="2404">
        <f>H13/19.2</f>
        <v>13572.289765624999</v>
      </c>
      <c r="I14" s="2405"/>
      <c r="J14" s="1378"/>
      <c r="K14" s="1378"/>
      <c r="L14" s="1378"/>
      <c r="M14" s="1378"/>
      <c r="N14" s="1378"/>
      <c r="O14" s="1378"/>
      <c r="P14" s="1378"/>
      <c r="Q14" s="1378"/>
      <c r="R14" s="1378"/>
      <c r="S14" s="1378"/>
      <c r="T14" s="1378"/>
      <c r="U14" s="1378"/>
      <c r="V14" s="1378"/>
      <c r="W14" s="1410"/>
      <c r="X14" s="1378"/>
      <c r="Y14" s="2394"/>
      <c r="Z14" s="1352"/>
      <c r="AA14" s="1352"/>
    </row>
    <row r="15" spans="1:27" ht="24" customHeight="1" x14ac:dyDescent="0.3">
      <c r="A15" s="1352"/>
      <c r="B15" s="1411"/>
      <c r="C15" s="1412"/>
      <c r="D15" s="1412"/>
      <c r="E15" s="1413"/>
      <c r="F15" s="1414"/>
      <c r="G15" s="1415"/>
      <c r="H15" s="1415"/>
      <c r="I15" s="1415"/>
      <c r="J15" s="1416"/>
      <c r="K15" s="1416"/>
      <c r="L15" s="1416"/>
      <c r="M15" s="1416"/>
      <c r="N15" s="1416"/>
      <c r="O15" s="1416"/>
      <c r="P15" s="1416"/>
      <c r="Q15" s="1416"/>
      <c r="R15" s="1416"/>
      <c r="S15" s="1416"/>
      <c r="T15" s="1416"/>
      <c r="U15" s="1416"/>
      <c r="V15" s="1416"/>
      <c r="W15" s="1417"/>
      <c r="X15" s="1416"/>
      <c r="Y15" s="2406"/>
      <c r="Z15" s="1352"/>
      <c r="AA15" s="1352"/>
    </row>
    <row r="16" spans="1:27" ht="15.75" customHeight="1" x14ac:dyDescent="0.3">
      <c r="A16" s="1352"/>
      <c r="B16" s="1418"/>
      <c r="C16" s="1352"/>
      <c r="D16" s="1352"/>
      <c r="E16" s="1352"/>
      <c r="F16" s="1352"/>
      <c r="G16" s="1419"/>
      <c r="H16" s="1419"/>
      <c r="I16" s="1419"/>
      <c r="J16" s="1419"/>
      <c r="K16" s="1419"/>
      <c r="L16" s="1419"/>
      <c r="M16" s="1419"/>
      <c r="N16" s="1419"/>
      <c r="O16" s="1420"/>
      <c r="P16" s="1420"/>
      <c r="Q16" s="1420"/>
      <c r="R16" s="1420"/>
      <c r="S16" s="1420"/>
      <c r="T16" s="1420"/>
      <c r="U16" s="1420"/>
      <c r="V16" s="1420"/>
      <c r="W16" s="1420"/>
      <c r="X16" s="1420"/>
      <c r="Y16" s="1420"/>
      <c r="Z16" s="1352"/>
      <c r="AA16" s="1352"/>
    </row>
    <row r="17" spans="1:27" ht="15.75" customHeight="1" x14ac:dyDescent="0.3">
      <c r="A17" s="1352"/>
      <c r="B17" s="1421" t="s">
        <v>355</v>
      </c>
      <c r="C17" s="1422" t="s">
        <v>356</v>
      </c>
      <c r="D17" s="1352"/>
      <c r="E17" s="1352"/>
      <c r="F17" s="1352"/>
      <c r="G17" s="1419"/>
      <c r="H17" s="1419"/>
      <c r="I17" s="1419"/>
      <c r="J17" s="1419"/>
      <c r="K17" s="1419"/>
      <c r="L17" s="1419"/>
      <c r="M17" s="1419"/>
      <c r="N17" s="1419"/>
      <c r="O17" s="1420"/>
      <c r="P17" s="1420"/>
      <c r="Q17" s="1420"/>
      <c r="R17" s="1420"/>
      <c r="S17" s="1420"/>
      <c r="T17" s="1420"/>
      <c r="U17" s="1420"/>
      <c r="V17" s="1420"/>
      <c r="W17" s="1420"/>
      <c r="X17" s="1420"/>
      <c r="Y17" s="1420"/>
      <c r="Z17" s="1352"/>
      <c r="AA17" s="1352"/>
    </row>
    <row r="18" spans="1:27" ht="15.75" customHeight="1" x14ac:dyDescent="0.3">
      <c r="A18" s="1352"/>
      <c r="B18" s="1418"/>
      <c r="C18" s="1352"/>
      <c r="D18" s="1352"/>
      <c r="E18" s="1352"/>
      <c r="F18" s="1352"/>
      <c r="G18" s="1419"/>
      <c r="H18" s="1419"/>
      <c r="I18" s="1419"/>
      <c r="J18" s="1419"/>
      <c r="K18" s="1419"/>
      <c r="L18" s="1419"/>
      <c r="M18" s="1419"/>
      <c r="N18" s="1419"/>
      <c r="O18" s="1420"/>
      <c r="P18" s="1420"/>
      <c r="Q18" s="1420"/>
      <c r="R18" s="1420"/>
      <c r="S18" s="1420"/>
      <c r="T18" s="1420"/>
      <c r="U18" s="1420"/>
      <c r="V18" s="1420"/>
      <c r="W18" s="1420"/>
      <c r="X18" s="1420"/>
      <c r="Y18" s="1420"/>
      <c r="Z18" s="1352"/>
      <c r="AA18" s="1352"/>
    </row>
    <row r="19" spans="1:27" ht="15.75" customHeight="1" x14ac:dyDescent="0.3">
      <c r="A19" s="1352"/>
      <c r="B19" s="4402" t="s">
        <v>357</v>
      </c>
      <c r="C19" s="4403"/>
      <c r="D19" s="1352"/>
      <c r="E19" s="1352"/>
      <c r="F19" s="1352"/>
      <c r="G19" s="1419"/>
      <c r="H19" s="1419"/>
      <c r="I19" s="1419"/>
      <c r="J19" s="1419"/>
      <c r="K19" s="1419"/>
      <c r="L19" s="1419"/>
      <c r="M19" s="1419"/>
      <c r="N19" s="1419"/>
      <c r="O19" s="1420"/>
      <c r="P19" s="1420"/>
      <c r="Q19" s="1420"/>
      <c r="R19" s="1420"/>
      <c r="S19" s="1420"/>
      <c r="T19" s="1420"/>
      <c r="U19" s="1420"/>
      <c r="V19" s="1420"/>
      <c r="W19" s="1420"/>
      <c r="X19" s="1420"/>
      <c r="Y19" s="1420"/>
      <c r="Z19" s="1352"/>
      <c r="AA19" s="1352"/>
    </row>
    <row r="20" spans="1:27" ht="15.75" customHeight="1" x14ac:dyDescent="0.3">
      <c r="A20" s="1352"/>
      <c r="B20" s="1425" t="s">
        <v>365</v>
      </c>
      <c r="C20" s="1352" t="s">
        <v>1345</v>
      </c>
      <c r="D20" s="1352"/>
      <c r="E20" s="1352"/>
      <c r="F20" s="1352"/>
      <c r="G20" s="1419"/>
      <c r="H20" s="1419"/>
      <c r="I20" s="1419"/>
      <c r="J20" s="1419"/>
      <c r="K20" s="1419"/>
      <c r="L20" s="1419"/>
      <c r="M20" s="1419"/>
      <c r="N20" s="1419"/>
      <c r="O20" s="1420"/>
      <c r="P20" s="1420"/>
      <c r="Q20" s="1420"/>
      <c r="R20" s="1420"/>
      <c r="S20" s="1420"/>
      <c r="T20" s="1420"/>
      <c r="U20" s="1420"/>
      <c r="V20" s="1420"/>
      <c r="W20" s="1420"/>
      <c r="X20" s="1420"/>
      <c r="Y20" s="1420"/>
      <c r="Z20" s="1352"/>
      <c r="AA20" s="1352"/>
    </row>
    <row r="21" spans="1:27" ht="15.75" customHeight="1" x14ac:dyDescent="0.3">
      <c r="A21" s="1352"/>
      <c r="B21" s="1425" t="s">
        <v>301</v>
      </c>
      <c r="C21" s="1352"/>
      <c r="D21" s="1352"/>
      <c r="E21" s="1352"/>
      <c r="F21" s="1352"/>
      <c r="G21" s="1419"/>
      <c r="H21" s="1419"/>
      <c r="I21" s="1419"/>
      <c r="J21" s="1419"/>
      <c r="K21" s="1419"/>
      <c r="L21" s="1419"/>
      <c r="M21" s="1419"/>
      <c r="N21" s="1419"/>
      <c r="O21" s="1420"/>
      <c r="P21" s="1420"/>
      <c r="Q21" s="1420"/>
      <c r="R21" s="1420"/>
      <c r="S21" s="1420"/>
      <c r="T21" s="1420"/>
      <c r="U21" s="1420"/>
      <c r="V21" s="1420"/>
      <c r="W21" s="1420"/>
      <c r="X21" s="1420"/>
      <c r="Y21" s="1420"/>
      <c r="Z21" s="1352"/>
      <c r="AA21" s="1352"/>
    </row>
    <row r="22" spans="1:27" ht="15.75" customHeight="1" x14ac:dyDescent="0.3"/>
    <row r="23" spans="1:27" ht="15.75" customHeight="1" x14ac:dyDescent="0.3"/>
    <row r="24" spans="1:27" ht="21" customHeight="1" x14ac:dyDescent="0.3">
      <c r="B24" s="1342" t="s">
        <v>409</v>
      </c>
    </row>
    <row r="25" spans="1:27" ht="9" customHeight="1" x14ac:dyDescent="0.3">
      <c r="B25" s="1342"/>
    </row>
    <row r="26" spans="1:27" ht="21" customHeight="1" x14ac:dyDescent="0.3">
      <c r="B26" s="1340" t="s">
        <v>410</v>
      </c>
      <c r="C26" s="1341"/>
      <c r="D26" s="1341"/>
    </row>
    <row r="27" spans="1:27" ht="12" customHeight="1" x14ac:dyDescent="0.3"/>
    <row r="28" spans="1:27" ht="15.75" customHeight="1" x14ac:dyDescent="0.3">
      <c r="B28" s="2407" t="s">
        <v>301</v>
      </c>
      <c r="C28" s="2096" t="s">
        <v>343</v>
      </c>
      <c r="D28" s="2097" t="s">
        <v>344</v>
      </c>
      <c r="E28" s="2097" t="s">
        <v>345</v>
      </c>
      <c r="F28" s="2097" t="s">
        <v>346</v>
      </c>
      <c r="G28" s="2408" t="s">
        <v>347</v>
      </c>
      <c r="H28" s="2409">
        <v>2024</v>
      </c>
      <c r="I28" s="2410">
        <v>2023</v>
      </c>
      <c r="J28" s="2410">
        <v>2022</v>
      </c>
      <c r="K28" s="2410">
        <v>2021</v>
      </c>
      <c r="L28" s="2410">
        <v>2020</v>
      </c>
      <c r="M28" s="2410">
        <v>2019</v>
      </c>
      <c r="N28" s="2411">
        <v>2018</v>
      </c>
      <c r="O28" s="2411">
        <v>2017</v>
      </c>
      <c r="P28" s="2411">
        <v>2016</v>
      </c>
      <c r="Q28" s="2411">
        <v>2015</v>
      </c>
      <c r="R28" s="2411">
        <v>2014</v>
      </c>
      <c r="S28" s="2411">
        <v>2013</v>
      </c>
      <c r="T28" s="2411">
        <v>2012</v>
      </c>
      <c r="U28" s="2411">
        <v>2011</v>
      </c>
      <c r="V28" s="2411">
        <v>2010</v>
      </c>
      <c r="W28" s="2411">
        <v>2009</v>
      </c>
      <c r="X28" s="2411">
        <v>2008</v>
      </c>
      <c r="Y28" s="2412" t="s">
        <v>332</v>
      </c>
    </row>
    <row r="29" spans="1:27" ht="24" customHeight="1" x14ac:dyDescent="0.3">
      <c r="B29" s="2413">
        <v>1</v>
      </c>
      <c r="C29" s="2414" t="s">
        <v>474</v>
      </c>
      <c r="D29" s="2117" t="s">
        <v>1346</v>
      </c>
      <c r="E29" s="2117" t="s">
        <v>363</v>
      </c>
      <c r="F29" s="2117" t="s">
        <v>1347</v>
      </c>
      <c r="G29" s="2415">
        <v>2007</v>
      </c>
      <c r="H29" s="2416">
        <v>45.63</v>
      </c>
      <c r="I29" s="2417">
        <v>626.64</v>
      </c>
      <c r="J29" s="2418">
        <v>582.38</v>
      </c>
      <c r="K29" s="2418">
        <v>387.31</v>
      </c>
      <c r="L29" s="2418">
        <v>399.74</v>
      </c>
      <c r="M29" s="2419">
        <v>211.36</v>
      </c>
      <c r="N29" s="2419">
        <v>201.02</v>
      </c>
      <c r="O29" s="2419">
        <v>216</v>
      </c>
      <c r="P29" s="2419">
        <v>102.35</v>
      </c>
      <c r="Q29" s="2419">
        <v>148.38</v>
      </c>
      <c r="R29" s="2419">
        <v>132.87</v>
      </c>
      <c r="S29" s="2419">
        <v>140.61000000000001</v>
      </c>
      <c r="T29" s="2420">
        <v>150.77000000000001</v>
      </c>
      <c r="U29" s="2419">
        <v>105.22</v>
      </c>
      <c r="V29" s="2420">
        <v>92.13</v>
      </c>
      <c r="W29" s="2421"/>
      <c r="X29" s="2422"/>
      <c r="Y29" s="2421"/>
    </row>
    <row r="30" spans="1:27" ht="24" customHeight="1" x14ac:dyDescent="0.3">
      <c r="B30" s="2413">
        <v>2</v>
      </c>
      <c r="C30" s="2112" t="s">
        <v>474</v>
      </c>
      <c r="D30" s="2112" t="s">
        <v>1348</v>
      </c>
      <c r="E30" s="2112" t="s">
        <v>363</v>
      </c>
      <c r="F30" s="2112" t="s">
        <v>1349</v>
      </c>
      <c r="G30" s="2423">
        <v>2007</v>
      </c>
      <c r="H30" s="2424">
        <v>5584.87</v>
      </c>
      <c r="I30" s="2425">
        <v>5241.68</v>
      </c>
      <c r="J30" s="2425">
        <v>2092.0500000000002</v>
      </c>
      <c r="K30" s="2425">
        <v>2324.69</v>
      </c>
      <c r="L30" s="2425">
        <v>2781.7</v>
      </c>
      <c r="M30" s="2426">
        <v>2511.67</v>
      </c>
      <c r="N30" s="2426">
        <v>1926.17</v>
      </c>
      <c r="O30" s="2426">
        <v>1596.78</v>
      </c>
      <c r="P30" s="2427">
        <v>911.45</v>
      </c>
      <c r="Q30" s="2427">
        <v>930.35</v>
      </c>
      <c r="R30" s="2427">
        <v>758.63</v>
      </c>
      <c r="S30" s="2427">
        <v>481.7</v>
      </c>
      <c r="T30" s="2428">
        <v>817.65</v>
      </c>
      <c r="U30" s="2427">
        <v>980.44</v>
      </c>
      <c r="V30" s="2429">
        <v>1144.58</v>
      </c>
      <c r="W30" s="2112"/>
      <c r="X30" s="1973"/>
      <c r="Y30" s="2112"/>
    </row>
    <row r="31" spans="1:27" ht="24" customHeight="1" x14ac:dyDescent="0.3">
      <c r="B31" s="2413">
        <v>3</v>
      </c>
      <c r="C31" s="2117" t="s">
        <v>474</v>
      </c>
      <c r="D31" s="2117" t="s">
        <v>1350</v>
      </c>
      <c r="E31" s="2117" t="s">
        <v>363</v>
      </c>
      <c r="F31" s="2117" t="s">
        <v>1351</v>
      </c>
      <c r="G31" s="2430">
        <v>2007</v>
      </c>
      <c r="H31" s="2431">
        <f>3947.93+482.34</f>
        <v>4430.2699999999995</v>
      </c>
      <c r="I31" s="2432">
        <v>4001.51</v>
      </c>
      <c r="J31" s="2432">
        <v>3889.05</v>
      </c>
      <c r="K31" s="2432">
        <v>3718.87</v>
      </c>
      <c r="L31" s="2432">
        <v>3797.28</v>
      </c>
      <c r="M31" s="2433">
        <v>3893.21</v>
      </c>
      <c r="N31" s="2433">
        <v>3282.78</v>
      </c>
      <c r="O31" s="2433">
        <v>281457</v>
      </c>
      <c r="P31" s="2433">
        <v>2676.69</v>
      </c>
      <c r="Q31" s="2433">
        <v>122552</v>
      </c>
      <c r="R31" s="2434">
        <v>554.20000000000005</v>
      </c>
      <c r="S31" s="2434">
        <v>380.35</v>
      </c>
      <c r="T31" s="2420">
        <v>297.81</v>
      </c>
      <c r="U31" s="2434">
        <v>210.69</v>
      </c>
      <c r="V31" s="2420">
        <v>352.28</v>
      </c>
      <c r="W31" s="2117"/>
      <c r="X31" s="2119"/>
      <c r="Y31" s="2117"/>
    </row>
    <row r="32" spans="1:27" ht="24" customHeight="1" x14ac:dyDescent="0.3">
      <c r="B32" s="2413">
        <v>4</v>
      </c>
      <c r="C32" s="2112" t="s">
        <v>474</v>
      </c>
      <c r="D32" s="2112" t="s">
        <v>1352</v>
      </c>
      <c r="E32" s="2112" t="s">
        <v>363</v>
      </c>
      <c r="F32" s="2112" t="s">
        <v>1353</v>
      </c>
      <c r="G32" s="2423">
        <v>2010</v>
      </c>
      <c r="H32" s="1973">
        <f>2664.11+1604.44</f>
        <v>4268.55</v>
      </c>
      <c r="I32" s="2426">
        <f>2817.65+1673.8</f>
        <v>4491.45</v>
      </c>
      <c r="J32" s="2426">
        <v>4283.8100000000004</v>
      </c>
      <c r="K32" s="2426">
        <v>4194.5600000000004</v>
      </c>
      <c r="L32" s="2426">
        <v>4063.11</v>
      </c>
      <c r="M32" s="2426">
        <v>433615</v>
      </c>
      <c r="N32" s="2426">
        <v>4036.62</v>
      </c>
      <c r="O32" s="2426">
        <v>395528</v>
      </c>
      <c r="P32" s="2426">
        <v>3761.28</v>
      </c>
      <c r="Q32" s="2426">
        <v>371832</v>
      </c>
      <c r="R32" s="2426">
        <v>3804.47</v>
      </c>
      <c r="S32" s="2426">
        <v>3950.48</v>
      </c>
      <c r="T32" s="2429">
        <v>4041.9</v>
      </c>
      <c r="U32" s="2426">
        <v>4036.6</v>
      </c>
      <c r="V32" s="2429">
        <v>3875.34</v>
      </c>
      <c r="W32" s="2112"/>
      <c r="X32" s="1973"/>
      <c r="Y32" s="2112"/>
    </row>
    <row r="33" spans="2:25" ht="24" customHeight="1" x14ac:dyDescent="0.3">
      <c r="B33" s="2413"/>
      <c r="C33" s="2117" t="s">
        <v>374</v>
      </c>
      <c r="D33" s="2117" t="s">
        <v>1354</v>
      </c>
      <c r="E33" s="2117" t="s">
        <v>453</v>
      </c>
      <c r="F33" s="2117" t="s">
        <v>1355</v>
      </c>
      <c r="G33" s="2430"/>
      <c r="H33" s="2435">
        <v>0.71</v>
      </c>
      <c r="I33" s="2436">
        <v>0.71</v>
      </c>
      <c r="J33" s="2436">
        <v>0.71</v>
      </c>
      <c r="K33" s="2436">
        <v>0.71</v>
      </c>
      <c r="L33" s="2436">
        <v>0.71</v>
      </c>
      <c r="M33" s="2436">
        <v>0.81</v>
      </c>
      <c r="N33" s="2436">
        <v>0.71</v>
      </c>
      <c r="O33" s="2436">
        <v>0.71</v>
      </c>
      <c r="P33" s="2436">
        <v>0.71</v>
      </c>
      <c r="Q33" s="2436">
        <v>0.71</v>
      </c>
      <c r="R33" s="2436">
        <v>0.74</v>
      </c>
      <c r="S33" s="2436">
        <v>0.74</v>
      </c>
      <c r="T33" s="2437">
        <v>0.74</v>
      </c>
      <c r="U33" s="2436">
        <v>0.75</v>
      </c>
      <c r="V33" s="2437">
        <v>0.75</v>
      </c>
      <c r="W33" s="2117"/>
      <c r="X33" s="2119"/>
      <c r="Y33" s="2117"/>
    </row>
    <row r="34" spans="2:25" ht="24" customHeight="1" x14ac:dyDescent="0.3">
      <c r="B34" s="2413"/>
      <c r="C34" s="2112" t="s">
        <v>374</v>
      </c>
      <c r="D34" s="2112" t="s">
        <v>1356</v>
      </c>
      <c r="E34" s="2112" t="s">
        <v>363</v>
      </c>
      <c r="F34" s="2112"/>
      <c r="G34" s="2423"/>
      <c r="H34" s="2424">
        <f>H32*H33</f>
        <v>3030.6705000000002</v>
      </c>
      <c r="I34" s="2425">
        <f>T60</f>
        <v>0</v>
      </c>
      <c r="J34" s="2425">
        <v>2531.87</v>
      </c>
      <c r="K34" s="2425">
        <v>2978.14</v>
      </c>
      <c r="L34" s="2425">
        <v>2884.81</v>
      </c>
      <c r="M34" s="2426">
        <v>351228.15</v>
      </c>
      <c r="N34" s="2426">
        <v>2866</v>
      </c>
      <c r="O34" s="2426">
        <v>280824.88</v>
      </c>
      <c r="P34" s="2426">
        <v>2670.51</v>
      </c>
      <c r="Q34" s="2426">
        <v>264000.71999999997</v>
      </c>
      <c r="R34" s="2426">
        <v>2815.31</v>
      </c>
      <c r="S34" s="2426">
        <v>2923.36</v>
      </c>
      <c r="T34" s="2426">
        <v>2991.01</v>
      </c>
      <c r="U34" s="2426">
        <v>3027.45</v>
      </c>
      <c r="V34" s="2426">
        <v>2906.51</v>
      </c>
      <c r="W34" s="2112"/>
      <c r="X34" s="1973"/>
      <c r="Y34" s="2112"/>
    </row>
    <row r="35" spans="2:25" ht="24" customHeight="1" x14ac:dyDescent="0.3">
      <c r="B35" s="2413"/>
      <c r="C35" s="2117"/>
      <c r="D35" s="2117"/>
      <c r="E35" s="2117"/>
      <c r="F35" s="2117"/>
      <c r="G35" s="2438"/>
      <c r="H35" s="2439"/>
      <c r="I35" s="2117"/>
      <c r="J35" s="2117"/>
      <c r="K35" s="2117"/>
      <c r="L35" s="2117"/>
      <c r="M35" s="2117"/>
      <c r="N35" s="2117"/>
      <c r="O35" s="2117"/>
      <c r="P35" s="2117"/>
      <c r="Q35" s="2117"/>
      <c r="R35" s="2117"/>
      <c r="S35" s="2117"/>
      <c r="T35" s="2119"/>
      <c r="U35" s="2117"/>
      <c r="V35" s="2119"/>
      <c r="W35" s="2117"/>
      <c r="X35" s="2119"/>
      <c r="Y35" s="2117"/>
    </row>
    <row r="36" spans="2:25" ht="24" customHeight="1" x14ac:dyDescent="0.3">
      <c r="B36" s="2440"/>
      <c r="C36" s="2441"/>
      <c r="D36" s="2441"/>
      <c r="E36" s="2441"/>
      <c r="F36" s="2441"/>
      <c r="G36" s="2441"/>
      <c r="H36" s="2441"/>
      <c r="I36" s="2441"/>
      <c r="J36" s="2441"/>
      <c r="K36" s="2441"/>
      <c r="L36" s="2441"/>
      <c r="M36" s="2441"/>
      <c r="N36" s="2441"/>
      <c r="O36" s="2441"/>
      <c r="P36" s="2441"/>
      <c r="Q36" s="2441"/>
      <c r="R36" s="2441"/>
      <c r="S36" s="2441"/>
      <c r="T36" s="2442"/>
      <c r="U36" s="2441"/>
      <c r="V36" s="2442"/>
      <c r="W36" s="2441"/>
      <c r="X36" s="2442"/>
      <c r="Y36" s="2441"/>
    </row>
    <row r="37" spans="2:25" ht="15.75" customHeight="1" x14ac:dyDescent="0.3"/>
    <row r="38" spans="2:25" ht="15.75" customHeight="1" x14ac:dyDescent="0.3">
      <c r="B38" s="1421" t="s">
        <v>355</v>
      </c>
      <c r="C38" s="1422" t="s">
        <v>356</v>
      </c>
    </row>
    <row r="39" spans="2:25" ht="15.75" customHeight="1" x14ac:dyDescent="0.3"/>
    <row r="40" spans="2:25" ht="15.75" customHeight="1" x14ac:dyDescent="0.3">
      <c r="B40" s="4402" t="s">
        <v>357</v>
      </c>
      <c r="C40" s="4403"/>
    </row>
    <row r="41" spans="2:25" ht="15.75" customHeight="1" x14ac:dyDescent="0.3">
      <c r="B41" s="2443" t="s">
        <v>1357</v>
      </c>
      <c r="C41" s="2059" t="s">
        <v>1358</v>
      </c>
      <c r="D41" s="2059"/>
      <c r="E41" s="2128"/>
      <c r="F41" s="2128"/>
    </row>
    <row r="42" spans="2:25" ht="15.75" customHeight="1" x14ac:dyDescent="0.3">
      <c r="B42" s="2443" t="s">
        <v>446</v>
      </c>
      <c r="C42" s="2059" t="s">
        <v>1359</v>
      </c>
      <c r="D42" s="2059"/>
      <c r="E42" s="2059"/>
      <c r="F42" s="2128"/>
    </row>
    <row r="43" spans="2:25" ht="15.75" customHeight="1" x14ac:dyDescent="0.3">
      <c r="B43" s="2443" t="s">
        <v>301</v>
      </c>
      <c r="C43" s="2059" t="s">
        <v>1360</v>
      </c>
      <c r="D43" s="2059"/>
      <c r="E43" s="2059"/>
      <c r="F43" s="2059"/>
    </row>
    <row r="44" spans="2:25" ht="15.75" customHeight="1" x14ac:dyDescent="0.3">
      <c r="B44" s="2443"/>
      <c r="Q44" s="2444"/>
    </row>
    <row r="45" spans="2:25" ht="15.75" customHeight="1" x14ac:dyDescent="0.3"/>
    <row r="46" spans="2:25" ht="15.75" hidden="1" customHeight="1" x14ac:dyDescent="0.3"/>
    <row r="47" spans="2:25" ht="42.75" customHeight="1" x14ac:dyDescent="0.3">
      <c r="M47" s="2445"/>
      <c r="Q47" s="2445"/>
      <c r="R47" s="2445"/>
      <c r="S47" s="2445"/>
      <c r="T47" s="2445"/>
      <c r="U47" s="2446"/>
    </row>
    <row r="48" spans="2:25" ht="15.75" customHeight="1" x14ac:dyDescent="0.3">
      <c r="M48" s="2139"/>
      <c r="Q48" s="2447"/>
      <c r="R48" s="2448"/>
      <c r="S48" s="2448"/>
      <c r="T48" s="2448"/>
      <c r="U48" s="2448"/>
    </row>
    <row r="49" spans="13:21" ht="15.75" customHeight="1" x14ac:dyDescent="0.3">
      <c r="M49" s="2139"/>
      <c r="Q49" s="2447"/>
      <c r="R49" s="2448"/>
      <c r="S49" s="2448"/>
      <c r="T49" s="2448"/>
      <c r="U49" s="2448"/>
    </row>
    <row r="50" spans="13:21" ht="15.75" customHeight="1" x14ac:dyDescent="0.3">
      <c r="M50" s="2139"/>
      <c r="Q50" s="2053"/>
      <c r="R50" s="2448"/>
      <c r="S50" s="2448"/>
      <c r="T50" s="2448"/>
      <c r="U50" s="2448"/>
    </row>
    <row r="51" spans="13:21" ht="15.75" customHeight="1" x14ac:dyDescent="0.3">
      <c r="M51" s="2449"/>
      <c r="Q51" s="2448"/>
      <c r="R51" s="2448"/>
      <c r="S51" s="2448"/>
      <c r="T51" s="2448"/>
      <c r="U51" s="2448"/>
    </row>
    <row r="52" spans="13:21" ht="15.75" customHeight="1" x14ac:dyDescent="0.3">
      <c r="M52" s="2139"/>
      <c r="Q52" s="2448"/>
      <c r="R52" s="2448"/>
      <c r="S52" s="2448"/>
      <c r="T52" s="2448"/>
      <c r="U52" s="2448"/>
    </row>
    <row r="53" spans="13:21" ht="15.75" customHeight="1" x14ac:dyDescent="0.3">
      <c r="M53" s="2139"/>
      <c r="Q53" s="2448"/>
      <c r="R53" s="2448"/>
      <c r="S53" s="2450"/>
      <c r="T53" s="2448"/>
      <c r="U53" s="2448"/>
    </row>
    <row r="54" spans="13:21" ht="15.75" customHeight="1" x14ac:dyDescent="0.3">
      <c r="M54" s="2139"/>
      <c r="Q54" s="2448"/>
      <c r="R54" s="2448"/>
      <c r="S54" s="2448"/>
      <c r="T54" s="2448"/>
      <c r="U54" s="2448"/>
    </row>
    <row r="55" spans="13:21" ht="15.75" customHeight="1" x14ac:dyDescent="0.3">
      <c r="M55" s="2139"/>
      <c r="Q55" s="2448"/>
      <c r="R55" s="2448"/>
      <c r="S55" s="2448"/>
      <c r="T55" s="2448"/>
      <c r="U55" s="2448"/>
    </row>
    <row r="56" spans="13:21" ht="15.75" customHeight="1" x14ac:dyDescent="0.3">
      <c r="M56" s="2139"/>
      <c r="Q56" s="2448"/>
      <c r="R56" s="2448"/>
      <c r="S56" s="2448"/>
      <c r="T56" s="2448"/>
      <c r="U56" s="2448"/>
    </row>
    <row r="57" spans="13:21" ht="15.75" customHeight="1" x14ac:dyDescent="0.3">
      <c r="M57" s="2449"/>
      <c r="Q57" s="2448"/>
      <c r="R57" s="2448"/>
      <c r="S57" s="2448"/>
      <c r="T57" s="2448"/>
      <c r="U57" s="2448"/>
    </row>
    <row r="58" spans="13:21" ht="15.75" customHeight="1" x14ac:dyDescent="0.3">
      <c r="M58" s="2139"/>
      <c r="Q58" s="2053"/>
      <c r="R58" s="2448"/>
      <c r="S58" s="2448"/>
      <c r="T58" s="2448"/>
      <c r="U58" s="2448"/>
    </row>
    <row r="59" spans="13:21" ht="15.75" customHeight="1" x14ac:dyDescent="0.3">
      <c r="M59" s="2139"/>
      <c r="Q59" s="2053"/>
      <c r="R59" s="2448"/>
      <c r="S59" s="2448"/>
      <c r="T59" s="2448"/>
      <c r="U59" s="2448"/>
    </row>
    <row r="60" spans="13:21" ht="15.75" customHeight="1" x14ac:dyDescent="0.3">
      <c r="Q60" s="2449"/>
      <c r="R60" s="2449"/>
      <c r="S60" s="2449"/>
      <c r="T60" s="2449"/>
      <c r="U60" s="2449"/>
    </row>
    <row r="61" spans="13:21" ht="15.75" customHeight="1" x14ac:dyDescent="0.3"/>
    <row r="62" spans="13:21" ht="15.75" customHeight="1" x14ac:dyDescent="0.3"/>
    <row r="63" spans="13:21" ht="15.75" customHeight="1" x14ac:dyDescent="0.3"/>
    <row r="64" spans="13:21"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sheetData>
  <mergeCells count="2">
    <mergeCell ref="B19:C19"/>
    <mergeCell ref="B40:C40"/>
  </mergeCells>
  <conditionalFormatting sqref="S48:S59">
    <cfRule type="expression" dxfId="0" priority="1">
      <formula>S48&gt;=5000</formula>
    </cfRule>
  </conditionalFormatting>
  <pageMargins left="0.70866141732283472" right="0.70866141732283472" top="0.74803149606299213" bottom="0.74803149606299213" header="0" footer="0"/>
  <pageSetup scale="75" orientation="landscape" r:id="rId1"/>
  <headerFooter>
    <oddHeader>&amp;R00-049CONFIDENTIAL</oddHeader>
    <oddFooter>&amp;L00-049v6 - May 2019 Property of Will Solutions Inc.</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D3D9D-1C19-437A-93AB-8B391918A60A}">
  <dimension ref="A1:H986"/>
  <sheetViews>
    <sheetView topLeftCell="B1" workbookViewId="0">
      <selection activeCell="E18" sqref="E18"/>
    </sheetView>
  </sheetViews>
  <sheetFormatPr defaultColWidth="12.44140625" defaultRowHeight="15" customHeight="1" x14ac:dyDescent="0.3"/>
  <cols>
    <col min="1" max="1" width="2.6640625" style="428" customWidth="1"/>
    <col min="2" max="2" width="34" style="428" customWidth="1"/>
    <col min="3" max="5" width="25.88671875" style="428" customWidth="1"/>
    <col min="6" max="6" width="1.5546875" style="428" customWidth="1"/>
    <col min="7" max="7" width="15.21875" style="428" customWidth="1"/>
    <col min="8" max="8" width="11.6640625" style="428" customWidth="1"/>
    <col min="9" max="16384" width="12.44140625" style="428"/>
  </cols>
  <sheetData>
    <row r="1" spans="1:8" ht="21.75" customHeight="1" x14ac:dyDescent="0.35">
      <c r="A1" s="424"/>
      <c r="B1" s="425" t="s">
        <v>549</v>
      </c>
      <c r="F1" s="427"/>
    </row>
    <row r="2" spans="1:8" ht="15.75" customHeight="1" x14ac:dyDescent="0.3">
      <c r="A2" s="424"/>
      <c r="B2" s="429" t="s">
        <v>299</v>
      </c>
      <c r="C2" s="430"/>
      <c r="D2" s="430"/>
      <c r="E2" s="430"/>
      <c r="F2" s="430"/>
      <c r="G2" s="430"/>
    </row>
    <row r="3" spans="1:8" ht="9.75" customHeight="1" x14ac:dyDescent="0.3">
      <c r="A3" s="427"/>
      <c r="F3" s="427"/>
    </row>
    <row r="4" spans="1:8" ht="6" customHeight="1" x14ac:dyDescent="0.3">
      <c r="F4" s="427"/>
    </row>
    <row r="5" spans="1:8" ht="6" customHeight="1" x14ac:dyDescent="0.3">
      <c r="A5" s="431"/>
      <c r="F5" s="427"/>
    </row>
    <row r="6" spans="1:8" ht="15.75" customHeight="1" x14ac:dyDescent="0.3">
      <c r="F6" s="427"/>
    </row>
    <row r="7" spans="1:8" ht="37.200000000000003" customHeight="1" x14ac:dyDescent="0.3">
      <c r="A7" s="432"/>
      <c r="B7" s="433">
        <v>2024</v>
      </c>
      <c r="C7" s="4385" t="s">
        <v>23</v>
      </c>
      <c r="D7" s="4386"/>
      <c r="E7" s="4386"/>
      <c r="F7" s="609"/>
      <c r="G7" s="435" t="s">
        <v>300</v>
      </c>
      <c r="H7" s="432"/>
    </row>
    <row r="8" spans="1:8" ht="18" customHeight="1" x14ac:dyDescent="0.35">
      <c r="B8" s="436" t="s">
        <v>301</v>
      </c>
      <c r="C8" s="437">
        <v>1</v>
      </c>
      <c r="D8" s="649">
        <v>2</v>
      </c>
      <c r="E8" s="572">
        <v>3</v>
      </c>
      <c r="F8" s="610"/>
      <c r="G8" s="438"/>
    </row>
    <row r="9" spans="1:8" ht="46.5" customHeight="1" x14ac:dyDescent="0.3">
      <c r="B9" s="439" t="s">
        <v>302</v>
      </c>
      <c r="C9" s="440" t="s">
        <v>1361</v>
      </c>
      <c r="D9" s="1122" t="s">
        <v>1362</v>
      </c>
      <c r="E9" s="573" t="s">
        <v>1363</v>
      </c>
      <c r="F9" s="611"/>
      <c r="G9" s="442"/>
    </row>
    <row r="10" spans="1:8" ht="46.5" customHeight="1" x14ac:dyDescent="0.3">
      <c r="B10" s="444" t="s">
        <v>304</v>
      </c>
      <c r="C10" s="1123" t="s">
        <v>1364</v>
      </c>
      <c r="D10" s="1125" t="s">
        <v>1337</v>
      </c>
      <c r="E10" s="445" t="s">
        <v>1365</v>
      </c>
      <c r="F10" s="612"/>
      <c r="G10" s="446"/>
    </row>
    <row r="11" spans="1:8" ht="18.75" customHeight="1" x14ac:dyDescent="0.3">
      <c r="A11" s="447"/>
      <c r="B11" s="448" t="s">
        <v>306</v>
      </c>
      <c r="C11" s="2451">
        <f>(C17*C18)</f>
        <v>99.849861539999992</v>
      </c>
      <c r="D11" s="2451">
        <f t="shared" ref="D11:E11" si="0">(D17*D18)</f>
        <v>1294.9627668372082</v>
      </c>
      <c r="E11" s="2451">
        <f t="shared" si="0"/>
        <v>3567.8676163245332</v>
      </c>
      <c r="F11" s="614"/>
      <c r="G11" s="451">
        <f>SUM(C11:E11)</f>
        <v>4962.6802447017417</v>
      </c>
      <c r="H11" s="447"/>
    </row>
    <row r="12" spans="1:8" ht="18.75" customHeight="1" x14ac:dyDescent="0.3">
      <c r="A12" s="447"/>
      <c r="B12" s="453" t="s">
        <v>307</v>
      </c>
      <c r="C12" s="454">
        <f>(C22*C23)</f>
        <v>0</v>
      </c>
      <c r="D12" s="454">
        <f t="shared" ref="D12:E12" si="1">(D22*D23)</f>
        <v>0</v>
      </c>
      <c r="E12" s="454">
        <f t="shared" si="1"/>
        <v>0</v>
      </c>
      <c r="F12" s="614"/>
      <c r="G12" s="456">
        <f>SUM(C12:E12)</f>
        <v>0</v>
      </c>
      <c r="H12" s="447"/>
    </row>
    <row r="13" spans="1:8" ht="18.75" customHeight="1" x14ac:dyDescent="0.3">
      <c r="A13" s="447"/>
      <c r="B13" s="448" t="s">
        <v>308</v>
      </c>
      <c r="C13" s="458" t="s">
        <v>8</v>
      </c>
      <c r="D13" s="654" t="s">
        <v>8</v>
      </c>
      <c r="E13" s="578" t="s">
        <v>8</v>
      </c>
      <c r="F13" s="615"/>
      <c r="G13" s="460"/>
      <c r="H13" s="447"/>
    </row>
    <row r="14" spans="1:8" ht="18.75" customHeight="1" x14ac:dyDescent="0.3">
      <c r="A14" s="447"/>
      <c r="B14" s="462" t="s">
        <v>309</v>
      </c>
      <c r="C14" s="463">
        <f t="shared" ref="C14:E14" si="2">C11-C12</f>
        <v>99.849861539999992</v>
      </c>
      <c r="D14" s="655">
        <f t="shared" si="2"/>
        <v>1294.9627668372082</v>
      </c>
      <c r="E14" s="579">
        <f t="shared" si="2"/>
        <v>3567.8676163245332</v>
      </c>
      <c r="F14" s="614"/>
      <c r="G14" s="464">
        <f>SUM(C14:E14)</f>
        <v>4962.6802447017417</v>
      </c>
      <c r="H14" s="447"/>
    </row>
    <row r="15" spans="1:8" ht="19.5" customHeight="1" x14ac:dyDescent="0.4">
      <c r="B15" s="616" t="s">
        <v>395</v>
      </c>
      <c r="C15" s="2452"/>
      <c r="D15" s="659"/>
      <c r="E15" s="617"/>
      <c r="F15" s="618"/>
      <c r="G15" s="468"/>
      <c r="H15" s="427"/>
    </row>
    <row r="16" spans="1:8" ht="35.4" customHeight="1" x14ac:dyDescent="0.3">
      <c r="A16" s="447"/>
      <c r="B16" s="469" t="s">
        <v>311</v>
      </c>
      <c r="C16" s="2453" t="s">
        <v>496</v>
      </c>
      <c r="D16" s="2453" t="s">
        <v>496</v>
      </c>
      <c r="E16" s="2453" t="s">
        <v>496</v>
      </c>
      <c r="F16" s="619"/>
      <c r="G16" s="620"/>
      <c r="H16" s="447"/>
    </row>
    <row r="17" spans="1:8" ht="21" customHeight="1" x14ac:dyDescent="0.3">
      <c r="A17" s="447"/>
      <c r="B17" s="472" t="s">
        <v>398</v>
      </c>
      <c r="C17" s="1138">
        <f>'CF-1507|GDS'!I13</f>
        <v>47.890999999999998</v>
      </c>
      <c r="D17" s="1994">
        <f>'CF-1507|GDS'!I17</f>
        <v>1797.9</v>
      </c>
      <c r="E17" s="621">
        <f>'CF-1507|GDS'!I16</f>
        <v>909.29700000000003</v>
      </c>
      <c r="F17" s="622"/>
      <c r="G17" s="623"/>
      <c r="H17" s="447"/>
    </row>
    <row r="18" spans="1:8" ht="18.75" customHeight="1" x14ac:dyDescent="0.3">
      <c r="A18" s="447"/>
      <c r="B18" s="476" t="s">
        <v>314</v>
      </c>
      <c r="C18" s="477">
        <v>2.08494</v>
      </c>
      <c r="D18" s="1141">
        <v>0.7202640674326759</v>
      </c>
      <c r="E18" s="584">
        <v>3.9237648604631192</v>
      </c>
      <c r="F18" s="614"/>
      <c r="G18" s="491"/>
      <c r="H18" s="447"/>
    </row>
    <row r="19" spans="1:8" ht="19.5" customHeight="1" x14ac:dyDescent="0.3">
      <c r="A19" s="447"/>
      <c r="B19" s="480" t="s">
        <v>315</v>
      </c>
      <c r="C19" s="481">
        <f>C17*C18</f>
        <v>99.849861539999992</v>
      </c>
      <c r="D19" s="664">
        <f>D17*D18</f>
        <v>1294.9627668372082</v>
      </c>
      <c r="E19" s="585">
        <f>E17*E18</f>
        <v>3567.8676163245332</v>
      </c>
      <c r="F19" s="614"/>
      <c r="G19" s="494"/>
      <c r="H19" s="647"/>
    </row>
    <row r="20" spans="1:8" ht="21" customHeight="1" x14ac:dyDescent="0.4">
      <c r="B20" s="465" t="s">
        <v>316</v>
      </c>
      <c r="C20" s="482"/>
      <c r="D20" s="665"/>
      <c r="E20" s="587"/>
      <c r="F20" s="618"/>
      <c r="G20" s="495"/>
    </row>
    <row r="21" spans="1:8" ht="32.4" customHeight="1" x14ac:dyDescent="0.3">
      <c r="A21" s="447"/>
      <c r="B21" s="469" t="s">
        <v>183</v>
      </c>
      <c r="C21" s="470" t="s">
        <v>727</v>
      </c>
      <c r="D21" s="1137" t="s">
        <v>727</v>
      </c>
      <c r="E21" s="601" t="s">
        <v>727</v>
      </c>
      <c r="F21" s="614"/>
      <c r="G21" s="496"/>
      <c r="H21" s="447"/>
    </row>
    <row r="22" spans="1:8" ht="21" customHeight="1" x14ac:dyDescent="0.3">
      <c r="A22" s="447"/>
      <c r="B22" s="486" t="s">
        <v>398</v>
      </c>
      <c r="C22" s="487">
        <f>C17</f>
        <v>47.890999999999998</v>
      </c>
      <c r="D22" s="666">
        <f>D17</f>
        <v>1797.9</v>
      </c>
      <c r="E22" s="589">
        <f>E17</f>
        <v>909.29700000000003</v>
      </c>
      <c r="F22" s="622"/>
      <c r="G22" s="623"/>
      <c r="H22" s="447"/>
    </row>
    <row r="23" spans="1:8" ht="21" customHeight="1" x14ac:dyDescent="0.3">
      <c r="A23" s="447"/>
      <c r="B23" s="489" t="s">
        <v>314</v>
      </c>
      <c r="C23" s="490">
        <v>0</v>
      </c>
      <c r="D23" s="1148">
        <v>0</v>
      </c>
      <c r="E23" s="590">
        <v>0</v>
      </c>
      <c r="F23" s="614"/>
      <c r="G23" s="491"/>
      <c r="H23" s="447"/>
    </row>
    <row r="24" spans="1:8" ht="21" customHeight="1" x14ac:dyDescent="0.3">
      <c r="A24" s="447"/>
      <c r="B24" s="492" t="s">
        <v>315</v>
      </c>
      <c r="C24" s="493">
        <f t="shared" ref="C24:E24" si="3">C22*C23</f>
        <v>0</v>
      </c>
      <c r="D24" s="591">
        <f t="shared" si="3"/>
        <v>0</v>
      </c>
      <c r="E24" s="624">
        <f t="shared" si="3"/>
        <v>0</v>
      </c>
      <c r="F24" s="614"/>
      <c r="G24" s="494"/>
      <c r="H24" s="447"/>
    </row>
    <row r="25" spans="1:8" ht="28.5" customHeight="1" x14ac:dyDescent="0.3">
      <c r="A25" s="447"/>
      <c r="B25" s="498" t="s">
        <v>320</v>
      </c>
      <c r="C25" s="1150" t="s">
        <v>610</v>
      </c>
      <c r="D25" s="1152" t="s">
        <v>401</v>
      </c>
      <c r="E25" s="626" t="s">
        <v>401</v>
      </c>
      <c r="F25" s="614"/>
      <c r="G25" s="496"/>
      <c r="H25" s="447"/>
    </row>
    <row r="26" spans="1:8" ht="24" customHeight="1" x14ac:dyDescent="0.3">
      <c r="B26" s="502" t="s">
        <v>322</v>
      </c>
      <c r="C26" s="509">
        <v>13</v>
      </c>
      <c r="D26" s="674">
        <v>13</v>
      </c>
      <c r="E26" s="596">
        <v>13</v>
      </c>
      <c r="F26" s="618"/>
      <c r="G26" s="495"/>
    </row>
    <row r="27" spans="1:8" ht="33" customHeight="1" x14ac:dyDescent="0.3">
      <c r="A27" s="447"/>
      <c r="B27" s="506" t="s">
        <v>323</v>
      </c>
      <c r="C27" s="507" t="s">
        <v>324</v>
      </c>
      <c r="D27" s="496" t="s">
        <v>324</v>
      </c>
      <c r="E27" s="595" t="s">
        <v>324</v>
      </c>
      <c r="F27" s="614"/>
      <c r="G27" s="496"/>
      <c r="H27" s="447"/>
    </row>
    <row r="28" spans="1:8" ht="33" customHeight="1" x14ac:dyDescent="0.3">
      <c r="A28" s="447"/>
      <c r="B28" s="508" t="s">
        <v>325</v>
      </c>
      <c r="C28" s="509" t="s">
        <v>326</v>
      </c>
      <c r="D28" s="674" t="s">
        <v>326</v>
      </c>
      <c r="E28" s="627" t="s">
        <v>326</v>
      </c>
      <c r="F28" s="614"/>
      <c r="G28" s="496"/>
      <c r="H28" s="447"/>
    </row>
    <row r="29" spans="1:8" ht="33" customHeight="1" x14ac:dyDescent="0.3">
      <c r="A29" s="447"/>
      <c r="B29" s="506" t="s">
        <v>327</v>
      </c>
      <c r="C29" s="507" t="s">
        <v>402</v>
      </c>
      <c r="D29" s="1156" t="s">
        <v>402</v>
      </c>
      <c r="E29" s="595" t="s">
        <v>402</v>
      </c>
      <c r="F29" s="614"/>
      <c r="G29" s="496"/>
      <c r="H29" s="447"/>
    </row>
    <row r="30" spans="1:8" ht="21" customHeight="1" x14ac:dyDescent="0.3">
      <c r="B30" s="510" t="s">
        <v>329</v>
      </c>
      <c r="C30" s="509">
        <v>1</v>
      </c>
      <c r="D30" s="1154">
        <v>1</v>
      </c>
      <c r="E30" s="596">
        <v>1</v>
      </c>
      <c r="F30" s="618"/>
      <c r="G30" s="467"/>
    </row>
    <row r="31" spans="1:8" ht="21" customHeight="1" x14ac:dyDescent="0.3">
      <c r="B31" s="453" t="s">
        <v>330</v>
      </c>
      <c r="C31" s="507" t="s">
        <v>324</v>
      </c>
      <c r="D31" s="496" t="s">
        <v>324</v>
      </c>
      <c r="E31" s="595" t="s">
        <v>324</v>
      </c>
      <c r="F31" s="618"/>
      <c r="G31" s="495"/>
    </row>
    <row r="32" spans="1:8" ht="21" customHeight="1" x14ac:dyDescent="0.3">
      <c r="B32" s="510" t="s">
        <v>331</v>
      </c>
      <c r="C32" s="509" t="s">
        <v>324</v>
      </c>
      <c r="D32" s="674" t="s">
        <v>324</v>
      </c>
      <c r="E32" s="596" t="s">
        <v>324</v>
      </c>
      <c r="F32" s="618"/>
      <c r="G32" s="495"/>
    </row>
    <row r="33" spans="2:7" ht="21" customHeight="1" x14ac:dyDescent="0.3">
      <c r="B33" s="462" t="s">
        <v>332</v>
      </c>
      <c r="C33" s="511" t="s">
        <v>333</v>
      </c>
      <c r="D33" s="676" t="s">
        <v>333</v>
      </c>
      <c r="E33" s="555" t="s">
        <v>333</v>
      </c>
      <c r="F33" s="618"/>
      <c r="G33" s="495"/>
    </row>
    <row r="34" spans="2:7" ht="15.75" customHeight="1" x14ac:dyDescent="0.3">
      <c r="B34" s="427"/>
      <c r="F34" s="427"/>
      <c r="G34" s="427"/>
    </row>
    <row r="35" spans="2:7" ht="15.75" customHeight="1" x14ac:dyDescent="0.3">
      <c r="F35" s="427"/>
      <c r="G35" s="427"/>
    </row>
    <row r="36" spans="2:7" ht="15.75" customHeight="1" x14ac:dyDescent="0.3">
      <c r="F36" s="427"/>
      <c r="G36" s="427"/>
    </row>
    <row r="37" spans="2:7" ht="15.75" customHeight="1" x14ac:dyDescent="0.3">
      <c r="F37" s="427"/>
      <c r="G37" s="427"/>
    </row>
    <row r="38" spans="2:7" ht="15.75" customHeight="1" x14ac:dyDescent="0.3">
      <c r="F38" s="427"/>
      <c r="G38" s="427"/>
    </row>
    <row r="39" spans="2:7" ht="15.75" customHeight="1" x14ac:dyDescent="0.3">
      <c r="F39" s="427"/>
      <c r="G39" s="427"/>
    </row>
    <row r="40" spans="2:7" ht="15.75" customHeight="1" x14ac:dyDescent="0.3">
      <c r="F40" s="427"/>
      <c r="G40" s="427"/>
    </row>
    <row r="41" spans="2:7" ht="15.75" customHeight="1" x14ac:dyDescent="0.3">
      <c r="F41" s="427"/>
      <c r="G41" s="427"/>
    </row>
    <row r="42" spans="2:7" ht="15.75" customHeight="1" x14ac:dyDescent="0.3">
      <c r="F42" s="427"/>
      <c r="G42" s="427"/>
    </row>
    <row r="43" spans="2:7" ht="15.75" customHeight="1" x14ac:dyDescent="0.3">
      <c r="F43" s="427"/>
      <c r="G43" s="427"/>
    </row>
    <row r="44" spans="2:7" ht="15.75" customHeight="1" x14ac:dyDescent="0.3">
      <c r="F44" s="427"/>
    </row>
    <row r="45" spans="2:7" ht="15.75" customHeight="1" x14ac:dyDescent="0.3">
      <c r="F45" s="427"/>
    </row>
    <row r="46" spans="2:7" ht="15.75" customHeight="1" x14ac:dyDescent="0.3">
      <c r="F46" s="427"/>
    </row>
    <row r="47" spans="2:7" ht="15.75" customHeight="1" x14ac:dyDescent="0.3">
      <c r="F47" s="427"/>
    </row>
    <row r="48" spans="2:7" ht="15.75" customHeight="1" x14ac:dyDescent="0.3">
      <c r="F48" s="427"/>
    </row>
    <row r="49" spans="6:6" ht="15.75" customHeight="1" x14ac:dyDescent="0.3">
      <c r="F49" s="427"/>
    </row>
    <row r="50" spans="6:6" ht="15.75" customHeight="1" x14ac:dyDescent="0.3">
      <c r="F50" s="427"/>
    </row>
    <row r="51" spans="6:6" ht="15.75" customHeight="1" x14ac:dyDescent="0.3">
      <c r="F51" s="427"/>
    </row>
    <row r="52" spans="6:6" ht="15.75" customHeight="1" x14ac:dyDescent="0.3">
      <c r="F52" s="427"/>
    </row>
    <row r="53" spans="6:6" ht="15.75" customHeight="1" x14ac:dyDescent="0.3">
      <c r="F53" s="427"/>
    </row>
    <row r="54" spans="6:6" ht="15.75" customHeight="1" x14ac:dyDescent="0.3">
      <c r="F54" s="427"/>
    </row>
    <row r="55" spans="6:6" ht="15.75" customHeight="1" x14ac:dyDescent="0.3">
      <c r="F55" s="427"/>
    </row>
    <row r="56" spans="6:6" ht="15.75" customHeight="1" x14ac:dyDescent="0.3">
      <c r="F56" s="427"/>
    </row>
    <row r="57" spans="6:6" ht="15.75" customHeight="1" x14ac:dyDescent="0.3">
      <c r="F57" s="427"/>
    </row>
    <row r="58" spans="6:6" ht="15.75" customHeight="1" x14ac:dyDescent="0.3">
      <c r="F58" s="427"/>
    </row>
    <row r="59" spans="6:6" ht="15.75" customHeight="1" x14ac:dyDescent="0.3">
      <c r="F59" s="427"/>
    </row>
    <row r="60" spans="6:6" ht="15.75" customHeight="1" x14ac:dyDescent="0.3">
      <c r="F60" s="427"/>
    </row>
    <row r="61" spans="6:6" ht="15.75" customHeight="1" x14ac:dyDescent="0.3">
      <c r="F61" s="427"/>
    </row>
    <row r="62" spans="6:6" ht="15.75" customHeight="1" x14ac:dyDescent="0.3">
      <c r="F62" s="427"/>
    </row>
    <row r="63" spans="6:6" ht="15.75" customHeight="1" x14ac:dyDescent="0.3">
      <c r="F63" s="427"/>
    </row>
    <row r="64" spans="6:6" ht="15.75" customHeight="1" x14ac:dyDescent="0.3">
      <c r="F64" s="427"/>
    </row>
    <row r="65" spans="6:6" ht="15.75" customHeight="1" x14ac:dyDescent="0.3">
      <c r="F65" s="427"/>
    </row>
    <row r="66" spans="6:6" ht="15.75" customHeight="1" x14ac:dyDescent="0.3">
      <c r="F66" s="427"/>
    </row>
    <row r="67" spans="6:6" ht="15.75" customHeight="1" x14ac:dyDescent="0.3">
      <c r="F67" s="427"/>
    </row>
    <row r="68" spans="6:6" ht="15.75" customHeight="1" x14ac:dyDescent="0.3">
      <c r="F68" s="427"/>
    </row>
    <row r="69" spans="6:6" ht="15.75" customHeight="1" x14ac:dyDescent="0.3">
      <c r="F69" s="427"/>
    </row>
    <row r="70" spans="6:6" ht="15.75" customHeight="1" x14ac:dyDescent="0.3">
      <c r="F70" s="427"/>
    </row>
    <row r="71" spans="6:6" ht="15.75" customHeight="1" x14ac:dyDescent="0.3">
      <c r="F71" s="427"/>
    </row>
    <row r="72" spans="6:6" ht="15.75" customHeight="1" x14ac:dyDescent="0.3">
      <c r="F72" s="427"/>
    </row>
    <row r="73" spans="6:6" ht="15.75" customHeight="1" x14ac:dyDescent="0.3">
      <c r="F73" s="427"/>
    </row>
    <row r="74" spans="6:6" ht="15.75" customHeight="1" x14ac:dyDescent="0.3">
      <c r="F74" s="427"/>
    </row>
    <row r="75" spans="6:6" ht="15.75" customHeight="1" x14ac:dyDescent="0.3">
      <c r="F75" s="427"/>
    </row>
    <row r="76" spans="6:6" ht="15.75" customHeight="1" x14ac:dyDescent="0.3">
      <c r="F76" s="427"/>
    </row>
    <row r="77" spans="6:6" ht="15.75" customHeight="1" x14ac:dyDescent="0.3">
      <c r="F77" s="427"/>
    </row>
    <row r="78" spans="6:6" ht="15.75" customHeight="1" x14ac:dyDescent="0.3">
      <c r="F78" s="427"/>
    </row>
    <row r="79" spans="6:6" ht="15.75" customHeight="1" x14ac:dyDescent="0.3">
      <c r="F79" s="427"/>
    </row>
    <row r="80" spans="6:6" ht="15.75" customHeight="1" x14ac:dyDescent="0.3">
      <c r="F80" s="427"/>
    </row>
    <row r="81" spans="6:6" ht="15.75" customHeight="1" x14ac:dyDescent="0.3">
      <c r="F81" s="427"/>
    </row>
    <row r="82" spans="6:6" ht="15.75" customHeight="1" x14ac:dyDescent="0.3">
      <c r="F82" s="427"/>
    </row>
    <row r="83" spans="6:6" ht="15.75" customHeight="1" x14ac:dyDescent="0.3">
      <c r="F83" s="427"/>
    </row>
    <row r="84" spans="6:6" ht="15.75" customHeight="1" x14ac:dyDescent="0.3">
      <c r="F84" s="427"/>
    </row>
    <row r="85" spans="6:6" ht="15.75" customHeight="1" x14ac:dyDescent="0.3">
      <c r="F85" s="427"/>
    </row>
    <row r="86" spans="6:6" ht="15.75" customHeight="1" x14ac:dyDescent="0.3">
      <c r="F86" s="427"/>
    </row>
    <row r="87" spans="6:6" ht="15.75" customHeight="1" x14ac:dyDescent="0.3">
      <c r="F87" s="427"/>
    </row>
    <row r="88" spans="6:6" ht="15.75" customHeight="1" x14ac:dyDescent="0.3">
      <c r="F88" s="427"/>
    </row>
    <row r="89" spans="6:6" ht="15.75" customHeight="1" x14ac:dyDescent="0.3">
      <c r="F89" s="427"/>
    </row>
    <row r="90" spans="6:6" ht="15.75" customHeight="1" x14ac:dyDescent="0.3">
      <c r="F90" s="427"/>
    </row>
    <row r="91" spans="6:6" ht="15.75" customHeight="1" x14ac:dyDescent="0.3">
      <c r="F91" s="427"/>
    </row>
    <row r="92" spans="6:6" ht="15.75" customHeight="1" x14ac:dyDescent="0.3">
      <c r="F92" s="427"/>
    </row>
    <row r="93" spans="6:6" ht="15.75" customHeight="1" x14ac:dyDescent="0.3">
      <c r="F93" s="427"/>
    </row>
    <row r="94" spans="6:6" ht="15.75" customHeight="1" x14ac:dyDescent="0.3">
      <c r="F94" s="427"/>
    </row>
    <row r="95" spans="6:6" ht="15.75" customHeight="1" x14ac:dyDescent="0.3">
      <c r="F95" s="427"/>
    </row>
    <row r="96" spans="6:6" ht="15.75" customHeight="1" x14ac:dyDescent="0.3">
      <c r="F96" s="427"/>
    </row>
    <row r="97" spans="6:6" ht="15.75" customHeight="1" x14ac:dyDescent="0.3">
      <c r="F97" s="427"/>
    </row>
    <row r="98" spans="6:6" ht="15.75" customHeight="1" x14ac:dyDescent="0.3">
      <c r="F98" s="427"/>
    </row>
    <row r="99" spans="6:6" ht="15.75" customHeight="1" x14ac:dyDescent="0.3">
      <c r="F99" s="427"/>
    </row>
    <row r="100" spans="6:6" ht="15.75" customHeight="1" x14ac:dyDescent="0.3">
      <c r="F100" s="427"/>
    </row>
    <row r="101" spans="6:6" ht="15.75" customHeight="1" x14ac:dyDescent="0.3">
      <c r="F101" s="427"/>
    </row>
    <row r="102" spans="6:6" ht="15.75" customHeight="1" x14ac:dyDescent="0.3">
      <c r="F102" s="427"/>
    </row>
    <row r="103" spans="6:6" ht="15.75" customHeight="1" x14ac:dyDescent="0.3">
      <c r="F103" s="427"/>
    </row>
    <row r="104" spans="6:6" ht="15.75" customHeight="1" x14ac:dyDescent="0.3">
      <c r="F104" s="427"/>
    </row>
    <row r="105" spans="6:6" ht="15.75" customHeight="1" x14ac:dyDescent="0.3">
      <c r="F105" s="427"/>
    </row>
    <row r="106" spans="6:6" ht="15.75" customHeight="1" x14ac:dyDescent="0.3">
      <c r="F106" s="427"/>
    </row>
    <row r="107" spans="6:6" ht="15.75" customHeight="1" x14ac:dyDescent="0.3">
      <c r="F107" s="427"/>
    </row>
    <row r="108" spans="6:6" ht="15.75" customHeight="1" x14ac:dyDescent="0.3">
      <c r="F108" s="427"/>
    </row>
    <row r="109" spans="6:6" ht="15.75" customHeight="1" x14ac:dyDescent="0.3">
      <c r="F109" s="427"/>
    </row>
    <row r="110" spans="6:6" ht="15.75" customHeight="1" x14ac:dyDescent="0.3">
      <c r="F110" s="427"/>
    </row>
    <row r="111" spans="6:6" ht="15.75" customHeight="1" x14ac:dyDescent="0.3">
      <c r="F111" s="427"/>
    </row>
    <row r="112" spans="6:6" ht="15.75" customHeight="1" x14ac:dyDescent="0.3">
      <c r="F112" s="427"/>
    </row>
    <row r="113" spans="6:6" ht="15.75" customHeight="1" x14ac:dyDescent="0.3">
      <c r="F113" s="427"/>
    </row>
    <row r="114" spans="6:6" ht="15.75" customHeight="1" x14ac:dyDescent="0.3">
      <c r="F114" s="427"/>
    </row>
    <row r="115" spans="6:6" ht="15.75" customHeight="1" x14ac:dyDescent="0.3">
      <c r="F115" s="427"/>
    </row>
    <row r="116" spans="6:6" ht="15.75" customHeight="1" x14ac:dyDescent="0.3">
      <c r="F116" s="427"/>
    </row>
    <row r="117" spans="6:6" ht="15.75" customHeight="1" x14ac:dyDescent="0.3">
      <c r="F117" s="427"/>
    </row>
    <row r="118" spans="6:6" ht="15.75" customHeight="1" x14ac:dyDescent="0.3">
      <c r="F118" s="427"/>
    </row>
    <row r="119" spans="6:6" ht="15.75" customHeight="1" x14ac:dyDescent="0.3">
      <c r="F119" s="427"/>
    </row>
    <row r="120" spans="6:6" ht="15.75" customHeight="1" x14ac:dyDescent="0.3">
      <c r="F120" s="427"/>
    </row>
    <row r="121" spans="6:6" ht="15.75" customHeight="1" x14ac:dyDescent="0.3">
      <c r="F121" s="427"/>
    </row>
    <row r="122" spans="6:6" ht="15.75" customHeight="1" x14ac:dyDescent="0.3">
      <c r="F122" s="427"/>
    </row>
    <row r="123" spans="6:6" ht="15.75" customHeight="1" x14ac:dyDescent="0.3">
      <c r="F123" s="427"/>
    </row>
    <row r="124" spans="6:6" ht="15.75" customHeight="1" x14ac:dyDescent="0.3">
      <c r="F124" s="427"/>
    </row>
    <row r="125" spans="6:6" ht="15.75" customHeight="1" x14ac:dyDescent="0.3">
      <c r="F125" s="427"/>
    </row>
    <row r="126" spans="6:6" ht="15.75" customHeight="1" x14ac:dyDescent="0.3">
      <c r="F126" s="427"/>
    </row>
    <row r="127" spans="6:6" ht="15.75" customHeight="1" x14ac:dyDescent="0.3">
      <c r="F127" s="427"/>
    </row>
    <row r="128" spans="6:6" ht="15.75" customHeight="1" x14ac:dyDescent="0.3">
      <c r="F128" s="427"/>
    </row>
    <row r="129" spans="6:6" ht="15.75" customHeight="1" x14ac:dyDescent="0.3">
      <c r="F129" s="427"/>
    </row>
    <row r="130" spans="6:6" ht="15.75" customHeight="1" x14ac:dyDescent="0.3">
      <c r="F130" s="427"/>
    </row>
    <row r="131" spans="6:6" ht="15.75" customHeight="1" x14ac:dyDescent="0.3">
      <c r="F131" s="427"/>
    </row>
    <row r="132" spans="6:6" ht="15.75" customHeight="1" x14ac:dyDescent="0.3">
      <c r="F132" s="427"/>
    </row>
    <row r="133" spans="6:6" ht="15.75" customHeight="1" x14ac:dyDescent="0.3">
      <c r="F133" s="427"/>
    </row>
    <row r="134" spans="6:6" ht="15.75" customHeight="1" x14ac:dyDescent="0.3">
      <c r="F134" s="427"/>
    </row>
    <row r="135" spans="6:6" ht="15.75" customHeight="1" x14ac:dyDescent="0.3">
      <c r="F135" s="427"/>
    </row>
    <row r="136" spans="6:6" ht="15.75" customHeight="1" x14ac:dyDescent="0.3">
      <c r="F136" s="427"/>
    </row>
    <row r="137" spans="6:6" ht="15.75" customHeight="1" x14ac:dyDescent="0.3">
      <c r="F137" s="427"/>
    </row>
    <row r="138" spans="6:6" ht="15.75" customHeight="1" x14ac:dyDescent="0.3">
      <c r="F138" s="427"/>
    </row>
    <row r="139" spans="6:6" ht="15.75" customHeight="1" x14ac:dyDescent="0.3">
      <c r="F139" s="427"/>
    </row>
    <row r="140" spans="6:6" ht="15.75" customHeight="1" x14ac:dyDescent="0.3">
      <c r="F140" s="427"/>
    </row>
    <row r="141" spans="6:6" ht="15.75" customHeight="1" x14ac:dyDescent="0.3">
      <c r="F141" s="427"/>
    </row>
    <row r="142" spans="6:6" ht="15.75" customHeight="1" x14ac:dyDescent="0.3">
      <c r="F142" s="427"/>
    </row>
    <row r="143" spans="6:6" ht="15.75" customHeight="1" x14ac:dyDescent="0.3">
      <c r="F143" s="427"/>
    </row>
    <row r="144" spans="6:6" ht="15.75" customHeight="1" x14ac:dyDescent="0.3">
      <c r="F144" s="427"/>
    </row>
    <row r="145" spans="6:6" ht="15.75" customHeight="1" x14ac:dyDescent="0.3">
      <c r="F145" s="427"/>
    </row>
    <row r="146" spans="6:6" ht="15.75" customHeight="1" x14ac:dyDescent="0.3">
      <c r="F146" s="427"/>
    </row>
    <row r="147" spans="6:6" ht="15.75" customHeight="1" x14ac:dyDescent="0.3">
      <c r="F147" s="427"/>
    </row>
    <row r="148" spans="6:6" ht="15.75" customHeight="1" x14ac:dyDescent="0.3">
      <c r="F148" s="427"/>
    </row>
    <row r="149" spans="6:6" ht="15.75" customHeight="1" x14ac:dyDescent="0.3">
      <c r="F149" s="427"/>
    </row>
    <row r="150" spans="6:6" ht="15.75" customHeight="1" x14ac:dyDescent="0.3">
      <c r="F150" s="427"/>
    </row>
    <row r="151" spans="6:6" ht="15.75" customHeight="1" x14ac:dyDescent="0.3">
      <c r="F151" s="427"/>
    </row>
    <row r="152" spans="6:6" ht="15.75" customHeight="1" x14ac:dyDescent="0.3">
      <c r="F152" s="427"/>
    </row>
    <row r="153" spans="6:6" ht="15.75" customHeight="1" x14ac:dyDescent="0.3">
      <c r="F153" s="427"/>
    </row>
    <row r="154" spans="6:6" ht="15.75" customHeight="1" x14ac:dyDescent="0.3">
      <c r="F154" s="427"/>
    </row>
    <row r="155" spans="6:6" ht="15.75" customHeight="1" x14ac:dyDescent="0.3">
      <c r="F155" s="427"/>
    </row>
    <row r="156" spans="6:6" ht="15.75" customHeight="1" x14ac:dyDescent="0.3">
      <c r="F156" s="427"/>
    </row>
    <row r="157" spans="6:6" ht="15.75" customHeight="1" x14ac:dyDescent="0.3">
      <c r="F157" s="427"/>
    </row>
    <row r="158" spans="6:6" ht="15.75" customHeight="1" x14ac:dyDescent="0.3">
      <c r="F158" s="427"/>
    </row>
    <row r="159" spans="6:6" ht="15.75" customHeight="1" x14ac:dyDescent="0.3">
      <c r="F159" s="427"/>
    </row>
    <row r="160" spans="6:6" ht="15.75" customHeight="1" x14ac:dyDescent="0.3">
      <c r="F160" s="427"/>
    </row>
    <row r="161" spans="6:6" ht="15.75" customHeight="1" x14ac:dyDescent="0.3">
      <c r="F161" s="427"/>
    </row>
    <row r="162" spans="6:6" ht="15.75" customHeight="1" x14ac:dyDescent="0.3">
      <c r="F162" s="427"/>
    </row>
    <row r="163" spans="6:6" ht="15.75" customHeight="1" x14ac:dyDescent="0.3">
      <c r="F163" s="427"/>
    </row>
    <row r="164" spans="6:6" ht="15.75" customHeight="1" x14ac:dyDescent="0.3">
      <c r="F164" s="427"/>
    </row>
    <row r="165" spans="6:6" ht="15.75" customHeight="1" x14ac:dyDescent="0.3">
      <c r="F165" s="427"/>
    </row>
    <row r="166" spans="6:6" ht="15.75" customHeight="1" x14ac:dyDescent="0.3">
      <c r="F166" s="427"/>
    </row>
    <row r="167" spans="6:6" ht="15.75" customHeight="1" x14ac:dyDescent="0.3">
      <c r="F167" s="427"/>
    </row>
    <row r="168" spans="6:6" ht="15.75" customHeight="1" x14ac:dyDescent="0.3">
      <c r="F168" s="427"/>
    </row>
    <row r="169" spans="6:6" ht="15.75" customHeight="1" x14ac:dyDescent="0.3">
      <c r="F169" s="427"/>
    </row>
    <row r="170" spans="6:6" ht="15.75" customHeight="1" x14ac:dyDescent="0.3">
      <c r="F170" s="427"/>
    </row>
    <row r="171" spans="6:6" ht="15.75" customHeight="1" x14ac:dyDescent="0.3">
      <c r="F171" s="427"/>
    </row>
    <row r="172" spans="6:6" ht="15.75" customHeight="1" x14ac:dyDescent="0.3">
      <c r="F172" s="427"/>
    </row>
    <row r="173" spans="6:6" ht="15.75" customHeight="1" x14ac:dyDescent="0.3">
      <c r="F173" s="427"/>
    </row>
    <row r="174" spans="6:6" ht="15.75" customHeight="1" x14ac:dyDescent="0.3">
      <c r="F174" s="427"/>
    </row>
    <row r="175" spans="6:6" ht="15.75" customHeight="1" x14ac:dyDescent="0.3">
      <c r="F175" s="427"/>
    </row>
    <row r="176" spans="6:6" ht="15.75" customHeight="1" x14ac:dyDescent="0.3">
      <c r="F176" s="427"/>
    </row>
    <row r="177" spans="6:6" ht="15.75" customHeight="1" x14ac:dyDescent="0.3">
      <c r="F177" s="427"/>
    </row>
    <row r="178" spans="6:6" ht="15.75" customHeight="1" x14ac:dyDescent="0.3">
      <c r="F178" s="427"/>
    </row>
    <row r="179" spans="6:6" ht="15.75" customHeight="1" x14ac:dyDescent="0.3">
      <c r="F179" s="427"/>
    </row>
    <row r="180" spans="6:6" ht="15.75" customHeight="1" x14ac:dyDescent="0.3">
      <c r="F180" s="427"/>
    </row>
    <row r="181" spans="6:6" ht="15.75" customHeight="1" x14ac:dyDescent="0.3">
      <c r="F181" s="427"/>
    </row>
    <row r="182" spans="6:6" ht="15.75" customHeight="1" x14ac:dyDescent="0.3">
      <c r="F182" s="427"/>
    </row>
    <row r="183" spans="6:6" ht="15.75" customHeight="1" x14ac:dyDescent="0.3">
      <c r="F183" s="427"/>
    </row>
    <row r="184" spans="6:6" ht="15.75" customHeight="1" x14ac:dyDescent="0.3">
      <c r="F184" s="427"/>
    </row>
    <row r="185" spans="6:6" ht="15.75" customHeight="1" x14ac:dyDescent="0.3">
      <c r="F185" s="427"/>
    </row>
    <row r="186" spans="6:6" ht="15.75" customHeight="1" x14ac:dyDescent="0.3">
      <c r="F186" s="427"/>
    </row>
    <row r="187" spans="6:6" ht="15.75" customHeight="1" x14ac:dyDescent="0.3">
      <c r="F187" s="427"/>
    </row>
    <row r="188" spans="6:6" ht="15.75" customHeight="1" x14ac:dyDescent="0.3">
      <c r="F188" s="427"/>
    </row>
    <row r="189" spans="6:6" ht="15.75" customHeight="1" x14ac:dyDescent="0.3">
      <c r="F189" s="427"/>
    </row>
    <row r="190" spans="6:6" ht="15.75" customHeight="1" x14ac:dyDescent="0.3">
      <c r="F190" s="427"/>
    </row>
    <row r="191" spans="6:6" ht="15.75" customHeight="1" x14ac:dyDescent="0.3">
      <c r="F191" s="427"/>
    </row>
    <row r="192" spans="6:6" ht="15.75" customHeight="1" x14ac:dyDescent="0.3">
      <c r="F192" s="427"/>
    </row>
    <row r="193" spans="6:6" ht="15.75" customHeight="1" x14ac:dyDescent="0.3">
      <c r="F193" s="427"/>
    </row>
    <row r="194" spans="6:6" ht="15.75" customHeight="1" x14ac:dyDescent="0.3">
      <c r="F194" s="427"/>
    </row>
    <row r="195" spans="6:6" ht="15.75" customHeight="1" x14ac:dyDescent="0.3">
      <c r="F195" s="427"/>
    </row>
    <row r="196" spans="6:6" ht="15.75" customHeight="1" x14ac:dyDescent="0.3">
      <c r="F196" s="427"/>
    </row>
    <row r="197" spans="6:6" ht="15.75" customHeight="1" x14ac:dyDescent="0.3">
      <c r="F197" s="427"/>
    </row>
    <row r="198" spans="6:6" ht="15.75" customHeight="1" x14ac:dyDescent="0.3">
      <c r="F198" s="427"/>
    </row>
    <row r="199" spans="6:6" ht="15.75" customHeight="1" x14ac:dyDescent="0.3">
      <c r="F199" s="427"/>
    </row>
    <row r="200" spans="6:6" ht="15.75" customHeight="1" x14ac:dyDescent="0.3">
      <c r="F200" s="427"/>
    </row>
    <row r="201" spans="6:6" ht="15.75" customHeight="1" x14ac:dyDescent="0.3">
      <c r="F201" s="427"/>
    </row>
    <row r="202" spans="6:6" ht="15.75" customHeight="1" x14ac:dyDescent="0.3">
      <c r="F202" s="427"/>
    </row>
    <row r="203" spans="6:6" ht="15.75" customHeight="1" x14ac:dyDescent="0.3">
      <c r="F203" s="427"/>
    </row>
    <row r="204" spans="6:6" ht="15.75" customHeight="1" x14ac:dyDescent="0.3">
      <c r="F204" s="427"/>
    </row>
    <row r="205" spans="6:6" ht="15.75" customHeight="1" x14ac:dyDescent="0.3">
      <c r="F205" s="427"/>
    </row>
    <row r="206" spans="6:6" ht="15.75" customHeight="1" x14ac:dyDescent="0.3">
      <c r="F206" s="427"/>
    </row>
    <row r="207" spans="6:6" ht="15.75" customHeight="1" x14ac:dyDescent="0.3">
      <c r="F207" s="427"/>
    </row>
    <row r="208" spans="6:6" ht="15.75" customHeight="1" x14ac:dyDescent="0.3">
      <c r="F208" s="427"/>
    </row>
    <row r="209" spans="6:6" ht="15.75" customHeight="1" x14ac:dyDescent="0.3">
      <c r="F209" s="427"/>
    </row>
    <row r="210" spans="6:6" ht="15.75" customHeight="1" x14ac:dyDescent="0.3">
      <c r="F210" s="427"/>
    </row>
    <row r="211" spans="6:6" ht="15.75" customHeight="1" x14ac:dyDescent="0.3">
      <c r="F211" s="427"/>
    </row>
    <row r="212" spans="6:6" ht="15.75" customHeight="1" x14ac:dyDescent="0.3">
      <c r="F212" s="427"/>
    </row>
    <row r="213" spans="6:6" ht="15.75" customHeight="1" x14ac:dyDescent="0.3">
      <c r="F213" s="427"/>
    </row>
    <row r="214" spans="6:6" ht="15.75" customHeight="1" x14ac:dyDescent="0.3">
      <c r="F214" s="427"/>
    </row>
    <row r="215" spans="6:6" ht="15.75" customHeight="1" x14ac:dyDescent="0.3">
      <c r="F215" s="427"/>
    </row>
    <row r="216" spans="6:6" ht="15.75" customHeight="1" x14ac:dyDescent="0.3">
      <c r="F216" s="427"/>
    </row>
    <row r="217" spans="6:6" ht="15.75" customHeight="1" x14ac:dyDescent="0.3">
      <c r="F217" s="427"/>
    </row>
    <row r="218" spans="6:6" ht="15.75" customHeight="1" x14ac:dyDescent="0.3">
      <c r="F218" s="427"/>
    </row>
    <row r="219" spans="6:6" ht="15.75" customHeight="1" x14ac:dyDescent="0.3">
      <c r="F219" s="427"/>
    </row>
    <row r="220" spans="6:6" ht="15.75" customHeight="1" x14ac:dyDescent="0.3">
      <c r="F220" s="427"/>
    </row>
    <row r="221" spans="6:6" ht="15.75" customHeight="1" x14ac:dyDescent="0.3">
      <c r="F221" s="427"/>
    </row>
    <row r="222" spans="6:6" ht="15.75" customHeight="1" x14ac:dyDescent="0.3">
      <c r="F222" s="427"/>
    </row>
    <row r="223" spans="6:6" ht="15.75" customHeight="1" x14ac:dyDescent="0.3">
      <c r="F223" s="427"/>
    </row>
    <row r="224" spans="6:6" ht="15.75" customHeight="1" x14ac:dyDescent="0.3">
      <c r="F224" s="427"/>
    </row>
    <row r="225" spans="6:6" ht="15.75" customHeight="1" x14ac:dyDescent="0.3">
      <c r="F225" s="427"/>
    </row>
    <row r="226" spans="6:6" ht="15.75" customHeight="1" x14ac:dyDescent="0.3">
      <c r="F226" s="427"/>
    </row>
    <row r="227" spans="6:6" ht="15.75" customHeight="1" x14ac:dyDescent="0.3">
      <c r="F227" s="427"/>
    </row>
    <row r="228" spans="6:6" ht="15.75" customHeight="1" x14ac:dyDescent="0.3">
      <c r="F228" s="427"/>
    </row>
    <row r="229" spans="6:6" ht="15.75" customHeight="1" x14ac:dyDescent="0.3">
      <c r="F229" s="427"/>
    </row>
    <row r="230" spans="6:6" ht="15.75" customHeight="1" x14ac:dyDescent="0.3">
      <c r="F230" s="427"/>
    </row>
    <row r="231" spans="6:6" ht="15.75" customHeight="1" x14ac:dyDescent="0.3">
      <c r="F231" s="427"/>
    </row>
    <row r="232" spans="6:6" ht="15.75" customHeight="1" x14ac:dyDescent="0.3">
      <c r="F232" s="427"/>
    </row>
    <row r="233" spans="6:6" ht="15.75" customHeight="1" x14ac:dyDescent="0.3">
      <c r="F233" s="427"/>
    </row>
    <row r="234" spans="6:6" ht="15.75" customHeight="1" x14ac:dyDescent="0.3">
      <c r="F234" s="427"/>
    </row>
    <row r="235" spans="6:6" ht="15.75" customHeight="1" x14ac:dyDescent="0.3">
      <c r="F235" s="427"/>
    </row>
    <row r="236" spans="6:6" ht="15.75" customHeight="1" x14ac:dyDescent="0.3">
      <c r="F236" s="427"/>
    </row>
    <row r="237" spans="6:6" ht="15.75" customHeight="1" x14ac:dyDescent="0.3">
      <c r="F237" s="427"/>
    </row>
    <row r="238" spans="6:6" ht="15.75" customHeight="1" x14ac:dyDescent="0.3">
      <c r="F238" s="427"/>
    </row>
    <row r="239" spans="6:6" ht="15.75" customHeight="1" x14ac:dyDescent="0.3">
      <c r="F239" s="427"/>
    </row>
    <row r="240" spans="6:6" ht="15.75" customHeight="1" x14ac:dyDescent="0.3">
      <c r="F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C7:E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CF16E-CA61-4B71-A2B5-747F3A1C6A0F}">
  <dimension ref="A1:Z890"/>
  <sheetViews>
    <sheetView topLeftCell="A11" zoomScale="90" zoomScaleNormal="90" workbookViewId="0">
      <selection activeCell="J5" sqref="J1:Y1048576"/>
    </sheetView>
  </sheetViews>
  <sheetFormatPr defaultColWidth="12.44140625" defaultRowHeight="15" customHeight="1" x14ac:dyDescent="0.3"/>
  <cols>
    <col min="1" max="1" width="2.6640625" style="428" customWidth="1"/>
    <col min="2" max="2" width="5.109375" style="428" customWidth="1"/>
    <col min="3" max="3" width="31.21875" style="428" customWidth="1"/>
    <col min="4" max="4" width="34" style="428" customWidth="1"/>
    <col min="5" max="5" width="8.88671875" style="428" customWidth="1"/>
    <col min="6" max="6" width="32.44140625" style="428" customWidth="1"/>
    <col min="7" max="7" width="12.77734375" style="428" customWidth="1"/>
    <col min="8" max="8" width="12.77734375" style="428" hidden="1" customWidth="1"/>
    <col min="9" max="9" width="12.77734375" style="428" customWidth="1"/>
    <col min="10" max="12" width="12.77734375" style="428" hidden="1" customWidth="1"/>
    <col min="13" max="25" width="11.5546875" style="428" hidden="1" customWidth="1"/>
    <col min="26" max="26" width="11.5546875" style="428" customWidth="1"/>
    <col min="27" max="30" width="11.6640625" style="428" customWidth="1"/>
    <col min="31" max="16384" width="12.44140625" style="428"/>
  </cols>
  <sheetData>
    <row r="1" spans="1:26" ht="23.25" customHeight="1" x14ac:dyDescent="0.35">
      <c r="A1" s="513"/>
      <c r="B1" s="514" t="s">
        <v>2395</v>
      </c>
    </row>
    <row r="2" spans="1:26" ht="13.5" customHeight="1" x14ac:dyDescent="0.3">
      <c r="A2" s="513"/>
      <c r="B2" s="515" t="s">
        <v>340</v>
      </c>
      <c r="C2" s="430"/>
      <c r="D2" s="430"/>
      <c r="E2" s="430"/>
      <c r="F2" s="430"/>
      <c r="G2" s="430"/>
      <c r="H2" s="430"/>
      <c r="I2" s="430"/>
      <c r="J2" s="430"/>
      <c r="K2" s="430"/>
      <c r="L2" s="430"/>
      <c r="M2" s="430"/>
      <c r="N2" s="430"/>
      <c r="O2" s="430"/>
      <c r="P2" s="430"/>
      <c r="Q2" s="430"/>
      <c r="R2" s="430"/>
      <c r="S2" s="430"/>
      <c r="T2" s="430"/>
      <c r="U2" s="430"/>
      <c r="V2" s="430"/>
      <c r="W2" s="430"/>
      <c r="X2" s="430"/>
      <c r="Y2" s="430"/>
      <c r="Z2" s="430"/>
    </row>
    <row r="3" spans="1:26" ht="15.75" customHeight="1" x14ac:dyDescent="0.3">
      <c r="B3" s="516"/>
    </row>
    <row r="4" spans="1:26" ht="19.2" customHeight="1" x14ac:dyDescent="0.3">
      <c r="B4" s="517" t="s">
        <v>1026</v>
      </c>
      <c r="C4" s="518"/>
      <c r="D4" s="518"/>
    </row>
    <row r="5" spans="1:26" ht="19.2" customHeight="1" x14ac:dyDescent="0.3">
      <c r="B5" s="517" t="s">
        <v>341</v>
      </c>
      <c r="C5" s="518"/>
      <c r="D5" s="518"/>
    </row>
    <row r="6" spans="1:26" ht="15.75" customHeight="1" x14ac:dyDescent="0.3">
      <c r="B6" s="516"/>
    </row>
    <row r="7" spans="1:26" ht="15.75" customHeight="1" x14ac:dyDescent="0.3"/>
    <row r="8" spans="1:26" ht="21" customHeight="1" x14ac:dyDescent="0.3">
      <c r="B8" s="519" t="s">
        <v>409</v>
      </c>
    </row>
    <row r="9" spans="1:26" ht="9" customHeight="1" x14ac:dyDescent="0.3">
      <c r="B9" s="519"/>
    </row>
    <row r="10" spans="1:26" ht="21" customHeight="1" x14ac:dyDescent="0.3">
      <c r="B10" s="517" t="s">
        <v>410</v>
      </c>
      <c r="C10" s="518"/>
      <c r="D10" s="518"/>
    </row>
    <row r="11" spans="1:26" ht="12" customHeight="1" x14ac:dyDescent="0.3"/>
    <row r="12" spans="1:26" ht="15.75" customHeight="1" x14ac:dyDescent="0.3">
      <c r="B12" s="521" t="s">
        <v>301</v>
      </c>
      <c r="C12" s="522" t="s">
        <v>343</v>
      </c>
      <c r="D12" s="523" t="s">
        <v>344</v>
      </c>
      <c r="E12" s="523" t="s">
        <v>345</v>
      </c>
      <c r="F12" s="523" t="s">
        <v>346</v>
      </c>
      <c r="G12" s="524" t="s">
        <v>347</v>
      </c>
      <c r="H12" s="525">
        <v>2025</v>
      </c>
      <c r="I12" s="525">
        <v>2024</v>
      </c>
      <c r="J12" s="525">
        <v>2023</v>
      </c>
      <c r="K12" s="525">
        <v>2022</v>
      </c>
      <c r="L12" s="525">
        <v>2021</v>
      </c>
      <c r="M12" s="525">
        <v>2020</v>
      </c>
      <c r="N12" s="525">
        <v>2019</v>
      </c>
      <c r="O12" s="526">
        <v>2018</v>
      </c>
      <c r="P12" s="526">
        <v>2017</v>
      </c>
      <c r="Q12" s="526">
        <v>2016</v>
      </c>
      <c r="R12" s="526">
        <v>2015</v>
      </c>
      <c r="S12" s="526">
        <v>2014</v>
      </c>
      <c r="T12" s="526">
        <v>2013</v>
      </c>
      <c r="U12" s="526">
        <v>2012</v>
      </c>
      <c r="V12" s="526">
        <v>2011</v>
      </c>
      <c r="W12" s="526">
        <v>2010</v>
      </c>
      <c r="X12" s="526">
        <v>2009</v>
      </c>
      <c r="Y12" s="526">
        <v>2008</v>
      </c>
      <c r="Z12" s="527" t="s">
        <v>332</v>
      </c>
    </row>
    <row r="13" spans="1:26" ht="36" customHeight="1" x14ac:dyDescent="0.3">
      <c r="B13" s="529">
        <v>1</v>
      </c>
      <c r="C13" s="530" t="s">
        <v>474</v>
      </c>
      <c r="D13" s="531" t="s">
        <v>1366</v>
      </c>
      <c r="E13" s="532" t="s">
        <v>363</v>
      </c>
      <c r="F13" s="533" t="s">
        <v>1367</v>
      </c>
      <c r="G13" s="2454">
        <v>2016</v>
      </c>
      <c r="H13" s="635"/>
      <c r="I13" s="536">
        <f>(65892-4330-4187-3716-5768)/1000</f>
        <v>47.890999999999998</v>
      </c>
      <c r="J13" s="540">
        <v>820.58</v>
      </c>
      <c r="K13" s="597">
        <v>269.98</v>
      </c>
      <c r="L13" s="597">
        <v>328.02</v>
      </c>
      <c r="M13" s="597">
        <v>565.16</v>
      </c>
      <c r="N13" s="597">
        <v>0</v>
      </c>
      <c r="O13" s="597">
        <v>0</v>
      </c>
      <c r="P13" s="597">
        <v>0</v>
      </c>
      <c r="Q13" s="597">
        <v>1751.96</v>
      </c>
      <c r="R13" s="597">
        <v>0</v>
      </c>
      <c r="S13" s="597">
        <v>0</v>
      </c>
      <c r="T13" s="535"/>
      <c r="U13" s="542"/>
      <c r="V13" s="535"/>
      <c r="W13" s="542"/>
      <c r="X13" s="535"/>
      <c r="Y13" s="542"/>
      <c r="Z13" s="535"/>
    </row>
    <row r="14" spans="1:26" ht="24" customHeight="1" x14ac:dyDescent="0.3">
      <c r="B14" s="529">
        <v>2</v>
      </c>
      <c r="C14" s="453" t="s">
        <v>474</v>
      </c>
      <c r="D14" s="453" t="s">
        <v>1368</v>
      </c>
      <c r="E14" s="543" t="s">
        <v>363</v>
      </c>
      <c r="F14" s="453"/>
      <c r="G14" s="1162">
        <v>2013</v>
      </c>
      <c r="H14" s="638"/>
      <c r="I14" s="544">
        <v>1280.7</v>
      </c>
      <c r="J14" s="547">
        <v>1534.65</v>
      </c>
      <c r="K14" s="599">
        <v>1558.41</v>
      </c>
      <c r="L14" s="599">
        <v>1573.95</v>
      </c>
      <c r="M14" s="599">
        <v>1589.62</v>
      </c>
      <c r="N14" s="599">
        <v>1598.96</v>
      </c>
      <c r="O14" s="599">
        <v>1424.51</v>
      </c>
      <c r="P14" s="599">
        <v>1446.2</v>
      </c>
      <c r="Q14" s="599">
        <v>1364.84</v>
      </c>
      <c r="R14" s="599">
        <v>1245.1600000000001</v>
      </c>
      <c r="S14" s="599">
        <v>1307.0999999999999</v>
      </c>
      <c r="T14" s="544"/>
      <c r="U14" s="548"/>
      <c r="V14" s="544"/>
      <c r="W14" s="548"/>
      <c r="X14" s="544"/>
      <c r="Y14" s="548"/>
      <c r="Z14" s="544"/>
    </row>
    <row r="15" spans="1:26" ht="24" customHeight="1" x14ac:dyDescent="0.3">
      <c r="B15" s="529"/>
      <c r="C15" s="531" t="s">
        <v>1369</v>
      </c>
      <c r="D15" s="531" t="s">
        <v>1370</v>
      </c>
      <c r="E15" s="532" t="s">
        <v>453</v>
      </c>
      <c r="F15" s="531"/>
      <c r="G15" s="1166"/>
      <c r="H15" s="640"/>
      <c r="I15" s="1097">
        <v>0.71</v>
      </c>
      <c r="J15" s="1618">
        <v>0.71</v>
      </c>
      <c r="K15" s="1618">
        <v>0.71</v>
      </c>
      <c r="L15" s="1618">
        <v>0.71</v>
      </c>
      <c r="M15" s="1618">
        <v>0.71</v>
      </c>
      <c r="N15" s="1618">
        <v>0.81</v>
      </c>
      <c r="O15" s="1618">
        <v>0.71</v>
      </c>
      <c r="P15" s="1618">
        <v>0.71</v>
      </c>
      <c r="Q15" s="1618">
        <v>0.71</v>
      </c>
      <c r="R15" s="1618">
        <v>0.71</v>
      </c>
      <c r="S15" s="1618">
        <v>0.74</v>
      </c>
      <c r="T15" s="550"/>
      <c r="U15" s="542"/>
      <c r="V15" s="550"/>
      <c r="W15" s="542"/>
      <c r="X15" s="550"/>
      <c r="Y15" s="542"/>
      <c r="Z15" s="550"/>
    </row>
    <row r="16" spans="1:26" ht="24" customHeight="1" x14ac:dyDescent="0.3">
      <c r="B16" s="529"/>
      <c r="C16" s="453" t="s">
        <v>374</v>
      </c>
      <c r="D16" s="453" t="s">
        <v>1371</v>
      </c>
      <c r="E16" s="543" t="s">
        <v>363</v>
      </c>
      <c r="F16" s="453"/>
      <c r="G16" s="1162"/>
      <c r="H16" s="638"/>
      <c r="I16" s="545">
        <f>I14*I15</f>
        <v>909.29700000000003</v>
      </c>
      <c r="J16" s="599">
        <v>1089.6015</v>
      </c>
      <c r="K16" s="599">
        <v>1106.47</v>
      </c>
      <c r="L16" s="599">
        <v>1117.5</v>
      </c>
      <c r="M16" s="599">
        <v>1128.6300000000001</v>
      </c>
      <c r="N16" s="599">
        <v>1295.1600000000001</v>
      </c>
      <c r="O16" s="599">
        <v>1011.4</v>
      </c>
      <c r="P16" s="599">
        <v>1026.8</v>
      </c>
      <c r="Q16" s="599">
        <v>969.04</v>
      </c>
      <c r="R16" s="599">
        <v>884.06</v>
      </c>
      <c r="S16" s="599">
        <v>967.25</v>
      </c>
      <c r="T16" s="544"/>
      <c r="U16" s="548"/>
      <c r="V16" s="544"/>
      <c r="W16" s="548"/>
      <c r="X16" s="544"/>
      <c r="Y16" s="548"/>
      <c r="Z16" s="544"/>
    </row>
    <row r="17" spans="2:26" ht="24" customHeight="1" x14ac:dyDescent="0.3">
      <c r="B17" s="529">
        <v>3</v>
      </c>
      <c r="C17" s="531" t="s">
        <v>474</v>
      </c>
      <c r="D17" s="531" t="s">
        <v>1372</v>
      </c>
      <c r="E17" s="532" t="s">
        <v>363</v>
      </c>
      <c r="F17" s="531" t="s">
        <v>1373</v>
      </c>
      <c r="G17" s="1166">
        <v>2013</v>
      </c>
      <c r="H17" s="640"/>
      <c r="I17" s="602">
        <v>1797.9</v>
      </c>
      <c r="J17" s="603">
        <v>1847.05</v>
      </c>
      <c r="K17" s="603">
        <v>1897.94</v>
      </c>
      <c r="L17" s="603">
        <v>1955.54</v>
      </c>
      <c r="M17" s="603">
        <v>1770.6</v>
      </c>
      <c r="N17" s="603">
        <v>1657.71</v>
      </c>
      <c r="O17" s="603">
        <v>1415.15</v>
      </c>
      <c r="P17" s="603">
        <v>1400.23</v>
      </c>
      <c r="Q17" s="603">
        <v>1264.5899999999999</v>
      </c>
      <c r="R17" s="603">
        <v>233.49</v>
      </c>
      <c r="S17" s="603">
        <v>219.64</v>
      </c>
      <c r="T17" s="550"/>
      <c r="U17" s="542"/>
      <c r="V17" s="550"/>
      <c r="W17" s="542"/>
      <c r="X17" s="550"/>
      <c r="Y17" s="542"/>
      <c r="Z17" s="550"/>
    </row>
    <row r="18" spans="2:26" ht="24" customHeight="1" x14ac:dyDescent="0.3">
      <c r="B18" s="529"/>
      <c r="C18" s="453"/>
      <c r="D18" s="453"/>
      <c r="E18" s="543"/>
      <c r="F18" s="453"/>
      <c r="G18" s="1162"/>
      <c r="H18" s="638"/>
      <c r="I18" s="638"/>
      <c r="J18" s="544"/>
      <c r="K18" s="544"/>
      <c r="L18" s="544"/>
      <c r="M18" s="544"/>
      <c r="N18" s="544"/>
      <c r="O18" s="544"/>
      <c r="P18" s="544"/>
      <c r="Q18" s="544"/>
      <c r="R18" s="544"/>
      <c r="S18" s="544"/>
      <c r="T18" s="544"/>
      <c r="U18" s="548"/>
      <c r="V18" s="544"/>
      <c r="W18" s="548"/>
      <c r="X18" s="544"/>
      <c r="Y18" s="548"/>
      <c r="Z18" s="544"/>
    </row>
    <row r="19" spans="2:26" ht="24" customHeight="1" x14ac:dyDescent="0.3">
      <c r="B19" s="529"/>
      <c r="C19" s="531"/>
      <c r="D19" s="531"/>
      <c r="E19" s="532"/>
      <c r="F19" s="531"/>
      <c r="G19" s="641"/>
      <c r="H19" s="640"/>
      <c r="I19" s="640"/>
      <c r="J19" s="642"/>
      <c r="K19" s="642"/>
      <c r="L19" s="642"/>
      <c r="M19" s="642"/>
      <c r="N19" s="642"/>
      <c r="O19" s="642"/>
      <c r="P19" s="642"/>
      <c r="Q19" s="642"/>
      <c r="R19" s="642"/>
      <c r="S19" s="643"/>
      <c r="T19" s="643"/>
      <c r="U19" s="644"/>
      <c r="V19" s="643"/>
      <c r="W19" s="644"/>
      <c r="X19" s="643"/>
      <c r="Y19" s="644"/>
      <c r="Z19" s="550"/>
    </row>
    <row r="20" spans="2:26" ht="24" customHeight="1" x14ac:dyDescent="0.3">
      <c r="B20" s="552"/>
      <c r="C20" s="462"/>
      <c r="D20" s="462"/>
      <c r="E20" s="553"/>
      <c r="F20" s="462"/>
      <c r="G20" s="645"/>
      <c r="H20" s="646"/>
      <c r="I20" s="646"/>
      <c r="J20" s="556"/>
      <c r="K20" s="556"/>
      <c r="L20" s="556"/>
      <c r="M20" s="556"/>
      <c r="N20" s="556"/>
      <c r="O20" s="556"/>
      <c r="P20" s="556"/>
      <c r="Q20" s="556"/>
      <c r="R20" s="556"/>
      <c r="S20" s="556"/>
      <c r="T20" s="556"/>
      <c r="U20" s="557"/>
      <c r="V20" s="556"/>
      <c r="W20" s="557"/>
      <c r="X20" s="556"/>
      <c r="Y20" s="557"/>
      <c r="Z20" s="556"/>
    </row>
    <row r="21" spans="2:26" ht="15.75" customHeight="1" x14ac:dyDescent="0.3"/>
    <row r="22" spans="2:26" ht="15.75" customHeight="1" x14ac:dyDescent="0.3">
      <c r="B22" s="560" t="s">
        <v>355</v>
      </c>
      <c r="C22" s="561" t="s">
        <v>356</v>
      </c>
    </row>
    <row r="23" spans="2:26" ht="15.75" customHeight="1" x14ac:dyDescent="0.3"/>
    <row r="24" spans="2:26" ht="15.75" customHeight="1" x14ac:dyDescent="0.3">
      <c r="B24" s="4383" t="s">
        <v>357</v>
      </c>
      <c r="C24" s="4384"/>
    </row>
    <row r="25" spans="2:26" ht="15.75" customHeight="1" x14ac:dyDescent="0.3">
      <c r="B25" s="562" t="s">
        <v>365</v>
      </c>
      <c r="C25" s="428" t="s">
        <v>1374</v>
      </c>
    </row>
    <row r="26" spans="2:26" ht="15.75" customHeight="1" x14ac:dyDescent="0.3">
      <c r="B26" s="562" t="s">
        <v>365</v>
      </c>
      <c r="C26" s="428" t="s">
        <v>1375</v>
      </c>
    </row>
    <row r="27" spans="2:26" ht="15.75" customHeight="1" x14ac:dyDescent="0.3">
      <c r="B27" s="562" t="s">
        <v>365</v>
      </c>
      <c r="C27" s="428" t="s">
        <v>1376</v>
      </c>
    </row>
    <row r="28" spans="2:26" ht="15.75" customHeight="1" x14ac:dyDescent="0.3">
      <c r="B28" s="562" t="s">
        <v>546</v>
      </c>
      <c r="C28" s="428" t="s">
        <v>1377</v>
      </c>
    </row>
    <row r="29" spans="2:26" ht="15.75" customHeight="1" x14ac:dyDescent="0.3">
      <c r="C29" s="2455" t="s">
        <v>1378</v>
      </c>
    </row>
    <row r="30" spans="2:26" ht="15.75" customHeight="1" x14ac:dyDescent="0.3"/>
    <row r="31" spans="2:26" ht="15.75" customHeight="1" x14ac:dyDescent="0.3"/>
    <row r="32" spans="2:2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sheetData>
  <mergeCells count="1">
    <mergeCell ref="B24:C24"/>
  </mergeCells>
  <pageMargins left="0.70866141732283472" right="0.70866141732283472" top="0.74803149606299213" bottom="0.74803149606299213" header="0" footer="0"/>
  <pageSetup scale="75" orientation="landscape"/>
  <headerFooter>
    <oddHeader>&amp;R00-049CONFIDENTIAL</oddHeader>
    <oddFooter>&amp;L00-049v6 - May 2019 Property of Will Solutions Inc.</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74834-2BA6-4DA7-8DA5-49B01D812305}">
  <dimension ref="A1:J986"/>
  <sheetViews>
    <sheetView topLeftCell="A10" workbookViewId="0">
      <selection activeCell="L10" sqref="L10"/>
    </sheetView>
  </sheetViews>
  <sheetFormatPr defaultColWidth="12.44140625" defaultRowHeight="15" customHeight="1" x14ac:dyDescent="0.3"/>
  <cols>
    <col min="1" max="1" width="2.6640625" style="428" customWidth="1"/>
    <col min="2" max="2" width="34" style="428" customWidth="1"/>
    <col min="3" max="7" width="21.33203125" style="428" customWidth="1"/>
    <col min="8" max="8" width="2.44140625" style="428" customWidth="1"/>
    <col min="9" max="9" width="13" style="428" customWidth="1"/>
    <col min="10" max="16384" width="12.44140625" style="428"/>
  </cols>
  <sheetData>
    <row r="1" spans="1:10" ht="21.75" customHeight="1" x14ac:dyDescent="0.35">
      <c r="A1" s="424"/>
      <c r="B1" s="425" t="s">
        <v>549</v>
      </c>
      <c r="G1" s="427"/>
    </row>
    <row r="2" spans="1:10" ht="15.75" customHeight="1" x14ac:dyDescent="0.3">
      <c r="A2" s="424"/>
      <c r="B2" s="429" t="s">
        <v>299</v>
      </c>
      <c r="C2" s="430"/>
      <c r="D2" s="430"/>
      <c r="E2" s="430"/>
      <c r="F2" s="430"/>
      <c r="G2" s="430"/>
      <c r="H2" s="430"/>
    </row>
    <row r="3" spans="1:10" ht="9.75" customHeight="1" x14ac:dyDescent="0.3">
      <c r="A3" s="427"/>
      <c r="G3" s="427"/>
    </row>
    <row r="4" spans="1:10" ht="6" customHeight="1" x14ac:dyDescent="0.3">
      <c r="G4" s="427"/>
    </row>
    <row r="5" spans="1:10" ht="6" customHeight="1" x14ac:dyDescent="0.3">
      <c r="A5" s="431"/>
      <c r="G5" s="427"/>
    </row>
    <row r="6" spans="1:10" ht="15.75" customHeight="1" x14ac:dyDescent="0.3">
      <c r="G6" s="427"/>
    </row>
    <row r="7" spans="1:10" ht="37.200000000000003" customHeight="1" x14ac:dyDescent="0.3">
      <c r="A7" s="432"/>
      <c r="B7" s="1256">
        <v>2024</v>
      </c>
      <c r="C7" s="4412" t="s">
        <v>23</v>
      </c>
      <c r="D7" s="4413"/>
      <c r="E7" s="4413"/>
      <c r="F7" s="4413"/>
      <c r="G7" s="4414"/>
      <c r="I7" s="435" t="s">
        <v>300</v>
      </c>
    </row>
    <row r="8" spans="1:10" ht="18" customHeight="1" x14ac:dyDescent="0.35">
      <c r="B8" s="436" t="s">
        <v>301</v>
      </c>
      <c r="C8" s="1257">
        <v>1</v>
      </c>
      <c r="D8" s="1258">
        <v>2</v>
      </c>
      <c r="E8" s="1983">
        <v>3</v>
      </c>
      <c r="F8" s="1258">
        <v>4</v>
      </c>
      <c r="G8" s="1258">
        <v>5</v>
      </c>
      <c r="H8" s="610"/>
      <c r="I8" s="438"/>
    </row>
    <row r="9" spans="1:10" ht="46.5" customHeight="1" x14ac:dyDescent="0.3">
      <c r="B9" s="439" t="s">
        <v>302</v>
      </c>
      <c r="C9" s="573" t="s">
        <v>1379</v>
      </c>
      <c r="D9" s="573" t="s">
        <v>2409</v>
      </c>
      <c r="E9" s="573" t="s">
        <v>1380</v>
      </c>
      <c r="F9" s="573" t="s">
        <v>1381</v>
      </c>
      <c r="G9" s="573" t="s">
        <v>2159</v>
      </c>
      <c r="H9" s="611"/>
      <c r="I9" s="442"/>
    </row>
    <row r="10" spans="1:10" ht="46.5" customHeight="1" x14ac:dyDescent="0.3">
      <c r="B10" s="444" t="s">
        <v>304</v>
      </c>
      <c r="C10" s="445" t="s">
        <v>1336</v>
      </c>
      <c r="D10" s="445" t="s">
        <v>1382</v>
      </c>
      <c r="E10" s="445" t="s">
        <v>1383</v>
      </c>
      <c r="F10" s="445" t="s">
        <v>1337</v>
      </c>
      <c r="G10" s="445" t="s">
        <v>2160</v>
      </c>
      <c r="H10" s="612"/>
      <c r="I10" s="446"/>
    </row>
    <row r="11" spans="1:10" ht="18.75" customHeight="1" x14ac:dyDescent="0.3">
      <c r="A11" s="447"/>
      <c r="B11" s="448" t="s">
        <v>306</v>
      </c>
      <c r="C11" s="1089">
        <f>(C17*C18)</f>
        <v>4113.4466313296898</v>
      </c>
      <c r="D11" s="1313">
        <f>(D17*D18)</f>
        <v>31.515311703909525</v>
      </c>
      <c r="E11" s="1313">
        <f t="shared" ref="E11:G11" si="0">(E17*E18)</f>
        <v>6134.984832989102</v>
      </c>
      <c r="F11" s="1313">
        <f t="shared" si="0"/>
        <v>4662.7770946592509</v>
      </c>
      <c r="G11" s="651">
        <f t="shared" si="0"/>
        <v>42.538265584142721</v>
      </c>
      <c r="H11" s="614"/>
      <c r="I11" s="451">
        <f t="shared" ref="I11:I12" si="1">SUM(C11:F11)</f>
        <v>14942.723870681952</v>
      </c>
      <c r="J11" s="447"/>
    </row>
    <row r="12" spans="1:10" ht="18.75" customHeight="1" x14ac:dyDescent="0.3">
      <c r="A12" s="447"/>
      <c r="B12" s="453" t="s">
        <v>307</v>
      </c>
      <c r="C12" s="577">
        <f>(C22*C23)</f>
        <v>0</v>
      </c>
      <c r="D12" s="577">
        <f t="shared" ref="D12:G12" si="2">(D22*D23)</f>
        <v>0</v>
      </c>
      <c r="E12" s="577">
        <f t="shared" si="2"/>
        <v>0</v>
      </c>
      <c r="F12" s="577">
        <f t="shared" si="2"/>
        <v>0</v>
      </c>
      <c r="G12" s="577">
        <f t="shared" si="2"/>
        <v>0</v>
      </c>
      <c r="H12" s="614"/>
      <c r="I12" s="456">
        <f t="shared" si="1"/>
        <v>0</v>
      </c>
      <c r="J12" s="447"/>
    </row>
    <row r="13" spans="1:10" ht="18.75" customHeight="1" x14ac:dyDescent="0.3">
      <c r="A13" s="447"/>
      <c r="B13" s="448" t="s">
        <v>308</v>
      </c>
      <c r="C13" s="654" t="s">
        <v>8</v>
      </c>
      <c r="D13" s="578" t="s">
        <v>8</v>
      </c>
      <c r="E13" s="654" t="s">
        <v>8</v>
      </c>
      <c r="F13" s="578" t="s">
        <v>8</v>
      </c>
      <c r="G13" s="578" t="s">
        <v>8</v>
      </c>
      <c r="H13" s="615"/>
      <c r="I13" s="460"/>
      <c r="J13" s="447"/>
    </row>
    <row r="14" spans="1:10" ht="18.75" customHeight="1" x14ac:dyDescent="0.3">
      <c r="A14" s="447"/>
      <c r="B14" s="462" t="s">
        <v>309</v>
      </c>
      <c r="C14" s="655">
        <f t="shared" ref="C14:G14" si="3">C11-C12</f>
        <v>4113.4466313296898</v>
      </c>
      <c r="D14" s="579">
        <f t="shared" si="3"/>
        <v>31.515311703909525</v>
      </c>
      <c r="E14" s="655">
        <f t="shared" si="3"/>
        <v>6134.984832989102</v>
      </c>
      <c r="F14" s="579">
        <f t="shared" si="3"/>
        <v>4662.7770946592509</v>
      </c>
      <c r="G14" s="579">
        <f t="shared" si="3"/>
        <v>42.538265584142721</v>
      </c>
      <c r="H14" s="614"/>
      <c r="I14" s="464">
        <f>SUM(C14:G14)</f>
        <v>14985.262136266094</v>
      </c>
      <c r="J14" s="447"/>
    </row>
    <row r="15" spans="1:10" ht="19.5" customHeight="1" x14ac:dyDescent="0.4">
      <c r="B15" s="616" t="s">
        <v>395</v>
      </c>
      <c r="C15" s="659"/>
      <c r="D15" s="617"/>
      <c r="E15" s="659"/>
      <c r="F15" s="617"/>
      <c r="G15" s="617"/>
      <c r="H15" s="618"/>
      <c r="I15" s="468"/>
      <c r="J15" s="427"/>
    </row>
    <row r="16" spans="1:10" ht="35.4" customHeight="1" x14ac:dyDescent="0.3">
      <c r="A16" s="447"/>
      <c r="B16" s="469" t="s">
        <v>311</v>
      </c>
      <c r="C16" s="601" t="s">
        <v>496</v>
      </c>
      <c r="D16" s="601" t="s">
        <v>496</v>
      </c>
      <c r="E16" s="601" t="s">
        <v>496</v>
      </c>
      <c r="F16" s="601" t="s">
        <v>496</v>
      </c>
      <c r="G16" s="601" t="s">
        <v>496</v>
      </c>
      <c r="H16" s="619"/>
      <c r="I16" s="620"/>
      <c r="J16" s="447"/>
    </row>
    <row r="17" spans="1:10" ht="21" customHeight="1" x14ac:dyDescent="0.3">
      <c r="A17" s="447"/>
      <c r="B17" s="472" t="s">
        <v>398</v>
      </c>
      <c r="C17" s="662">
        <f>'CF-1508|GDS'!I10</f>
        <v>5070.46</v>
      </c>
      <c r="D17" s="662">
        <f>'CF-1508|GDS'!I11</f>
        <v>302.26400000000001</v>
      </c>
      <c r="E17" s="662">
        <f>'CF-1508|GDS'!I14</f>
        <v>1537.7868699999999</v>
      </c>
      <c r="F17" s="621">
        <f>'CF-1508|GDS'!I15</f>
        <v>6473.7049999999999</v>
      </c>
      <c r="G17" s="2456">
        <f>'CF-1508|GDS'!I16</f>
        <v>52.435000000000002</v>
      </c>
      <c r="H17" s="622"/>
      <c r="I17" s="623"/>
      <c r="J17" s="447"/>
    </row>
    <row r="18" spans="1:10" ht="18.75" customHeight="1" x14ac:dyDescent="0.3">
      <c r="A18" s="447"/>
      <c r="B18" s="476" t="s">
        <v>314</v>
      </c>
      <c r="C18" s="584">
        <v>0.81125709133484736</v>
      </c>
      <c r="D18" s="584">
        <v>0.104264191911407</v>
      </c>
      <c r="E18" s="584">
        <v>3.989489670300737</v>
      </c>
      <c r="F18" s="584">
        <v>0.7202640674326759</v>
      </c>
      <c r="G18" s="584">
        <v>0.81125709133484736</v>
      </c>
      <c r="H18" s="614"/>
      <c r="I18" s="491"/>
      <c r="J18" s="447"/>
    </row>
    <row r="19" spans="1:10" ht="19.5" customHeight="1" x14ac:dyDescent="0.3">
      <c r="A19" s="447"/>
      <c r="B19" s="480" t="s">
        <v>315</v>
      </c>
      <c r="C19" s="664">
        <f>C17*C18</f>
        <v>4113.4466313296898</v>
      </c>
      <c r="D19" s="663">
        <f>D17*D18</f>
        <v>31.515311703909525</v>
      </c>
      <c r="E19" s="664">
        <f>E17*E18</f>
        <v>6134.984832989102</v>
      </c>
      <c r="F19" s="585">
        <f>F17*F18</f>
        <v>4662.7770946592509</v>
      </c>
      <c r="G19" s="585">
        <f>G17*G18</f>
        <v>42.538265584142721</v>
      </c>
      <c r="H19" s="614"/>
      <c r="I19" s="494"/>
      <c r="J19" s="647"/>
    </row>
    <row r="20" spans="1:10" ht="21" customHeight="1" x14ac:dyDescent="0.4">
      <c r="B20" s="465" t="s">
        <v>316</v>
      </c>
      <c r="C20" s="665"/>
      <c r="D20" s="587"/>
      <c r="E20" s="665"/>
      <c r="F20" s="587"/>
      <c r="G20" s="587"/>
      <c r="H20" s="618"/>
      <c r="I20" s="495"/>
    </row>
    <row r="21" spans="1:10" ht="32.4" customHeight="1" x14ac:dyDescent="0.3">
      <c r="A21" s="447"/>
      <c r="B21" s="469" t="s">
        <v>183</v>
      </c>
      <c r="C21" s="601" t="s">
        <v>1384</v>
      </c>
      <c r="D21" s="601" t="s">
        <v>1385</v>
      </c>
      <c r="E21" s="601" t="s">
        <v>1386</v>
      </c>
      <c r="F21" s="601" t="s">
        <v>1387</v>
      </c>
      <c r="G21" s="601" t="s">
        <v>1388</v>
      </c>
      <c r="H21" s="614"/>
      <c r="I21" s="496"/>
      <c r="J21" s="447"/>
    </row>
    <row r="22" spans="1:10" ht="21" customHeight="1" x14ac:dyDescent="0.3">
      <c r="A22" s="447"/>
      <c r="B22" s="486" t="s">
        <v>398</v>
      </c>
      <c r="C22" s="666">
        <f>C17</f>
        <v>5070.46</v>
      </c>
      <c r="D22" s="589">
        <f>D17</f>
        <v>302.26400000000001</v>
      </c>
      <c r="E22" s="666">
        <f>E17</f>
        <v>1537.7868699999999</v>
      </c>
      <c r="F22" s="589">
        <f>F17</f>
        <v>6473.7049999999999</v>
      </c>
      <c r="G22" s="589">
        <f>G17</f>
        <v>52.435000000000002</v>
      </c>
      <c r="H22" s="622"/>
      <c r="I22" s="623"/>
      <c r="J22" s="447"/>
    </row>
    <row r="23" spans="1:10" ht="21" customHeight="1" x14ac:dyDescent="0.3">
      <c r="A23" s="447"/>
      <c r="B23" s="489" t="s">
        <v>314</v>
      </c>
      <c r="C23" s="590">
        <v>0</v>
      </c>
      <c r="D23" s="590">
        <v>0</v>
      </c>
      <c r="E23" s="590">
        <v>0</v>
      </c>
      <c r="F23" s="590">
        <v>0</v>
      </c>
      <c r="G23" s="590">
        <v>0</v>
      </c>
      <c r="H23" s="614"/>
      <c r="I23" s="491"/>
      <c r="J23" s="447"/>
    </row>
    <row r="24" spans="1:10" ht="21" customHeight="1" x14ac:dyDescent="0.3">
      <c r="A24" s="447"/>
      <c r="B24" s="492" t="s">
        <v>315</v>
      </c>
      <c r="C24" s="668">
        <f t="shared" ref="C24:G24" si="4">C22*C23</f>
        <v>0</v>
      </c>
      <c r="D24" s="591">
        <f t="shared" si="4"/>
        <v>0</v>
      </c>
      <c r="E24" s="624">
        <f t="shared" si="4"/>
        <v>0</v>
      </c>
      <c r="F24" s="624">
        <f t="shared" si="4"/>
        <v>0</v>
      </c>
      <c r="G24" s="624">
        <f t="shared" si="4"/>
        <v>0</v>
      </c>
      <c r="H24" s="614"/>
      <c r="I24" s="494"/>
      <c r="J24" s="447"/>
    </row>
    <row r="25" spans="1:10" ht="28.5" customHeight="1" x14ac:dyDescent="0.3">
      <c r="A25" s="447"/>
      <c r="B25" s="498" t="s">
        <v>320</v>
      </c>
      <c r="C25" s="626" t="s">
        <v>401</v>
      </c>
      <c r="D25" s="626" t="s">
        <v>401</v>
      </c>
      <c r="E25" s="626" t="s">
        <v>401</v>
      </c>
      <c r="F25" s="626" t="s">
        <v>401</v>
      </c>
      <c r="G25" s="626" t="s">
        <v>401</v>
      </c>
      <c r="H25" s="614"/>
      <c r="I25" s="496"/>
      <c r="J25" s="447"/>
    </row>
    <row r="26" spans="1:10" ht="24" customHeight="1" x14ac:dyDescent="0.3">
      <c r="B26" s="502" t="s">
        <v>322</v>
      </c>
      <c r="C26" s="674">
        <v>13</v>
      </c>
      <c r="D26" s="596">
        <v>13</v>
      </c>
      <c r="E26" s="674">
        <v>13</v>
      </c>
      <c r="F26" s="596">
        <v>13</v>
      </c>
      <c r="G26" s="596">
        <v>13</v>
      </c>
      <c r="H26" s="618"/>
      <c r="I26" s="495"/>
    </row>
    <row r="27" spans="1:10" ht="33" customHeight="1" x14ac:dyDescent="0.3">
      <c r="A27" s="447"/>
      <c r="B27" s="506" t="s">
        <v>323</v>
      </c>
      <c r="C27" s="496" t="s">
        <v>324</v>
      </c>
      <c r="D27" s="595" t="s">
        <v>324</v>
      </c>
      <c r="E27" s="496" t="s">
        <v>324</v>
      </c>
      <c r="F27" s="595" t="s">
        <v>324</v>
      </c>
      <c r="G27" s="595" t="s">
        <v>324</v>
      </c>
      <c r="H27" s="614"/>
      <c r="I27" s="496"/>
      <c r="J27" s="447"/>
    </row>
    <row r="28" spans="1:10" ht="33" customHeight="1" x14ac:dyDescent="0.3">
      <c r="A28" s="447"/>
      <c r="B28" s="508" t="s">
        <v>325</v>
      </c>
      <c r="C28" s="674" t="s">
        <v>326</v>
      </c>
      <c r="D28" s="596" t="s">
        <v>326</v>
      </c>
      <c r="E28" s="674" t="s">
        <v>326</v>
      </c>
      <c r="F28" s="627" t="s">
        <v>326</v>
      </c>
      <c r="G28" s="627" t="s">
        <v>326</v>
      </c>
      <c r="H28" s="614"/>
      <c r="I28" s="496"/>
      <c r="J28" s="447"/>
    </row>
    <row r="29" spans="1:10" ht="33" customHeight="1" x14ac:dyDescent="0.3">
      <c r="A29" s="447"/>
      <c r="B29" s="506" t="s">
        <v>327</v>
      </c>
      <c r="C29" s="595" t="s">
        <v>402</v>
      </c>
      <c r="D29" s="595" t="s">
        <v>402</v>
      </c>
      <c r="E29" s="595" t="s">
        <v>402</v>
      </c>
      <c r="F29" s="595" t="s">
        <v>402</v>
      </c>
      <c r="G29" s="595" t="s">
        <v>402</v>
      </c>
      <c r="H29" s="614"/>
      <c r="I29" s="496"/>
      <c r="J29" s="447"/>
    </row>
    <row r="30" spans="1:10" ht="21" customHeight="1" x14ac:dyDescent="0.3">
      <c r="B30" s="510" t="s">
        <v>329</v>
      </c>
      <c r="C30" s="596">
        <v>25</v>
      </c>
      <c r="D30" s="596">
        <v>25</v>
      </c>
      <c r="E30" s="596">
        <v>25</v>
      </c>
      <c r="F30" s="596">
        <v>25</v>
      </c>
      <c r="G30" s="596">
        <v>1</v>
      </c>
      <c r="H30" s="618"/>
      <c r="I30" s="467"/>
    </row>
    <row r="31" spans="1:10" ht="21" customHeight="1" x14ac:dyDescent="0.3">
      <c r="B31" s="453" t="s">
        <v>330</v>
      </c>
      <c r="C31" s="496" t="s">
        <v>324</v>
      </c>
      <c r="D31" s="595" t="s">
        <v>324</v>
      </c>
      <c r="E31" s="496" t="s">
        <v>324</v>
      </c>
      <c r="F31" s="595" t="s">
        <v>324</v>
      </c>
      <c r="G31" s="595" t="s">
        <v>324</v>
      </c>
      <c r="H31" s="618"/>
      <c r="I31" s="495"/>
    </row>
    <row r="32" spans="1:10" ht="21" customHeight="1" x14ac:dyDescent="0.3">
      <c r="B32" s="510" t="s">
        <v>331</v>
      </c>
      <c r="C32" s="674" t="s">
        <v>324</v>
      </c>
      <c r="D32" s="596" t="s">
        <v>324</v>
      </c>
      <c r="E32" s="674" t="s">
        <v>324</v>
      </c>
      <c r="F32" s="596" t="s">
        <v>324</v>
      </c>
      <c r="G32" s="596" t="s">
        <v>324</v>
      </c>
      <c r="H32" s="618"/>
      <c r="I32" s="495"/>
    </row>
    <row r="33" spans="2:9" ht="21" customHeight="1" x14ac:dyDescent="0.3">
      <c r="B33" s="462" t="s">
        <v>332</v>
      </c>
      <c r="C33" s="675" t="s">
        <v>333</v>
      </c>
      <c r="D33" s="555" t="s">
        <v>333</v>
      </c>
      <c r="E33" s="676" t="s">
        <v>333</v>
      </c>
      <c r="F33" s="555" t="s">
        <v>333</v>
      </c>
      <c r="G33" s="555" t="s">
        <v>333</v>
      </c>
      <c r="H33" s="618"/>
      <c r="I33" s="495"/>
    </row>
    <row r="34" spans="2:9" ht="15.75" customHeight="1" x14ac:dyDescent="0.3">
      <c r="B34" s="4158" t="s">
        <v>2324</v>
      </c>
      <c r="C34" s="4161"/>
      <c r="D34" s="4161"/>
      <c r="E34" s="4159">
        <f>E14/E30</f>
        <v>245.39939331956407</v>
      </c>
      <c r="G34" s="427"/>
      <c r="H34" s="427"/>
    </row>
    <row r="35" spans="2:9" ht="15.75" customHeight="1" x14ac:dyDescent="0.3">
      <c r="G35" s="427"/>
      <c r="H35" s="427"/>
    </row>
    <row r="36" spans="2:9" ht="15.75" customHeight="1" x14ac:dyDescent="0.3">
      <c r="G36" s="427"/>
      <c r="H36" s="427"/>
    </row>
    <row r="37" spans="2:9" ht="15.75" customHeight="1" x14ac:dyDescent="0.3">
      <c r="G37" s="427"/>
      <c r="H37" s="427"/>
    </row>
    <row r="38" spans="2:9" ht="15.75" customHeight="1" x14ac:dyDescent="0.3">
      <c r="G38" s="427"/>
      <c r="H38" s="427"/>
    </row>
    <row r="39" spans="2:9" ht="15.75" customHeight="1" x14ac:dyDescent="0.3">
      <c r="G39" s="427"/>
      <c r="H39" s="427"/>
    </row>
    <row r="40" spans="2:9" ht="15.75" customHeight="1" x14ac:dyDescent="0.3">
      <c r="G40" s="427"/>
      <c r="H40" s="427"/>
    </row>
    <row r="41" spans="2:9" ht="15.75" customHeight="1" x14ac:dyDescent="0.3">
      <c r="G41" s="427"/>
      <c r="H41" s="427"/>
    </row>
    <row r="42" spans="2:9" ht="15.75" customHeight="1" x14ac:dyDescent="0.3">
      <c r="G42" s="427"/>
      <c r="H42" s="427"/>
    </row>
    <row r="43" spans="2:9" ht="15.75" customHeight="1" x14ac:dyDescent="0.3">
      <c r="G43" s="427"/>
      <c r="H43" s="427"/>
    </row>
    <row r="44" spans="2:9" ht="15.75" customHeight="1" x14ac:dyDescent="0.3">
      <c r="G44" s="427"/>
    </row>
    <row r="45" spans="2:9" ht="15.75" customHeight="1" x14ac:dyDescent="0.3">
      <c r="G45" s="427"/>
    </row>
    <row r="46" spans="2:9" ht="15.75" customHeight="1" x14ac:dyDescent="0.3">
      <c r="G46" s="427"/>
    </row>
    <row r="47" spans="2:9" ht="15.75" customHeight="1" x14ac:dyDescent="0.3">
      <c r="G47" s="427"/>
    </row>
    <row r="48" spans="2:9" ht="15.75" customHeight="1" x14ac:dyDescent="0.3">
      <c r="G48" s="427"/>
    </row>
    <row r="49" spans="7:7" ht="15.75" customHeight="1" x14ac:dyDescent="0.3">
      <c r="G49" s="427"/>
    </row>
    <row r="50" spans="7:7" ht="15.75" customHeight="1" x14ac:dyDescent="0.3">
      <c r="G50" s="427"/>
    </row>
    <row r="51" spans="7:7" ht="15.75" customHeight="1" x14ac:dyDescent="0.3">
      <c r="G51" s="427"/>
    </row>
    <row r="52" spans="7:7" ht="15.75" customHeight="1" x14ac:dyDescent="0.3">
      <c r="G52" s="427"/>
    </row>
    <row r="53" spans="7:7" ht="15.75" customHeight="1" x14ac:dyDescent="0.3">
      <c r="G53" s="427"/>
    </row>
    <row r="54" spans="7:7" ht="15.75" customHeight="1" x14ac:dyDescent="0.3">
      <c r="G54" s="427"/>
    </row>
    <row r="55" spans="7:7" ht="15.75" customHeight="1" x14ac:dyDescent="0.3">
      <c r="G55" s="427"/>
    </row>
    <row r="56" spans="7:7" ht="15.75" customHeight="1" x14ac:dyDescent="0.3">
      <c r="G56" s="427"/>
    </row>
    <row r="57" spans="7:7" ht="15.75" customHeight="1" x14ac:dyDescent="0.3">
      <c r="G57" s="427"/>
    </row>
    <row r="58" spans="7:7" ht="15.75" customHeight="1" x14ac:dyDescent="0.3">
      <c r="G58" s="427"/>
    </row>
    <row r="59" spans="7:7" ht="15.75" customHeight="1" x14ac:dyDescent="0.3">
      <c r="G59" s="427"/>
    </row>
    <row r="60" spans="7:7" ht="15.75" customHeight="1" x14ac:dyDescent="0.3">
      <c r="G60" s="427"/>
    </row>
    <row r="61" spans="7:7" ht="15.75" customHeight="1" x14ac:dyDescent="0.3">
      <c r="G61" s="427"/>
    </row>
    <row r="62" spans="7:7" ht="15.75" customHeight="1" x14ac:dyDescent="0.3">
      <c r="G62" s="427"/>
    </row>
    <row r="63" spans="7:7" ht="15.75" customHeight="1" x14ac:dyDescent="0.3">
      <c r="G63" s="427"/>
    </row>
    <row r="64" spans="7:7" ht="15.75" customHeight="1" x14ac:dyDescent="0.3">
      <c r="G64" s="427"/>
    </row>
    <row r="65" spans="7:7" ht="15.75" customHeight="1" x14ac:dyDescent="0.3">
      <c r="G65" s="427"/>
    </row>
    <row r="66" spans="7:7" ht="15.75" customHeight="1" x14ac:dyDescent="0.3">
      <c r="G66" s="427"/>
    </row>
    <row r="67" spans="7:7" ht="15.75" customHeight="1" x14ac:dyDescent="0.3">
      <c r="G67" s="427"/>
    </row>
    <row r="68" spans="7:7" ht="15.75" customHeight="1" x14ac:dyDescent="0.3">
      <c r="G68" s="427"/>
    </row>
    <row r="69" spans="7:7" ht="15.75" customHeight="1" x14ac:dyDescent="0.3">
      <c r="G69" s="427"/>
    </row>
    <row r="70" spans="7:7" ht="15.75" customHeight="1" x14ac:dyDescent="0.3">
      <c r="G70" s="427"/>
    </row>
    <row r="71" spans="7:7" ht="15.75" customHeight="1" x14ac:dyDescent="0.3">
      <c r="G71" s="427"/>
    </row>
    <row r="72" spans="7:7" ht="15.75" customHeight="1" x14ac:dyDescent="0.3">
      <c r="G72" s="427"/>
    </row>
    <row r="73" spans="7:7" ht="15.75" customHeight="1" x14ac:dyDescent="0.3">
      <c r="G73" s="427"/>
    </row>
    <row r="74" spans="7:7" ht="15.75" customHeight="1" x14ac:dyDescent="0.3">
      <c r="G74" s="427"/>
    </row>
    <row r="75" spans="7:7" ht="15.75" customHeight="1" x14ac:dyDescent="0.3">
      <c r="G75" s="427"/>
    </row>
    <row r="76" spans="7:7" ht="15.75" customHeight="1" x14ac:dyDescent="0.3">
      <c r="G76" s="427"/>
    </row>
    <row r="77" spans="7:7" ht="15.75" customHeight="1" x14ac:dyDescent="0.3">
      <c r="G77" s="427"/>
    </row>
    <row r="78" spans="7:7" ht="15.75" customHeight="1" x14ac:dyDescent="0.3">
      <c r="G78" s="427"/>
    </row>
    <row r="79" spans="7:7" ht="15.75" customHeight="1" x14ac:dyDescent="0.3">
      <c r="G79" s="427"/>
    </row>
    <row r="80" spans="7:7" ht="15.75" customHeight="1" x14ac:dyDescent="0.3">
      <c r="G80" s="427"/>
    </row>
    <row r="81" spans="7:7" ht="15.75" customHeight="1" x14ac:dyDescent="0.3">
      <c r="G81" s="427"/>
    </row>
    <row r="82" spans="7:7" ht="15.75" customHeight="1" x14ac:dyDescent="0.3">
      <c r="G82" s="427"/>
    </row>
    <row r="83" spans="7:7" ht="15.75" customHeight="1" x14ac:dyDescent="0.3">
      <c r="G83" s="427"/>
    </row>
    <row r="84" spans="7:7" ht="15.75" customHeight="1" x14ac:dyDescent="0.3">
      <c r="G84" s="427"/>
    </row>
    <row r="85" spans="7:7" ht="15.75" customHeight="1" x14ac:dyDescent="0.3">
      <c r="G85" s="427"/>
    </row>
    <row r="86" spans="7:7" ht="15.75" customHeight="1" x14ac:dyDescent="0.3">
      <c r="G86" s="427"/>
    </row>
    <row r="87" spans="7:7" ht="15.75" customHeight="1" x14ac:dyDescent="0.3">
      <c r="G87" s="427"/>
    </row>
    <row r="88" spans="7:7" ht="15.75" customHeight="1" x14ac:dyDescent="0.3">
      <c r="G88" s="427"/>
    </row>
    <row r="89" spans="7:7" ht="15.75" customHeight="1" x14ac:dyDescent="0.3">
      <c r="G89" s="427"/>
    </row>
    <row r="90" spans="7:7" ht="15.75" customHeight="1" x14ac:dyDescent="0.3">
      <c r="G90" s="427"/>
    </row>
    <row r="91" spans="7:7" ht="15.75" customHeight="1" x14ac:dyDescent="0.3">
      <c r="G91" s="427"/>
    </row>
    <row r="92" spans="7:7" ht="15.75" customHeight="1" x14ac:dyDescent="0.3">
      <c r="G92" s="427"/>
    </row>
    <row r="93" spans="7:7" ht="15.75" customHeight="1" x14ac:dyDescent="0.3">
      <c r="G93" s="427"/>
    </row>
    <row r="94" spans="7:7" ht="15.75" customHeight="1" x14ac:dyDescent="0.3">
      <c r="G94" s="427"/>
    </row>
    <row r="95" spans="7:7" ht="15.75" customHeight="1" x14ac:dyDescent="0.3">
      <c r="G95" s="427"/>
    </row>
    <row r="96" spans="7:7" ht="15.75" customHeight="1" x14ac:dyDescent="0.3">
      <c r="G96" s="427"/>
    </row>
    <row r="97" spans="7:7" ht="15.75" customHeight="1" x14ac:dyDescent="0.3">
      <c r="G97" s="427"/>
    </row>
    <row r="98" spans="7:7" ht="15.75" customHeight="1" x14ac:dyDescent="0.3">
      <c r="G98" s="427"/>
    </row>
    <row r="99" spans="7:7" ht="15.75" customHeight="1" x14ac:dyDescent="0.3">
      <c r="G99" s="427"/>
    </row>
    <row r="100" spans="7:7" ht="15.75" customHeight="1" x14ac:dyDescent="0.3">
      <c r="G100" s="427"/>
    </row>
    <row r="101" spans="7:7" ht="15.75" customHeight="1" x14ac:dyDescent="0.3">
      <c r="G101" s="427"/>
    </row>
    <row r="102" spans="7:7" ht="15.75" customHeight="1" x14ac:dyDescent="0.3">
      <c r="G102" s="427"/>
    </row>
    <row r="103" spans="7:7" ht="15.75" customHeight="1" x14ac:dyDescent="0.3">
      <c r="G103" s="427"/>
    </row>
    <row r="104" spans="7:7" ht="15.75" customHeight="1" x14ac:dyDescent="0.3">
      <c r="G104" s="427"/>
    </row>
    <row r="105" spans="7:7" ht="15.75" customHeight="1" x14ac:dyDescent="0.3">
      <c r="G105" s="427"/>
    </row>
    <row r="106" spans="7:7" ht="15.75" customHeight="1" x14ac:dyDescent="0.3">
      <c r="G106" s="427"/>
    </row>
    <row r="107" spans="7:7" ht="15.75" customHeight="1" x14ac:dyDescent="0.3">
      <c r="G107" s="427"/>
    </row>
    <row r="108" spans="7:7" ht="15.75" customHeight="1" x14ac:dyDescent="0.3">
      <c r="G108" s="427"/>
    </row>
    <row r="109" spans="7:7" ht="15.75" customHeight="1" x14ac:dyDescent="0.3">
      <c r="G109" s="427"/>
    </row>
    <row r="110" spans="7:7" ht="15.75" customHeight="1" x14ac:dyDescent="0.3">
      <c r="G110" s="427"/>
    </row>
    <row r="111" spans="7:7" ht="15.75" customHeight="1" x14ac:dyDescent="0.3">
      <c r="G111" s="427"/>
    </row>
    <row r="112" spans="7:7" ht="15.75" customHeight="1" x14ac:dyDescent="0.3">
      <c r="G112" s="427"/>
    </row>
    <row r="113" spans="7:7" ht="15.75" customHeight="1" x14ac:dyDescent="0.3">
      <c r="G113" s="427"/>
    </row>
    <row r="114" spans="7:7" ht="15.75" customHeight="1" x14ac:dyDescent="0.3">
      <c r="G114" s="427"/>
    </row>
    <row r="115" spans="7:7" ht="15.75" customHeight="1" x14ac:dyDescent="0.3">
      <c r="G115" s="427"/>
    </row>
    <row r="116" spans="7:7" ht="15.75" customHeight="1" x14ac:dyDescent="0.3">
      <c r="G116" s="427"/>
    </row>
    <row r="117" spans="7:7" ht="15.75" customHeight="1" x14ac:dyDescent="0.3">
      <c r="G117" s="427"/>
    </row>
    <row r="118" spans="7:7" ht="15.75" customHeight="1" x14ac:dyDescent="0.3">
      <c r="G118" s="427"/>
    </row>
    <row r="119" spans="7:7" ht="15.75" customHeight="1" x14ac:dyDescent="0.3">
      <c r="G119" s="427"/>
    </row>
    <row r="120" spans="7:7" ht="15.75" customHeight="1" x14ac:dyDescent="0.3">
      <c r="G120" s="427"/>
    </row>
    <row r="121" spans="7:7" ht="15.75" customHeight="1" x14ac:dyDescent="0.3">
      <c r="G121" s="427"/>
    </row>
    <row r="122" spans="7:7" ht="15.75" customHeight="1" x14ac:dyDescent="0.3">
      <c r="G122" s="427"/>
    </row>
    <row r="123" spans="7:7" ht="15.75" customHeight="1" x14ac:dyDescent="0.3">
      <c r="G123" s="427"/>
    </row>
    <row r="124" spans="7:7" ht="15.75" customHeight="1" x14ac:dyDescent="0.3">
      <c r="G124" s="427"/>
    </row>
    <row r="125" spans="7:7" ht="15.75" customHeight="1" x14ac:dyDescent="0.3">
      <c r="G125" s="427"/>
    </row>
    <row r="126" spans="7:7" ht="15.75" customHeight="1" x14ac:dyDescent="0.3">
      <c r="G126" s="427"/>
    </row>
    <row r="127" spans="7:7" ht="15.75" customHeight="1" x14ac:dyDescent="0.3">
      <c r="G127" s="427"/>
    </row>
    <row r="128" spans="7:7" ht="15.75" customHeight="1" x14ac:dyDescent="0.3">
      <c r="G128" s="427"/>
    </row>
    <row r="129" spans="7:7" ht="15.75" customHeight="1" x14ac:dyDescent="0.3">
      <c r="G129" s="427"/>
    </row>
    <row r="130" spans="7:7" ht="15.75" customHeight="1" x14ac:dyDescent="0.3">
      <c r="G130" s="427"/>
    </row>
    <row r="131" spans="7:7" ht="15.75" customHeight="1" x14ac:dyDescent="0.3">
      <c r="G131" s="427"/>
    </row>
    <row r="132" spans="7:7" ht="15.75" customHeight="1" x14ac:dyDescent="0.3">
      <c r="G132" s="427"/>
    </row>
    <row r="133" spans="7:7" ht="15.75" customHeight="1" x14ac:dyDescent="0.3">
      <c r="G133" s="427"/>
    </row>
    <row r="134" spans="7:7" ht="15.75" customHeight="1" x14ac:dyDescent="0.3">
      <c r="G134" s="427"/>
    </row>
    <row r="135" spans="7:7" ht="15.75" customHeight="1" x14ac:dyDescent="0.3">
      <c r="G135" s="427"/>
    </row>
    <row r="136" spans="7:7" ht="15.75" customHeight="1" x14ac:dyDescent="0.3">
      <c r="G136" s="427"/>
    </row>
    <row r="137" spans="7:7" ht="15.75" customHeight="1" x14ac:dyDescent="0.3">
      <c r="G137" s="427"/>
    </row>
    <row r="138" spans="7:7" ht="15.75" customHeight="1" x14ac:dyDescent="0.3">
      <c r="G138" s="427"/>
    </row>
    <row r="139" spans="7:7" ht="15.75" customHeight="1" x14ac:dyDescent="0.3">
      <c r="G139" s="427"/>
    </row>
    <row r="140" spans="7:7" ht="15.75" customHeight="1" x14ac:dyDescent="0.3">
      <c r="G140" s="427"/>
    </row>
    <row r="141" spans="7:7" ht="15.75" customHeight="1" x14ac:dyDescent="0.3">
      <c r="G141" s="427"/>
    </row>
    <row r="142" spans="7:7" ht="15.75" customHeight="1" x14ac:dyDescent="0.3">
      <c r="G142" s="427"/>
    </row>
    <row r="143" spans="7:7" ht="15.75" customHeight="1" x14ac:dyDescent="0.3">
      <c r="G143" s="427"/>
    </row>
    <row r="144" spans="7:7" ht="15.75" customHeight="1" x14ac:dyDescent="0.3">
      <c r="G144" s="427"/>
    </row>
    <row r="145" spans="7:7" ht="15.75" customHeight="1" x14ac:dyDescent="0.3">
      <c r="G145" s="427"/>
    </row>
    <row r="146" spans="7:7" ht="15.75" customHeight="1" x14ac:dyDescent="0.3">
      <c r="G146" s="427"/>
    </row>
    <row r="147" spans="7:7" ht="15.75" customHeight="1" x14ac:dyDescent="0.3">
      <c r="G147" s="427"/>
    </row>
    <row r="148" spans="7:7" ht="15.75" customHeight="1" x14ac:dyDescent="0.3">
      <c r="G148" s="427"/>
    </row>
    <row r="149" spans="7:7" ht="15.75" customHeight="1" x14ac:dyDescent="0.3">
      <c r="G149" s="427"/>
    </row>
    <row r="150" spans="7:7" ht="15.75" customHeight="1" x14ac:dyDescent="0.3">
      <c r="G150" s="427"/>
    </row>
    <row r="151" spans="7:7" ht="15.75" customHeight="1" x14ac:dyDescent="0.3">
      <c r="G151" s="427"/>
    </row>
    <row r="152" spans="7:7" ht="15.75" customHeight="1" x14ac:dyDescent="0.3">
      <c r="G152" s="427"/>
    </row>
    <row r="153" spans="7:7" ht="15.75" customHeight="1" x14ac:dyDescent="0.3">
      <c r="G153" s="427"/>
    </row>
    <row r="154" spans="7:7" ht="15.75" customHeight="1" x14ac:dyDescent="0.3">
      <c r="G154" s="427"/>
    </row>
    <row r="155" spans="7:7" ht="15.75" customHeight="1" x14ac:dyDescent="0.3">
      <c r="G155" s="427"/>
    </row>
    <row r="156" spans="7:7" ht="15.75" customHeight="1" x14ac:dyDescent="0.3">
      <c r="G156" s="427"/>
    </row>
    <row r="157" spans="7:7" ht="15.75" customHeight="1" x14ac:dyDescent="0.3">
      <c r="G157" s="427"/>
    </row>
    <row r="158" spans="7:7" ht="15.75" customHeight="1" x14ac:dyDescent="0.3">
      <c r="G158" s="427"/>
    </row>
    <row r="159" spans="7:7" ht="15.75" customHeight="1" x14ac:dyDescent="0.3">
      <c r="G159" s="427"/>
    </row>
    <row r="160" spans="7:7" ht="15.75" customHeight="1" x14ac:dyDescent="0.3">
      <c r="G160" s="427"/>
    </row>
    <row r="161" spans="7:7" ht="15.75" customHeight="1" x14ac:dyDescent="0.3">
      <c r="G161" s="427"/>
    </row>
    <row r="162" spans="7:7" ht="15.75" customHeight="1" x14ac:dyDescent="0.3">
      <c r="G162" s="427"/>
    </row>
    <row r="163" spans="7:7" ht="15.75" customHeight="1" x14ac:dyDescent="0.3">
      <c r="G163" s="427"/>
    </row>
    <row r="164" spans="7:7" ht="15.75" customHeight="1" x14ac:dyDescent="0.3">
      <c r="G164" s="427"/>
    </row>
    <row r="165" spans="7:7" ht="15.75" customHeight="1" x14ac:dyDescent="0.3">
      <c r="G165" s="427"/>
    </row>
    <row r="166" spans="7:7" ht="15.75" customHeight="1" x14ac:dyDescent="0.3">
      <c r="G166" s="427"/>
    </row>
    <row r="167" spans="7:7" ht="15.75" customHeight="1" x14ac:dyDescent="0.3">
      <c r="G167" s="427"/>
    </row>
    <row r="168" spans="7:7" ht="15.75" customHeight="1" x14ac:dyDescent="0.3">
      <c r="G168" s="427"/>
    </row>
    <row r="169" spans="7:7" ht="15.75" customHeight="1" x14ac:dyDescent="0.3">
      <c r="G169" s="427"/>
    </row>
    <row r="170" spans="7:7" ht="15.75" customHeight="1" x14ac:dyDescent="0.3">
      <c r="G170" s="427"/>
    </row>
    <row r="171" spans="7:7" ht="15.75" customHeight="1" x14ac:dyDescent="0.3">
      <c r="G171" s="427"/>
    </row>
    <row r="172" spans="7:7" ht="15.75" customHeight="1" x14ac:dyDescent="0.3">
      <c r="G172" s="427"/>
    </row>
    <row r="173" spans="7:7" ht="15.75" customHeight="1" x14ac:dyDescent="0.3">
      <c r="G173" s="427"/>
    </row>
    <row r="174" spans="7:7" ht="15.75" customHeight="1" x14ac:dyDescent="0.3">
      <c r="G174" s="427"/>
    </row>
    <row r="175" spans="7:7" ht="15.75" customHeight="1" x14ac:dyDescent="0.3">
      <c r="G175" s="427"/>
    </row>
    <row r="176" spans="7:7" ht="15.75" customHeight="1" x14ac:dyDescent="0.3">
      <c r="G176" s="427"/>
    </row>
    <row r="177" spans="7:7" ht="15.75" customHeight="1" x14ac:dyDescent="0.3">
      <c r="G177" s="427"/>
    </row>
    <row r="178" spans="7:7" ht="15.75" customHeight="1" x14ac:dyDescent="0.3">
      <c r="G178" s="427"/>
    </row>
    <row r="179" spans="7:7" ht="15.75" customHeight="1" x14ac:dyDescent="0.3">
      <c r="G179" s="427"/>
    </row>
    <row r="180" spans="7:7" ht="15.75" customHeight="1" x14ac:dyDescent="0.3">
      <c r="G180" s="427"/>
    </row>
    <row r="181" spans="7:7" ht="15.75" customHeight="1" x14ac:dyDescent="0.3">
      <c r="G181" s="427"/>
    </row>
    <row r="182" spans="7:7" ht="15.75" customHeight="1" x14ac:dyDescent="0.3">
      <c r="G182" s="427"/>
    </row>
    <row r="183" spans="7:7" ht="15.75" customHeight="1" x14ac:dyDescent="0.3">
      <c r="G183" s="427"/>
    </row>
    <row r="184" spans="7:7" ht="15.75" customHeight="1" x14ac:dyDescent="0.3">
      <c r="G184" s="427"/>
    </row>
    <row r="185" spans="7:7" ht="15.75" customHeight="1" x14ac:dyDescent="0.3">
      <c r="G185" s="427"/>
    </row>
    <row r="186" spans="7:7" ht="15.75" customHeight="1" x14ac:dyDescent="0.3">
      <c r="G186" s="427"/>
    </row>
    <row r="187" spans="7:7" ht="15.75" customHeight="1" x14ac:dyDescent="0.3">
      <c r="G187" s="427"/>
    </row>
    <row r="188" spans="7:7" ht="15.75" customHeight="1" x14ac:dyDescent="0.3">
      <c r="G188" s="427"/>
    </row>
    <row r="189" spans="7:7" ht="15.75" customHeight="1" x14ac:dyDescent="0.3">
      <c r="G189" s="427"/>
    </row>
    <row r="190" spans="7:7" ht="15.75" customHeight="1" x14ac:dyDescent="0.3">
      <c r="G190" s="427"/>
    </row>
    <row r="191" spans="7:7" ht="15.75" customHeight="1" x14ac:dyDescent="0.3">
      <c r="G191" s="427"/>
    </row>
    <row r="192" spans="7:7" ht="15.75" customHeight="1" x14ac:dyDescent="0.3">
      <c r="G192" s="427"/>
    </row>
    <row r="193" spans="7:7" ht="15.75" customHeight="1" x14ac:dyDescent="0.3">
      <c r="G193" s="427"/>
    </row>
    <row r="194" spans="7:7" ht="15.75" customHeight="1" x14ac:dyDescent="0.3">
      <c r="G194" s="427"/>
    </row>
    <row r="195" spans="7:7" ht="15.75" customHeight="1" x14ac:dyDescent="0.3">
      <c r="G195" s="427"/>
    </row>
    <row r="196" spans="7:7" ht="15.75" customHeight="1" x14ac:dyDescent="0.3">
      <c r="G196" s="427"/>
    </row>
    <row r="197" spans="7:7" ht="15.75" customHeight="1" x14ac:dyDescent="0.3">
      <c r="G197" s="427"/>
    </row>
    <row r="198" spans="7:7" ht="15.75" customHeight="1" x14ac:dyDescent="0.3">
      <c r="G198" s="427"/>
    </row>
    <row r="199" spans="7:7" ht="15.75" customHeight="1" x14ac:dyDescent="0.3">
      <c r="G199" s="427"/>
    </row>
    <row r="200" spans="7:7" ht="15.75" customHeight="1" x14ac:dyDescent="0.3">
      <c r="G200" s="427"/>
    </row>
    <row r="201" spans="7:7" ht="15.75" customHeight="1" x14ac:dyDescent="0.3">
      <c r="G201" s="427"/>
    </row>
    <row r="202" spans="7:7" ht="15.75" customHeight="1" x14ac:dyDescent="0.3">
      <c r="G202" s="427"/>
    </row>
    <row r="203" spans="7:7" ht="15.75" customHeight="1" x14ac:dyDescent="0.3">
      <c r="G203" s="427"/>
    </row>
    <row r="204" spans="7:7" ht="15.75" customHeight="1" x14ac:dyDescent="0.3">
      <c r="G204" s="427"/>
    </row>
    <row r="205" spans="7:7" ht="15.75" customHeight="1" x14ac:dyDescent="0.3">
      <c r="G205" s="427"/>
    </row>
    <row r="206" spans="7:7" ht="15.75" customHeight="1" x14ac:dyDescent="0.3">
      <c r="G206" s="427"/>
    </row>
    <row r="207" spans="7:7" ht="15.75" customHeight="1" x14ac:dyDescent="0.3">
      <c r="G207" s="427"/>
    </row>
    <row r="208" spans="7:7" ht="15.75" customHeight="1" x14ac:dyDescent="0.3">
      <c r="G208" s="427"/>
    </row>
    <row r="209" spans="7:7" ht="15.75" customHeight="1" x14ac:dyDescent="0.3">
      <c r="G209" s="427"/>
    </row>
    <row r="210" spans="7:7" ht="15.75" customHeight="1" x14ac:dyDescent="0.3">
      <c r="G210" s="427"/>
    </row>
    <row r="211" spans="7:7" ht="15.75" customHeight="1" x14ac:dyDescent="0.3">
      <c r="G211" s="427"/>
    </row>
    <row r="212" spans="7:7" ht="15.75" customHeight="1" x14ac:dyDescent="0.3">
      <c r="G212" s="427"/>
    </row>
    <row r="213" spans="7:7" ht="15.75" customHeight="1" x14ac:dyDescent="0.3">
      <c r="G213" s="427"/>
    </row>
    <row r="214" spans="7:7" ht="15.75" customHeight="1" x14ac:dyDescent="0.3">
      <c r="G214" s="427"/>
    </row>
    <row r="215" spans="7:7" ht="15.75" customHeight="1" x14ac:dyDescent="0.3">
      <c r="G215" s="427"/>
    </row>
    <row r="216" spans="7:7" ht="15.75" customHeight="1" x14ac:dyDescent="0.3">
      <c r="G216" s="427"/>
    </row>
    <row r="217" spans="7:7" ht="15.75" customHeight="1" x14ac:dyDescent="0.3">
      <c r="G217" s="427"/>
    </row>
    <row r="218" spans="7:7" ht="15.75" customHeight="1" x14ac:dyDescent="0.3">
      <c r="G218" s="427"/>
    </row>
    <row r="219" spans="7:7" ht="15.75" customHeight="1" x14ac:dyDescent="0.3">
      <c r="G219" s="427"/>
    </row>
    <row r="220" spans="7:7" ht="15.75" customHeight="1" x14ac:dyDescent="0.3">
      <c r="G220" s="427"/>
    </row>
    <row r="221" spans="7:7" ht="15.75" customHeight="1" x14ac:dyDescent="0.3">
      <c r="G221" s="427"/>
    </row>
    <row r="222" spans="7:7" ht="15.75" customHeight="1" x14ac:dyDescent="0.3">
      <c r="G222" s="427"/>
    </row>
    <row r="223" spans="7:7" ht="15.75" customHeight="1" x14ac:dyDescent="0.3">
      <c r="G223" s="427"/>
    </row>
    <row r="224" spans="7:7" ht="15.75" customHeight="1" x14ac:dyDescent="0.3">
      <c r="G224" s="427"/>
    </row>
    <row r="225" spans="7:7" ht="15.75" customHeight="1" x14ac:dyDescent="0.3">
      <c r="G225" s="427"/>
    </row>
    <row r="226" spans="7:7" ht="15.75" customHeight="1" x14ac:dyDescent="0.3">
      <c r="G226" s="427"/>
    </row>
    <row r="227" spans="7:7" ht="15.75" customHeight="1" x14ac:dyDescent="0.3">
      <c r="G227" s="427"/>
    </row>
    <row r="228" spans="7:7" ht="15.75" customHeight="1" x14ac:dyDescent="0.3">
      <c r="G228" s="427"/>
    </row>
    <row r="229" spans="7:7" ht="15.75" customHeight="1" x14ac:dyDescent="0.3">
      <c r="G229" s="427"/>
    </row>
    <row r="230" spans="7:7" ht="15.75" customHeight="1" x14ac:dyDescent="0.3">
      <c r="G230" s="427"/>
    </row>
    <row r="231" spans="7:7" ht="15.75" customHeight="1" x14ac:dyDescent="0.3">
      <c r="G231" s="427"/>
    </row>
    <row r="232" spans="7:7" ht="15.75" customHeight="1" x14ac:dyDescent="0.3">
      <c r="G232" s="427"/>
    </row>
    <row r="233" spans="7:7" ht="15.75" customHeight="1" x14ac:dyDescent="0.3">
      <c r="G233" s="427"/>
    </row>
    <row r="234" spans="7:7" ht="15.75" customHeight="1" x14ac:dyDescent="0.3">
      <c r="G234" s="427"/>
    </row>
    <row r="235" spans="7:7" ht="15.75" customHeight="1" x14ac:dyDescent="0.3">
      <c r="G235" s="427"/>
    </row>
    <row r="236" spans="7:7" ht="15.75" customHeight="1" x14ac:dyDescent="0.3">
      <c r="G236" s="427"/>
    </row>
    <row r="237" spans="7:7" ht="15.75" customHeight="1" x14ac:dyDescent="0.3">
      <c r="G237" s="427"/>
    </row>
    <row r="238" spans="7:7" ht="15.75" customHeight="1" x14ac:dyDescent="0.3">
      <c r="G238" s="427"/>
    </row>
    <row r="239" spans="7:7" ht="15.75" customHeight="1" x14ac:dyDescent="0.3">
      <c r="G239" s="427"/>
    </row>
    <row r="240" spans="7:7" ht="15.75" customHeight="1" x14ac:dyDescent="0.3">
      <c r="G240" s="427"/>
    </row>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sheetData>
  <mergeCells count="1">
    <mergeCell ref="C7:G7"/>
  </mergeCells>
  <pageMargins left="0.70866141732283472" right="0.70866141732283472" top="0.74803149606299213" bottom="0.74803149606299213" header="0" footer="0"/>
  <pageSetup orientation="portrait"/>
  <headerFooter>
    <oddHeader>&amp;R00-049CONFIDENTIAL</oddHeader>
    <oddFooter>&amp;L00-049v6 - May 2019 Property of Will Solutions Inc.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114</vt:i4>
      </vt:variant>
    </vt:vector>
  </HeadingPairs>
  <TitlesOfParts>
    <vt:vector size="114" baseType="lpstr">
      <vt:lpstr>Annex B - Summary</vt:lpstr>
      <vt:lpstr>Sample for Verification</vt:lpstr>
      <vt:lpstr>ER 2024 consolidated</vt:lpstr>
      <vt:lpstr>ER 2024 scope 3 &amp; 13</vt:lpstr>
      <vt:lpstr>Non participation 2024</vt:lpstr>
      <vt:lpstr>SDGs Evidence</vt:lpstr>
      <vt:lpstr>CF-0101|2024</vt:lpstr>
      <vt:lpstr>CF-0101|GDS</vt:lpstr>
      <vt:lpstr>CF-0102|2024</vt:lpstr>
      <vt:lpstr>CF-0102|GDS</vt:lpstr>
      <vt:lpstr>CF-0103|2024</vt:lpstr>
      <vt:lpstr>CF-0103|GDS</vt:lpstr>
      <vt:lpstr>CF-0105|2024</vt:lpstr>
      <vt:lpstr>CF-0105|GDS</vt:lpstr>
      <vt:lpstr>CF-0108|2024</vt:lpstr>
      <vt:lpstr>CF-0108|GDS</vt:lpstr>
      <vt:lpstr>CF-0112|2024</vt:lpstr>
      <vt:lpstr>CF-0112|GDS</vt:lpstr>
      <vt:lpstr>CF-0114|2024</vt:lpstr>
      <vt:lpstr>CF-0114|GDS</vt:lpstr>
      <vt:lpstr>CF-0115|2024</vt:lpstr>
      <vt:lpstr>CF-0115|GDS</vt:lpstr>
      <vt:lpstr>CF-0118|2024</vt:lpstr>
      <vt:lpstr>CF-0118|GDS</vt:lpstr>
      <vt:lpstr>CF-0119|2024</vt:lpstr>
      <vt:lpstr>CF-0119|GDS</vt:lpstr>
      <vt:lpstr>CF-0120|2024</vt:lpstr>
      <vt:lpstr>CF-0120|GDS</vt:lpstr>
      <vt:lpstr>CF-0121|2024</vt:lpstr>
      <vt:lpstr>CF-0121|GDS</vt:lpstr>
      <vt:lpstr>CF-0204|2024</vt:lpstr>
      <vt:lpstr>CF-0204|GDS</vt:lpstr>
      <vt:lpstr>CF-0206|2024</vt:lpstr>
      <vt:lpstr>CF-0206|GDS</vt:lpstr>
      <vt:lpstr>CF-0207|2024</vt:lpstr>
      <vt:lpstr>CF-0207|GDS</vt:lpstr>
      <vt:lpstr>CF-0211|2024</vt:lpstr>
      <vt:lpstr>CF-0211|GDS</vt:lpstr>
      <vt:lpstr>CF-0213|2024</vt:lpstr>
      <vt:lpstr>CF-0213|GDS</vt:lpstr>
      <vt:lpstr>CF-0216|2024</vt:lpstr>
      <vt:lpstr>CF-0216|GDS</vt:lpstr>
      <vt:lpstr>CF-0402|2024</vt:lpstr>
      <vt:lpstr>CF-0402|GDS</vt:lpstr>
      <vt:lpstr>CF-0405|2024</vt:lpstr>
      <vt:lpstr>CF-0405|GDS</vt:lpstr>
      <vt:lpstr>CF-0408|2024</vt:lpstr>
      <vt:lpstr>CF-0408|GDS</vt:lpstr>
      <vt:lpstr>CF-0603|2024</vt:lpstr>
      <vt:lpstr>CF-0603|GDS</vt:lpstr>
      <vt:lpstr>CF-0701|2024</vt:lpstr>
      <vt:lpstr>CF-0701|GDS</vt:lpstr>
      <vt:lpstr>CF-0702|2024</vt:lpstr>
      <vt:lpstr>CF-0702|GDS</vt:lpstr>
      <vt:lpstr>CF-0706|2024</vt:lpstr>
      <vt:lpstr>CF-0706|GDS</vt:lpstr>
      <vt:lpstr>CF-0707|2024</vt:lpstr>
      <vt:lpstr>CF-0707|GDS</vt:lpstr>
      <vt:lpstr>CF-0708|2024</vt:lpstr>
      <vt:lpstr>CF-0708|GDS</vt:lpstr>
      <vt:lpstr>CF-0710|2024</vt:lpstr>
      <vt:lpstr>CF-0710|GDS</vt:lpstr>
      <vt:lpstr>CF-0801|2024</vt:lpstr>
      <vt:lpstr>CF-0801|GDS</vt:lpstr>
      <vt:lpstr>CF-0807|2024</vt:lpstr>
      <vt:lpstr>CF-0807|GDS</vt:lpstr>
      <vt:lpstr>CF-0810|2024</vt:lpstr>
      <vt:lpstr>CF-0810|GDS</vt:lpstr>
      <vt:lpstr>CF-0901|2024</vt:lpstr>
      <vt:lpstr>CF-0901|GDS </vt:lpstr>
      <vt:lpstr>CF-0902|2024</vt:lpstr>
      <vt:lpstr>CF-0902|GDS</vt:lpstr>
      <vt:lpstr>CF-1002|2024</vt:lpstr>
      <vt:lpstr>CF-1002|GDS</vt:lpstr>
      <vt:lpstr>CF-1201|2024</vt:lpstr>
      <vt:lpstr>CF-1201|GDS</vt:lpstr>
      <vt:lpstr>CF-1202|2024</vt:lpstr>
      <vt:lpstr>CF-1202|GDS</vt:lpstr>
      <vt:lpstr>CF-1203|2024</vt:lpstr>
      <vt:lpstr>CF-1203|GDS</vt:lpstr>
      <vt:lpstr>CF-1204|2024</vt:lpstr>
      <vt:lpstr>CF-1204|GDS</vt:lpstr>
      <vt:lpstr>CF-1205|2024</vt:lpstr>
      <vt:lpstr>CF-1205|GDS</vt:lpstr>
      <vt:lpstr>CF-1207|2024</vt:lpstr>
      <vt:lpstr>CF-1207|GDS</vt:lpstr>
      <vt:lpstr>CF-1301|2024</vt:lpstr>
      <vt:lpstr>CF-1301|GDS</vt:lpstr>
      <vt:lpstr>CF-1501|2024</vt:lpstr>
      <vt:lpstr>CF-1501|GDS</vt:lpstr>
      <vt:lpstr>CF-1504|2024</vt:lpstr>
      <vt:lpstr>CF-1504|GDS</vt:lpstr>
      <vt:lpstr>CF-1505|2024</vt:lpstr>
      <vt:lpstr>CF-1505|GDS</vt:lpstr>
      <vt:lpstr>CF-1506|2024</vt:lpstr>
      <vt:lpstr>CF-1506|GDS</vt:lpstr>
      <vt:lpstr>CF-1507|2024</vt:lpstr>
      <vt:lpstr>CF-1507|GDS</vt:lpstr>
      <vt:lpstr>CF-1508|2024</vt:lpstr>
      <vt:lpstr>CF-1508|GDS</vt:lpstr>
      <vt:lpstr>CF-1510|2024</vt:lpstr>
      <vt:lpstr>CF-1510|GDS</vt:lpstr>
      <vt:lpstr>CF-1511|2024</vt:lpstr>
      <vt:lpstr>CF-1511|GDS</vt:lpstr>
      <vt:lpstr>CF-1601|2024</vt:lpstr>
      <vt:lpstr>CF-1601|GDS</vt:lpstr>
      <vt:lpstr>CF-1602|2024</vt:lpstr>
      <vt:lpstr>CF-1602|GDS</vt:lpstr>
      <vt:lpstr>CF-1603|2024</vt:lpstr>
      <vt:lpstr>CF-1603|GDS</vt:lpstr>
      <vt:lpstr>CF-1604|2024</vt:lpstr>
      <vt:lpstr>CF-1604|GDS</vt:lpstr>
      <vt:lpstr>CF-1605|2024</vt:lpstr>
      <vt:lpstr>CF-1605|GDS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Lesage</dc:creator>
  <cp:lastModifiedBy>Claudia Lesage</cp:lastModifiedBy>
  <dcterms:created xsi:type="dcterms:W3CDTF">2024-05-08T15:23:25Z</dcterms:created>
  <dcterms:modified xsi:type="dcterms:W3CDTF">2025-10-10T17:02:40Z</dcterms:modified>
</cp:coreProperties>
</file>