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1 碳交易\项目开展\正邦 湖北\需要弄得 GS11333-Zhengbang Hubei\GS11333-Zhengbang Hubei\准备文件\2nd findings to 正邦湖北养猪场粪便沼气发电项目Combine-Fancy\"/>
    </mc:Choice>
  </mc:AlternateContent>
  <xr:revisionPtr revIDLastSave="0" documentId="13_ncr:1_{0D87368D-E0F3-4E81-9C51-EB2F4475FD48}" xr6:coauthVersionLast="47" xr6:coauthVersionMax="47" xr10:uidLastSave="{00000000-0000-0000-0000-000000000000}"/>
  <bookViews>
    <workbookView xWindow="-28920" yWindow="-90" windowWidth="29040" windowHeight="15840" tabRatio="908" xr2:uid="{00000000-000D-0000-FFFF-FFFF00000000}"/>
  </bookViews>
  <sheets>
    <sheet name="Cover page" sheetId="6" r:id="rId1"/>
    <sheet name="SDG Outcomes" sheetId="20" r:id="rId2"/>
    <sheet name="Baseline emission" sheetId="21" r:id="rId3"/>
    <sheet name="Project emission" sheetId="23" r:id="rId4"/>
    <sheet name="Leakage" sheetId="24" r:id="rId5"/>
    <sheet name="Emission Reduction" sheetId="25" r:id="rId6"/>
    <sheet name="monitoring results" sheetId="8" r:id="rId7"/>
    <sheet name="Reliability Check" sheetId="43" r:id="rId8"/>
    <sheet name="2021.1" sheetId="42" r:id="rId9"/>
    <sheet name="2021.2" sheetId="28" r:id="rId10"/>
    <sheet name="2021.3" sheetId="29" r:id="rId11"/>
    <sheet name="2021.4" sheetId="30" r:id="rId12"/>
    <sheet name="2021.5" sheetId="31" r:id="rId13"/>
    <sheet name="2021.6" sheetId="32" r:id="rId14"/>
    <sheet name="2021.7" sheetId="33" r:id="rId15"/>
    <sheet name="2021.8" sheetId="34" r:id="rId16"/>
    <sheet name="2021.9" sheetId="35" r:id="rId17"/>
    <sheet name="2021.10" sheetId="36" r:id="rId18"/>
    <sheet name="2021.11" sheetId="37" r:id="rId19"/>
    <sheet name="2021.12" sheetId="38" r:id="rId20"/>
    <sheet name="2022.1" sheetId="39" r:id="rId21"/>
    <sheet name="2022.5" sheetId="45" r:id="rId22"/>
    <sheet name="2022.2" sheetId="40" r:id="rId23"/>
    <sheet name="2022.3" sheetId="41" r:id="rId24"/>
    <sheet name="2022.4" sheetId="44" r:id="rId25"/>
    <sheet name="2022.6" sheetId="46" r:id="rId26"/>
  </sheets>
  <externalReferences>
    <externalReference r:id="rId27"/>
    <externalReference r:id="rId28"/>
    <externalReference r:id="rId29"/>
  </externalReferences>
  <definedNames>
    <definedName name="BE_" localSheetId="7">[1]ER!$B$2</definedName>
    <definedName name="BE_">[2]ER!$B$2</definedName>
    <definedName name="ER" localSheetId="7">[1]ER!$B$1</definedName>
    <definedName name="ER">[2]ER!$B$1</definedName>
    <definedName name="LE" localSheetId="7">[1]ER!$B$17</definedName>
    <definedName name="LE">[2]ER!$B$17</definedName>
    <definedName name="PE" localSheetId="7">[1]ER!$B$8</definedName>
    <definedName name="PE">[2]ER!$B$8</definedName>
  </definedNames>
  <calcPr calcId="181029"/>
  <customWorkbookViews>
    <customWorkbookView name="HIEU - Personal View" guid="{2C071143-29D6-4036-A926-BF7E54293313}" mergeInterval="0" personalView="1" maximized="1" windowWidth="1020" windowHeight="57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9" i="8" l="1"/>
  <c r="B15" i="23"/>
  <c r="B16" i="23"/>
  <c r="B17" i="23"/>
  <c r="K69" i="8" l="1"/>
  <c r="C69" i="8"/>
  <c r="D69" i="8"/>
  <c r="B69" i="8" l="1"/>
  <c r="C38" i="21" l="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37" i="21"/>
  <c r="C155" i="21"/>
  <c r="C156" i="21"/>
  <c r="C157" i="21"/>
  <c r="C158" i="21"/>
  <c r="C159" i="21"/>
  <c r="C160" i="21"/>
  <c r="C161" i="21"/>
  <c r="C162" i="21"/>
  <c r="C163" i="21"/>
  <c r="C164" i="21"/>
  <c r="C165" i="21"/>
  <c r="C166" i="21"/>
  <c r="C167" i="21"/>
  <c r="C168" i="21"/>
  <c r="C169" i="21"/>
  <c r="C170" i="21"/>
  <c r="C171" i="21"/>
  <c r="C154" i="21"/>
  <c r="C121" i="23" l="1"/>
  <c r="B121" i="23"/>
  <c r="B22" i="8"/>
  <c r="C22" i="8"/>
  <c r="B45" i="8"/>
  <c r="C39" i="24" l="1"/>
  <c r="C40" i="24"/>
  <c r="C41" i="24"/>
  <c r="B39" i="24"/>
  <c r="B40" i="24"/>
  <c r="B41" i="24"/>
  <c r="C139" i="23"/>
  <c r="C140" i="23"/>
  <c r="C141" i="23"/>
  <c r="B139" i="23"/>
  <c r="B140" i="23"/>
  <c r="B141" i="23"/>
  <c r="B95" i="23"/>
  <c r="B96" i="23"/>
  <c r="B97" i="23"/>
  <c r="B33" i="23"/>
  <c r="B30" i="23"/>
  <c r="B31" i="23"/>
  <c r="B32" i="23"/>
  <c r="C209" i="21"/>
  <c r="C280" i="21" s="1"/>
  <c r="C210" i="21"/>
  <c r="C281" i="21" s="1"/>
  <c r="C211" i="21"/>
  <c r="C282" i="21" s="1"/>
  <c r="B209" i="21"/>
  <c r="B280" i="21" s="1"/>
  <c r="B210" i="21"/>
  <c r="B281" i="21" s="1"/>
  <c r="B211" i="21"/>
  <c r="B282" i="21" s="1"/>
  <c r="C95" i="21"/>
  <c r="C152" i="21" s="1"/>
  <c r="C94" i="21"/>
  <c r="C151" i="21" s="1"/>
  <c r="C93" i="21"/>
  <c r="C150" i="21" s="1"/>
  <c r="C33" i="21"/>
  <c r="C34" i="21"/>
  <c r="C35" i="21"/>
  <c r="B33" i="21"/>
  <c r="B34" i="21"/>
  <c r="B35" i="21"/>
  <c r="J68" i="8"/>
  <c r="F66" i="8"/>
  <c r="F67" i="8"/>
  <c r="F68" i="8"/>
  <c r="G66" i="8"/>
  <c r="G67" i="8"/>
  <c r="J67" i="8" s="1"/>
  <c r="G68" i="8"/>
  <c r="J66" i="8" l="1"/>
  <c r="BZ21" i="43"/>
  <c r="BZ20" i="43"/>
  <c r="BZ19" i="43"/>
  <c r="BZ18" i="43"/>
  <c r="BZ17" i="43"/>
  <c r="BZ16" i="43"/>
  <c r="BZ15" i="43"/>
  <c r="BZ14" i="43"/>
  <c r="BZ13" i="43"/>
  <c r="BZ12" i="43"/>
  <c r="BZ11" i="43"/>
  <c r="BZ10" i="43"/>
  <c r="BZ9" i="43"/>
  <c r="BZ8" i="43"/>
  <c r="BZ7" i="43"/>
  <c r="BZ6" i="43"/>
  <c r="BZ5" i="43"/>
  <c r="BZ4" i="43"/>
  <c r="BY4" i="43"/>
  <c r="BX21" i="43"/>
  <c r="BX20" i="43"/>
  <c r="BX19" i="43"/>
  <c r="BX18" i="43"/>
  <c r="BX17" i="43"/>
  <c r="BX16" i="43"/>
  <c r="BX15" i="43"/>
  <c r="BX14" i="43"/>
  <c r="BX13" i="43"/>
  <c r="BX12" i="43"/>
  <c r="BX11" i="43"/>
  <c r="BX10" i="43"/>
  <c r="BX9" i="43"/>
  <c r="BX6" i="43"/>
  <c r="BX5" i="43"/>
  <c r="BX4" i="43"/>
  <c r="BW21" i="43"/>
  <c r="BW20" i="43"/>
  <c r="BW19" i="43"/>
  <c r="BW18" i="43"/>
  <c r="BW17" i="43"/>
  <c r="BW16" i="43"/>
  <c r="BW15" i="43"/>
  <c r="BW14" i="43"/>
  <c r="BW13" i="43"/>
  <c r="BW12" i="43"/>
  <c r="BW11" i="43"/>
  <c r="BW10" i="43"/>
  <c r="BW9" i="43"/>
  <c r="BW6" i="43"/>
  <c r="BW5" i="43"/>
  <c r="BW4" i="43"/>
  <c r="BQ21" i="43"/>
  <c r="BQ20" i="43"/>
  <c r="BQ19" i="43"/>
  <c r="BQ18" i="43"/>
  <c r="BQ17" i="43"/>
  <c r="BQ16" i="43"/>
  <c r="BQ15" i="43"/>
  <c r="BQ14" i="43"/>
  <c r="BQ13" i="43"/>
  <c r="BQ12" i="43"/>
  <c r="BQ11" i="43"/>
  <c r="BQ10" i="43"/>
  <c r="BQ9" i="43"/>
  <c r="BQ8" i="43"/>
  <c r="BQ7" i="43"/>
  <c r="BQ6" i="43"/>
  <c r="BQ5" i="43"/>
  <c r="BQ4" i="43"/>
  <c r="BP4" i="43"/>
  <c r="BO21" i="43"/>
  <c r="BO20" i="43"/>
  <c r="BO19" i="43"/>
  <c r="BO18" i="43"/>
  <c r="BO17" i="43"/>
  <c r="BO16" i="43"/>
  <c r="BO15" i="43"/>
  <c r="BO14" i="43"/>
  <c r="BO13" i="43"/>
  <c r="BO12" i="43"/>
  <c r="BO11" i="43"/>
  <c r="BO10" i="43"/>
  <c r="BO9" i="43"/>
  <c r="BO6" i="43"/>
  <c r="BO5" i="43"/>
  <c r="BO4" i="43"/>
  <c r="BN21" i="43"/>
  <c r="BN20" i="43"/>
  <c r="BN19" i="43"/>
  <c r="BN18" i="43"/>
  <c r="BN17" i="43"/>
  <c r="BN16" i="43"/>
  <c r="BN15" i="43"/>
  <c r="BN14" i="43"/>
  <c r="BN13" i="43"/>
  <c r="BN12" i="43"/>
  <c r="BN11" i="43"/>
  <c r="BN10" i="43"/>
  <c r="BN9" i="43"/>
  <c r="BN6" i="43"/>
  <c r="BN5" i="43"/>
  <c r="BN4" i="43"/>
  <c r="BH21" i="43"/>
  <c r="BH20" i="43"/>
  <c r="BH19" i="43"/>
  <c r="BH18" i="43"/>
  <c r="BH17" i="43"/>
  <c r="BH16" i="43"/>
  <c r="BH15" i="43"/>
  <c r="BH14" i="43"/>
  <c r="BH13" i="43"/>
  <c r="BH12" i="43"/>
  <c r="BH11" i="43"/>
  <c r="BH10" i="43"/>
  <c r="BH9" i="43"/>
  <c r="BH8" i="43"/>
  <c r="BH7" i="43"/>
  <c r="BH6" i="43"/>
  <c r="BH5" i="43"/>
  <c r="BH4" i="43"/>
  <c r="BG4" i="43"/>
  <c r="BF21" i="43"/>
  <c r="BF20" i="43"/>
  <c r="BF19" i="43"/>
  <c r="BF18" i="43"/>
  <c r="BF17" i="43"/>
  <c r="BF16" i="43"/>
  <c r="BF15" i="43"/>
  <c r="BF14" i="43"/>
  <c r="BF13" i="43"/>
  <c r="BF12" i="43"/>
  <c r="BF11" i="43"/>
  <c r="BF10" i="43"/>
  <c r="BF9" i="43"/>
  <c r="BF6" i="43"/>
  <c r="BF5" i="43"/>
  <c r="BF4" i="43"/>
  <c r="BE21" i="43"/>
  <c r="BE20" i="43"/>
  <c r="BE19" i="43"/>
  <c r="BE18" i="43"/>
  <c r="BE17" i="43"/>
  <c r="BE16" i="43"/>
  <c r="BE15" i="43"/>
  <c r="BE14" i="43"/>
  <c r="BE13" i="43"/>
  <c r="BE12" i="43"/>
  <c r="BE11" i="43"/>
  <c r="BE10" i="43"/>
  <c r="BE9" i="43"/>
  <c r="BE6" i="43"/>
  <c r="BE5" i="43"/>
  <c r="BE4" i="43"/>
  <c r="AY21" i="43"/>
  <c r="AY20" i="43"/>
  <c r="AY19" i="43"/>
  <c r="AY18" i="43"/>
  <c r="AY17" i="43"/>
  <c r="AY16" i="43"/>
  <c r="AY15" i="43"/>
  <c r="AY14" i="43"/>
  <c r="AY13" i="43"/>
  <c r="AY12" i="43"/>
  <c r="AY11" i="43"/>
  <c r="AY10" i="43"/>
  <c r="AY9" i="43"/>
  <c r="AY8" i="43"/>
  <c r="AY7" i="43"/>
  <c r="AY6" i="43"/>
  <c r="AY5" i="43"/>
  <c r="AY4" i="43"/>
  <c r="AX4" i="43"/>
  <c r="AW21" i="43"/>
  <c r="AW20" i="43"/>
  <c r="AW19" i="43"/>
  <c r="AW18" i="43"/>
  <c r="AW17" i="43"/>
  <c r="AW16" i="43"/>
  <c r="AW15" i="43"/>
  <c r="AW14" i="43"/>
  <c r="AW13" i="43"/>
  <c r="AW12" i="43"/>
  <c r="AW11" i="43"/>
  <c r="AW10" i="43"/>
  <c r="AW9" i="43"/>
  <c r="AW6" i="43"/>
  <c r="AW5" i="43"/>
  <c r="AW4" i="43"/>
  <c r="AV21" i="43"/>
  <c r="AV20" i="43"/>
  <c r="AV19" i="43"/>
  <c r="AV18" i="43"/>
  <c r="AV17" i="43"/>
  <c r="AV16" i="43"/>
  <c r="AV15" i="43"/>
  <c r="AV14" i="43"/>
  <c r="AV13" i="43"/>
  <c r="AV12" i="43"/>
  <c r="AV11" i="43"/>
  <c r="AV10" i="43"/>
  <c r="AV9" i="43"/>
  <c r="AV6" i="43"/>
  <c r="AV5" i="43"/>
  <c r="AV4" i="43"/>
  <c r="AP21" i="43"/>
  <c r="AP20" i="43"/>
  <c r="AP19" i="43"/>
  <c r="AP18" i="43"/>
  <c r="AP17" i="43"/>
  <c r="AP16" i="43"/>
  <c r="AP15" i="43"/>
  <c r="AP14" i="43"/>
  <c r="AP13" i="43"/>
  <c r="AP12" i="43"/>
  <c r="AP11" i="43"/>
  <c r="AP10" i="43"/>
  <c r="AP9" i="43"/>
  <c r="AP8" i="43"/>
  <c r="AP7" i="43"/>
  <c r="AP6" i="43"/>
  <c r="AP5" i="43"/>
  <c r="AP4" i="43"/>
  <c r="AO4" i="43"/>
  <c r="AN21" i="43"/>
  <c r="AN20" i="43"/>
  <c r="AN19" i="43"/>
  <c r="AN18" i="43"/>
  <c r="AN17" i="43"/>
  <c r="AN16" i="43"/>
  <c r="AN15" i="43"/>
  <c r="AN14" i="43"/>
  <c r="AN13" i="43"/>
  <c r="AN12" i="43"/>
  <c r="AN11" i="43"/>
  <c r="AN10" i="43"/>
  <c r="AN9" i="43"/>
  <c r="AN6" i="43"/>
  <c r="AN5" i="43"/>
  <c r="AN4" i="43"/>
  <c r="AM21" i="43"/>
  <c r="AM20" i="43"/>
  <c r="AM19" i="43"/>
  <c r="AM18" i="43"/>
  <c r="AM17" i="43"/>
  <c r="AM16" i="43"/>
  <c r="AM15" i="43"/>
  <c r="AM14" i="43"/>
  <c r="AM13" i="43"/>
  <c r="AM12" i="43"/>
  <c r="AM11" i="43"/>
  <c r="AM10" i="43"/>
  <c r="AM9" i="43"/>
  <c r="AM6" i="43"/>
  <c r="AM5" i="43"/>
  <c r="AM4" i="43"/>
  <c r="AG21" i="43"/>
  <c r="AG20" i="43"/>
  <c r="AG19" i="43"/>
  <c r="AG18" i="43"/>
  <c r="AG17" i="43"/>
  <c r="AG16" i="43"/>
  <c r="AG15" i="43"/>
  <c r="AG14" i="43"/>
  <c r="AG13" i="43"/>
  <c r="AG12" i="43"/>
  <c r="AG11" i="43"/>
  <c r="AG10" i="43"/>
  <c r="AG9" i="43"/>
  <c r="AG8" i="43"/>
  <c r="AG7" i="43"/>
  <c r="AG6" i="43"/>
  <c r="AG5" i="43"/>
  <c r="AG4" i="43"/>
  <c r="AF4" i="43"/>
  <c r="AE21" i="43"/>
  <c r="AE20" i="43"/>
  <c r="AE19" i="43"/>
  <c r="AE18" i="43"/>
  <c r="AE17" i="43"/>
  <c r="AE16" i="43"/>
  <c r="AE15" i="43"/>
  <c r="AE14" i="43"/>
  <c r="AE13" i="43"/>
  <c r="AE12" i="43"/>
  <c r="AE11" i="43"/>
  <c r="AE10" i="43"/>
  <c r="AE9" i="43"/>
  <c r="AE6" i="43"/>
  <c r="AE5" i="43"/>
  <c r="AE4" i="43"/>
  <c r="AD21" i="43"/>
  <c r="AD20" i="43"/>
  <c r="AD19" i="43"/>
  <c r="AD18" i="43"/>
  <c r="AD17" i="43"/>
  <c r="AD16" i="43"/>
  <c r="AD15" i="43"/>
  <c r="AD14" i="43"/>
  <c r="AD13" i="43"/>
  <c r="AD12" i="43"/>
  <c r="AD11" i="43"/>
  <c r="AD10" i="43"/>
  <c r="AD9" i="43"/>
  <c r="AD6" i="43"/>
  <c r="AD5" i="43"/>
  <c r="AD4" i="43"/>
  <c r="X21" i="43"/>
  <c r="X20" i="43"/>
  <c r="X19" i="43"/>
  <c r="X18" i="43"/>
  <c r="X17" i="43"/>
  <c r="X16" i="43"/>
  <c r="X15" i="43"/>
  <c r="X14" i="43"/>
  <c r="X13" i="43"/>
  <c r="X12" i="43"/>
  <c r="X11" i="43"/>
  <c r="X10" i="43"/>
  <c r="X9" i="43"/>
  <c r="X8" i="43"/>
  <c r="X7" i="43"/>
  <c r="X6" i="43"/>
  <c r="X5" i="43"/>
  <c r="X4" i="43"/>
  <c r="W4" i="43"/>
  <c r="V21" i="43"/>
  <c r="V20" i="43"/>
  <c r="V19" i="43"/>
  <c r="V18" i="43"/>
  <c r="V17" i="43"/>
  <c r="V16" i="43"/>
  <c r="V15" i="43"/>
  <c r="V14" i="43"/>
  <c r="V13" i="43"/>
  <c r="V12" i="43"/>
  <c r="V11" i="43"/>
  <c r="V10" i="43"/>
  <c r="V9" i="43"/>
  <c r="V6" i="43"/>
  <c r="V5" i="43"/>
  <c r="V4" i="43"/>
  <c r="U21" i="43"/>
  <c r="U20" i="43"/>
  <c r="U19" i="43"/>
  <c r="U18" i="43"/>
  <c r="U17" i="43"/>
  <c r="U16" i="43"/>
  <c r="U15" i="43"/>
  <c r="U14" i="43"/>
  <c r="U13" i="43"/>
  <c r="U12" i="43"/>
  <c r="U11" i="43"/>
  <c r="U10" i="43"/>
  <c r="U9" i="43"/>
  <c r="U6" i="43"/>
  <c r="U5" i="43"/>
  <c r="U4" i="43"/>
  <c r="O21" i="43"/>
  <c r="O20" i="43"/>
  <c r="O19" i="43"/>
  <c r="O18" i="43"/>
  <c r="O17" i="43"/>
  <c r="O16" i="43"/>
  <c r="O15" i="43"/>
  <c r="O14" i="43"/>
  <c r="O13" i="43"/>
  <c r="O12" i="43"/>
  <c r="O11" i="43"/>
  <c r="O10" i="43"/>
  <c r="O9" i="43"/>
  <c r="O8" i="43"/>
  <c r="O7" i="43"/>
  <c r="O6" i="43"/>
  <c r="O5" i="43"/>
  <c r="O4" i="43"/>
  <c r="N4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6" i="43"/>
  <c r="M5" i="43"/>
  <c r="M4" i="43"/>
  <c r="L21" i="43"/>
  <c r="L20" i="43"/>
  <c r="L19" i="43"/>
  <c r="L18" i="43"/>
  <c r="L17" i="43"/>
  <c r="L16" i="43"/>
  <c r="L15" i="43"/>
  <c r="L14" i="43"/>
  <c r="L13" i="43"/>
  <c r="L12" i="43"/>
  <c r="L11" i="43"/>
  <c r="L10" i="43"/>
  <c r="L9" i="43"/>
  <c r="L6" i="43"/>
  <c r="L5" i="43"/>
  <c r="L4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" i="43"/>
  <c r="F4" i="43"/>
  <c r="E4" i="43"/>
  <c r="E5" i="43" s="1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D5" i="43"/>
  <c r="D4" i="43"/>
  <c r="C21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C4" i="43"/>
  <c r="B5" i="43" l="1"/>
  <c r="B13" i="43"/>
  <c r="B7" i="43"/>
  <c r="B9" i="43"/>
  <c r="B14" i="43"/>
  <c r="AR13" i="43"/>
  <c r="AR9" i="43"/>
  <c r="B21" i="43"/>
  <c r="BJ21" i="43" s="1"/>
  <c r="B19" i="43"/>
  <c r="AZ19" i="43" s="1"/>
  <c r="B18" i="43"/>
  <c r="Y18" i="43" s="1"/>
  <c r="B17" i="43"/>
  <c r="AR17" i="43" s="1"/>
  <c r="B16" i="43"/>
  <c r="Y16" i="43" s="1"/>
  <c r="B15" i="43"/>
  <c r="Y15" i="43" s="1"/>
  <c r="Y14" i="43"/>
  <c r="AR14" i="43"/>
  <c r="Y13" i="43"/>
  <c r="B12" i="43"/>
  <c r="Y12" i="43" s="1"/>
  <c r="B11" i="43"/>
  <c r="Y11" i="43" s="1"/>
  <c r="B10" i="43"/>
  <c r="AR10" i="43" s="1"/>
  <c r="Y9" i="43"/>
  <c r="B8" i="43"/>
  <c r="Y8" i="43" s="1"/>
  <c r="B20" i="43"/>
  <c r="G20" i="43" s="1"/>
  <c r="Y7" i="43"/>
  <c r="B6" i="43"/>
  <c r="Y6" i="43" s="1"/>
  <c r="Y5" i="43"/>
  <c r="AR5" i="43"/>
  <c r="B4" i="43"/>
  <c r="Y4" i="43" s="1"/>
  <c r="BR21" i="43" l="1"/>
  <c r="BS21" i="43"/>
  <c r="G21" i="43"/>
  <c r="BI21" i="43"/>
  <c r="Y21" i="43"/>
  <c r="AI21" i="43"/>
  <c r="AR21" i="43"/>
  <c r="Z21" i="43"/>
  <c r="CA21" i="43"/>
  <c r="H21" i="43"/>
  <c r="CB21" i="43"/>
  <c r="AQ21" i="43"/>
  <c r="Q21" i="43"/>
  <c r="BA21" i="43"/>
  <c r="P21" i="43"/>
  <c r="AH21" i="43"/>
  <c r="AZ21" i="43"/>
  <c r="BI19" i="43"/>
  <c r="Y19" i="43"/>
  <c r="AQ19" i="43"/>
  <c r="CB19" i="43"/>
  <c r="AI19" i="43"/>
  <c r="AH19" i="43"/>
  <c r="BJ19" i="43"/>
  <c r="H19" i="43"/>
  <c r="G19" i="43"/>
  <c r="P19" i="43"/>
  <c r="BR19" i="43"/>
  <c r="BS19" i="43"/>
  <c r="Q19" i="43"/>
  <c r="BA19" i="43"/>
  <c r="Z19" i="43"/>
  <c r="CA19" i="43"/>
  <c r="AR19" i="43"/>
  <c r="AR18" i="43"/>
  <c r="Y17" i="43"/>
  <c r="AR16" i="43"/>
  <c r="AR15" i="43"/>
  <c r="AR12" i="43"/>
  <c r="AR11" i="43"/>
  <c r="Y10" i="43"/>
  <c r="CB20" i="43"/>
  <c r="AZ20" i="43"/>
  <c r="AI20" i="43"/>
  <c r="P20" i="43"/>
  <c r="BI20" i="43"/>
  <c r="AQ20" i="43"/>
  <c r="Y20" i="43"/>
  <c r="BR20" i="43"/>
  <c r="Z20" i="43"/>
  <c r="BS20" i="43"/>
  <c r="AH20" i="43"/>
  <c r="H20" i="43"/>
  <c r="BJ20" i="43"/>
  <c r="BA20" i="43"/>
  <c r="Q20" i="43"/>
  <c r="AR20" i="43"/>
  <c r="CA20" i="43"/>
  <c r="AR6" i="43"/>
  <c r="AR4" i="43"/>
  <c r="A41" i="43"/>
  <c r="B64" i="43" s="1"/>
  <c r="CF21" i="43" l="1"/>
  <c r="C65" i="43" s="1"/>
  <c r="CF19" i="43"/>
  <c r="C63" i="43" s="1"/>
  <c r="CF20" i="43"/>
  <c r="C64" i="43" s="1"/>
  <c r="B65" i="43"/>
  <c r="B63" i="43"/>
  <c r="C154" i="46"/>
  <c r="C154" i="45"/>
  <c r="C154" i="44"/>
  <c r="C154" i="41"/>
  <c r="C151" i="40"/>
  <c r="B159" i="40"/>
  <c r="B158" i="40"/>
  <c r="B157" i="40"/>
  <c r="B156" i="40"/>
  <c r="B155" i="40"/>
  <c r="C154" i="40"/>
  <c r="B154" i="40"/>
  <c r="B153" i="40"/>
  <c r="B152" i="40"/>
  <c r="B159" i="39"/>
  <c r="B158" i="39"/>
  <c r="B157" i="39"/>
  <c r="B155" i="39"/>
  <c r="C154" i="39"/>
  <c r="B153" i="39"/>
  <c r="B152" i="39"/>
  <c r="B159" i="38"/>
  <c r="B158" i="38"/>
  <c r="B157" i="38"/>
  <c r="B156" i="38"/>
  <c r="B155" i="38"/>
  <c r="C154" i="38"/>
  <c r="B154" i="38"/>
  <c r="B153" i="38"/>
  <c r="B152" i="38"/>
  <c r="B159" i="37"/>
  <c r="B158" i="37"/>
  <c r="B157" i="37"/>
  <c r="B156" i="37"/>
  <c r="B155" i="37"/>
  <c r="C154" i="37"/>
  <c r="B154" i="37"/>
  <c r="B153" i="37"/>
  <c r="B152" i="37"/>
  <c r="B159" i="36"/>
  <c r="B158" i="36"/>
  <c r="B157" i="36"/>
  <c r="B156" i="36"/>
  <c r="B155" i="36"/>
  <c r="C154" i="36"/>
  <c r="B154" i="36"/>
  <c r="B153" i="36"/>
  <c r="B152" i="36"/>
  <c r="B151" i="36"/>
  <c r="B159" i="35"/>
  <c r="B158" i="35"/>
  <c r="B157" i="35"/>
  <c r="B156" i="35"/>
  <c r="C154" i="35"/>
  <c r="B154" i="35"/>
  <c r="B153" i="35"/>
  <c r="B152" i="35"/>
  <c r="B159" i="34"/>
  <c r="B158" i="34"/>
  <c r="B157" i="34"/>
  <c r="B156" i="34"/>
  <c r="B155" i="34"/>
  <c r="C154" i="34"/>
  <c r="B154" i="34"/>
  <c r="B153" i="34"/>
  <c r="B152" i="34"/>
  <c r="B151" i="34"/>
  <c r="B159" i="33"/>
  <c r="B158" i="33"/>
  <c r="B157" i="33"/>
  <c r="B156" i="33"/>
  <c r="B155" i="33"/>
  <c r="C154" i="33"/>
  <c r="B154" i="33"/>
  <c r="B153" i="33"/>
  <c r="B152" i="33"/>
  <c r="B159" i="32"/>
  <c r="B158" i="32"/>
  <c r="B157" i="32"/>
  <c r="B156" i="32"/>
  <c r="B155" i="32"/>
  <c r="B154" i="32"/>
  <c r="B153" i="32"/>
  <c r="B152" i="32"/>
  <c r="B151" i="32"/>
  <c r="B151" i="31"/>
  <c r="B151" i="30"/>
  <c r="B159" i="29"/>
  <c r="B158" i="29"/>
  <c r="B157" i="29"/>
  <c r="B156" i="29"/>
  <c r="B155" i="29"/>
  <c r="C154" i="29"/>
  <c r="B154" i="29"/>
  <c r="B153" i="29"/>
  <c r="B152" i="29"/>
  <c r="B151" i="29"/>
  <c r="B159" i="28"/>
  <c r="B158" i="28"/>
  <c r="B157" i="28"/>
  <c r="B156" i="28"/>
  <c r="B155" i="28"/>
  <c r="C154" i="28"/>
  <c r="B154" i="28"/>
  <c r="B153" i="28"/>
  <c r="B152" i="28"/>
  <c r="B151" i="28"/>
  <c r="B159" i="42"/>
  <c r="B158" i="42"/>
  <c r="B157" i="42"/>
  <c r="B156" i="42"/>
  <c r="B155" i="42"/>
  <c r="C154" i="42"/>
  <c r="B154" i="42"/>
  <c r="B153" i="42"/>
  <c r="B152" i="42"/>
  <c r="B151" i="42"/>
  <c r="E160" i="46" l="1"/>
  <c r="D160" i="46"/>
  <c r="E160" i="45"/>
  <c r="D160" i="45"/>
  <c r="E160" i="44"/>
  <c r="D160" i="44"/>
  <c r="E160" i="41"/>
  <c r="D160" i="41"/>
  <c r="E160" i="40"/>
  <c r="D160" i="40"/>
  <c r="E160" i="39"/>
  <c r="D160" i="39"/>
  <c r="E160" i="38"/>
  <c r="D160" i="38"/>
  <c r="E160" i="37"/>
  <c r="D160" i="37"/>
  <c r="E160" i="36"/>
  <c r="D160" i="36"/>
  <c r="E160" i="35"/>
  <c r="D160" i="35"/>
  <c r="E160" i="34"/>
  <c r="D160" i="34"/>
  <c r="E160" i="33"/>
  <c r="D160" i="33"/>
  <c r="E160" i="32"/>
  <c r="D160" i="32"/>
  <c r="E160" i="31"/>
  <c r="D160" i="31"/>
  <c r="E160" i="30"/>
  <c r="D160" i="30"/>
  <c r="E160" i="29"/>
  <c r="D160" i="29"/>
  <c r="E160" i="28"/>
  <c r="D160" i="28"/>
  <c r="E160" i="42"/>
  <c r="D160" i="42"/>
  <c r="BX8" i="43" l="1"/>
  <c r="BX7" i="43"/>
  <c r="BW7" i="43"/>
  <c r="BW8" i="43"/>
  <c r="BO8" i="43"/>
  <c r="BO7" i="43"/>
  <c r="BN8" i="43"/>
  <c r="BN7" i="43"/>
  <c r="BF8" i="43"/>
  <c r="BF7" i="43"/>
  <c r="BE8" i="43"/>
  <c r="BE7" i="43"/>
  <c r="AW8" i="43"/>
  <c r="AW7" i="43"/>
  <c r="AV8" i="43"/>
  <c r="AV7" i="43"/>
  <c r="AN8" i="43"/>
  <c r="AN7" i="43"/>
  <c r="AM8" i="43"/>
  <c r="AR8" i="43" s="1"/>
  <c r="AM7" i="43"/>
  <c r="AR7" i="43" s="1"/>
  <c r="AE7" i="43"/>
  <c r="AE8" i="43"/>
  <c r="AD7" i="43"/>
  <c r="AD8" i="43"/>
  <c r="V8" i="43"/>
  <c r="V7" i="43"/>
  <c r="U8" i="43"/>
  <c r="U7" i="43"/>
  <c r="M8" i="43"/>
  <c r="M7" i="43"/>
  <c r="L8" i="43"/>
  <c r="L7" i="43"/>
  <c r="B159" i="31"/>
  <c r="F159" i="31" s="1"/>
  <c r="B158" i="31"/>
  <c r="F158" i="31" s="1"/>
  <c r="B156" i="31"/>
  <c r="F156" i="31" s="1"/>
  <c r="B157" i="31"/>
  <c r="F157" i="31" s="1"/>
  <c r="C154" i="31"/>
  <c r="G154" i="31" s="1"/>
  <c r="B154" i="31"/>
  <c r="F154" i="31" s="1"/>
  <c r="B153" i="31"/>
  <c r="F153" i="31" s="1"/>
  <c r="B152" i="31"/>
  <c r="F152" i="31" s="1"/>
  <c r="B159" i="30"/>
  <c r="F159" i="30" s="1"/>
  <c r="B158" i="30"/>
  <c r="F158" i="30" s="1"/>
  <c r="B157" i="30"/>
  <c r="F157" i="30" s="1"/>
  <c r="B154" i="30"/>
  <c r="F154" i="30" s="1"/>
  <c r="B156" i="30"/>
  <c r="F156" i="30" s="1"/>
  <c r="C154" i="30"/>
  <c r="G154" i="30" s="1"/>
  <c r="B153" i="30"/>
  <c r="F153" i="30" s="1"/>
  <c r="B152" i="30"/>
  <c r="F152" i="30" s="1"/>
  <c r="B156" i="46"/>
  <c r="F156" i="46" s="1"/>
  <c r="B157" i="46"/>
  <c r="F157" i="46" s="1"/>
  <c r="B155" i="45"/>
  <c r="F155" i="45" s="1"/>
  <c r="C159" i="45"/>
  <c r="G159" i="45" s="1"/>
  <c r="B153" i="46"/>
  <c r="F153" i="46" s="1"/>
  <c r="B158" i="46"/>
  <c r="F158" i="46" s="1"/>
  <c r="C157" i="46"/>
  <c r="G157" i="46" s="1"/>
  <c r="B151" i="46"/>
  <c r="F151" i="46" s="1"/>
  <c r="C152" i="46"/>
  <c r="G152" i="46" s="1"/>
  <c r="C156" i="46"/>
  <c r="G156" i="46" s="1"/>
  <c r="C158" i="46"/>
  <c r="G158" i="46" s="1"/>
  <c r="C151" i="46"/>
  <c r="G151" i="46" s="1"/>
  <c r="C153" i="46"/>
  <c r="G153" i="46" s="1"/>
  <c r="B154" i="46"/>
  <c r="F154" i="46" s="1"/>
  <c r="C155" i="46"/>
  <c r="G155" i="46" s="1"/>
  <c r="B159" i="46"/>
  <c r="F159" i="46" s="1"/>
  <c r="B152" i="46"/>
  <c r="F152" i="46" s="1"/>
  <c r="G154" i="46"/>
  <c r="B155" i="46"/>
  <c r="F155" i="46" s="1"/>
  <c r="C159" i="46"/>
  <c r="G159" i="46" s="1"/>
  <c r="G154" i="44"/>
  <c r="B155" i="44"/>
  <c r="F155" i="44" s="1"/>
  <c r="C159" i="44"/>
  <c r="G159" i="44" s="1"/>
  <c r="B153" i="45"/>
  <c r="F153" i="45" s="1"/>
  <c r="G154" i="45"/>
  <c r="B156" i="45"/>
  <c r="F156" i="45" s="1"/>
  <c r="B157" i="45"/>
  <c r="F157" i="45" s="1"/>
  <c r="B158" i="45"/>
  <c r="F158" i="45" s="1"/>
  <c r="B151" i="45"/>
  <c r="F151" i="45" s="1"/>
  <c r="C155" i="45"/>
  <c r="G155" i="45" s="1"/>
  <c r="C152" i="45"/>
  <c r="G152" i="45" s="1"/>
  <c r="C153" i="45"/>
  <c r="G153" i="45" s="1"/>
  <c r="C156" i="45"/>
  <c r="G156" i="45" s="1"/>
  <c r="C157" i="45"/>
  <c r="G157" i="45" s="1"/>
  <c r="C158" i="45"/>
  <c r="G158" i="45" s="1"/>
  <c r="C151" i="45"/>
  <c r="G151" i="45" s="1"/>
  <c r="B154" i="45"/>
  <c r="F154" i="45" s="1"/>
  <c r="B159" i="45"/>
  <c r="F159" i="45" s="1"/>
  <c r="B152" i="45"/>
  <c r="F152" i="45" s="1"/>
  <c r="G154" i="41"/>
  <c r="C159" i="41"/>
  <c r="G159" i="41" s="1"/>
  <c r="B153" i="44"/>
  <c r="F153" i="44" s="1"/>
  <c r="B156" i="44"/>
  <c r="F156" i="44" s="1"/>
  <c r="B157" i="44"/>
  <c r="F157" i="44" s="1"/>
  <c r="B158" i="44"/>
  <c r="F158" i="44" s="1"/>
  <c r="B151" i="44"/>
  <c r="F151" i="44" s="1"/>
  <c r="C152" i="44"/>
  <c r="G152" i="44" s="1"/>
  <c r="C155" i="44"/>
  <c r="G155" i="44" s="1"/>
  <c r="C153" i="44"/>
  <c r="G153" i="44" s="1"/>
  <c r="C156" i="44"/>
  <c r="G156" i="44" s="1"/>
  <c r="C157" i="44"/>
  <c r="G157" i="44" s="1"/>
  <c r="C158" i="44"/>
  <c r="G158" i="44" s="1"/>
  <c r="C151" i="44"/>
  <c r="G151" i="44" s="1"/>
  <c r="B154" i="44"/>
  <c r="F154" i="44" s="1"/>
  <c r="B159" i="44"/>
  <c r="F159" i="44" s="1"/>
  <c r="B152" i="44"/>
  <c r="F152" i="44" s="1"/>
  <c r="B156" i="41"/>
  <c r="F156" i="41" s="1"/>
  <c r="B151" i="41"/>
  <c r="F151" i="41" s="1"/>
  <c r="C152" i="41"/>
  <c r="G152" i="41" s="1"/>
  <c r="B157" i="41"/>
  <c r="F157" i="41" s="1"/>
  <c r="C155" i="41"/>
  <c r="G155" i="41" s="1"/>
  <c r="B158" i="41"/>
  <c r="F158" i="41" s="1"/>
  <c r="C153" i="41"/>
  <c r="G153" i="41" s="1"/>
  <c r="C156" i="41"/>
  <c r="G156" i="41" s="1"/>
  <c r="C157" i="41"/>
  <c r="G157" i="41" s="1"/>
  <c r="C158" i="41"/>
  <c r="G158" i="41" s="1"/>
  <c r="C159" i="40"/>
  <c r="G159" i="40" s="1"/>
  <c r="B153" i="41"/>
  <c r="F153" i="41" s="1"/>
  <c r="B155" i="41"/>
  <c r="F155" i="41" s="1"/>
  <c r="C151" i="41"/>
  <c r="G151" i="41" s="1"/>
  <c r="G154" i="40"/>
  <c r="B152" i="41"/>
  <c r="F152" i="41" s="1"/>
  <c r="B154" i="41"/>
  <c r="F154" i="41" s="1"/>
  <c r="B159" i="41"/>
  <c r="F159" i="41" s="1"/>
  <c r="G154" i="39"/>
  <c r="F155" i="39"/>
  <c r="C159" i="39"/>
  <c r="G159" i="39" s="1"/>
  <c r="F153" i="40"/>
  <c r="F155" i="40"/>
  <c r="F156" i="40"/>
  <c r="F157" i="40"/>
  <c r="F158" i="40"/>
  <c r="B151" i="40"/>
  <c r="F151" i="40" s="1"/>
  <c r="C152" i="40"/>
  <c r="G152" i="40" s="1"/>
  <c r="C155" i="40"/>
  <c r="G155" i="40" s="1"/>
  <c r="C153" i="40"/>
  <c r="G153" i="40" s="1"/>
  <c r="C156" i="40"/>
  <c r="G156" i="40" s="1"/>
  <c r="C157" i="40"/>
  <c r="G157" i="40" s="1"/>
  <c r="C158" i="40"/>
  <c r="G158" i="40" s="1"/>
  <c r="G151" i="40"/>
  <c r="F154" i="40"/>
  <c r="F152" i="40"/>
  <c r="F159" i="40"/>
  <c r="G154" i="38"/>
  <c r="F155" i="38"/>
  <c r="C159" i="38"/>
  <c r="G159" i="38" s="1"/>
  <c r="F153" i="39"/>
  <c r="B156" i="39"/>
  <c r="F156" i="39" s="1"/>
  <c r="F157" i="39"/>
  <c r="F158" i="39"/>
  <c r="B151" i="39"/>
  <c r="F151" i="39" s="1"/>
  <c r="C152" i="39"/>
  <c r="G152" i="39" s="1"/>
  <c r="C155" i="39"/>
  <c r="G155" i="39" s="1"/>
  <c r="C153" i="39"/>
  <c r="G153" i="39" s="1"/>
  <c r="C156" i="39"/>
  <c r="G156" i="39" s="1"/>
  <c r="C157" i="39"/>
  <c r="G157" i="39" s="1"/>
  <c r="C158" i="39"/>
  <c r="G158" i="39" s="1"/>
  <c r="C151" i="39"/>
  <c r="G151" i="39" s="1"/>
  <c r="B154" i="39"/>
  <c r="F154" i="39" s="1"/>
  <c r="F159" i="39"/>
  <c r="F152" i="39"/>
  <c r="G154" i="37"/>
  <c r="F155" i="37"/>
  <c r="C159" i="37"/>
  <c r="G159" i="37" s="1"/>
  <c r="F153" i="38"/>
  <c r="F156" i="38"/>
  <c r="F157" i="38"/>
  <c r="F158" i="38"/>
  <c r="B151" i="38"/>
  <c r="F151" i="38" s="1"/>
  <c r="C152" i="38"/>
  <c r="G152" i="38" s="1"/>
  <c r="C155" i="38"/>
  <c r="G155" i="38" s="1"/>
  <c r="C153" i="38"/>
  <c r="G153" i="38" s="1"/>
  <c r="C156" i="38"/>
  <c r="G156" i="38" s="1"/>
  <c r="C157" i="38"/>
  <c r="G157" i="38" s="1"/>
  <c r="C158" i="38"/>
  <c r="G158" i="38" s="1"/>
  <c r="C151" i="38"/>
  <c r="G151" i="38" s="1"/>
  <c r="F154" i="38"/>
  <c r="F159" i="38"/>
  <c r="F152" i="38"/>
  <c r="G154" i="36"/>
  <c r="F155" i="36"/>
  <c r="F153" i="37"/>
  <c r="F156" i="37"/>
  <c r="F157" i="37"/>
  <c r="F158" i="37"/>
  <c r="B151" i="37"/>
  <c r="F151" i="37" s="1"/>
  <c r="C152" i="37"/>
  <c r="G152" i="37" s="1"/>
  <c r="C155" i="37"/>
  <c r="G155" i="37" s="1"/>
  <c r="C153" i="37"/>
  <c r="G153" i="37" s="1"/>
  <c r="C156" i="37"/>
  <c r="G156" i="37" s="1"/>
  <c r="C157" i="37"/>
  <c r="G157" i="37" s="1"/>
  <c r="C158" i="37"/>
  <c r="G158" i="37" s="1"/>
  <c r="C151" i="37"/>
  <c r="G151" i="37" s="1"/>
  <c r="F154" i="37"/>
  <c r="F159" i="37"/>
  <c r="F152" i="37"/>
  <c r="C159" i="36"/>
  <c r="G159" i="36" s="1"/>
  <c r="G154" i="35"/>
  <c r="B155" i="35"/>
  <c r="F155" i="35" s="1"/>
  <c r="C159" i="35"/>
  <c r="G159" i="35" s="1"/>
  <c r="F153" i="36"/>
  <c r="F156" i="36"/>
  <c r="F157" i="36"/>
  <c r="F158" i="36"/>
  <c r="F151" i="36"/>
  <c r="C152" i="36"/>
  <c r="G152" i="36" s="1"/>
  <c r="C153" i="36"/>
  <c r="G153" i="36" s="1"/>
  <c r="C155" i="36"/>
  <c r="G155" i="36" s="1"/>
  <c r="C156" i="36"/>
  <c r="G156" i="36" s="1"/>
  <c r="C157" i="36"/>
  <c r="G157" i="36" s="1"/>
  <c r="C158" i="36"/>
  <c r="G158" i="36" s="1"/>
  <c r="C151" i="36"/>
  <c r="G151" i="36" s="1"/>
  <c r="F154" i="36"/>
  <c r="F159" i="36"/>
  <c r="F152" i="36"/>
  <c r="B151" i="35"/>
  <c r="F151" i="35" s="1"/>
  <c r="C152" i="35"/>
  <c r="G152" i="35" s="1"/>
  <c r="C159" i="34"/>
  <c r="G159" i="34" s="1"/>
  <c r="F156" i="35"/>
  <c r="C155" i="35"/>
  <c r="G155" i="35" s="1"/>
  <c r="G154" i="34"/>
  <c r="F153" i="35"/>
  <c r="C153" i="35"/>
  <c r="G153" i="35" s="1"/>
  <c r="C156" i="35"/>
  <c r="G156" i="35" s="1"/>
  <c r="C157" i="35"/>
  <c r="G157" i="35" s="1"/>
  <c r="C158" i="35"/>
  <c r="G158" i="35" s="1"/>
  <c r="C151" i="35"/>
  <c r="G151" i="35" s="1"/>
  <c r="F154" i="35"/>
  <c r="F159" i="35"/>
  <c r="F158" i="35"/>
  <c r="F155" i="34"/>
  <c r="F157" i="35"/>
  <c r="F152" i="35"/>
  <c r="G154" i="33"/>
  <c r="F155" i="33"/>
  <c r="C159" i="33"/>
  <c r="G159" i="33" s="1"/>
  <c r="F153" i="34"/>
  <c r="F156" i="34"/>
  <c r="F157" i="34"/>
  <c r="F158" i="34"/>
  <c r="F151" i="34"/>
  <c r="C152" i="34"/>
  <c r="G152" i="34" s="1"/>
  <c r="C156" i="34"/>
  <c r="G156" i="34" s="1"/>
  <c r="C158" i="34"/>
  <c r="G158" i="34" s="1"/>
  <c r="C151" i="34"/>
  <c r="G151" i="34" s="1"/>
  <c r="C153" i="34"/>
  <c r="G153" i="34" s="1"/>
  <c r="F154" i="34"/>
  <c r="C155" i="34"/>
  <c r="G155" i="34" s="1"/>
  <c r="C157" i="34"/>
  <c r="G157" i="34" s="1"/>
  <c r="F159" i="34"/>
  <c r="F152" i="34"/>
  <c r="F153" i="33"/>
  <c r="F153" i="32"/>
  <c r="F156" i="32"/>
  <c r="F157" i="32"/>
  <c r="F158" i="32"/>
  <c r="B151" i="33"/>
  <c r="F151" i="33" s="1"/>
  <c r="C152" i="33"/>
  <c r="G152" i="33" s="1"/>
  <c r="F156" i="33"/>
  <c r="C155" i="33"/>
  <c r="G155" i="33" s="1"/>
  <c r="C153" i="33"/>
  <c r="G153" i="33" s="1"/>
  <c r="C156" i="33"/>
  <c r="G156" i="33" s="1"/>
  <c r="C157" i="33"/>
  <c r="G157" i="33" s="1"/>
  <c r="C158" i="33"/>
  <c r="G158" i="33" s="1"/>
  <c r="F158" i="33"/>
  <c r="C151" i="33"/>
  <c r="G151" i="33" s="1"/>
  <c r="F154" i="33"/>
  <c r="F159" i="33"/>
  <c r="F157" i="33"/>
  <c r="F152" i="33"/>
  <c r="C154" i="32"/>
  <c r="G154" i="32" s="1"/>
  <c r="F155" i="32"/>
  <c r="C159" i="32"/>
  <c r="G159" i="32" s="1"/>
  <c r="B155" i="30"/>
  <c r="F155" i="30" s="1"/>
  <c r="C159" i="30"/>
  <c r="G159" i="30" s="1"/>
  <c r="F151" i="32"/>
  <c r="C152" i="32"/>
  <c r="G152" i="32" s="1"/>
  <c r="C155" i="32"/>
  <c r="G155" i="32" s="1"/>
  <c r="C156" i="32"/>
  <c r="G156" i="32" s="1"/>
  <c r="C158" i="32"/>
  <c r="G158" i="32" s="1"/>
  <c r="C151" i="32"/>
  <c r="G151" i="32" s="1"/>
  <c r="F154" i="32"/>
  <c r="F159" i="32"/>
  <c r="C153" i="32"/>
  <c r="G153" i="32" s="1"/>
  <c r="C157" i="32"/>
  <c r="G157" i="32" s="1"/>
  <c r="F152" i="32"/>
  <c r="B155" i="31"/>
  <c r="F155" i="31" s="1"/>
  <c r="C159" i="31"/>
  <c r="G159" i="31" s="1"/>
  <c r="F151" i="31"/>
  <c r="C152" i="31"/>
  <c r="G152" i="31" s="1"/>
  <c r="C153" i="31"/>
  <c r="G153" i="31" s="1"/>
  <c r="C155" i="31"/>
  <c r="G155" i="31" s="1"/>
  <c r="C156" i="31"/>
  <c r="G156" i="31" s="1"/>
  <c r="C157" i="31"/>
  <c r="G157" i="31" s="1"/>
  <c r="C158" i="31"/>
  <c r="G158" i="31" s="1"/>
  <c r="C151" i="31"/>
  <c r="G151" i="31" s="1"/>
  <c r="F151" i="30"/>
  <c r="C152" i="30"/>
  <c r="G152" i="30" s="1"/>
  <c r="C155" i="30"/>
  <c r="G155" i="30" s="1"/>
  <c r="C153" i="30"/>
  <c r="G153" i="30" s="1"/>
  <c r="C156" i="30"/>
  <c r="G156" i="30" s="1"/>
  <c r="C157" i="30"/>
  <c r="G157" i="30" s="1"/>
  <c r="C158" i="30"/>
  <c r="G158" i="30" s="1"/>
  <c r="C151" i="30"/>
  <c r="G151" i="30" s="1"/>
  <c r="F158" i="29"/>
  <c r="F156" i="29"/>
  <c r="C155" i="29"/>
  <c r="G155" i="29" s="1"/>
  <c r="C152" i="29"/>
  <c r="G152" i="29" s="1"/>
  <c r="F153" i="29"/>
  <c r="F155" i="29"/>
  <c r="F157" i="29"/>
  <c r="C153" i="29"/>
  <c r="G153" i="29" s="1"/>
  <c r="C156" i="29"/>
  <c r="G156" i="29" s="1"/>
  <c r="C157" i="29"/>
  <c r="G157" i="29" s="1"/>
  <c r="C158" i="29"/>
  <c r="G158" i="29" s="1"/>
  <c r="F151" i="29"/>
  <c r="C151" i="29"/>
  <c r="G151" i="29" s="1"/>
  <c r="F154" i="29"/>
  <c r="F159" i="29"/>
  <c r="F152" i="29"/>
  <c r="G154" i="29"/>
  <c r="C159" i="29"/>
  <c r="G159" i="29" s="1"/>
  <c r="F153" i="28"/>
  <c r="F156" i="28"/>
  <c r="F157" i="28"/>
  <c r="F158" i="28"/>
  <c r="C152" i="28"/>
  <c r="G152" i="28" s="1"/>
  <c r="C155" i="28"/>
  <c r="G155" i="28" s="1"/>
  <c r="F151" i="28"/>
  <c r="C153" i="28"/>
  <c r="G153" i="28" s="1"/>
  <c r="C156" i="28"/>
  <c r="G156" i="28" s="1"/>
  <c r="C157" i="28"/>
  <c r="G157" i="28" s="1"/>
  <c r="C158" i="28"/>
  <c r="G158" i="28" s="1"/>
  <c r="C151" i="28"/>
  <c r="G151" i="28" s="1"/>
  <c r="F152" i="28"/>
  <c r="F154" i="28"/>
  <c r="F159" i="28"/>
  <c r="G154" i="28"/>
  <c r="F155" i="28"/>
  <c r="C159" i="28"/>
  <c r="G159" i="28" s="1"/>
  <c r="F160" i="46" l="1"/>
  <c r="C165" i="46" s="1"/>
  <c r="D21" i="8" s="1"/>
  <c r="G160" i="45"/>
  <c r="D165" i="45" s="1"/>
  <c r="G160" i="46"/>
  <c r="D165" i="46" s="1"/>
  <c r="F160" i="45"/>
  <c r="C165" i="45" s="1"/>
  <c r="D20" i="8" s="1"/>
  <c r="F160" i="44"/>
  <c r="C165" i="44" s="1"/>
  <c r="D19" i="8" s="1"/>
  <c r="G160" i="44"/>
  <c r="D165" i="44" s="1"/>
  <c r="G160" i="41"/>
  <c r="D165" i="41" s="1"/>
  <c r="G160" i="40"/>
  <c r="D165" i="40" s="1"/>
  <c r="F160" i="40"/>
  <c r="C165" i="40" s="1"/>
  <c r="D17" i="8" s="1"/>
  <c r="F160" i="38"/>
  <c r="C165" i="38" s="1"/>
  <c r="D15" i="8" s="1"/>
  <c r="F160" i="41"/>
  <c r="C165" i="41" s="1"/>
  <c r="D18" i="8" s="1"/>
  <c r="F160" i="39"/>
  <c r="C165" i="39" s="1"/>
  <c r="D16" i="8" s="1"/>
  <c r="G160" i="39"/>
  <c r="D165" i="39" s="1"/>
  <c r="G160" i="38"/>
  <c r="D165" i="38" s="1"/>
  <c r="G160" i="37"/>
  <c r="D165" i="37" s="1"/>
  <c r="F160" i="36"/>
  <c r="C165" i="36" s="1"/>
  <c r="D13" i="8" s="1"/>
  <c r="G160" i="36"/>
  <c r="D165" i="36" s="1"/>
  <c r="F160" i="37"/>
  <c r="C165" i="37" s="1"/>
  <c r="D14" i="8" s="1"/>
  <c r="F160" i="34"/>
  <c r="C165" i="34" s="1"/>
  <c r="D11" i="8" s="1"/>
  <c r="F160" i="35"/>
  <c r="C165" i="35" s="1"/>
  <c r="D12" i="8" s="1"/>
  <c r="G160" i="35"/>
  <c r="D165" i="35" s="1"/>
  <c r="G160" i="34"/>
  <c r="D165" i="34" s="1"/>
  <c r="G160" i="33"/>
  <c r="D165" i="33" s="1"/>
  <c r="F160" i="32"/>
  <c r="C165" i="32" s="1"/>
  <c r="D9" i="8" s="1"/>
  <c r="F160" i="33"/>
  <c r="C165" i="33" s="1"/>
  <c r="D10" i="8" s="1"/>
  <c r="F160" i="31"/>
  <c r="C165" i="31" s="1"/>
  <c r="D8" i="8" s="1"/>
  <c r="G160" i="32"/>
  <c r="D165" i="32" s="1"/>
  <c r="G160" i="31"/>
  <c r="D165" i="31" s="1"/>
  <c r="F160" i="30"/>
  <c r="C165" i="30" s="1"/>
  <c r="D7" i="8" s="1"/>
  <c r="G160" i="30"/>
  <c r="D165" i="30" s="1"/>
  <c r="G160" i="29"/>
  <c r="D165" i="29" s="1"/>
  <c r="F160" i="29"/>
  <c r="C165" i="29" s="1"/>
  <c r="D6" i="8" s="1"/>
  <c r="F160" i="28"/>
  <c r="C165" i="28" s="1"/>
  <c r="D5" i="8" s="1"/>
  <c r="G160" i="28"/>
  <c r="D165" i="28" s="1"/>
  <c r="B54" i="21" l="1"/>
  <c r="B171" i="21"/>
  <c r="B53" i="21"/>
  <c r="B170" i="21"/>
  <c r="B52" i="21"/>
  <c r="B169" i="21"/>
  <c r="B168" i="21"/>
  <c r="B51" i="21"/>
  <c r="B167" i="21"/>
  <c r="B50" i="21"/>
  <c r="B166" i="21"/>
  <c r="B49" i="21"/>
  <c r="B165" i="21"/>
  <c r="B48" i="21"/>
  <c r="B164" i="21"/>
  <c r="B47" i="21"/>
  <c r="B163" i="21"/>
  <c r="B46" i="21"/>
  <c r="B162" i="21"/>
  <c r="B45" i="21"/>
  <c r="B161" i="21"/>
  <c r="B44" i="21"/>
  <c r="B160" i="21"/>
  <c r="B43" i="21"/>
  <c r="B159" i="21"/>
  <c r="B42" i="21"/>
  <c r="B41" i="21"/>
  <c r="B158" i="21"/>
  <c r="B157" i="21"/>
  <c r="B40" i="21"/>
  <c r="B39" i="21"/>
  <c r="B156" i="21"/>
  <c r="B38" i="21"/>
  <c r="B155" i="21"/>
  <c r="C192" i="21"/>
  <c r="C191" i="21"/>
  <c r="C190" i="21"/>
  <c r="F153" i="42"/>
  <c r="F156" i="42"/>
  <c r="F157" i="42"/>
  <c r="F158" i="42"/>
  <c r="F151" i="42"/>
  <c r="C152" i="42"/>
  <c r="G152" i="42" s="1"/>
  <c r="C155" i="42"/>
  <c r="G155" i="42" s="1"/>
  <c r="C153" i="42"/>
  <c r="G153" i="42" s="1"/>
  <c r="C156" i="42"/>
  <c r="G156" i="42" s="1"/>
  <c r="C157" i="42"/>
  <c r="G157" i="42" s="1"/>
  <c r="C158" i="42"/>
  <c r="G158" i="42" s="1"/>
  <c r="F154" i="42"/>
  <c r="F159" i="42"/>
  <c r="C151" i="42"/>
  <c r="G151" i="42" s="1"/>
  <c r="F152" i="42"/>
  <c r="G154" i="42"/>
  <c r="F155" i="42"/>
  <c r="C159" i="42"/>
  <c r="G159" i="42" s="1"/>
  <c r="C263" i="21" l="1"/>
  <c r="C60" i="24"/>
  <c r="C215" i="23"/>
  <c r="C259" i="23" s="1"/>
  <c r="C262" i="21"/>
  <c r="C59" i="24"/>
  <c r="C214" i="23"/>
  <c r="C258" i="23" s="1"/>
  <c r="C58" i="24"/>
  <c r="C213" i="23"/>
  <c r="C257" i="23" s="1"/>
  <c r="C261" i="21"/>
  <c r="F160" i="42"/>
  <c r="C165" i="42" s="1"/>
  <c r="G160" i="42"/>
  <c r="D165" i="42" s="1"/>
  <c r="E22" i="8" s="1"/>
  <c r="D4" i="8" l="1"/>
  <c r="C130" i="24"/>
  <c r="C108" i="24"/>
  <c r="C86" i="24"/>
  <c r="C107" i="24"/>
  <c r="C129" i="24"/>
  <c r="C85" i="24"/>
  <c r="C128" i="24"/>
  <c r="C84" i="24"/>
  <c r="C106" i="24"/>
  <c r="B50" i="43"/>
  <c r="D80" i="23"/>
  <c r="B37" i="21" l="1"/>
  <c r="B154" i="21"/>
  <c r="D22" i="8"/>
  <c r="G9" i="43"/>
  <c r="G17" i="43"/>
  <c r="G10" i="43"/>
  <c r="G18" i="43"/>
  <c r="G11" i="43"/>
  <c r="G4" i="43"/>
  <c r="G12" i="43"/>
  <c r="G5" i="43"/>
  <c r="G13" i="43"/>
  <c r="G6" i="43"/>
  <c r="G14" i="43"/>
  <c r="G7" i="43"/>
  <c r="G15" i="43"/>
  <c r="G8" i="43"/>
  <c r="G16" i="43"/>
  <c r="CC4" i="43" l="1"/>
  <c r="BY5" i="43"/>
  <c r="CD4" i="43"/>
  <c r="BT4" i="43"/>
  <c r="BP5" i="43"/>
  <c r="BU4" i="43"/>
  <c r="BK4" i="43"/>
  <c r="BG5" i="43"/>
  <c r="BL4" i="43"/>
  <c r="CC5" i="43" l="1"/>
  <c r="BY6" i="43"/>
  <c r="CD5" i="43"/>
  <c r="BP6" i="43"/>
  <c r="BT5" i="43"/>
  <c r="BU5" i="43"/>
  <c r="BG6" i="43"/>
  <c r="BK5" i="43"/>
  <c r="BL5" i="43"/>
  <c r="BY7" i="43" l="1"/>
  <c r="CD6" i="43"/>
  <c r="CC6" i="43"/>
  <c r="BP7" i="43"/>
  <c r="BU6" i="43"/>
  <c r="BT6" i="43"/>
  <c r="BG7" i="43"/>
  <c r="BL6" i="43"/>
  <c r="BK6" i="43"/>
  <c r="BY8" i="43" l="1"/>
  <c r="CC7" i="43"/>
  <c r="CD7" i="43"/>
  <c r="BP8" i="43"/>
  <c r="BU7" i="43"/>
  <c r="BT7" i="43"/>
  <c r="BG8" i="43"/>
  <c r="BL7" i="43"/>
  <c r="BK7" i="43"/>
  <c r="BY9" i="43" l="1"/>
  <c r="CC8" i="43"/>
  <c r="CD8" i="43"/>
  <c r="BP9" i="43"/>
  <c r="BT8" i="43"/>
  <c r="BU8" i="43"/>
  <c r="BK8" i="43"/>
  <c r="BG9" i="43"/>
  <c r="BL8" i="43"/>
  <c r="CC9" i="43" l="1"/>
  <c r="BY10" i="43"/>
  <c r="CD9" i="43"/>
  <c r="BT9" i="43"/>
  <c r="BP10" i="43"/>
  <c r="BU9" i="43"/>
  <c r="BK9" i="43"/>
  <c r="BG10" i="43"/>
  <c r="BL9" i="43"/>
  <c r="CC10" i="43" l="1"/>
  <c r="BY11" i="43"/>
  <c r="CD10" i="43"/>
  <c r="BT10" i="43"/>
  <c r="BP11" i="43"/>
  <c r="BU10" i="43"/>
  <c r="BK10" i="43"/>
  <c r="BG11" i="43"/>
  <c r="BL10" i="43"/>
  <c r="CD11" i="43" l="1"/>
  <c r="CC11" i="43"/>
  <c r="BY12" i="43"/>
  <c r="BU11" i="43"/>
  <c r="BT11" i="43"/>
  <c r="BP12" i="43"/>
  <c r="BL11" i="43"/>
  <c r="BK11" i="43"/>
  <c r="BG12" i="43"/>
  <c r="CC12" i="43" l="1"/>
  <c r="CD12" i="43"/>
  <c r="BY13" i="43"/>
  <c r="BT12" i="43"/>
  <c r="BP13" i="43"/>
  <c r="BU12" i="43"/>
  <c r="BK12" i="43"/>
  <c r="BG13" i="43"/>
  <c r="BL12" i="43"/>
  <c r="BY14" i="43" l="1"/>
  <c r="CC13" i="43"/>
  <c r="CD13" i="43"/>
  <c r="BP14" i="43"/>
  <c r="BT13" i="43"/>
  <c r="BU13" i="43"/>
  <c r="BG14" i="43"/>
  <c r="BK13" i="43"/>
  <c r="BL13" i="43"/>
  <c r="BY15" i="43" l="1"/>
  <c r="CD14" i="43"/>
  <c r="CC14" i="43"/>
  <c r="BP15" i="43"/>
  <c r="BU14" i="43"/>
  <c r="BT14" i="43"/>
  <c r="BG15" i="43"/>
  <c r="BL14" i="43"/>
  <c r="BK14" i="43"/>
  <c r="BY16" i="43" l="1"/>
  <c r="CC15" i="43"/>
  <c r="CD15" i="43"/>
  <c r="BP16" i="43"/>
  <c r="BT15" i="43"/>
  <c r="BU15" i="43"/>
  <c r="BG16" i="43"/>
  <c r="BL15" i="43"/>
  <c r="BK15" i="43"/>
  <c r="BY17" i="43" l="1"/>
  <c r="CC16" i="43"/>
  <c r="CD16" i="43"/>
  <c r="BP17" i="43"/>
  <c r="BT16" i="43"/>
  <c r="BU16" i="43"/>
  <c r="BK16" i="43"/>
  <c r="BG17" i="43"/>
  <c r="BL16" i="43"/>
  <c r="CC17" i="43" l="1"/>
  <c r="BY18" i="43"/>
  <c r="BY19" i="43" s="1"/>
  <c r="CD17" i="43"/>
  <c r="BT17" i="43"/>
  <c r="BP18" i="43"/>
  <c r="BP19" i="43" s="1"/>
  <c r="BU17" i="43"/>
  <c r="BK17" i="43"/>
  <c r="BG18" i="43"/>
  <c r="BG19" i="43" s="1"/>
  <c r="BL17" i="43"/>
  <c r="BG20" i="43" l="1"/>
  <c r="BL19" i="43"/>
  <c r="BK19" i="43"/>
  <c r="BP20" i="43"/>
  <c r="BU19" i="43"/>
  <c r="BT19" i="43"/>
  <c r="BY20" i="43"/>
  <c r="CD19" i="43"/>
  <c r="CC19" i="43"/>
  <c r="CC18" i="43"/>
  <c r="CD18" i="43"/>
  <c r="BT18" i="43"/>
  <c r="BU18" i="43"/>
  <c r="BK18" i="43"/>
  <c r="BL18" i="43"/>
  <c r="BV19" i="43" l="1"/>
  <c r="BM19" i="43"/>
  <c r="BP21" i="43"/>
  <c r="BU20" i="43"/>
  <c r="BT20" i="43"/>
  <c r="BY21" i="43"/>
  <c r="CD20" i="43"/>
  <c r="CC20" i="43"/>
  <c r="CE19" i="43"/>
  <c r="BG21" i="43"/>
  <c r="BL20" i="43"/>
  <c r="BK20" i="43"/>
  <c r="CE20" i="43" l="1"/>
  <c r="BV20" i="43"/>
  <c r="BM20" i="43"/>
  <c r="CD21" i="43"/>
  <c r="CC21" i="43"/>
  <c r="BL21" i="43"/>
  <c r="BK21" i="43"/>
  <c r="BU21" i="43"/>
  <c r="BT21" i="43"/>
  <c r="BM21" i="43" l="1"/>
  <c r="BV21" i="43"/>
  <c r="CE21" i="43"/>
  <c r="B80" i="23" l="1"/>
  <c r="B81" i="23"/>
  <c r="B82" i="23"/>
  <c r="B83" i="23"/>
  <c r="B84" i="23"/>
  <c r="B85" i="23"/>
  <c r="B86" i="23"/>
  <c r="B87" i="23"/>
  <c r="B88" i="23"/>
  <c r="B89" i="23"/>
  <c r="B90" i="23"/>
  <c r="B91" i="23"/>
  <c r="B92" i="23"/>
  <c r="B93" i="23"/>
  <c r="B94" i="23"/>
  <c r="C18" i="21" l="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A4" i="43" l="1"/>
  <c r="A48" i="43" s="1"/>
  <c r="A5" i="43"/>
  <c r="A49" i="43" s="1"/>
  <c r="A6" i="43"/>
  <c r="A50" i="43" s="1"/>
  <c r="A7" i="43"/>
  <c r="A51" i="43" s="1"/>
  <c r="A8" i="43"/>
  <c r="A52" i="43" s="1"/>
  <c r="A9" i="43"/>
  <c r="A53" i="43" s="1"/>
  <c r="A10" i="43"/>
  <c r="A54" i="43" s="1"/>
  <c r="A11" i="43"/>
  <c r="A55" i="43" s="1"/>
  <c r="A12" i="43"/>
  <c r="A56" i="43" s="1"/>
  <c r="A13" i="43"/>
  <c r="A57" i="43" s="1"/>
  <c r="A14" i="43"/>
  <c r="A58" i="43" s="1"/>
  <c r="A15" i="43"/>
  <c r="A59" i="43" s="1"/>
  <c r="A16" i="43"/>
  <c r="A60" i="43" s="1"/>
  <c r="A17" i="43"/>
  <c r="A61" i="43" s="1"/>
  <c r="A18" i="43"/>
  <c r="A62" i="43" s="1"/>
  <c r="B55" i="43"/>
  <c r="N5" i="43" l="1"/>
  <c r="N6" i="43" s="1"/>
  <c r="S6" i="43" s="1"/>
  <c r="S4" i="43"/>
  <c r="E6" i="43"/>
  <c r="J5" i="43"/>
  <c r="R4" i="43"/>
  <c r="AJ4" i="43"/>
  <c r="AF5" i="43"/>
  <c r="AK4" i="43"/>
  <c r="BC4" i="43"/>
  <c r="AX5" i="43"/>
  <c r="W5" i="43"/>
  <c r="W6" i="43" s="1"/>
  <c r="AB4" i="43"/>
  <c r="J4" i="43"/>
  <c r="B58" i="43"/>
  <c r="B54" i="43"/>
  <c r="B53" i="43"/>
  <c r="B49" i="43"/>
  <c r="B62" i="43"/>
  <c r="B57" i="43"/>
  <c r="B61" i="43"/>
  <c r="B52" i="43"/>
  <c r="B48" i="43"/>
  <c r="B56" i="43"/>
  <c r="B60" i="43"/>
  <c r="B51" i="43"/>
  <c r="B59" i="43"/>
  <c r="S5" i="43" l="1"/>
  <c r="AA5" i="43"/>
  <c r="N7" i="43"/>
  <c r="S7" i="43" s="1"/>
  <c r="E7" i="43"/>
  <c r="J6" i="43"/>
  <c r="AA4" i="43"/>
  <c r="AJ5" i="43"/>
  <c r="BB4" i="43"/>
  <c r="AS4" i="43"/>
  <c r="W7" i="43"/>
  <c r="AB6" i="43"/>
  <c r="AF6" i="43"/>
  <c r="AK5" i="43"/>
  <c r="AT4" i="43"/>
  <c r="AO5" i="43"/>
  <c r="AB5" i="43"/>
  <c r="BC5" i="43"/>
  <c r="AX6" i="43"/>
  <c r="N8" i="43" l="1"/>
  <c r="S8" i="43" s="1"/>
  <c r="CB4" i="43"/>
  <c r="BJ4" i="43"/>
  <c r="BS4" i="43"/>
  <c r="BR4" i="43"/>
  <c r="BV4" i="43" s="1"/>
  <c r="BI4" i="43"/>
  <c r="BM4" i="43" s="1"/>
  <c r="CA4" i="43"/>
  <c r="CE4" i="43" s="1"/>
  <c r="E8" i="43"/>
  <c r="J7" i="43"/>
  <c r="AC5" i="43"/>
  <c r="AC4" i="43"/>
  <c r="R5" i="43"/>
  <c r="AJ6" i="43"/>
  <c r="I4" i="43"/>
  <c r="AS5" i="43"/>
  <c r="BC6" i="43"/>
  <c r="AX7" i="43"/>
  <c r="AO6" i="43"/>
  <c r="AT5" i="43"/>
  <c r="AK6" i="43"/>
  <c r="AF7" i="43"/>
  <c r="AB7" i="43"/>
  <c r="W8" i="43"/>
  <c r="N9" i="43" l="1"/>
  <c r="N10" i="43" s="1"/>
  <c r="CB5" i="43"/>
  <c r="BJ5" i="43"/>
  <c r="BI5" i="43"/>
  <c r="BM5" i="43" s="1"/>
  <c r="BR5" i="43"/>
  <c r="BV5" i="43" s="1"/>
  <c r="BS5" i="43"/>
  <c r="CA5" i="43"/>
  <c r="CE5" i="43" s="1"/>
  <c r="AA6" i="43"/>
  <c r="AC6" i="43" s="1"/>
  <c r="E9" i="43"/>
  <c r="J8" i="43"/>
  <c r="R6" i="43"/>
  <c r="H5" i="43"/>
  <c r="I5" i="43"/>
  <c r="BB5" i="43"/>
  <c r="Q4" i="43"/>
  <c r="P4" i="43"/>
  <c r="T4" i="43" s="1"/>
  <c r="AI4" i="43"/>
  <c r="K4" i="43"/>
  <c r="AQ4" i="43"/>
  <c r="AU4" i="43" s="1"/>
  <c r="BA4" i="43"/>
  <c r="AZ4" i="43"/>
  <c r="BD4" i="43" s="1"/>
  <c r="Z4" i="43"/>
  <c r="AH4" i="43"/>
  <c r="AL4" i="43" s="1"/>
  <c r="H4" i="43"/>
  <c r="AF8" i="43"/>
  <c r="AK7" i="43"/>
  <c r="AB8" i="43"/>
  <c r="W9" i="43"/>
  <c r="AX8" i="43"/>
  <c r="BC7" i="43"/>
  <c r="AO7" i="43"/>
  <c r="AT6" i="43"/>
  <c r="S9" i="43" l="1"/>
  <c r="CF4" i="43"/>
  <c r="C48" i="43" s="1"/>
  <c r="CG4" i="43"/>
  <c r="D48" i="43" s="1"/>
  <c r="E48" i="43" s="1"/>
  <c r="BJ6" i="43"/>
  <c r="BI6" i="43"/>
  <c r="BM6" i="43" s="1"/>
  <c r="BS6" i="43"/>
  <c r="BR6" i="43"/>
  <c r="BV6" i="43" s="1"/>
  <c r="CB6" i="43"/>
  <c r="CA6" i="43"/>
  <c r="CE6" i="43" s="1"/>
  <c r="AA7" i="43"/>
  <c r="K5" i="43"/>
  <c r="AQ5" i="43"/>
  <c r="AU5" i="43" s="1"/>
  <c r="BA5" i="43"/>
  <c r="J9" i="43"/>
  <c r="E10" i="43"/>
  <c r="AS7" i="43"/>
  <c r="AI5" i="43"/>
  <c r="Z5" i="43"/>
  <c r="Q5" i="43"/>
  <c r="AH5" i="43"/>
  <c r="AL5" i="43" s="1"/>
  <c r="P5" i="43"/>
  <c r="T5" i="43" s="1"/>
  <c r="AZ5" i="43"/>
  <c r="BD5" i="43" s="1"/>
  <c r="R7" i="43"/>
  <c r="AJ7" i="43"/>
  <c r="AS6" i="43"/>
  <c r="BB6" i="43"/>
  <c r="BA6" i="43"/>
  <c r="I6" i="43"/>
  <c r="AO8" i="43"/>
  <c r="AT7" i="43"/>
  <c r="BC8" i="43"/>
  <c r="AX9" i="43"/>
  <c r="AB9" i="43"/>
  <c r="W10" i="43"/>
  <c r="AK8" i="43"/>
  <c r="AF9" i="43"/>
  <c r="AJ8" i="43"/>
  <c r="S10" i="43"/>
  <c r="N11" i="43"/>
  <c r="CF5" i="43" l="1"/>
  <c r="C49" i="43" s="1"/>
  <c r="CG5" i="43"/>
  <c r="D49" i="43" s="1"/>
  <c r="E49" i="43" s="1"/>
  <c r="AC7" i="43"/>
  <c r="CA7" i="43"/>
  <c r="CE7" i="43" s="1"/>
  <c r="BR7" i="43"/>
  <c r="BV7" i="43" s="1"/>
  <c r="BJ7" i="43"/>
  <c r="BI7" i="43"/>
  <c r="BM7" i="43" s="1"/>
  <c r="BS7" i="43"/>
  <c r="CB7" i="43"/>
  <c r="AA8" i="43"/>
  <c r="E11" i="43"/>
  <c r="J10" i="43"/>
  <c r="F48" i="43"/>
  <c r="H6" i="43"/>
  <c r="BB7" i="43"/>
  <c r="AQ6" i="43"/>
  <c r="AU6" i="43" s="1"/>
  <c r="Z6" i="43"/>
  <c r="AH6" i="43"/>
  <c r="AL6" i="43" s="1"/>
  <c r="Q6" i="43"/>
  <c r="AI6" i="43"/>
  <c r="P6" i="43"/>
  <c r="T6" i="43" s="1"/>
  <c r="AZ6" i="43"/>
  <c r="BD6" i="43" s="1"/>
  <c r="R8" i="43"/>
  <c r="AQ7" i="43"/>
  <c r="AU7" i="43" s="1"/>
  <c r="I7" i="43"/>
  <c r="K6" i="43"/>
  <c r="W11" i="43"/>
  <c r="AB10" i="43"/>
  <c r="AX10" i="43"/>
  <c r="BC9" i="43"/>
  <c r="AO9" i="43"/>
  <c r="AT8" i="43"/>
  <c r="AS8" i="43"/>
  <c r="AK9" i="43"/>
  <c r="AF10" i="43"/>
  <c r="S11" i="43"/>
  <c r="N12" i="43"/>
  <c r="CF6" i="43" l="1"/>
  <c r="C50" i="43" s="1"/>
  <c r="CG6" i="43"/>
  <c r="D50" i="43" s="1"/>
  <c r="E50" i="43" s="1"/>
  <c r="CB8" i="43"/>
  <c r="CA8" i="43"/>
  <c r="CE8" i="43" s="1"/>
  <c r="BJ8" i="43"/>
  <c r="BI8" i="43"/>
  <c r="BM8" i="43" s="1"/>
  <c r="BS8" i="43"/>
  <c r="BR8" i="43"/>
  <c r="BV8" i="43" s="1"/>
  <c r="AC8" i="43"/>
  <c r="AA9" i="43"/>
  <c r="J11" i="43"/>
  <c r="E12" i="43"/>
  <c r="F49" i="43"/>
  <c r="AJ10" i="43"/>
  <c r="Z7" i="43"/>
  <c r="Q7" i="43"/>
  <c r="P7" i="43"/>
  <c r="T7" i="43" s="1"/>
  <c r="AI7" i="43"/>
  <c r="AH7" i="43"/>
  <c r="AL7" i="43" s="1"/>
  <c r="BB8" i="43"/>
  <c r="AS9" i="43"/>
  <c r="R9" i="43"/>
  <c r="BA7" i="43"/>
  <c r="H7" i="43"/>
  <c r="AZ7" i="43"/>
  <c r="BD7" i="43" s="1"/>
  <c r="AJ9" i="43"/>
  <c r="K7" i="43"/>
  <c r="I8" i="43"/>
  <c r="AQ8" i="43"/>
  <c r="AU8" i="43" s="1"/>
  <c r="W12" i="43"/>
  <c r="AB11" i="43"/>
  <c r="AK10" i="43"/>
  <c r="AF11" i="43"/>
  <c r="BC10" i="43"/>
  <c r="AX11" i="43"/>
  <c r="AT9" i="43"/>
  <c r="AO10" i="43"/>
  <c r="N13" i="43"/>
  <c r="S12" i="43"/>
  <c r="CF7" i="43" l="1"/>
  <c r="C51" i="43" s="1"/>
  <c r="CG7" i="43"/>
  <c r="D51" i="43" s="1"/>
  <c r="E51" i="43" s="1"/>
  <c r="BS9" i="43"/>
  <c r="CB9" i="43"/>
  <c r="BJ9" i="43"/>
  <c r="CA9" i="43"/>
  <c r="CE9" i="43" s="1"/>
  <c r="BR9" i="43"/>
  <c r="BV9" i="43" s="1"/>
  <c r="BI9" i="43"/>
  <c r="BM9" i="43" s="1"/>
  <c r="AC9" i="43"/>
  <c r="AA10" i="43"/>
  <c r="E13" i="43"/>
  <c r="J12" i="43"/>
  <c r="K8" i="43"/>
  <c r="F50" i="43"/>
  <c r="BA9" i="43"/>
  <c r="I9" i="43"/>
  <c r="BB9" i="43"/>
  <c r="AI8" i="43"/>
  <c r="Z8" i="43"/>
  <c r="Q8" i="43"/>
  <c r="P8" i="43"/>
  <c r="T8" i="43" s="1"/>
  <c r="AH8" i="43"/>
  <c r="AL8" i="43" s="1"/>
  <c r="AS10" i="43"/>
  <c r="H8" i="43"/>
  <c r="R10" i="43"/>
  <c r="AZ8" i="43"/>
  <c r="BD8" i="43" s="1"/>
  <c r="BA8" i="43"/>
  <c r="AX12" i="43"/>
  <c r="BC11" i="43"/>
  <c r="AK11" i="43"/>
  <c r="AF12" i="43"/>
  <c r="W13" i="43"/>
  <c r="AB12" i="43"/>
  <c r="AT10" i="43"/>
  <c r="AO11" i="43"/>
  <c r="N14" i="43"/>
  <c r="S13" i="43"/>
  <c r="CG8" i="43" l="1"/>
  <c r="D52" i="43" s="1"/>
  <c r="E52" i="43" s="1"/>
  <c r="CF8" i="43"/>
  <c r="C52" i="43" s="1"/>
  <c r="BR10" i="43"/>
  <c r="BV10" i="43" s="1"/>
  <c r="BJ10" i="43"/>
  <c r="BS10" i="43"/>
  <c r="BI10" i="43"/>
  <c r="BM10" i="43" s="1"/>
  <c r="CB10" i="43"/>
  <c r="CA10" i="43"/>
  <c r="CE10" i="43" s="1"/>
  <c r="AC10" i="43"/>
  <c r="AA11" i="43"/>
  <c r="J13" i="43"/>
  <c r="E14" i="43"/>
  <c r="K9" i="43"/>
  <c r="H9" i="43"/>
  <c r="AQ9" i="43"/>
  <c r="AU9" i="43" s="1"/>
  <c r="AZ9" i="43"/>
  <c r="BD9" i="43" s="1"/>
  <c r="F51" i="43"/>
  <c r="AZ10" i="43"/>
  <c r="I10" i="43"/>
  <c r="R11" i="43"/>
  <c r="BB10" i="43"/>
  <c r="AJ12" i="43"/>
  <c r="Z9" i="43"/>
  <c r="AI9" i="43"/>
  <c r="AH9" i="43"/>
  <c r="AL9" i="43" s="1"/>
  <c r="P9" i="43"/>
  <c r="T9" i="43" s="1"/>
  <c r="Q9" i="43"/>
  <c r="AJ11" i="43"/>
  <c r="AF13" i="43"/>
  <c r="AK12" i="43"/>
  <c r="W14" i="43"/>
  <c r="AB13" i="43"/>
  <c r="AX13" i="43"/>
  <c r="BC12" i="43"/>
  <c r="AO12" i="43"/>
  <c r="AT11" i="43"/>
  <c r="N15" i="43"/>
  <c r="S14" i="43"/>
  <c r="CF9" i="43" l="1"/>
  <c r="C53" i="43" s="1"/>
  <c r="CG9" i="43"/>
  <c r="D53" i="43" s="1"/>
  <c r="E53" i="43" s="1"/>
  <c r="BR11" i="43"/>
  <c r="BV11" i="43" s="1"/>
  <c r="BS11" i="43"/>
  <c r="CB11" i="43"/>
  <c r="CA11" i="43"/>
  <c r="CE11" i="43" s="1"/>
  <c r="BJ11" i="43"/>
  <c r="BI11" i="43"/>
  <c r="BM11" i="43" s="1"/>
  <c r="AA12" i="43"/>
  <c r="AC11" i="43"/>
  <c r="E15" i="43"/>
  <c r="J14" i="43"/>
  <c r="F52" i="43"/>
  <c r="K10" i="43"/>
  <c r="H10" i="43"/>
  <c r="BA10" i="43"/>
  <c r="AS12" i="43"/>
  <c r="P10" i="43"/>
  <c r="T10" i="43" s="1"/>
  <c r="Z10" i="43"/>
  <c r="AI10" i="43"/>
  <c r="AH10" i="43"/>
  <c r="AL10" i="43" s="1"/>
  <c r="Q10" i="43"/>
  <c r="AS11" i="43"/>
  <c r="BD10" i="43"/>
  <c r="BB11" i="43"/>
  <c r="AJ13" i="43"/>
  <c r="AQ11" i="43"/>
  <c r="I11" i="43"/>
  <c r="R12" i="43"/>
  <c r="AQ10" i="43"/>
  <c r="AU10" i="43" s="1"/>
  <c r="AB14" i="43"/>
  <c r="W15" i="43"/>
  <c r="AT12" i="43"/>
  <c r="AO13" i="43"/>
  <c r="BC13" i="43"/>
  <c r="AX14" i="43"/>
  <c r="AF14" i="43"/>
  <c r="AK13" i="43"/>
  <c r="S15" i="43"/>
  <c r="N16" i="43"/>
  <c r="CG10" i="43" l="1"/>
  <c r="D54" i="43" s="1"/>
  <c r="E54" i="43" s="1"/>
  <c r="CF10" i="43"/>
  <c r="C54" i="43" s="1"/>
  <c r="BJ12" i="43"/>
  <c r="BI12" i="43"/>
  <c r="BM12" i="43" s="1"/>
  <c r="BR12" i="43"/>
  <c r="BV12" i="43" s="1"/>
  <c r="CA12" i="43"/>
  <c r="CE12" i="43" s="1"/>
  <c r="BS12" i="43"/>
  <c r="CB12" i="43"/>
  <c r="AA13" i="43"/>
  <c r="AC12" i="43"/>
  <c r="E16" i="43"/>
  <c r="J15" i="43"/>
  <c r="F53" i="43"/>
  <c r="K11" i="43"/>
  <c r="AZ11" i="43"/>
  <c r="BD11" i="43" s="1"/>
  <c r="H11" i="43"/>
  <c r="I12" i="43"/>
  <c r="AJ14" i="43"/>
  <c r="BB12" i="43"/>
  <c r="AU11" i="43"/>
  <c r="Z11" i="43"/>
  <c r="Q11" i="43"/>
  <c r="P11" i="43"/>
  <c r="T11" i="43" s="1"/>
  <c r="AH11" i="43"/>
  <c r="AL11" i="43" s="1"/>
  <c r="AI11" i="43"/>
  <c r="R13" i="43"/>
  <c r="BA11" i="43"/>
  <c r="AO14" i="43"/>
  <c r="AT13" i="43"/>
  <c r="AF15" i="43"/>
  <c r="AK14" i="43"/>
  <c r="AX15" i="43"/>
  <c r="BC14" i="43"/>
  <c r="W16" i="43"/>
  <c r="AB15" i="43"/>
  <c r="N17" i="43"/>
  <c r="S16" i="43"/>
  <c r="CG11" i="43" l="1"/>
  <c r="D55" i="43" s="1"/>
  <c r="E55" i="43" s="1"/>
  <c r="CF11" i="43"/>
  <c r="C55" i="43" s="1"/>
  <c r="BJ13" i="43"/>
  <c r="BI13" i="43"/>
  <c r="BM13" i="43" s="1"/>
  <c r="BR13" i="43"/>
  <c r="BV13" i="43" s="1"/>
  <c r="BS13" i="43"/>
  <c r="CA13" i="43"/>
  <c r="CE13" i="43" s="1"/>
  <c r="CB13" i="43"/>
  <c r="AC13" i="43"/>
  <c r="AA14" i="43"/>
  <c r="F54" i="43"/>
  <c r="AZ12" i="43"/>
  <c r="BD12" i="43" s="1"/>
  <c r="E17" i="43"/>
  <c r="J16" i="43"/>
  <c r="AQ12" i="43"/>
  <c r="AU12" i="43" s="1"/>
  <c r="H12" i="43"/>
  <c r="K12" i="43"/>
  <c r="BB13" i="43"/>
  <c r="R14" i="43"/>
  <c r="Z12" i="43"/>
  <c r="Q12" i="43"/>
  <c r="P12" i="43"/>
  <c r="T12" i="43" s="1"/>
  <c r="AH12" i="43"/>
  <c r="AL12" i="43" s="1"/>
  <c r="AI12" i="43"/>
  <c r="AS14" i="43"/>
  <c r="AS13" i="43"/>
  <c r="BA12" i="43"/>
  <c r="I13" i="43"/>
  <c r="AX16" i="43"/>
  <c r="BC15" i="43"/>
  <c r="W17" i="43"/>
  <c r="AB16" i="43"/>
  <c r="AF16" i="43"/>
  <c r="AK15" i="43"/>
  <c r="AO15" i="43"/>
  <c r="AT14" i="43"/>
  <c r="S17" i="43"/>
  <c r="N18" i="43"/>
  <c r="N19" i="43" s="1"/>
  <c r="CF12" i="43" l="1"/>
  <c r="C56" i="43" s="1"/>
  <c r="N20" i="43"/>
  <c r="S19" i="43"/>
  <c r="R19" i="43"/>
  <c r="CG12" i="43"/>
  <c r="D56" i="43" s="1"/>
  <c r="E56" i="43" s="1"/>
  <c r="BJ14" i="43"/>
  <c r="BI14" i="43"/>
  <c r="BM14" i="43" s="1"/>
  <c r="BR14" i="43"/>
  <c r="BV14" i="43" s="1"/>
  <c r="CB14" i="43"/>
  <c r="CA14" i="43"/>
  <c r="CE14" i="43" s="1"/>
  <c r="BS14" i="43"/>
  <c r="AC14" i="43"/>
  <c r="AA15" i="43"/>
  <c r="F55" i="43"/>
  <c r="E18" i="43"/>
  <c r="J17" i="43"/>
  <c r="K13" i="43"/>
  <c r="Z13" i="43"/>
  <c r="P13" i="43"/>
  <c r="T13" i="43" s="1"/>
  <c r="Q13" i="43"/>
  <c r="AI13" i="43"/>
  <c r="AH13" i="43"/>
  <c r="AL13" i="43" s="1"/>
  <c r="BB14" i="43"/>
  <c r="AQ13" i="43"/>
  <c r="AU13" i="43" s="1"/>
  <c r="H14" i="43"/>
  <c r="I14" i="43"/>
  <c r="AZ13" i="43"/>
  <c r="BD13" i="43" s="1"/>
  <c r="BA13" i="43"/>
  <c r="H13" i="43"/>
  <c r="AS15" i="43"/>
  <c r="AB17" i="43"/>
  <c r="W18" i="43"/>
  <c r="W19" i="43" s="1"/>
  <c r="AT15" i="43"/>
  <c r="AO16" i="43"/>
  <c r="AF17" i="43"/>
  <c r="AK16" i="43"/>
  <c r="AX17" i="43"/>
  <c r="BC16" i="43"/>
  <c r="S18" i="43"/>
  <c r="R15" i="43"/>
  <c r="AJ15" i="43"/>
  <c r="I15" i="43"/>
  <c r="T19" i="43" l="1"/>
  <c r="W20" i="43"/>
  <c r="AB19" i="43"/>
  <c r="AA19" i="43"/>
  <c r="N21" i="43"/>
  <c r="S20" i="43"/>
  <c r="R20" i="43"/>
  <c r="CG13" i="43"/>
  <c r="D57" i="43" s="1"/>
  <c r="E57" i="43" s="1"/>
  <c r="CF13" i="43"/>
  <c r="C57" i="43" s="1"/>
  <c r="J18" i="43"/>
  <c r="E19" i="43"/>
  <c r="CA15" i="43"/>
  <c r="CE15" i="43" s="1"/>
  <c r="BR15" i="43"/>
  <c r="BV15" i="43" s="1"/>
  <c r="BJ15" i="43"/>
  <c r="BI15" i="43"/>
  <c r="BM15" i="43" s="1"/>
  <c r="BS15" i="43"/>
  <c r="CB15" i="43"/>
  <c r="AC15" i="43"/>
  <c r="AA16" i="43"/>
  <c r="F56" i="43"/>
  <c r="Z14" i="43"/>
  <c r="Q14" i="43"/>
  <c r="AI14" i="43"/>
  <c r="P14" i="43"/>
  <c r="T14" i="43" s="1"/>
  <c r="AH14" i="43"/>
  <c r="AL14" i="43" s="1"/>
  <c r="AQ14" i="43"/>
  <c r="AU14" i="43" s="1"/>
  <c r="BA14" i="43"/>
  <c r="K14" i="43"/>
  <c r="AZ14" i="43"/>
  <c r="BD14" i="43" s="1"/>
  <c r="AB18" i="43"/>
  <c r="BC17" i="43"/>
  <c r="AX18" i="43"/>
  <c r="AX19" i="43" s="1"/>
  <c r="AT16" i="43"/>
  <c r="AS16" i="43"/>
  <c r="AO17" i="43"/>
  <c r="AK17" i="43"/>
  <c r="AF18" i="43"/>
  <c r="AF19" i="43" s="1"/>
  <c r="I16" i="43"/>
  <c r="R16" i="43"/>
  <c r="AJ16" i="43"/>
  <c r="BB15" i="43"/>
  <c r="AC19" i="43" l="1"/>
  <c r="T20" i="43"/>
  <c r="AX20" i="43"/>
  <c r="BC19" i="43"/>
  <c r="BB19" i="43"/>
  <c r="AF20" i="43"/>
  <c r="AK19" i="43"/>
  <c r="AJ19" i="43"/>
  <c r="S21" i="43"/>
  <c r="R21" i="43"/>
  <c r="E20" i="43"/>
  <c r="J19" i="43"/>
  <c r="I19" i="43"/>
  <c r="W21" i="43"/>
  <c r="AB20" i="43"/>
  <c r="AA20" i="43"/>
  <c r="CG14" i="43"/>
  <c r="D58" i="43" s="1"/>
  <c r="E58" i="43" s="1"/>
  <c r="CF14" i="43"/>
  <c r="C58" i="43" s="1"/>
  <c r="CB16" i="43"/>
  <c r="CA16" i="43"/>
  <c r="CE16" i="43" s="1"/>
  <c r="BR16" i="43"/>
  <c r="BV16" i="43" s="1"/>
  <c r="BJ16" i="43"/>
  <c r="BI16" i="43"/>
  <c r="BM16" i="43" s="1"/>
  <c r="BS16" i="43"/>
  <c r="AA17" i="43"/>
  <c r="AC16" i="43"/>
  <c r="F57" i="43"/>
  <c r="AQ15" i="43"/>
  <c r="AU15" i="43" s="1"/>
  <c r="AS17" i="43"/>
  <c r="AK18" i="43"/>
  <c r="BC18" i="43"/>
  <c r="AO18" i="43"/>
  <c r="AO19" i="43" s="1"/>
  <c r="AT17" i="43"/>
  <c r="AJ17" i="43"/>
  <c r="BB16" i="43"/>
  <c r="R17" i="43"/>
  <c r="I17" i="43"/>
  <c r="AC20" i="43" l="1"/>
  <c r="AL19" i="43"/>
  <c r="K19" i="43"/>
  <c r="T21" i="43"/>
  <c r="AO20" i="43"/>
  <c r="AT19" i="43"/>
  <c r="AS19" i="43"/>
  <c r="AB21" i="43"/>
  <c r="AA21" i="43"/>
  <c r="BD19" i="43"/>
  <c r="AF21" i="43"/>
  <c r="AK20" i="43"/>
  <c r="AJ20" i="43"/>
  <c r="E21" i="43"/>
  <c r="J20" i="43"/>
  <c r="I20" i="43"/>
  <c r="AX21" i="43"/>
  <c r="BC20" i="43"/>
  <c r="BB20" i="43"/>
  <c r="BR17" i="43"/>
  <c r="BV17" i="43" s="1"/>
  <c r="BJ17" i="43"/>
  <c r="CA17" i="43"/>
  <c r="CE17" i="43" s="1"/>
  <c r="BS17" i="43"/>
  <c r="CB17" i="43"/>
  <c r="BI17" i="43"/>
  <c r="BM17" i="43" s="1"/>
  <c r="AC17" i="43"/>
  <c r="AA18" i="43"/>
  <c r="F58" i="43"/>
  <c r="Z15" i="43"/>
  <c r="H15" i="43"/>
  <c r="AH15" i="43"/>
  <c r="AL15" i="43" s="1"/>
  <c r="AZ15" i="43"/>
  <c r="BD15" i="43" s="1"/>
  <c r="BA15" i="43"/>
  <c r="AI15" i="43"/>
  <c r="Q15" i="43"/>
  <c r="K15" i="43"/>
  <c r="P15" i="43"/>
  <c r="T15" i="43" s="1"/>
  <c r="AQ16" i="43"/>
  <c r="AU16" i="43" s="1"/>
  <c r="AT18" i="43"/>
  <c r="I18" i="43"/>
  <c r="BB17" i="43"/>
  <c r="K20" i="43" l="1"/>
  <c r="AC21" i="43"/>
  <c r="BD20" i="43"/>
  <c r="AU19" i="43"/>
  <c r="CG19" i="43" s="1"/>
  <c r="D63" i="43" s="1"/>
  <c r="E63" i="43" s="1"/>
  <c r="F63" i="43" s="1"/>
  <c r="AL20" i="43"/>
  <c r="BC21" i="43"/>
  <c r="BB21" i="43"/>
  <c r="AK21" i="43"/>
  <c r="AJ21" i="43"/>
  <c r="J21" i="43"/>
  <c r="I21" i="43"/>
  <c r="AO21" i="43"/>
  <c r="AT20" i="43"/>
  <c r="AS20" i="43"/>
  <c r="CF15" i="43"/>
  <c r="C59" i="43" s="1"/>
  <c r="CG15" i="43"/>
  <c r="D59" i="43" s="1"/>
  <c r="E59" i="43" s="1"/>
  <c r="BI18" i="43"/>
  <c r="BM18" i="43" s="1"/>
  <c r="CA18" i="43"/>
  <c r="CE18" i="43" s="1"/>
  <c r="BS18" i="43"/>
  <c r="BR18" i="43"/>
  <c r="BV18" i="43" s="1"/>
  <c r="CB18" i="43"/>
  <c r="BJ18" i="43"/>
  <c r="AC18" i="43"/>
  <c r="AH16" i="43"/>
  <c r="AL16" i="43" s="1"/>
  <c r="Z16" i="43"/>
  <c r="P16" i="43"/>
  <c r="T16" i="43" s="1"/>
  <c r="Q16" i="43"/>
  <c r="K16" i="43"/>
  <c r="BA16" i="43"/>
  <c r="AZ16" i="43"/>
  <c r="BD16" i="43" s="1"/>
  <c r="H16" i="43"/>
  <c r="AI16" i="43"/>
  <c r="R18" i="43"/>
  <c r="AQ17" i="43"/>
  <c r="AU17" i="43" s="1"/>
  <c r="AJ18" i="43"/>
  <c r="AS18" i="43"/>
  <c r="K21" i="43" l="1"/>
  <c r="AU20" i="43"/>
  <c r="CG20" i="43" s="1"/>
  <c r="D64" i="43" s="1"/>
  <c r="E64" i="43" s="1"/>
  <c r="F64" i="43" s="1"/>
  <c r="BD21" i="43"/>
  <c r="AT21" i="43"/>
  <c r="AS21" i="43"/>
  <c r="AL21" i="43"/>
  <c r="CG16" i="43"/>
  <c r="D60" i="43" s="1"/>
  <c r="E60" i="43" s="1"/>
  <c r="CF16" i="43"/>
  <c r="C60" i="43" s="1"/>
  <c r="F59" i="43"/>
  <c r="H17" i="43"/>
  <c r="BA17" i="43"/>
  <c r="Z17" i="43"/>
  <c r="P17" i="43"/>
  <c r="T17" i="43" s="1"/>
  <c r="AZ17" i="43"/>
  <c r="BD17" i="43" s="1"/>
  <c r="AH17" i="43"/>
  <c r="AL17" i="43" s="1"/>
  <c r="AI17" i="43"/>
  <c r="K17" i="43"/>
  <c r="BB18" i="43"/>
  <c r="Q17" i="43"/>
  <c r="AU21" i="43" l="1"/>
  <c r="CG21" i="43" s="1"/>
  <c r="D65" i="43" s="1"/>
  <c r="E65" i="43" s="1"/>
  <c r="F65" i="43" s="1"/>
  <c r="CG17" i="43"/>
  <c r="D61" i="43" s="1"/>
  <c r="E61" i="43" s="1"/>
  <c r="CF17" i="43"/>
  <c r="C61" i="43" s="1"/>
  <c r="F60" i="43"/>
  <c r="AZ18" i="43"/>
  <c r="BD18" i="43" s="1"/>
  <c r="F61" i="43" l="1"/>
  <c r="AQ18" i="43"/>
  <c r="AU18" i="43" s="1"/>
  <c r="K18" i="43"/>
  <c r="P18" i="43"/>
  <c r="T18" i="43" s="1"/>
  <c r="AI18" i="43"/>
  <c r="H18" i="43"/>
  <c r="Z18" i="43"/>
  <c r="Q18" i="43"/>
  <c r="AH18" i="43"/>
  <c r="AL18" i="43" s="1"/>
  <c r="BA18" i="43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C299" i="23"/>
  <c r="C271" i="23"/>
  <c r="C138" i="23"/>
  <c r="B124" i="23"/>
  <c r="C124" i="23"/>
  <c r="B125" i="23"/>
  <c r="C125" i="23"/>
  <c r="B126" i="23"/>
  <c r="C126" i="23"/>
  <c r="B127" i="23"/>
  <c r="C127" i="23"/>
  <c r="B128" i="23"/>
  <c r="C128" i="23"/>
  <c r="B129" i="23"/>
  <c r="C129" i="23"/>
  <c r="B130" i="23"/>
  <c r="C130" i="23"/>
  <c r="B131" i="23"/>
  <c r="C131" i="23"/>
  <c r="B132" i="23"/>
  <c r="C132" i="23"/>
  <c r="B133" i="23"/>
  <c r="C133" i="23"/>
  <c r="B134" i="23"/>
  <c r="C134" i="23"/>
  <c r="B135" i="23"/>
  <c r="C135" i="23"/>
  <c r="B136" i="23"/>
  <c r="C136" i="23"/>
  <c r="B137" i="23"/>
  <c r="C137" i="23"/>
  <c r="B138" i="23"/>
  <c r="CG18" i="43" l="1"/>
  <c r="D62" i="43" s="1"/>
  <c r="E62" i="43" s="1"/>
  <c r="CF18" i="43"/>
  <c r="C62" i="43" s="1"/>
  <c r="F62" i="43" l="1"/>
  <c r="G51" i="8" l="1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F51" i="8"/>
  <c r="F69" i="8" s="1"/>
  <c r="F52" i="8"/>
  <c r="J52" i="8" s="1"/>
  <c r="F53" i="8"/>
  <c r="F54" i="8"/>
  <c r="F55" i="8"/>
  <c r="F56" i="8"/>
  <c r="F57" i="8"/>
  <c r="F58" i="8"/>
  <c r="F59" i="8"/>
  <c r="F60" i="8"/>
  <c r="J60" i="8" s="1"/>
  <c r="F61" i="8"/>
  <c r="F62" i="8"/>
  <c r="F63" i="8"/>
  <c r="F64" i="8"/>
  <c r="F65" i="8"/>
  <c r="J59" i="8" l="1"/>
  <c r="J51" i="8"/>
  <c r="J58" i="8"/>
  <c r="J63" i="8"/>
  <c r="J54" i="8"/>
  <c r="J55" i="8"/>
  <c r="J62" i="8"/>
  <c r="J61" i="8"/>
  <c r="J53" i="8"/>
  <c r="J57" i="8"/>
  <c r="J64" i="8"/>
  <c r="J56" i="8"/>
  <c r="A232" i="21" l="1"/>
  <c r="A305" i="21" s="1"/>
  <c r="A233" i="21"/>
  <c r="A306" i="21" s="1"/>
  <c r="C207" i="21"/>
  <c r="C278" i="21" s="1"/>
  <c r="C208" i="21"/>
  <c r="C279" i="21" s="1"/>
  <c r="C194" i="21"/>
  <c r="C265" i="21" s="1"/>
  <c r="C195" i="21"/>
  <c r="C266" i="21" s="1"/>
  <c r="C196" i="21"/>
  <c r="C267" i="21" s="1"/>
  <c r="C197" i="21"/>
  <c r="C268" i="21" s="1"/>
  <c r="C198" i="21"/>
  <c r="C269" i="21" s="1"/>
  <c r="C199" i="21"/>
  <c r="C270" i="21" s="1"/>
  <c r="C200" i="21"/>
  <c r="C271" i="21" s="1"/>
  <c r="C201" i="21"/>
  <c r="C272" i="21" s="1"/>
  <c r="C202" i="21"/>
  <c r="C273" i="21" s="1"/>
  <c r="C203" i="21"/>
  <c r="C274" i="21" s="1"/>
  <c r="C204" i="21"/>
  <c r="C275" i="21" s="1"/>
  <c r="C205" i="21"/>
  <c r="C276" i="21" s="1"/>
  <c r="C206" i="21"/>
  <c r="C277" i="21" s="1"/>
  <c r="B194" i="21"/>
  <c r="B265" i="21" s="1"/>
  <c r="B195" i="21"/>
  <c r="B266" i="21" s="1"/>
  <c r="B196" i="21"/>
  <c r="B267" i="21" s="1"/>
  <c r="B197" i="21"/>
  <c r="B268" i="21" s="1"/>
  <c r="B198" i="21"/>
  <c r="B269" i="21" s="1"/>
  <c r="B199" i="21"/>
  <c r="B270" i="21" s="1"/>
  <c r="B200" i="21"/>
  <c r="B271" i="21" s="1"/>
  <c r="B201" i="21"/>
  <c r="B272" i="21" s="1"/>
  <c r="B202" i="21"/>
  <c r="B273" i="21" s="1"/>
  <c r="B203" i="21"/>
  <c r="B274" i="21" s="1"/>
  <c r="B204" i="21"/>
  <c r="B275" i="21" s="1"/>
  <c r="B205" i="21"/>
  <c r="B276" i="21" s="1"/>
  <c r="B206" i="21"/>
  <c r="B277" i="21" s="1"/>
  <c r="B207" i="21"/>
  <c r="B278" i="21" s="1"/>
  <c r="B208" i="21"/>
  <c r="B279" i="21" s="1"/>
  <c r="C78" i="21"/>
  <c r="C135" i="21" s="1"/>
  <c r="C79" i="21"/>
  <c r="C136" i="21" s="1"/>
  <c r="C80" i="21"/>
  <c r="C137" i="21" s="1"/>
  <c r="C81" i="21"/>
  <c r="C138" i="21" s="1"/>
  <c r="C82" i="21"/>
  <c r="C139" i="21" s="1"/>
  <c r="C83" i="21"/>
  <c r="C140" i="21" s="1"/>
  <c r="C84" i="21"/>
  <c r="C141" i="21" s="1"/>
  <c r="C85" i="21"/>
  <c r="C142" i="21" s="1"/>
  <c r="C86" i="21"/>
  <c r="C143" i="21" s="1"/>
  <c r="C87" i="21"/>
  <c r="C144" i="21" s="1"/>
  <c r="C88" i="21"/>
  <c r="C145" i="21" s="1"/>
  <c r="C89" i="21"/>
  <c r="C146" i="21" s="1"/>
  <c r="C90" i="21"/>
  <c r="C147" i="21" s="1"/>
  <c r="C91" i="21"/>
  <c r="C148" i="21" s="1"/>
  <c r="C92" i="21"/>
  <c r="C149" i="21" s="1"/>
  <c r="A310" i="21" l="1"/>
  <c r="A315" i="21" s="1"/>
  <c r="A36" i="23"/>
  <c r="A311" i="21"/>
  <c r="A316" i="21" s="1"/>
  <c r="A37" i="23"/>
  <c r="C189" i="21"/>
  <c r="C181" i="21"/>
  <c r="C188" i="21"/>
  <c r="C180" i="21"/>
  <c r="C187" i="21"/>
  <c r="C179" i="21"/>
  <c r="C186" i="21"/>
  <c r="C178" i="21"/>
  <c r="C185" i="21"/>
  <c r="C177" i="21"/>
  <c r="C184" i="21"/>
  <c r="C176" i="21"/>
  <c r="C183" i="21"/>
  <c r="C175" i="21"/>
  <c r="C182" i="21"/>
  <c r="A68" i="23" l="1"/>
  <c r="A101" i="23" s="1"/>
  <c r="A104" i="23" s="1"/>
  <c r="A182" i="23" s="1"/>
  <c r="A237" i="23" s="1"/>
  <c r="A261" i="23" s="1"/>
  <c r="A292" i="23" s="1"/>
  <c r="A321" i="23" s="1"/>
  <c r="A326" i="23" s="1"/>
  <c r="A332" i="23" s="1"/>
  <c r="A88" i="24"/>
  <c r="A110" i="24" s="1"/>
  <c r="A132" i="24" s="1"/>
  <c r="A67" i="23"/>
  <c r="A100" i="23" s="1"/>
  <c r="A103" i="23" s="1"/>
  <c r="A181" i="23" s="1"/>
  <c r="A236" i="23" s="1"/>
  <c r="A260" i="23" s="1"/>
  <c r="A291" i="23" s="1"/>
  <c r="A320" i="23" s="1"/>
  <c r="A325" i="23" s="1"/>
  <c r="A331" i="23" s="1"/>
  <c r="A87" i="24"/>
  <c r="A109" i="24" s="1"/>
  <c r="A131" i="24" s="1"/>
  <c r="C246" i="21"/>
  <c r="C43" i="24"/>
  <c r="C69" i="24" s="1"/>
  <c r="C198" i="23"/>
  <c r="C254" i="21"/>
  <c r="C206" i="23"/>
  <c r="C250" i="23" s="1"/>
  <c r="C51" i="24"/>
  <c r="C251" i="21"/>
  <c r="C203" i="23"/>
  <c r="C48" i="24"/>
  <c r="C249" i="21"/>
  <c r="C46" i="24"/>
  <c r="C201" i="23"/>
  <c r="C250" i="21"/>
  <c r="C202" i="23"/>
  <c r="C246" i="23" s="1"/>
  <c r="C47" i="24"/>
  <c r="C258" i="21"/>
  <c r="C210" i="23"/>
  <c r="C254" i="23" s="1"/>
  <c r="C55" i="24"/>
  <c r="C247" i="21"/>
  <c r="C199" i="23"/>
  <c r="C243" i="23" s="1"/>
  <c r="C44" i="24"/>
  <c r="C255" i="21"/>
  <c r="C207" i="23"/>
  <c r="C251" i="23" s="1"/>
  <c r="C52" i="24"/>
  <c r="C259" i="21"/>
  <c r="C211" i="23"/>
  <c r="C255" i="23" s="1"/>
  <c r="C56" i="24"/>
  <c r="C248" i="21"/>
  <c r="C45" i="24"/>
  <c r="C200" i="23"/>
  <c r="C244" i="23" s="1"/>
  <c r="C252" i="21"/>
  <c r="C49" i="24"/>
  <c r="C204" i="23"/>
  <c r="C248" i="23" s="1"/>
  <c r="C256" i="21"/>
  <c r="C53" i="24"/>
  <c r="C208" i="23"/>
  <c r="C252" i="23" s="1"/>
  <c r="C260" i="21"/>
  <c r="C212" i="23"/>
  <c r="C256" i="23" s="1"/>
  <c r="C57" i="24"/>
  <c r="C253" i="21"/>
  <c r="C205" i="23"/>
  <c r="C50" i="24"/>
  <c r="C257" i="21"/>
  <c r="C54" i="24"/>
  <c r="C209" i="23"/>
  <c r="C253" i="23" s="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A29" i="21"/>
  <c r="A48" i="21" s="1"/>
  <c r="A69" i="21" s="1"/>
  <c r="A89" i="21" s="1"/>
  <c r="A108" i="21" s="1"/>
  <c r="A146" i="21" s="1"/>
  <c r="A165" i="21" s="1"/>
  <c r="A186" i="21" s="1"/>
  <c r="A205" i="21" s="1"/>
  <c r="A225" i="21" s="1"/>
  <c r="A257" i="21" s="1"/>
  <c r="A276" i="21" s="1"/>
  <c r="A298" i="21" s="1"/>
  <c r="A26" i="23" s="1"/>
  <c r="A30" i="21"/>
  <c r="A49" i="21" s="1"/>
  <c r="A70" i="21" s="1"/>
  <c r="A90" i="21" s="1"/>
  <c r="A109" i="21" s="1"/>
  <c r="A147" i="21" s="1"/>
  <c r="A166" i="21" s="1"/>
  <c r="A187" i="21" s="1"/>
  <c r="A206" i="21" s="1"/>
  <c r="A226" i="21" s="1"/>
  <c r="A258" i="21" s="1"/>
  <c r="A277" i="21" s="1"/>
  <c r="A299" i="21" s="1"/>
  <c r="A27" i="23" s="1"/>
  <c r="A31" i="21"/>
  <c r="A50" i="21" s="1"/>
  <c r="A71" i="21" s="1"/>
  <c r="A91" i="21" s="1"/>
  <c r="A110" i="21" s="1"/>
  <c r="A148" i="21" s="1"/>
  <c r="A167" i="21" s="1"/>
  <c r="A188" i="21" s="1"/>
  <c r="A207" i="21" s="1"/>
  <c r="A227" i="21" s="1"/>
  <c r="A259" i="21" s="1"/>
  <c r="A278" i="21" s="1"/>
  <c r="A300" i="21" s="1"/>
  <c r="A28" i="23" s="1"/>
  <c r="A32" i="21"/>
  <c r="A51" i="21" s="1"/>
  <c r="A72" i="21" s="1"/>
  <c r="A92" i="21" s="1"/>
  <c r="A111" i="21" s="1"/>
  <c r="A149" i="21" s="1"/>
  <c r="A168" i="21" s="1"/>
  <c r="A189" i="21" s="1"/>
  <c r="A208" i="21" s="1"/>
  <c r="A228" i="21" s="1"/>
  <c r="A260" i="21" s="1"/>
  <c r="A279" i="21" s="1"/>
  <c r="A301" i="21" s="1"/>
  <c r="A29" i="23" s="1"/>
  <c r="A18" i="21"/>
  <c r="A37" i="21" s="1"/>
  <c r="A58" i="21" s="1"/>
  <c r="A78" i="21" s="1"/>
  <c r="A97" i="21" s="1"/>
  <c r="A135" i="21" s="1"/>
  <c r="A154" i="21" s="1"/>
  <c r="A175" i="21" s="1"/>
  <c r="A194" i="21" s="1"/>
  <c r="A214" i="21" s="1"/>
  <c r="A246" i="21" s="1"/>
  <c r="A265" i="21" s="1"/>
  <c r="A287" i="21" s="1"/>
  <c r="A15" i="23" s="1"/>
  <c r="A19" i="21"/>
  <c r="A38" i="21" s="1"/>
  <c r="A59" i="21" s="1"/>
  <c r="A79" i="21" s="1"/>
  <c r="A98" i="21" s="1"/>
  <c r="A136" i="21" s="1"/>
  <c r="A155" i="21" s="1"/>
  <c r="A176" i="21" s="1"/>
  <c r="A195" i="21" s="1"/>
  <c r="A215" i="21" s="1"/>
  <c r="A247" i="21" s="1"/>
  <c r="A266" i="21" s="1"/>
  <c r="A288" i="21" s="1"/>
  <c r="A16" i="23" s="1"/>
  <c r="A20" i="21"/>
  <c r="A39" i="21" s="1"/>
  <c r="A60" i="21" s="1"/>
  <c r="A80" i="21" s="1"/>
  <c r="A99" i="21" s="1"/>
  <c r="A137" i="21" s="1"/>
  <c r="A156" i="21" s="1"/>
  <c r="A177" i="21" s="1"/>
  <c r="A196" i="21" s="1"/>
  <c r="A216" i="21" s="1"/>
  <c r="A248" i="21" s="1"/>
  <c r="A267" i="21" s="1"/>
  <c r="A289" i="21" s="1"/>
  <c r="A17" i="23" s="1"/>
  <c r="A21" i="21"/>
  <c r="A40" i="21" s="1"/>
  <c r="A61" i="21" s="1"/>
  <c r="A81" i="21" s="1"/>
  <c r="A100" i="21" s="1"/>
  <c r="A138" i="21" s="1"/>
  <c r="A157" i="21" s="1"/>
  <c r="A178" i="21" s="1"/>
  <c r="A197" i="21" s="1"/>
  <c r="A217" i="21" s="1"/>
  <c r="A249" i="21" s="1"/>
  <c r="A268" i="21" s="1"/>
  <c r="A290" i="21" s="1"/>
  <c r="A18" i="23" s="1"/>
  <c r="A22" i="21"/>
  <c r="A41" i="21" s="1"/>
  <c r="A62" i="21" s="1"/>
  <c r="A82" i="21" s="1"/>
  <c r="A101" i="21" s="1"/>
  <c r="A139" i="21" s="1"/>
  <c r="A158" i="21" s="1"/>
  <c r="A179" i="21" s="1"/>
  <c r="A198" i="21" s="1"/>
  <c r="A218" i="21" s="1"/>
  <c r="A250" i="21" s="1"/>
  <c r="A269" i="21" s="1"/>
  <c r="A291" i="21" s="1"/>
  <c r="A19" i="23" s="1"/>
  <c r="A23" i="21"/>
  <c r="A42" i="21" s="1"/>
  <c r="A63" i="21" s="1"/>
  <c r="A83" i="21" s="1"/>
  <c r="A102" i="21" s="1"/>
  <c r="A140" i="21" s="1"/>
  <c r="A159" i="21" s="1"/>
  <c r="A180" i="21" s="1"/>
  <c r="A199" i="21" s="1"/>
  <c r="A219" i="21" s="1"/>
  <c r="A251" i="21" s="1"/>
  <c r="A270" i="21" s="1"/>
  <c r="A292" i="21" s="1"/>
  <c r="A20" i="23" s="1"/>
  <c r="A24" i="21"/>
  <c r="A43" i="21" s="1"/>
  <c r="A64" i="21" s="1"/>
  <c r="A84" i="21" s="1"/>
  <c r="A103" i="21" s="1"/>
  <c r="A141" i="21" s="1"/>
  <c r="A160" i="21" s="1"/>
  <c r="A181" i="21" s="1"/>
  <c r="A200" i="21" s="1"/>
  <c r="A220" i="21" s="1"/>
  <c r="A252" i="21" s="1"/>
  <c r="A271" i="21" s="1"/>
  <c r="A293" i="21" s="1"/>
  <c r="A21" i="23" s="1"/>
  <c r="A25" i="21"/>
  <c r="A44" i="21" s="1"/>
  <c r="A65" i="21" s="1"/>
  <c r="A85" i="21" s="1"/>
  <c r="A104" i="21" s="1"/>
  <c r="A142" i="21" s="1"/>
  <c r="A161" i="21" s="1"/>
  <c r="A182" i="21" s="1"/>
  <c r="A201" i="21" s="1"/>
  <c r="A221" i="21" s="1"/>
  <c r="A253" i="21" s="1"/>
  <c r="A272" i="21" s="1"/>
  <c r="A294" i="21" s="1"/>
  <c r="A22" i="23" s="1"/>
  <c r="A26" i="21"/>
  <c r="A45" i="21" s="1"/>
  <c r="A66" i="21" s="1"/>
  <c r="A86" i="21" s="1"/>
  <c r="A105" i="21" s="1"/>
  <c r="A143" i="21" s="1"/>
  <c r="A162" i="21" s="1"/>
  <c r="A183" i="21" s="1"/>
  <c r="A202" i="21" s="1"/>
  <c r="A222" i="21" s="1"/>
  <c r="A254" i="21" s="1"/>
  <c r="A273" i="21" s="1"/>
  <c r="A295" i="21" s="1"/>
  <c r="A23" i="23" s="1"/>
  <c r="A27" i="21"/>
  <c r="A46" i="21" s="1"/>
  <c r="A67" i="21" s="1"/>
  <c r="A87" i="21" s="1"/>
  <c r="A106" i="21" s="1"/>
  <c r="A144" i="21" s="1"/>
  <c r="A163" i="21" s="1"/>
  <c r="A184" i="21" s="1"/>
  <c r="A203" i="21" s="1"/>
  <c r="A223" i="21" s="1"/>
  <c r="A255" i="21" s="1"/>
  <c r="A274" i="21" s="1"/>
  <c r="A296" i="21" s="1"/>
  <c r="A24" i="23" s="1"/>
  <c r="A28" i="21"/>
  <c r="A47" i="21" s="1"/>
  <c r="A68" i="21" s="1"/>
  <c r="A88" i="21" s="1"/>
  <c r="A107" i="21" s="1"/>
  <c r="A145" i="21" s="1"/>
  <c r="A164" i="21" s="1"/>
  <c r="A185" i="21" s="1"/>
  <c r="A204" i="21" s="1"/>
  <c r="A224" i="21" s="1"/>
  <c r="A256" i="21" s="1"/>
  <c r="A275" i="21" s="1"/>
  <c r="A297" i="21" s="1"/>
  <c r="A25" i="23" s="1"/>
  <c r="C242" i="23" l="1"/>
  <c r="C91" i="24"/>
  <c r="C113" i="24"/>
  <c r="C173" i="24"/>
  <c r="C80" i="24"/>
  <c r="C101" i="24"/>
  <c r="C188" i="24"/>
  <c r="A135" i="24"/>
  <c r="A180" i="24"/>
  <c r="A202" i="24" s="1"/>
  <c r="A224" i="24" s="1"/>
  <c r="A227" i="24" s="1"/>
  <c r="A288" i="24" s="1"/>
  <c r="A321" i="24" s="1"/>
  <c r="A327" i="24" s="1"/>
  <c r="C247" i="23"/>
  <c r="A134" i="24"/>
  <c r="A179" i="24"/>
  <c r="A201" i="24" s="1"/>
  <c r="A223" i="24" s="1"/>
  <c r="A226" i="24" s="1"/>
  <c r="A287" i="24" s="1"/>
  <c r="A320" i="24" s="1"/>
  <c r="A326" i="24" s="1"/>
  <c r="C249" i="23"/>
  <c r="C245" i="23"/>
  <c r="C116" i="24"/>
  <c r="A50" i="23"/>
  <c r="A82" i="23" s="1"/>
  <c r="A126" i="23" s="1"/>
  <c r="A145" i="23" s="1"/>
  <c r="A165" i="23" s="1"/>
  <c r="A200" i="23" s="1"/>
  <c r="A220" i="23" s="1"/>
  <c r="A244" i="23" s="1"/>
  <c r="A275" i="23" s="1"/>
  <c r="A304" i="23" s="1"/>
  <c r="A26" i="24"/>
  <c r="A45" i="24" s="1"/>
  <c r="A71" i="24" s="1"/>
  <c r="A93" i="24" s="1"/>
  <c r="A115" i="24" s="1"/>
  <c r="A163" i="24" s="1"/>
  <c r="A185" i="24" s="1"/>
  <c r="A207" i="24" s="1"/>
  <c r="A249" i="24" s="1"/>
  <c r="A271" i="24" s="1"/>
  <c r="A304" i="24" s="1"/>
  <c r="A49" i="23"/>
  <c r="A81" i="23" s="1"/>
  <c r="A125" i="23" s="1"/>
  <c r="A144" i="23" s="1"/>
  <c r="A164" i="23" s="1"/>
  <c r="A199" i="23" s="1"/>
  <c r="A219" i="23" s="1"/>
  <c r="A243" i="23" s="1"/>
  <c r="A274" i="23" s="1"/>
  <c r="A303" i="23" s="1"/>
  <c r="A25" i="24"/>
  <c r="A44" i="24" s="1"/>
  <c r="A70" i="24" s="1"/>
  <c r="A92" i="24" s="1"/>
  <c r="A114" i="24" s="1"/>
  <c r="A162" i="24" s="1"/>
  <c r="A184" i="24" s="1"/>
  <c r="A206" i="24" s="1"/>
  <c r="A248" i="24" s="1"/>
  <c r="A270" i="24" s="1"/>
  <c r="A303" i="24" s="1"/>
  <c r="A48" i="23"/>
  <c r="A80" i="23" s="1"/>
  <c r="A124" i="23" s="1"/>
  <c r="A143" i="23" s="1"/>
  <c r="A163" i="23" s="1"/>
  <c r="A198" i="23" s="1"/>
  <c r="A218" i="23" s="1"/>
  <c r="A242" i="23" s="1"/>
  <c r="A273" i="23" s="1"/>
  <c r="A302" i="23" s="1"/>
  <c r="A24" i="24"/>
  <c r="A43" i="24" s="1"/>
  <c r="A69" i="24" s="1"/>
  <c r="A91" i="24" s="1"/>
  <c r="A113" i="24" s="1"/>
  <c r="A161" i="24" s="1"/>
  <c r="A183" i="24" s="1"/>
  <c r="A205" i="24" s="1"/>
  <c r="A247" i="24" s="1"/>
  <c r="A269" i="24" s="1"/>
  <c r="A302" i="24" s="1"/>
  <c r="A54" i="23"/>
  <c r="A86" i="23" s="1"/>
  <c r="A130" i="23" s="1"/>
  <c r="A149" i="23" s="1"/>
  <c r="A169" i="23" s="1"/>
  <c r="A204" i="23" s="1"/>
  <c r="A224" i="23" s="1"/>
  <c r="A248" i="23" s="1"/>
  <c r="A279" i="23" s="1"/>
  <c r="A308" i="23" s="1"/>
  <c r="A30" i="24"/>
  <c r="A49" i="24" s="1"/>
  <c r="A75" i="24" s="1"/>
  <c r="A97" i="24" s="1"/>
  <c r="A119" i="24" s="1"/>
  <c r="A167" i="24" s="1"/>
  <c r="A189" i="24" s="1"/>
  <c r="A211" i="24" s="1"/>
  <c r="A253" i="24" s="1"/>
  <c r="A275" i="24" s="1"/>
  <c r="A308" i="24" s="1"/>
  <c r="A53" i="23"/>
  <c r="A85" i="23" s="1"/>
  <c r="A129" i="23" s="1"/>
  <c r="A148" i="23" s="1"/>
  <c r="A168" i="23" s="1"/>
  <c r="A203" i="23" s="1"/>
  <c r="A223" i="23" s="1"/>
  <c r="A247" i="23" s="1"/>
  <c r="A278" i="23" s="1"/>
  <c r="A307" i="23" s="1"/>
  <c r="A29" i="24"/>
  <c r="A48" i="24" s="1"/>
  <c r="A74" i="24" s="1"/>
  <c r="A96" i="24" s="1"/>
  <c r="A118" i="24" s="1"/>
  <c r="A166" i="24" s="1"/>
  <c r="A188" i="24" s="1"/>
  <c r="A210" i="24" s="1"/>
  <c r="A252" i="24" s="1"/>
  <c r="A274" i="24" s="1"/>
  <c r="A307" i="24" s="1"/>
  <c r="A51" i="23"/>
  <c r="A83" i="23" s="1"/>
  <c r="A127" i="23" s="1"/>
  <c r="A146" i="23" s="1"/>
  <c r="A166" i="23" s="1"/>
  <c r="A201" i="23" s="1"/>
  <c r="A221" i="23" s="1"/>
  <c r="A245" i="23" s="1"/>
  <c r="A276" i="23" s="1"/>
  <c r="A305" i="23" s="1"/>
  <c r="A27" i="24"/>
  <c r="A46" i="24" s="1"/>
  <c r="A72" i="24" s="1"/>
  <c r="A94" i="24" s="1"/>
  <c r="A116" i="24" s="1"/>
  <c r="A164" i="24" s="1"/>
  <c r="A186" i="24" s="1"/>
  <c r="A208" i="24" s="1"/>
  <c r="A250" i="24" s="1"/>
  <c r="A272" i="24" s="1"/>
  <c r="A305" i="24" s="1"/>
  <c r="A52" i="23"/>
  <c r="A84" i="23" s="1"/>
  <c r="A128" i="23" s="1"/>
  <c r="A147" i="23" s="1"/>
  <c r="A167" i="23" s="1"/>
  <c r="A202" i="23" s="1"/>
  <c r="A222" i="23" s="1"/>
  <c r="A246" i="23" s="1"/>
  <c r="A277" i="23" s="1"/>
  <c r="A306" i="23" s="1"/>
  <c r="A28" i="24"/>
  <c r="A47" i="24" s="1"/>
  <c r="A73" i="24" s="1"/>
  <c r="A95" i="24" s="1"/>
  <c r="A117" i="24" s="1"/>
  <c r="A165" i="24" s="1"/>
  <c r="A187" i="24" s="1"/>
  <c r="A209" i="24" s="1"/>
  <c r="A251" i="24" s="1"/>
  <c r="A273" i="24" s="1"/>
  <c r="A306" i="24" s="1"/>
  <c r="A59" i="23"/>
  <c r="A91" i="23" s="1"/>
  <c r="A135" i="23" s="1"/>
  <c r="A154" i="23" s="1"/>
  <c r="A174" i="23" s="1"/>
  <c r="A209" i="23" s="1"/>
  <c r="A229" i="23" s="1"/>
  <c r="A253" i="23" s="1"/>
  <c r="A284" i="23" s="1"/>
  <c r="A313" i="23" s="1"/>
  <c r="A35" i="24"/>
  <c r="A54" i="24" s="1"/>
  <c r="A80" i="24" s="1"/>
  <c r="A102" i="24" s="1"/>
  <c r="A124" i="24" s="1"/>
  <c r="A172" i="24" s="1"/>
  <c r="A194" i="24" s="1"/>
  <c r="A216" i="24" s="1"/>
  <c r="A258" i="24" s="1"/>
  <c r="A280" i="24" s="1"/>
  <c r="A313" i="24" s="1"/>
  <c r="A58" i="23"/>
  <c r="A90" i="23" s="1"/>
  <c r="A134" i="23" s="1"/>
  <c r="A153" i="23" s="1"/>
  <c r="A173" i="23" s="1"/>
  <c r="A208" i="23" s="1"/>
  <c r="A228" i="23" s="1"/>
  <c r="A252" i="23" s="1"/>
  <c r="A283" i="23" s="1"/>
  <c r="A312" i="23" s="1"/>
  <c r="A34" i="24"/>
  <c r="A53" i="24" s="1"/>
  <c r="A79" i="24" s="1"/>
  <c r="A101" i="24" s="1"/>
  <c r="A123" i="24" s="1"/>
  <c r="A171" i="24" s="1"/>
  <c r="A193" i="24" s="1"/>
  <c r="A215" i="24" s="1"/>
  <c r="A257" i="24" s="1"/>
  <c r="A279" i="24" s="1"/>
  <c r="A312" i="24" s="1"/>
  <c r="A60" i="23"/>
  <c r="A92" i="23" s="1"/>
  <c r="A136" i="23" s="1"/>
  <c r="A155" i="23" s="1"/>
  <c r="A175" i="23" s="1"/>
  <c r="A210" i="23" s="1"/>
  <c r="A230" i="23" s="1"/>
  <c r="A254" i="23" s="1"/>
  <c r="A285" i="23" s="1"/>
  <c r="A314" i="23" s="1"/>
  <c r="A36" i="24"/>
  <c r="A55" i="24" s="1"/>
  <c r="A81" i="24" s="1"/>
  <c r="A103" i="24" s="1"/>
  <c r="A125" i="24" s="1"/>
  <c r="A173" i="24" s="1"/>
  <c r="A195" i="24" s="1"/>
  <c r="A217" i="24" s="1"/>
  <c r="A259" i="24" s="1"/>
  <c r="A281" i="24" s="1"/>
  <c r="A314" i="24" s="1"/>
  <c r="A56" i="23"/>
  <c r="A88" i="23" s="1"/>
  <c r="A132" i="23" s="1"/>
  <c r="A151" i="23" s="1"/>
  <c r="A171" i="23" s="1"/>
  <c r="A206" i="23" s="1"/>
  <c r="A226" i="23" s="1"/>
  <c r="A250" i="23" s="1"/>
  <c r="A281" i="23" s="1"/>
  <c r="A310" i="23" s="1"/>
  <c r="A32" i="24"/>
  <c r="A51" i="24" s="1"/>
  <c r="A77" i="24" s="1"/>
  <c r="A99" i="24" s="1"/>
  <c r="A121" i="24" s="1"/>
  <c r="A169" i="24" s="1"/>
  <c r="A191" i="24" s="1"/>
  <c r="A213" i="24" s="1"/>
  <c r="A255" i="24" s="1"/>
  <c r="A277" i="24" s="1"/>
  <c r="A310" i="24" s="1"/>
  <c r="A55" i="23"/>
  <c r="A87" i="23" s="1"/>
  <c r="A131" i="23" s="1"/>
  <c r="A150" i="23" s="1"/>
  <c r="A170" i="23" s="1"/>
  <c r="A205" i="23" s="1"/>
  <c r="A225" i="23" s="1"/>
  <c r="A249" i="23" s="1"/>
  <c r="A280" i="23" s="1"/>
  <c r="A309" i="23" s="1"/>
  <c r="A31" i="24"/>
  <c r="A50" i="24" s="1"/>
  <c r="A76" i="24" s="1"/>
  <c r="A98" i="24" s="1"/>
  <c r="A120" i="24" s="1"/>
  <c r="A168" i="24" s="1"/>
  <c r="A190" i="24" s="1"/>
  <c r="A212" i="24" s="1"/>
  <c r="A254" i="24" s="1"/>
  <c r="A276" i="24" s="1"/>
  <c r="A309" i="24" s="1"/>
  <c r="A62" i="23"/>
  <c r="A94" i="23" s="1"/>
  <c r="A138" i="23" s="1"/>
  <c r="A157" i="23" s="1"/>
  <c r="A177" i="23" s="1"/>
  <c r="A212" i="23" s="1"/>
  <c r="A232" i="23" s="1"/>
  <c r="A256" i="23" s="1"/>
  <c r="A287" i="23" s="1"/>
  <c r="A316" i="23" s="1"/>
  <c r="A38" i="24"/>
  <c r="A57" i="24" s="1"/>
  <c r="A83" i="24" s="1"/>
  <c r="A105" i="24" s="1"/>
  <c r="A127" i="24" s="1"/>
  <c r="A175" i="24" s="1"/>
  <c r="A197" i="24" s="1"/>
  <c r="A219" i="24" s="1"/>
  <c r="A261" i="24" s="1"/>
  <c r="A283" i="24" s="1"/>
  <c r="A316" i="24" s="1"/>
  <c r="A57" i="23"/>
  <c r="A89" i="23" s="1"/>
  <c r="A133" i="23" s="1"/>
  <c r="A152" i="23" s="1"/>
  <c r="A172" i="23" s="1"/>
  <c r="A207" i="23" s="1"/>
  <c r="A227" i="23" s="1"/>
  <c r="A251" i="23" s="1"/>
  <c r="A282" i="23" s="1"/>
  <c r="A311" i="23" s="1"/>
  <c r="A33" i="24"/>
  <c r="A52" i="24" s="1"/>
  <c r="A78" i="24" s="1"/>
  <c r="A100" i="24" s="1"/>
  <c r="A122" i="24" s="1"/>
  <c r="A170" i="24" s="1"/>
  <c r="A192" i="24" s="1"/>
  <c r="A214" i="24" s="1"/>
  <c r="A256" i="24" s="1"/>
  <c r="A278" i="24" s="1"/>
  <c r="A311" i="24" s="1"/>
  <c r="A61" i="23"/>
  <c r="A93" i="23" s="1"/>
  <c r="A137" i="23" s="1"/>
  <c r="A156" i="23" s="1"/>
  <c r="A176" i="23" s="1"/>
  <c r="A211" i="23" s="1"/>
  <c r="A231" i="23" s="1"/>
  <c r="A255" i="23" s="1"/>
  <c r="A286" i="23" s="1"/>
  <c r="A315" i="23" s="1"/>
  <c r="A37" i="24"/>
  <c r="A56" i="24" s="1"/>
  <c r="A82" i="24" s="1"/>
  <c r="A104" i="24" s="1"/>
  <c r="A126" i="24" s="1"/>
  <c r="A174" i="24" s="1"/>
  <c r="A196" i="24" s="1"/>
  <c r="A218" i="24" s="1"/>
  <c r="A260" i="24" s="1"/>
  <c r="A282" i="24" s="1"/>
  <c r="A315" i="24" s="1"/>
  <c r="C119" i="24"/>
  <c r="C97" i="24"/>
  <c r="C75" i="24"/>
  <c r="C100" i="24"/>
  <c r="C78" i="24"/>
  <c r="C122" i="24"/>
  <c r="C102" i="24"/>
  <c r="C124" i="24"/>
  <c r="C127" i="24"/>
  <c r="C105" i="24"/>
  <c r="C83" i="24"/>
  <c r="C73" i="24"/>
  <c r="C117" i="24"/>
  <c r="C95" i="24"/>
  <c r="C121" i="24"/>
  <c r="C77" i="24"/>
  <c r="C99" i="24"/>
  <c r="C120" i="24"/>
  <c r="C76" i="24"/>
  <c r="C98" i="24"/>
  <c r="C123" i="24"/>
  <c r="C79" i="24"/>
  <c r="C82" i="24"/>
  <c r="C104" i="24"/>
  <c r="C126" i="24"/>
  <c r="C94" i="24"/>
  <c r="C72" i="24"/>
  <c r="C92" i="24"/>
  <c r="C70" i="24"/>
  <c r="C114" i="24"/>
  <c r="C103" i="24"/>
  <c r="C125" i="24"/>
  <c r="C81" i="24"/>
  <c r="C115" i="24"/>
  <c r="C71" i="24"/>
  <c r="C93" i="24"/>
  <c r="C96" i="24"/>
  <c r="C74" i="24"/>
  <c r="C118" i="24"/>
  <c r="A50" i="8"/>
  <c r="A32" i="8"/>
  <c r="A56" i="8" s="1"/>
  <c r="A33" i="8"/>
  <c r="A57" i="8" s="1"/>
  <c r="A34" i="8"/>
  <c r="A58" i="8" s="1"/>
  <c r="A35" i="8"/>
  <c r="A59" i="8" s="1"/>
  <c r="A36" i="8"/>
  <c r="A60" i="8" s="1"/>
  <c r="A37" i="8"/>
  <c r="A61" i="8" s="1"/>
  <c r="A38" i="8"/>
  <c r="A62" i="8" s="1"/>
  <c r="A39" i="8"/>
  <c r="A63" i="8" s="1"/>
  <c r="A40" i="8"/>
  <c r="A64" i="8" s="1"/>
  <c r="A41" i="8"/>
  <c r="A65" i="8" s="1"/>
  <c r="A27" i="8"/>
  <c r="A51" i="8" s="1"/>
  <c r="A28" i="8"/>
  <c r="A52" i="8" s="1"/>
  <c r="A29" i="8"/>
  <c r="A53" i="8" s="1"/>
  <c r="A30" i="8"/>
  <c r="A54" i="8" s="1"/>
  <c r="A31" i="8"/>
  <c r="A55" i="8" s="1"/>
  <c r="C10" i="20"/>
  <c r="C17" i="20" s="1"/>
  <c r="C11" i="20"/>
  <c r="C18" i="20" s="1"/>
  <c r="C19" i="20"/>
  <c r="B78" i="23"/>
  <c r="B101" i="23" s="1"/>
  <c r="B45" i="23"/>
  <c r="B243" i="24"/>
  <c r="C67" i="24"/>
  <c r="B67" i="24"/>
  <c r="B300" i="23"/>
  <c r="B117" i="23"/>
  <c r="C355" i="24"/>
  <c r="C22" i="24" s="1"/>
  <c r="B355" i="24"/>
  <c r="B22" i="24" s="1"/>
  <c r="C294" i="24"/>
  <c r="B294" i="24"/>
  <c r="C267" i="24"/>
  <c r="C244" i="24"/>
  <c r="B244" i="24"/>
  <c r="C154" i="24"/>
  <c r="C174" i="24" s="1"/>
  <c r="C297" i="23"/>
  <c r="C302" i="23" s="1"/>
  <c r="C269" i="23"/>
  <c r="C273" i="23" s="1"/>
  <c r="C268" i="23"/>
  <c r="B268" i="23"/>
  <c r="C216" i="23"/>
  <c r="D123" i="23"/>
  <c r="C122" i="23"/>
  <c r="B122" i="23"/>
  <c r="C118" i="23"/>
  <c r="B118" i="23"/>
  <c r="C285" i="21"/>
  <c r="B285" i="21"/>
  <c r="D212" i="21"/>
  <c r="D283" i="21" s="1"/>
  <c r="C212" i="21"/>
  <c r="B212" i="21"/>
  <c r="E193" i="21"/>
  <c r="E264" i="21" s="1"/>
  <c r="D193" i="21"/>
  <c r="D264" i="21" s="1"/>
  <c r="E153" i="21"/>
  <c r="B133" i="21"/>
  <c r="B135" i="21" s="1"/>
  <c r="B175" i="21" s="1"/>
  <c r="C131" i="21"/>
  <c r="C242" i="21" s="1"/>
  <c r="B131" i="21"/>
  <c r="B242" i="21" s="1"/>
  <c r="E56" i="21"/>
  <c r="C55" i="21"/>
  <c r="C58" i="21" s="1"/>
  <c r="B55" i="21"/>
  <c r="B58" i="21" s="1"/>
  <c r="B15" i="21"/>
  <c r="C15" i="21"/>
  <c r="B38" i="24"/>
  <c r="C168" i="24" l="1"/>
  <c r="C205" i="24"/>
  <c r="C191" i="24"/>
  <c r="C161" i="24"/>
  <c r="C215" i="24"/>
  <c r="C183" i="24"/>
  <c r="C171" i="24"/>
  <c r="C185" i="24"/>
  <c r="C207" i="24"/>
  <c r="C166" i="24"/>
  <c r="C217" i="24"/>
  <c r="C97" i="21"/>
  <c r="B97" i="21"/>
  <c r="C164" i="24"/>
  <c r="C210" i="24"/>
  <c r="C213" i="24"/>
  <c r="C222" i="24"/>
  <c r="C199" i="24"/>
  <c r="C200" i="24"/>
  <c r="C176" i="24"/>
  <c r="C178" i="24"/>
  <c r="C220" i="24"/>
  <c r="C221" i="24"/>
  <c r="C198" i="24"/>
  <c r="C177" i="24"/>
  <c r="C186" i="24"/>
  <c r="C167" i="24"/>
  <c r="C169" i="24"/>
  <c r="C194" i="24"/>
  <c r="C196" i="24"/>
  <c r="C162" i="24"/>
  <c r="C208" i="24"/>
  <c r="C211" i="24"/>
  <c r="C192" i="24"/>
  <c r="C172" i="24"/>
  <c r="C218" i="24"/>
  <c r="C206" i="24"/>
  <c r="C187" i="24"/>
  <c r="C189" i="24"/>
  <c r="C170" i="24"/>
  <c r="C216" i="24"/>
  <c r="C175" i="24"/>
  <c r="C184" i="24"/>
  <c r="C209" i="24"/>
  <c r="C190" i="24"/>
  <c r="C214" i="24"/>
  <c r="C219" i="24"/>
  <c r="C163" i="24"/>
  <c r="C165" i="24"/>
  <c r="C212" i="24"/>
  <c r="C193" i="24"/>
  <c r="C195" i="24"/>
  <c r="C197" i="24"/>
  <c r="C233" i="23"/>
  <c r="C235" i="23"/>
  <c r="C234" i="23"/>
  <c r="C288" i="23"/>
  <c r="C290" i="23"/>
  <c r="C289" i="23"/>
  <c r="C305" i="23"/>
  <c r="C319" i="23"/>
  <c r="C317" i="23"/>
  <c r="C318" i="23"/>
  <c r="C229" i="21"/>
  <c r="C231" i="21"/>
  <c r="C230" i="21"/>
  <c r="B151" i="21"/>
  <c r="B191" i="21" s="1"/>
  <c r="B152" i="21"/>
  <c r="B192" i="21" s="1"/>
  <c r="B150" i="21"/>
  <c r="B190" i="21" s="1"/>
  <c r="B59" i="21"/>
  <c r="B98" i="21" s="1"/>
  <c r="B73" i="21"/>
  <c r="B112" i="21" s="1"/>
  <c r="B75" i="21"/>
  <c r="B74" i="21"/>
  <c r="C74" i="21"/>
  <c r="C113" i="21" s="1"/>
  <c r="C73" i="21"/>
  <c r="C75" i="21"/>
  <c r="C309" i="23"/>
  <c r="C278" i="23"/>
  <c r="B100" i="23"/>
  <c r="A330" i="24"/>
  <c r="A333" i="24"/>
  <c r="A336" i="24" s="1"/>
  <c r="A344" i="24" s="1"/>
  <c r="A332" i="24"/>
  <c r="A335" i="24" s="1"/>
  <c r="A343" i="24" s="1"/>
  <c r="A329" i="24"/>
  <c r="C67" i="21"/>
  <c r="C106" i="21" s="1"/>
  <c r="C283" i="21"/>
  <c r="C287" i="21" s="1"/>
  <c r="C221" i="21"/>
  <c r="C215" i="21"/>
  <c r="C223" i="21"/>
  <c r="C225" i="21"/>
  <c r="C216" i="21"/>
  <c r="C224" i="21"/>
  <c r="C214" i="21"/>
  <c r="C228" i="21"/>
  <c r="C217" i="21"/>
  <c r="C226" i="21"/>
  <c r="C227" i="21"/>
  <c r="C218" i="21"/>
  <c r="C222" i="21"/>
  <c r="C220" i="21"/>
  <c r="C219" i="21"/>
  <c r="D12" i="20"/>
  <c r="D11" i="20"/>
  <c r="C243" i="24"/>
  <c r="C300" i="23"/>
  <c r="C221" i="23"/>
  <c r="C229" i="23"/>
  <c r="C230" i="23"/>
  <c r="C232" i="23"/>
  <c r="C220" i="23"/>
  <c r="C226" i="23"/>
  <c r="C224" i="23"/>
  <c r="C222" i="23"/>
  <c r="C228" i="23"/>
  <c r="C218" i="23"/>
  <c r="C227" i="23"/>
  <c r="C225" i="23"/>
  <c r="C219" i="23"/>
  <c r="C231" i="23"/>
  <c r="C223" i="23"/>
  <c r="C280" i="23"/>
  <c r="C286" i="23"/>
  <c r="C279" i="23"/>
  <c r="C281" i="23"/>
  <c r="C287" i="23"/>
  <c r="C274" i="23"/>
  <c r="C282" i="23"/>
  <c r="C275" i="23"/>
  <c r="C283" i="23"/>
  <c r="C276" i="23"/>
  <c r="C284" i="23"/>
  <c r="C277" i="23"/>
  <c r="C285" i="23"/>
  <c r="C310" i="23"/>
  <c r="C303" i="23"/>
  <c r="C311" i="23"/>
  <c r="C304" i="23"/>
  <c r="C312" i="23"/>
  <c r="C313" i="23"/>
  <c r="C316" i="23"/>
  <c r="C306" i="23"/>
  <c r="C314" i="23"/>
  <c r="C307" i="23"/>
  <c r="C315" i="23"/>
  <c r="C308" i="23"/>
  <c r="C117" i="23"/>
  <c r="B283" i="21"/>
  <c r="B143" i="21"/>
  <c r="B183" i="21" s="1"/>
  <c r="B136" i="21"/>
  <c r="B176" i="21" s="1"/>
  <c r="B144" i="21"/>
  <c r="B184" i="21" s="1"/>
  <c r="B148" i="21"/>
  <c r="B188" i="21" s="1"/>
  <c r="B137" i="21"/>
  <c r="B177" i="21" s="1"/>
  <c r="B145" i="21"/>
  <c r="B185" i="21" s="1"/>
  <c r="B140" i="21"/>
  <c r="B180" i="21" s="1"/>
  <c r="B142" i="21"/>
  <c r="B182" i="21" s="1"/>
  <c r="B138" i="21"/>
  <c r="B178" i="21" s="1"/>
  <c r="B146" i="21"/>
  <c r="B186" i="21" s="1"/>
  <c r="B139" i="21"/>
  <c r="B179" i="21" s="1"/>
  <c r="B147" i="21"/>
  <c r="B187" i="21" s="1"/>
  <c r="B141" i="21"/>
  <c r="B181" i="21" s="1"/>
  <c r="B149" i="21"/>
  <c r="B189" i="21" s="1"/>
  <c r="C72" i="21"/>
  <c r="C111" i="21" s="1"/>
  <c r="C63" i="21"/>
  <c r="C102" i="21" s="1"/>
  <c r="B72" i="21"/>
  <c r="B67" i="21"/>
  <c r="C62" i="21"/>
  <c r="C101" i="21" s="1"/>
  <c r="B64" i="21"/>
  <c r="C66" i="21"/>
  <c r="C105" i="21" s="1"/>
  <c r="B61" i="21"/>
  <c r="C71" i="21"/>
  <c r="C110" i="21" s="1"/>
  <c r="B69" i="21"/>
  <c r="B66" i="21"/>
  <c r="C60" i="21"/>
  <c r="C99" i="21" s="1"/>
  <c r="B63" i="21"/>
  <c r="B62" i="21"/>
  <c r="C69" i="21"/>
  <c r="C108" i="21" s="1"/>
  <c r="C68" i="21"/>
  <c r="C107" i="21" s="1"/>
  <c r="B71" i="21"/>
  <c r="C65" i="21"/>
  <c r="C104" i="21" s="1"/>
  <c r="C59" i="21"/>
  <c r="C98" i="21" s="1"/>
  <c r="B60" i="21"/>
  <c r="B70" i="21"/>
  <c r="B65" i="21"/>
  <c r="B68" i="21"/>
  <c r="C64" i="21"/>
  <c r="C103" i="21" s="1"/>
  <c r="C70" i="21"/>
  <c r="C259" i="24" s="1"/>
  <c r="C61" i="21"/>
  <c r="C100" i="21" s="1"/>
  <c r="B293" i="24"/>
  <c r="J65" i="8"/>
  <c r="B144" i="23" l="1"/>
  <c r="B164" i="23" s="1"/>
  <c r="B248" i="24"/>
  <c r="B270" i="24" s="1"/>
  <c r="B263" i="24"/>
  <c r="B285" i="24" s="1"/>
  <c r="B159" i="23"/>
  <c r="B179" i="23" s="1"/>
  <c r="B113" i="21"/>
  <c r="B264" i="24"/>
  <c r="B286" i="24" s="1"/>
  <c r="B160" i="23"/>
  <c r="B180" i="23" s="1"/>
  <c r="B158" i="23"/>
  <c r="B178" i="23" s="1"/>
  <c r="B262" i="24"/>
  <c r="B284" i="24" s="1"/>
  <c r="B261" i="21"/>
  <c r="B302" i="21" s="1"/>
  <c r="B229" i="21"/>
  <c r="B58" i="24"/>
  <c r="B213" i="23"/>
  <c r="B60" i="24"/>
  <c r="B215" i="23"/>
  <c r="B231" i="21"/>
  <c r="B263" i="21"/>
  <c r="B304" i="21" s="1"/>
  <c r="C304" i="21"/>
  <c r="C302" i="21"/>
  <c r="C303" i="21"/>
  <c r="B214" i="23"/>
  <c r="B230" i="21"/>
  <c r="B262" i="21"/>
  <c r="B303" i="21" s="1"/>
  <c r="B59" i="24"/>
  <c r="C160" i="23"/>
  <c r="C180" i="23" s="1"/>
  <c r="C264" i="24"/>
  <c r="C286" i="24" s="1"/>
  <c r="C114" i="21"/>
  <c r="C158" i="23"/>
  <c r="C178" i="23" s="1"/>
  <c r="C262" i="24"/>
  <c r="C284" i="24" s="1"/>
  <c r="C112" i="21"/>
  <c r="C159" i="23"/>
  <c r="C179" i="23" s="1"/>
  <c r="C263" i="24"/>
  <c r="C285" i="24" s="1"/>
  <c r="B114" i="21"/>
  <c r="C256" i="24"/>
  <c r="C278" i="24" s="1"/>
  <c r="C152" i="23"/>
  <c r="C172" i="23" s="1"/>
  <c r="C291" i="21"/>
  <c r="C288" i="21"/>
  <c r="C300" i="21"/>
  <c r="C293" i="21"/>
  <c r="C292" i="21"/>
  <c r="C289" i="21"/>
  <c r="C297" i="21"/>
  <c r="C290" i="21"/>
  <c r="C298" i="21"/>
  <c r="C299" i="21"/>
  <c r="C296" i="21"/>
  <c r="C295" i="21"/>
  <c r="C301" i="21"/>
  <c r="C294" i="21"/>
  <c r="C109" i="21"/>
  <c r="C281" i="24"/>
  <c r="C155" i="23"/>
  <c r="C175" i="23" s="1"/>
  <c r="C249" i="24"/>
  <c r="C271" i="24" s="1"/>
  <c r="C145" i="23"/>
  <c r="C165" i="23" s="1"/>
  <c r="C248" i="24"/>
  <c r="C270" i="24" s="1"/>
  <c r="C144" i="23"/>
  <c r="C164" i="23" s="1"/>
  <c r="C146" i="23"/>
  <c r="C166" i="23" s="1"/>
  <c r="C250" i="24"/>
  <c r="C272" i="24" s="1"/>
  <c r="C143" i="23"/>
  <c r="C163" i="23" s="1"/>
  <c r="C247" i="24"/>
  <c r="C269" i="24" s="1"/>
  <c r="C260" i="24"/>
  <c r="C282" i="24" s="1"/>
  <c r="C156" i="23"/>
  <c r="C176" i="23" s="1"/>
  <c r="C153" i="23"/>
  <c r="C173" i="23" s="1"/>
  <c r="C257" i="24"/>
  <c r="C279" i="24" s="1"/>
  <c r="C252" i="24"/>
  <c r="C274" i="24" s="1"/>
  <c r="C148" i="23"/>
  <c r="C168" i="23" s="1"/>
  <c r="C154" i="23"/>
  <c r="C174" i="23" s="1"/>
  <c r="C258" i="24"/>
  <c r="C280" i="24" s="1"/>
  <c r="C151" i="23"/>
  <c r="C171" i="23" s="1"/>
  <c r="C255" i="24"/>
  <c r="C277" i="24" s="1"/>
  <c r="C261" i="24"/>
  <c r="C283" i="24" s="1"/>
  <c r="C157" i="23"/>
  <c r="C177" i="23" s="1"/>
  <c r="C150" i="23"/>
  <c r="C170" i="23" s="1"/>
  <c r="C254" i="24"/>
  <c r="C276" i="24" s="1"/>
  <c r="C253" i="24"/>
  <c r="C275" i="24" s="1"/>
  <c r="C149" i="23"/>
  <c r="C169" i="23" s="1"/>
  <c r="C147" i="23"/>
  <c r="C167" i="23" s="1"/>
  <c r="C251" i="24"/>
  <c r="C273" i="24" s="1"/>
  <c r="B107" i="21"/>
  <c r="B257" i="24"/>
  <c r="B279" i="24" s="1"/>
  <c r="B153" i="23"/>
  <c r="B173" i="23" s="1"/>
  <c r="B207" i="23"/>
  <c r="B52" i="24"/>
  <c r="B201" i="23"/>
  <c r="B46" i="24"/>
  <c r="B109" i="21"/>
  <c r="B155" i="23"/>
  <c r="B175" i="23" s="1"/>
  <c r="B259" i="24"/>
  <c r="B281" i="24" s="1"/>
  <c r="B252" i="24"/>
  <c r="B274" i="24" s="1"/>
  <c r="B148" i="23"/>
  <c r="B168" i="23" s="1"/>
  <c r="B205" i="23"/>
  <c r="B50" i="24"/>
  <c r="B206" i="23"/>
  <c r="B51" i="24"/>
  <c r="B209" i="23"/>
  <c r="B54" i="24"/>
  <c r="B147" i="23"/>
  <c r="B167" i="23" s="1"/>
  <c r="B251" i="24"/>
  <c r="B273" i="24" s="1"/>
  <c r="B199" i="23"/>
  <c r="B44" i="24"/>
  <c r="B203" i="23"/>
  <c r="B48" i="24"/>
  <c r="B198" i="23"/>
  <c r="B43" i="24"/>
  <c r="B69" i="24" s="1"/>
  <c r="B53" i="24"/>
  <c r="B208" i="23"/>
  <c r="B104" i="21"/>
  <c r="B254" i="24"/>
  <c r="B276" i="24" s="1"/>
  <c r="B150" i="23"/>
  <c r="B170" i="23" s="1"/>
  <c r="B106" i="21"/>
  <c r="B256" i="24"/>
  <c r="B278" i="24" s="1"/>
  <c r="B152" i="23"/>
  <c r="B172" i="23" s="1"/>
  <c r="B212" i="23"/>
  <c r="B57" i="24"/>
  <c r="B108" i="21"/>
  <c r="B154" i="23"/>
  <c r="B174" i="23" s="1"/>
  <c r="B258" i="24"/>
  <c r="B280" i="24" s="1"/>
  <c r="B204" i="23"/>
  <c r="B49" i="24"/>
  <c r="B45" i="24"/>
  <c r="B200" i="23"/>
  <c r="B253" i="24"/>
  <c r="B275" i="24" s="1"/>
  <c r="B149" i="23"/>
  <c r="B169" i="23" s="1"/>
  <c r="B249" i="24"/>
  <c r="B271" i="24" s="1"/>
  <c r="B145" i="23"/>
  <c r="B165" i="23" s="1"/>
  <c r="B105" i="21"/>
  <c r="B255" i="24"/>
  <c r="B277" i="24" s="1"/>
  <c r="B151" i="23"/>
  <c r="B171" i="23" s="1"/>
  <c r="B110" i="21"/>
  <c r="B260" i="24"/>
  <c r="B282" i="24" s="1"/>
  <c r="B156" i="23"/>
  <c r="B176" i="23" s="1"/>
  <c r="B111" i="21"/>
  <c r="B261" i="24"/>
  <c r="B283" i="24" s="1"/>
  <c r="B157" i="23"/>
  <c r="B177" i="23" s="1"/>
  <c r="B55" i="24"/>
  <c r="B210" i="23"/>
  <c r="B247" i="24"/>
  <c r="B269" i="24" s="1"/>
  <c r="B143" i="23"/>
  <c r="B163" i="23" s="1"/>
  <c r="B100" i="21"/>
  <c r="B146" i="23"/>
  <c r="B166" i="23" s="1"/>
  <c r="B250" i="24"/>
  <c r="B272" i="24" s="1"/>
  <c r="B47" i="24"/>
  <c r="B202" i="23"/>
  <c r="B211" i="23"/>
  <c r="B56" i="24"/>
  <c r="C293" i="24"/>
  <c r="B228" i="21"/>
  <c r="B260" i="21"/>
  <c r="B301" i="21" s="1"/>
  <c r="B225" i="21"/>
  <c r="B257" i="21"/>
  <c r="B298" i="21" s="1"/>
  <c r="B223" i="21"/>
  <c r="B255" i="21"/>
  <c r="B296" i="21" s="1"/>
  <c r="B217" i="21"/>
  <c r="B249" i="21"/>
  <c r="B290" i="21" s="1"/>
  <c r="B215" i="21"/>
  <c r="B247" i="21"/>
  <c r="B288" i="21" s="1"/>
  <c r="B221" i="21"/>
  <c r="B253" i="21"/>
  <c r="B294" i="21" s="1"/>
  <c r="B222" i="21"/>
  <c r="B254" i="21"/>
  <c r="B295" i="21" s="1"/>
  <c r="B219" i="21"/>
  <c r="B251" i="21"/>
  <c r="B292" i="21" s="1"/>
  <c r="B214" i="21"/>
  <c r="B246" i="21"/>
  <c r="B287" i="21" s="1"/>
  <c r="B224" i="21"/>
  <c r="B256" i="21"/>
  <c r="B297" i="21" s="1"/>
  <c r="B220" i="21"/>
  <c r="B252" i="21"/>
  <c r="B293" i="21" s="1"/>
  <c r="B216" i="21"/>
  <c r="B248" i="21"/>
  <c r="B289" i="21" s="1"/>
  <c r="B226" i="21"/>
  <c r="B258" i="21"/>
  <c r="B299" i="21" s="1"/>
  <c r="B218" i="21"/>
  <c r="B250" i="21"/>
  <c r="B291" i="21" s="1"/>
  <c r="B227" i="21"/>
  <c r="B259" i="21"/>
  <c r="B300" i="21" s="1"/>
  <c r="B101" i="21"/>
  <c r="B102" i="21"/>
  <c r="B99" i="21"/>
  <c r="B103" i="21"/>
  <c r="B305" i="21" l="1"/>
  <c r="B115" i="21"/>
  <c r="C302" i="24"/>
  <c r="B183" i="24"/>
  <c r="B91" i="24"/>
  <c r="B161" i="24"/>
  <c r="B113" i="24"/>
  <c r="B205" i="24"/>
  <c r="B242" i="23"/>
  <c r="B302" i="23"/>
  <c r="B273" i="23"/>
  <c r="B302" i="24"/>
  <c r="B303" i="24"/>
  <c r="B200" i="24"/>
  <c r="B178" i="24"/>
  <c r="B222" i="24"/>
  <c r="B233" i="21"/>
  <c r="B177" i="24"/>
  <c r="B221" i="24"/>
  <c r="B199" i="24"/>
  <c r="B318" i="24"/>
  <c r="B176" i="24"/>
  <c r="B220" i="24"/>
  <c r="B198" i="24"/>
  <c r="B317" i="24"/>
  <c r="B306" i="21"/>
  <c r="B219" i="24"/>
  <c r="B197" i="24"/>
  <c r="B175" i="24"/>
  <c r="B315" i="24"/>
  <c r="B196" i="24"/>
  <c r="B174" i="24"/>
  <c r="B218" i="24"/>
  <c r="B195" i="24"/>
  <c r="B217" i="24"/>
  <c r="B173" i="24"/>
  <c r="B216" i="24"/>
  <c r="B172" i="24"/>
  <c r="B194" i="24"/>
  <c r="B193" i="24"/>
  <c r="B171" i="24"/>
  <c r="B215" i="24"/>
  <c r="B214" i="24"/>
  <c r="B192" i="24"/>
  <c r="B170" i="24"/>
  <c r="B213" i="24"/>
  <c r="B169" i="24"/>
  <c r="B191" i="24"/>
  <c r="B168" i="24"/>
  <c r="B190" i="24"/>
  <c r="B212" i="24"/>
  <c r="B189" i="24"/>
  <c r="B211" i="24"/>
  <c r="B167" i="24"/>
  <c r="B188" i="24"/>
  <c r="B166" i="24"/>
  <c r="B210" i="24"/>
  <c r="B307" i="24"/>
  <c r="B187" i="24"/>
  <c r="B165" i="24"/>
  <c r="B209" i="24"/>
  <c r="B164" i="24"/>
  <c r="B186" i="24"/>
  <c r="B208" i="24"/>
  <c r="B207" i="24"/>
  <c r="B163" i="24"/>
  <c r="B185" i="24"/>
  <c r="B184" i="24"/>
  <c r="B206" i="24"/>
  <c r="B162" i="24"/>
  <c r="B309" i="24"/>
  <c r="B304" i="24"/>
  <c r="B311" i="24"/>
  <c r="B310" i="24"/>
  <c r="C307" i="24"/>
  <c r="C315" i="24"/>
  <c r="C304" i="24"/>
  <c r="C313" i="24"/>
  <c r="C314" i="24"/>
  <c r="C308" i="24"/>
  <c r="C316" i="24"/>
  <c r="C319" i="24"/>
  <c r="C312" i="24"/>
  <c r="C305" i="24"/>
  <c r="C309" i="24"/>
  <c r="C317" i="24"/>
  <c r="C311" i="24"/>
  <c r="C306" i="24"/>
  <c r="C310" i="24"/>
  <c r="C318" i="24"/>
  <c r="C303" i="24"/>
  <c r="B316" i="24"/>
  <c r="B314" i="24"/>
  <c r="B305" i="24"/>
  <c r="B308" i="24"/>
  <c r="B306" i="24"/>
  <c r="B312" i="24"/>
  <c r="B319" i="24"/>
  <c r="B313" i="24"/>
  <c r="B288" i="24"/>
  <c r="B327" i="24" s="1"/>
  <c r="B233" i="23"/>
  <c r="B288" i="23"/>
  <c r="B257" i="23"/>
  <c r="B317" i="23"/>
  <c r="B116" i="21"/>
  <c r="B85" i="24"/>
  <c r="B107" i="24"/>
  <c r="B129" i="24"/>
  <c r="B84" i="24"/>
  <c r="B106" i="24"/>
  <c r="B128" i="24"/>
  <c r="B234" i="23"/>
  <c r="B289" i="23"/>
  <c r="B258" i="23"/>
  <c r="B318" i="23"/>
  <c r="B235" i="23"/>
  <c r="B259" i="23"/>
  <c r="B290" i="23"/>
  <c r="B319" i="23"/>
  <c r="B86" i="24"/>
  <c r="B108" i="24"/>
  <c r="B130" i="24"/>
  <c r="B182" i="23"/>
  <c r="B181" i="23"/>
  <c r="B83" i="24"/>
  <c r="B127" i="24"/>
  <c r="B105" i="24"/>
  <c r="B223" i="23"/>
  <c r="B247" i="23"/>
  <c r="B307" i="23"/>
  <c r="B278" i="23"/>
  <c r="B226" i="23"/>
  <c r="B281" i="23"/>
  <c r="B250" i="23"/>
  <c r="B310" i="23"/>
  <c r="B304" i="23"/>
  <c r="B244" i="23"/>
  <c r="B220" i="23"/>
  <c r="B275" i="23"/>
  <c r="B316" i="23"/>
  <c r="B287" i="23"/>
  <c r="B232" i="23"/>
  <c r="B256" i="23"/>
  <c r="B114" i="24"/>
  <c r="B70" i="24"/>
  <c r="B92" i="24"/>
  <c r="B98" i="24"/>
  <c r="B76" i="24"/>
  <c r="B120" i="24"/>
  <c r="B72" i="24"/>
  <c r="B94" i="24"/>
  <c r="B116" i="24"/>
  <c r="B126" i="24"/>
  <c r="B104" i="24"/>
  <c r="B82" i="24"/>
  <c r="B115" i="24"/>
  <c r="B71" i="24"/>
  <c r="B93" i="24"/>
  <c r="B283" i="23"/>
  <c r="B312" i="23"/>
  <c r="B228" i="23"/>
  <c r="B252" i="23"/>
  <c r="B303" i="23"/>
  <c r="B243" i="23"/>
  <c r="B219" i="23"/>
  <c r="B274" i="23"/>
  <c r="B280" i="23"/>
  <c r="B225" i="23"/>
  <c r="B309" i="23"/>
  <c r="B249" i="23"/>
  <c r="B245" i="23"/>
  <c r="B305" i="23"/>
  <c r="B221" i="23"/>
  <c r="B276" i="23"/>
  <c r="B246" i="23"/>
  <c r="B306" i="23"/>
  <c r="B277" i="23"/>
  <c r="B222" i="23"/>
  <c r="B279" i="23"/>
  <c r="B308" i="23"/>
  <c r="B248" i="23"/>
  <c r="B224" i="23"/>
  <c r="B227" i="23"/>
  <c r="B311" i="23"/>
  <c r="B251" i="23"/>
  <c r="B282" i="23"/>
  <c r="B231" i="23"/>
  <c r="B315" i="23"/>
  <c r="B286" i="23"/>
  <c r="B255" i="23"/>
  <c r="B119" i="24"/>
  <c r="B75" i="24"/>
  <c r="B97" i="24"/>
  <c r="B102" i="24"/>
  <c r="B80" i="24"/>
  <c r="B124" i="24"/>
  <c r="B254" i="23"/>
  <c r="B285" i="23"/>
  <c r="B230" i="23"/>
  <c r="B314" i="23"/>
  <c r="B218" i="23"/>
  <c r="B229" i="23"/>
  <c r="B253" i="23"/>
  <c r="B284" i="23"/>
  <c r="B313" i="23"/>
  <c r="B101" i="24"/>
  <c r="B123" i="24"/>
  <c r="B79" i="24"/>
  <c r="B122" i="24"/>
  <c r="B78" i="24"/>
  <c r="B100" i="24"/>
  <c r="B117" i="24"/>
  <c r="B73" i="24"/>
  <c r="B95" i="24"/>
  <c r="B81" i="24"/>
  <c r="B103" i="24"/>
  <c r="B125" i="24"/>
  <c r="B96" i="24"/>
  <c r="B74" i="24"/>
  <c r="B118" i="24"/>
  <c r="B99" i="24"/>
  <c r="B77" i="24"/>
  <c r="B121" i="24"/>
  <c r="B287" i="24"/>
  <c r="B232" i="21"/>
  <c r="B310" i="21" l="1"/>
  <c r="B315" i="21" s="1"/>
  <c r="B311" i="21"/>
  <c r="B316" i="21" s="1"/>
  <c r="E6" i="25" s="1"/>
  <c r="B109" i="24"/>
  <c r="B87" i="24"/>
  <c r="B260" i="23"/>
  <c r="B202" i="24"/>
  <c r="B224" i="24"/>
  <c r="B321" i="23"/>
  <c r="B180" i="24"/>
  <c r="B110" i="24"/>
  <c r="B132" i="24"/>
  <c r="B88" i="24"/>
  <c r="B261" i="23"/>
  <c r="B292" i="23"/>
  <c r="B321" i="24"/>
  <c r="B330" i="24" s="1"/>
  <c r="B234" i="21"/>
  <c r="B326" i="24"/>
  <c r="B325" i="24" s="1"/>
  <c r="B289" i="24"/>
  <c r="B183" i="23"/>
  <c r="B307" i="21"/>
  <c r="B117" i="21"/>
  <c r="N71" i="8" s="1"/>
  <c r="B320" i="23"/>
  <c r="B223" i="24"/>
  <c r="B320" i="24"/>
  <c r="B131" i="24"/>
  <c r="B291" i="23"/>
  <c r="B237" i="23"/>
  <c r="B179" i="24"/>
  <c r="B201" i="24"/>
  <c r="B236" i="23"/>
  <c r="B325" i="23" l="1"/>
  <c r="B226" i="24"/>
  <c r="B326" i="23"/>
  <c r="B135" i="24"/>
  <c r="B333" i="24" s="1"/>
  <c r="B134" i="24"/>
  <c r="B262" i="23"/>
  <c r="B322" i="23"/>
  <c r="E313" i="21"/>
  <c r="E309" i="21"/>
  <c r="B329" i="24"/>
  <c r="B328" i="24" s="1"/>
  <c r="B322" i="24"/>
  <c r="B181" i="24"/>
  <c r="B225" i="24"/>
  <c r="B111" i="24"/>
  <c r="B203" i="24"/>
  <c r="B133" i="24"/>
  <c r="B89" i="24"/>
  <c r="B293" i="23"/>
  <c r="B227" i="24"/>
  <c r="B336" i="24" s="1"/>
  <c r="E5" i="25" l="1"/>
  <c r="E7" i="25" s="1"/>
  <c r="B228" i="24"/>
  <c r="B332" i="24"/>
  <c r="B331" i="24" s="1"/>
  <c r="B136" i="24"/>
  <c r="C324" i="23"/>
  <c r="B335" i="24"/>
  <c r="B344" i="24"/>
  <c r="G6" i="25" s="1"/>
  <c r="B238" i="23"/>
  <c r="B334" i="24" l="1"/>
  <c r="B343" i="24"/>
  <c r="B342" i="24" s="1"/>
  <c r="G5" i="25" l="1"/>
  <c r="G7" i="25" l="1"/>
  <c r="B29" i="23" l="1"/>
  <c r="B28" i="23"/>
  <c r="B27" i="23"/>
  <c r="B37" i="23" s="1"/>
  <c r="B26" i="23"/>
  <c r="B25" i="23"/>
  <c r="B24" i="23"/>
  <c r="B23" i="23"/>
  <c r="B22" i="23"/>
  <c r="B36" i="23" s="1"/>
  <c r="B21" i="23"/>
  <c r="B20" i="23"/>
  <c r="B19" i="23"/>
  <c r="B18" i="23"/>
  <c r="B35" i="23" l="1"/>
  <c r="L67" i="8" l="1"/>
  <c r="N67" i="8" s="1"/>
  <c r="L66" i="8"/>
  <c r="N66" i="8" s="1"/>
  <c r="M67" i="8" l="1"/>
  <c r="B64" i="23" s="1"/>
  <c r="M66" i="8"/>
  <c r="B63" i="23" s="1"/>
  <c r="L68" i="8"/>
  <c r="N68" i="8" s="1"/>
  <c r="M68" i="8" l="1"/>
  <c r="B65" i="23" l="1"/>
  <c r="L52" i="8" l="1"/>
  <c r="N52" i="8" s="1"/>
  <c r="M52" i="8" l="1"/>
  <c r="B49" i="23" s="1"/>
  <c r="L64" i="8"/>
  <c r="N64" i="8" s="1"/>
  <c r="L53" i="8"/>
  <c r="N53" i="8" s="1"/>
  <c r="L56" i="8"/>
  <c r="N56" i="8" s="1"/>
  <c r="M64" i="8" l="1"/>
  <c r="B61" i="23" s="1"/>
  <c r="M56" i="8"/>
  <c r="B53" i="23" s="1"/>
  <c r="M53" i="8"/>
  <c r="B50" i="23" s="1"/>
  <c r="L65" i="8" l="1"/>
  <c r="N65" i="8" s="1"/>
  <c r="L63" i="8"/>
  <c r="N63" i="8" s="1"/>
  <c r="L62" i="8"/>
  <c r="N62" i="8" s="1"/>
  <c r="L61" i="8"/>
  <c r="N61" i="8" s="1"/>
  <c r="L60" i="8"/>
  <c r="N60" i="8" s="1"/>
  <c r="L59" i="8"/>
  <c r="N59" i="8" s="1"/>
  <c r="L58" i="8"/>
  <c r="N58" i="8" s="1"/>
  <c r="L57" i="8"/>
  <c r="N57" i="8" s="1"/>
  <c r="L55" i="8"/>
  <c r="N55" i="8" s="1"/>
  <c r="L54" i="8"/>
  <c r="N54" i="8" s="1"/>
  <c r="L51" i="8"/>
  <c r="M51" i="8" l="1"/>
  <c r="N51" i="8"/>
  <c r="M65" i="8"/>
  <c r="B62" i="23" s="1"/>
  <c r="M63" i="8"/>
  <c r="B60" i="23" s="1"/>
  <c r="M62" i="8"/>
  <c r="B59" i="23" s="1"/>
  <c r="M61" i="8"/>
  <c r="B58" i="23" s="1"/>
  <c r="M60" i="8"/>
  <c r="B57" i="23" s="1"/>
  <c r="M59" i="8"/>
  <c r="B56" i="23" s="1"/>
  <c r="M58" i="8"/>
  <c r="B55" i="23" s="1"/>
  <c r="M57" i="8"/>
  <c r="B54" i="23" s="1"/>
  <c r="M55" i="8"/>
  <c r="B52" i="23" s="1"/>
  <c r="M54" i="8"/>
  <c r="B51" i="23" s="1"/>
  <c r="L69" i="8"/>
  <c r="N69" i="8" l="1"/>
  <c r="B68" i="23"/>
  <c r="B104" i="23" s="1"/>
  <c r="B332" i="23" s="1"/>
  <c r="F6" i="25" s="1"/>
  <c r="H6" i="25" s="1"/>
  <c r="D18" i="20" s="1"/>
  <c r="B48" i="23"/>
  <c r="B67" i="23" s="1"/>
  <c r="M69" i="8"/>
  <c r="B103" i="23" l="1"/>
  <c r="B66" i="23"/>
  <c r="B331" i="23" l="1"/>
  <c r="B102" i="23"/>
  <c r="N72" i="8" l="1"/>
  <c r="N73" i="8" s="1"/>
  <c r="N74" i="8" s="1"/>
  <c r="F5" i="25"/>
  <c r="B330" i="23"/>
  <c r="H5" i="25" l="1"/>
  <c r="F7" i="25"/>
  <c r="D17" i="20" l="1"/>
  <c r="H7" i="25"/>
  <c r="D19" i="20" l="1"/>
</calcChain>
</file>

<file path=xl/sharedStrings.xml><?xml version="1.0" encoding="utf-8"?>
<sst xmlns="http://schemas.openxmlformats.org/spreadsheetml/2006/main" count="2872" uniqueCount="421">
  <si>
    <t>-</t>
  </si>
  <si>
    <t>%</t>
  </si>
  <si>
    <t>Unit</t>
  </si>
  <si>
    <t>Parameter</t>
  </si>
  <si>
    <t>Source</t>
  </si>
  <si>
    <t>kg</t>
  </si>
  <si>
    <t>kg-dm/day</t>
  </si>
  <si>
    <t xml:space="preserve">2006 IPCC guideline, volume 4, chapter 10 </t>
  </si>
  <si>
    <t>Direct N2O Emissions</t>
  </si>
  <si>
    <t xml:space="preserve">                               Value</t>
  </si>
  <si>
    <t xml:space="preserve">                              Value </t>
  </si>
  <si>
    <t>Indirect N2O Emissions</t>
  </si>
  <si>
    <t>EF4</t>
  </si>
  <si>
    <t>EF1</t>
  </si>
  <si>
    <t>EF5</t>
  </si>
  <si>
    <t>kg/animal/day</t>
  </si>
  <si>
    <t>numbers</t>
  </si>
  <si>
    <t>m3 CH4/kg-VS</t>
  </si>
  <si>
    <t xml:space="preserve">                                      Value </t>
  </si>
  <si>
    <t xml:space="preserve">A) Phase I: Anaerobic digester </t>
  </si>
  <si>
    <t xml:space="preserve">Total CH4 emissions </t>
  </si>
  <si>
    <t>B) PHASE II: Aerobic treatment</t>
  </si>
  <si>
    <t>LEAKEAGE</t>
  </si>
  <si>
    <t>MCFd</t>
  </si>
  <si>
    <t>Rvs,n</t>
  </si>
  <si>
    <t>from Land Application(tCO2e)</t>
  </si>
  <si>
    <t>at the project site</t>
  </si>
  <si>
    <t>Fraction of manure handled in system j</t>
  </si>
  <si>
    <t>calculated</t>
  </si>
  <si>
    <t xml:space="preserve">calculated </t>
  </si>
  <si>
    <t>Annex 1, ACM0010</t>
  </si>
  <si>
    <t>table 11.3, chapter 11, volume 4, 2006 IPCC</t>
  </si>
  <si>
    <t>Market Swine</t>
  </si>
  <si>
    <t>Breeding Swine</t>
  </si>
  <si>
    <t xml:space="preserve">BASELINE EMISSIONS </t>
  </si>
  <si>
    <t>i) CH4 emissions</t>
  </si>
  <si>
    <t>ii) N2O emissions</t>
  </si>
  <si>
    <t>2006 IPCC default value, vol. 4, ch. 10, tbl. 10.21</t>
  </si>
  <si>
    <t>2006 IPCC default value, vol. 4, ch. 10, tbl. 11.3</t>
  </si>
  <si>
    <t>Conservative Factor</t>
  </si>
  <si>
    <t xml:space="preserve">i) Methane emissions from AWMS where gas is captured (PEAD, y): </t>
  </si>
  <si>
    <t>iii) N2O emissions from manure management</t>
  </si>
  <si>
    <t>MS%j</t>
  </si>
  <si>
    <t xml:space="preserve">PROJECT EMISSION </t>
  </si>
  <si>
    <t xml:space="preserve">i) Estimation of N2O emissions: </t>
  </si>
  <si>
    <t>ii)Methane emissions from disposal of treated manure</t>
  </si>
  <si>
    <t>table 11.1, chapter 11, volume 4, 2006 IPCC</t>
  </si>
  <si>
    <t>2006 IPCC default value, vol. 4, ch. 10, tbl. 10A-7,8</t>
  </si>
  <si>
    <t>kg/animal-yr</t>
  </si>
  <si>
    <t>Calulated</t>
  </si>
  <si>
    <t>Ndy</t>
  </si>
  <si>
    <t>kg N/1000kg animal mass/day</t>
  </si>
  <si>
    <t>2006 IPCC guideline, volume 4, chapter 10, tbl. 10A-7</t>
  </si>
  <si>
    <t>Calculated</t>
  </si>
  <si>
    <t>Default value ACM0010</t>
  </si>
  <si>
    <t>days</t>
  </si>
  <si>
    <t>MCF with cons. Factor</t>
  </si>
  <si>
    <t xml:space="preserve">Calculated  </t>
  </si>
  <si>
    <t>2006 IPCC Guidelines, volume 4, chapter 11, table 11.3</t>
  </si>
  <si>
    <t>ACM0010 Version 5, page 10</t>
  </si>
  <si>
    <t>2006 IPCC default value, vol. 4, ch. 10, tbl.10.22 (According to Chapter 8.2 in US-EPA (2001), "a covered lagoon will not lose NH3-N to the atmosphere")</t>
  </si>
  <si>
    <t>2006 IPCC default value, vol. 4, ch. 11, tbl.11.3 (According to Chapter 8.2 in US-EPA (2001), "a covered lagoon will not lose NH3-N to the atmosphere")</t>
    <phoneticPr fontId="0" type="noConversion"/>
  </si>
  <si>
    <t>Unit</t>
    <phoneticPr fontId="0" type="noConversion"/>
  </si>
  <si>
    <t>Source</t>
    <phoneticPr fontId="0" type="noConversion"/>
  </si>
  <si>
    <t xml:space="preserve">Value </t>
    <phoneticPr fontId="0" type="noConversion"/>
  </si>
  <si>
    <t>Parameter</t>
    <phoneticPr fontId="0" type="noConversion"/>
  </si>
  <si>
    <t xml:space="preserve">calculated </t>
    <phoneticPr fontId="0" type="noConversion"/>
  </si>
  <si>
    <t>2006 IPCC default value, vol. 4, ch. 10, tbl. 10.21 Anaerobic digester</t>
    <phoneticPr fontId="0" type="noConversion"/>
  </si>
  <si>
    <t xml:space="preserve">2006 IPCC default value, vol. 4, ch. 11, tbl.11.3 </t>
    <phoneticPr fontId="0" type="noConversion"/>
  </si>
  <si>
    <t>TAM</t>
  </si>
  <si>
    <t>2006 IPCC default value, vol. 4, ch. 10, tbl. 10.19</t>
    <phoneticPr fontId="0" type="noConversion"/>
  </si>
  <si>
    <t xml:space="preserve">2006 IPCC default value, vol. 4, ch. 10, tbl.10.22 </t>
    <phoneticPr fontId="0" type="noConversion"/>
  </si>
  <si>
    <t>kg N/animal/year</t>
    <phoneticPr fontId="0" type="noConversion"/>
  </si>
  <si>
    <t>No of heads</t>
    <phoneticPr fontId="0" type="noConversion"/>
  </si>
  <si>
    <t>total</t>
  </si>
  <si>
    <t>Title of the project activity</t>
  </si>
  <si>
    <t>GS ID of the project activity</t>
    <phoneticPr fontId="9" type="noConversion"/>
  </si>
  <si>
    <t>Version number of this calculation sheet</t>
    <phoneticPr fontId="9" type="noConversion"/>
  </si>
  <si>
    <t>Date</t>
    <phoneticPr fontId="9" type="noConversion"/>
  </si>
  <si>
    <t>Duration of this monitoring period</t>
  </si>
  <si>
    <t>Market Swine</t>
    <phoneticPr fontId="0" type="noConversion"/>
  </si>
  <si>
    <t>Breeding Swine</t>
    <phoneticPr fontId="0" type="noConversion"/>
  </si>
  <si>
    <t>1. Mean value and standard deviations for strata</t>
    <phoneticPr fontId="9" type="noConversion"/>
  </si>
  <si>
    <t xml:space="preserve"> Population total</t>
    <phoneticPr fontId="9" type="noConversion"/>
  </si>
  <si>
    <t xml:space="preserve">(N)  </t>
    <phoneticPr fontId="9" type="noConversion"/>
  </si>
  <si>
    <t>2. The stratified estimated overall mean:</t>
    <phoneticPr fontId="9" type="noConversion"/>
  </si>
  <si>
    <t xml:space="preserve"> The stratified estimated overall mean  </t>
  </si>
  <si>
    <t xml:space="preserve"> N  </t>
  </si>
  <si>
    <t>3. The standard error of the stratified estimated overall mean:</t>
    <phoneticPr fontId="9" type="noConversion"/>
  </si>
  <si>
    <t xml:space="preserve"> Standard error of the stratified estimated overall mean</t>
    <phoneticPr fontId="9" type="noConversion"/>
  </si>
  <si>
    <t>4. t-value</t>
    <phoneticPr fontId="9" type="noConversion"/>
  </si>
  <si>
    <t>5. Precision</t>
    <phoneticPr fontId="9" type="noConversion"/>
  </si>
  <si>
    <t xml:space="preserve">Precision   </t>
    <phoneticPr fontId="9" type="noConversion"/>
  </si>
  <si>
    <t>6. Calculation results</t>
    <phoneticPr fontId="9" type="noConversion"/>
  </si>
  <si>
    <t>t-value</t>
    <phoneticPr fontId="9" type="noConversion"/>
  </si>
  <si>
    <t>Relative Precision</t>
    <phoneticPr fontId="9" type="noConversion"/>
  </si>
  <si>
    <t>-</t>
    <phoneticPr fontId="0" type="noConversion"/>
  </si>
  <si>
    <t>BASELINE EMISSIONS       BEy =</t>
    <phoneticPr fontId="0" type="noConversion"/>
  </si>
  <si>
    <t>kg-dm/ animal/year</t>
    <phoneticPr fontId="0" type="noConversion"/>
  </si>
  <si>
    <t>Page 12 of tool 14: Project and leakage emissions from anaerobic digesters</t>
    <phoneticPr fontId="0" type="noConversion"/>
  </si>
  <si>
    <t>ACM0010 Version 5, page 8</t>
    <phoneticPr fontId="0" type="noConversion"/>
  </si>
  <si>
    <t>2006 IPCC guideline, volume 4, chapter 10, tbl. 10A-7</t>
    <phoneticPr fontId="0" type="noConversion"/>
  </si>
  <si>
    <t>Tt(k)</t>
    <phoneticPr fontId="9" type="noConversion"/>
  </si>
  <si>
    <t>MMi(kg/kmol)</t>
    <phoneticPr fontId="9" type="noConversion"/>
  </si>
  <si>
    <t>Ru(Pa.m3/kmol.K))</t>
    <phoneticPr fontId="9" type="noConversion"/>
  </si>
  <si>
    <t>t CH4</t>
    <phoneticPr fontId="0" type="noConversion"/>
  </si>
  <si>
    <t>Vf3(m3)</t>
    <phoneticPr fontId="9" type="noConversion"/>
  </si>
  <si>
    <t>Breeding Swine</t>
    <phoneticPr fontId="9" type="noConversion"/>
  </si>
  <si>
    <t>average</t>
    <phoneticPr fontId="9" type="noConversion"/>
  </si>
  <si>
    <t>kg</t>
    <phoneticPr fontId="0" type="noConversion"/>
  </si>
  <si>
    <t>Calculated</t>
    <phoneticPr fontId="0" type="noConversion"/>
  </si>
  <si>
    <t>Fraction of manure handled in system j</t>
    <phoneticPr fontId="0" type="noConversion"/>
  </si>
  <si>
    <t>MWh</t>
    <phoneticPr fontId="0" type="noConversion"/>
  </si>
  <si>
    <t>calculated</t>
    <phoneticPr fontId="0" type="noConversion"/>
  </si>
  <si>
    <t>%</t>
    <phoneticPr fontId="0" type="noConversion"/>
  </si>
  <si>
    <t>LEy =</t>
    <phoneticPr fontId="0" type="noConversion"/>
  </si>
  <si>
    <t xml:space="preserve"> Value </t>
    <phoneticPr fontId="0" type="noConversion"/>
  </si>
  <si>
    <t>Tool to determine project emissions from flaring gases containing methane</t>
    <phoneticPr fontId="0" type="noConversion"/>
  </si>
  <si>
    <t>Time</t>
    <phoneticPr fontId="9" type="noConversion"/>
  </si>
  <si>
    <t>SDG8</t>
    <phoneticPr fontId="9" type="noConversion"/>
  </si>
  <si>
    <t>SDG13</t>
    <phoneticPr fontId="9" type="noConversion"/>
  </si>
  <si>
    <t>IPCC AR5</t>
  </si>
  <si>
    <t>ACM0010 Version 5, page 8</t>
  </si>
  <si>
    <t>kgN/animal/yr</t>
    <phoneticPr fontId="0" type="noConversion"/>
  </si>
  <si>
    <t>Ministry of Ecology and Environment of the People's Republic of China</t>
    <phoneticPr fontId="0" type="noConversion"/>
  </si>
  <si>
    <t>Tool 05:Baseline, project and/or leakage emissions from electricity consumption and monitoring of electricity generation</t>
    <phoneticPr fontId="0" type="noConversion"/>
  </si>
  <si>
    <t>No fossil fuel comsumed during this MP, therefore,Project emissions from fossil fuel consumption associated with the anaerobic digester is not be taken into account</t>
    <phoneticPr fontId="0" type="noConversion"/>
  </si>
  <si>
    <t xml:space="preserve">                                      Value </t>
    <phoneticPr fontId="0" type="noConversion"/>
  </si>
  <si>
    <t>IPCC AR5</t>
    <phoneticPr fontId="0" type="noConversion"/>
  </si>
  <si>
    <t>PDD</t>
    <phoneticPr fontId="0" type="noConversion"/>
  </si>
  <si>
    <t>kg/animal/yr</t>
    <phoneticPr fontId="0" type="noConversion"/>
  </si>
  <si>
    <t xml:space="preserve"> Table 8-10 provided in Appendix 1 of ACM0010 </t>
    <phoneticPr fontId="0" type="noConversion"/>
  </si>
  <si>
    <t xml:space="preserve"> Table 8-10 provided in Appendix 1 of ACM0010 </t>
    <phoneticPr fontId="9" type="noConversion"/>
  </si>
  <si>
    <t>2006 IPCC guideline, volume 4, chapter 10, Tbl. 10.17</t>
    <phoneticPr fontId="9" type="noConversion"/>
  </si>
  <si>
    <t>SDG7</t>
    <phoneticPr fontId="9" type="noConversion"/>
  </si>
  <si>
    <t>Total number of jobs</t>
    <phoneticPr fontId="9" type="noConversion"/>
  </si>
  <si>
    <t>Time interval</t>
    <phoneticPr fontId="9" type="noConversion"/>
  </si>
  <si>
    <t>01/01/2021-31/01/2021</t>
    <phoneticPr fontId="9" type="noConversion"/>
  </si>
  <si>
    <t>01/03/2021-31/03/3021</t>
    <phoneticPr fontId="9" type="noConversion"/>
  </si>
  <si>
    <t>01/04/2021-30/04/2021</t>
    <phoneticPr fontId="9" type="noConversion"/>
  </si>
  <si>
    <t>01/05/2021-31/05/2021</t>
    <phoneticPr fontId="9" type="noConversion"/>
  </si>
  <si>
    <t>01/06/2021-30/06/2021</t>
    <phoneticPr fontId="9" type="noConversion"/>
  </si>
  <si>
    <t>01/08/2021-31/08/2021</t>
    <phoneticPr fontId="9" type="noConversion"/>
  </si>
  <si>
    <t>01/07/2021-31/07/2021</t>
    <phoneticPr fontId="9" type="noConversion"/>
  </si>
  <si>
    <t>01/09/2021-30/09/2021</t>
    <phoneticPr fontId="9" type="noConversion"/>
  </si>
  <si>
    <t>01/10/2021-31/10/2021</t>
    <phoneticPr fontId="9" type="noConversion"/>
  </si>
  <si>
    <t>01/11/2021-30/11/2021</t>
    <phoneticPr fontId="9" type="noConversion"/>
  </si>
  <si>
    <t>01/12/2021-31/12/2021</t>
    <phoneticPr fontId="9" type="noConversion"/>
  </si>
  <si>
    <t>01/02/2022-28/02/2022</t>
    <phoneticPr fontId="9" type="noConversion"/>
  </si>
  <si>
    <t>01/03/2022-31/03/2022</t>
    <phoneticPr fontId="9" type="noConversion"/>
  </si>
  <si>
    <t>01/01/2021-31/12/2021</t>
    <phoneticPr fontId="0" type="noConversion"/>
  </si>
  <si>
    <t>01/01/2022-31/01/2022</t>
    <phoneticPr fontId="9" type="noConversion"/>
  </si>
  <si>
    <t>01/01/2021-31/12/2021</t>
    <phoneticPr fontId="9" type="noConversion"/>
  </si>
  <si>
    <t>total</t>
    <phoneticPr fontId="9" type="noConversion"/>
  </si>
  <si>
    <t>Swine Farm</t>
    <phoneticPr fontId="17" type="noConversion"/>
  </si>
  <si>
    <t>Wsite-Arithmetic mean</t>
    <phoneticPr fontId="17" type="noConversion"/>
  </si>
  <si>
    <t>Market</t>
    <phoneticPr fontId="17" type="noConversion"/>
  </si>
  <si>
    <t>Breeding</t>
    <phoneticPr fontId="17" type="noConversion"/>
  </si>
  <si>
    <t>total</t>
    <phoneticPr fontId="17" type="noConversion"/>
  </si>
  <si>
    <t>Wsite-Weighted average</t>
    <phoneticPr fontId="17" type="noConversion"/>
  </si>
  <si>
    <t>time</t>
    <phoneticPr fontId="9" type="noConversion"/>
  </si>
  <si>
    <t>Daily operation record</t>
    <phoneticPr fontId="0" type="noConversion"/>
  </si>
  <si>
    <r>
      <t>GWP</t>
    </r>
    <r>
      <rPr>
        <i/>
        <vertAlign val="subscript"/>
        <sz val="10"/>
        <color indexed="8"/>
        <rFont val="Arial"/>
        <family val="2"/>
      </rPr>
      <t>CH4</t>
    </r>
  </si>
  <si>
    <r>
      <t>tCO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/tCH</t>
    </r>
    <r>
      <rPr>
        <vertAlign val="subscript"/>
        <sz val="10"/>
        <color indexed="8"/>
        <rFont val="Arial"/>
        <family val="2"/>
      </rPr>
      <t>4</t>
    </r>
    <phoneticPr fontId="9" type="noConversion"/>
  </si>
  <si>
    <r>
      <t>D</t>
    </r>
    <r>
      <rPr>
        <i/>
        <vertAlign val="subscript"/>
        <sz val="10"/>
        <color indexed="8"/>
        <rFont val="Arial"/>
        <family val="2"/>
      </rPr>
      <t>CH4</t>
    </r>
  </si>
  <si>
    <r>
      <t>MCF</t>
    </r>
    <r>
      <rPr>
        <vertAlign val="subscript"/>
        <sz val="10"/>
        <color indexed="8"/>
        <rFont val="Arial"/>
        <family val="2"/>
      </rPr>
      <t>j</t>
    </r>
    <phoneticPr fontId="0" type="noConversion"/>
  </si>
  <si>
    <r>
      <t>B</t>
    </r>
    <r>
      <rPr>
        <i/>
        <vertAlign val="subscript"/>
        <sz val="8"/>
        <color indexed="8"/>
        <rFont val="Arial"/>
        <family val="2"/>
      </rPr>
      <t>o,LT</t>
    </r>
    <phoneticPr fontId="0" type="noConversion"/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</si>
  <si>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 xml:space="preserve"> CH</t>
    </r>
    <r>
      <rPr>
        <vertAlign val="subscript"/>
        <sz val="10"/>
        <color indexed="8"/>
        <rFont val="Arial"/>
        <family val="2"/>
      </rPr>
      <t>4</t>
    </r>
    <r>
      <rPr>
        <sz val="10"/>
        <color indexed="8"/>
        <rFont val="Arial"/>
        <family val="2"/>
      </rPr>
      <t xml:space="preserve"> /kg-dm</t>
    </r>
    <phoneticPr fontId="9" type="noConversion"/>
  </si>
  <si>
    <r>
      <t>N</t>
    </r>
    <r>
      <rPr>
        <vertAlign val="subscript"/>
        <sz val="8"/>
        <color indexed="8"/>
        <rFont val="Arial"/>
        <family val="2"/>
      </rPr>
      <t>LT</t>
    </r>
    <phoneticPr fontId="0" type="noConversion"/>
  </si>
  <si>
    <r>
      <t>calculated as equatoin 5 in MR, of which N</t>
    </r>
    <r>
      <rPr>
        <vertAlign val="subscript"/>
        <sz val="10"/>
        <color indexed="8"/>
        <rFont val="Arial"/>
        <family val="2"/>
      </rPr>
      <t>LT</t>
    </r>
    <r>
      <rPr>
        <sz val="10"/>
        <color indexed="8"/>
        <rFont val="Arial"/>
        <family val="2"/>
      </rPr>
      <t xml:space="preserve"> for marke swine and breeding swine is sourced from  "market swine production record" and " Breeding Pig stock record"</t>
    </r>
    <phoneticPr fontId="0" type="noConversion"/>
  </si>
  <si>
    <r>
      <t>W</t>
    </r>
    <r>
      <rPr>
        <i/>
        <vertAlign val="subscript"/>
        <sz val="8"/>
        <rFont val="Arial"/>
        <family val="2"/>
      </rPr>
      <t>site</t>
    </r>
    <phoneticPr fontId="0" type="noConversion"/>
  </si>
  <si>
    <r>
      <t>W</t>
    </r>
    <r>
      <rPr>
        <vertAlign val="subscript"/>
        <sz val="10"/>
        <color indexed="8"/>
        <rFont val="Arial"/>
        <family val="2"/>
      </rPr>
      <t>default</t>
    </r>
    <phoneticPr fontId="0" type="noConversion"/>
  </si>
  <si>
    <r>
      <t>VS</t>
    </r>
    <r>
      <rPr>
        <sz val="8"/>
        <color indexed="8"/>
        <rFont val="Arial"/>
        <family val="2"/>
      </rPr>
      <t>default</t>
    </r>
  </si>
  <si>
    <r>
      <t>VS</t>
    </r>
    <r>
      <rPr>
        <vertAlign val="subscript"/>
        <sz val="8"/>
        <color indexed="8"/>
        <rFont val="Arial"/>
        <family val="2"/>
      </rPr>
      <t>LT,y</t>
    </r>
    <phoneticPr fontId="0" type="noConversion"/>
  </si>
  <si>
    <r>
      <t>MS%</t>
    </r>
    <r>
      <rPr>
        <vertAlign val="subscript"/>
        <sz val="8"/>
        <color indexed="8"/>
        <rFont val="Arial"/>
        <family val="2"/>
      </rPr>
      <t>Bl,j</t>
    </r>
    <phoneticPr fontId="0" type="noConversion"/>
  </si>
  <si>
    <r>
      <t>BE</t>
    </r>
    <r>
      <rPr>
        <vertAlign val="subscript"/>
        <sz val="10"/>
        <color rgb="FF000000"/>
        <rFont val="Arial"/>
        <family val="2"/>
      </rPr>
      <t>CH4</t>
    </r>
    <r>
      <rPr>
        <sz val="10"/>
        <color indexed="8"/>
        <rFont val="Arial"/>
        <family val="2"/>
      </rPr>
      <t>-monthy</t>
    </r>
    <phoneticPr fontId="9" type="noConversion"/>
  </si>
  <si>
    <r>
      <t>tCO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e</t>
    </r>
    <phoneticPr fontId="0" type="noConversion"/>
  </si>
  <si>
    <r>
      <t>tCO</t>
    </r>
    <r>
      <rPr>
        <vertAlign val="subscript"/>
        <sz val="10"/>
        <color indexed="8"/>
        <rFont val="Arial"/>
        <family val="2"/>
      </rPr>
      <t>2e</t>
    </r>
    <r>
      <rPr>
        <sz val="10"/>
        <color indexed="8"/>
        <rFont val="Arial"/>
        <family val="2"/>
      </rPr>
      <t/>
    </r>
  </si>
  <si>
    <r>
      <t>BE</t>
    </r>
    <r>
      <rPr>
        <b/>
        <sz val="8"/>
        <color indexed="8"/>
        <rFont val="Arial"/>
        <family val="2"/>
      </rPr>
      <t xml:space="preserve">CH4,y </t>
    </r>
    <phoneticPr fontId="0" type="noConversion"/>
  </si>
  <si>
    <r>
      <t>EF</t>
    </r>
    <r>
      <rPr>
        <i/>
        <vertAlign val="subscript"/>
        <sz val="10"/>
        <rFont val="Arial"/>
        <family val="2"/>
      </rPr>
      <t>N2O,D,j</t>
    </r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</si>
  <si>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O-N/kg N</t>
    </r>
    <phoneticPr fontId="0" type="noConversion"/>
  </si>
  <si>
    <r>
      <t>N</t>
    </r>
    <r>
      <rPr>
        <i/>
        <vertAlign val="subscript"/>
        <sz val="10"/>
        <rFont val="Arial"/>
        <family val="2"/>
      </rPr>
      <t>rate(T)</t>
    </r>
    <phoneticPr fontId="0" type="noConversion"/>
  </si>
  <si>
    <r>
      <t>NEX</t>
    </r>
    <r>
      <rPr>
        <i/>
        <vertAlign val="subscript"/>
        <sz val="8"/>
        <rFont val="Arial"/>
        <family val="2"/>
      </rPr>
      <t>IPCCdefault</t>
    </r>
    <phoneticPr fontId="0" type="noConversion"/>
  </si>
  <si>
    <r>
      <t>W</t>
    </r>
    <r>
      <rPr>
        <i/>
        <vertAlign val="subscript"/>
        <sz val="8"/>
        <rFont val="Arial"/>
        <family val="2"/>
      </rPr>
      <t>default</t>
    </r>
    <phoneticPr fontId="0" type="noConversion"/>
  </si>
  <si>
    <r>
      <t>NEX</t>
    </r>
    <r>
      <rPr>
        <i/>
        <vertAlign val="subscript"/>
        <sz val="10"/>
        <rFont val="Arial"/>
        <family val="2"/>
      </rPr>
      <t>LT,y</t>
    </r>
    <phoneticPr fontId="0" type="noConversion"/>
  </si>
  <si>
    <r>
      <t>N</t>
    </r>
    <r>
      <rPr>
        <i/>
        <vertAlign val="subscript"/>
        <sz val="8"/>
        <rFont val="Arial"/>
        <family val="2"/>
      </rPr>
      <t>LT</t>
    </r>
    <phoneticPr fontId="0" type="noConversion"/>
  </si>
  <si>
    <r>
      <t>E</t>
    </r>
    <r>
      <rPr>
        <b/>
        <vertAlign val="subscript"/>
        <sz val="10"/>
        <rFont val="Arial"/>
        <family val="2"/>
      </rPr>
      <t>N2O,D,y</t>
    </r>
    <r>
      <rPr>
        <b/>
        <sz val="10"/>
        <rFont val="Arial"/>
        <family val="2"/>
      </rPr>
      <t>-monthly</t>
    </r>
    <phoneticPr fontId="9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</si>
  <si>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O-N/year</t>
    </r>
    <phoneticPr fontId="9" type="noConversion"/>
  </si>
  <si>
    <r>
      <t>E</t>
    </r>
    <r>
      <rPr>
        <b/>
        <vertAlign val="subscript"/>
        <sz val="10"/>
        <rFont val="Arial"/>
        <family val="2"/>
      </rPr>
      <t>N2O,D,y</t>
    </r>
    <phoneticPr fontId="0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</si>
  <si>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O-N/year</t>
    </r>
    <phoneticPr fontId="0" type="noConversion"/>
  </si>
  <si>
    <r>
      <t>EF</t>
    </r>
    <r>
      <rPr>
        <i/>
        <vertAlign val="subscript"/>
        <sz val="10"/>
        <rFont val="Arial"/>
        <family val="2"/>
      </rPr>
      <t>N2O,ID,j</t>
    </r>
    <phoneticPr fontId="0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</si>
  <si>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O/kg N</t>
    </r>
    <phoneticPr fontId="0" type="noConversion"/>
  </si>
  <si>
    <r>
      <t>F</t>
    </r>
    <r>
      <rPr>
        <i/>
        <vertAlign val="subscript"/>
        <sz val="10"/>
        <rFont val="Arial"/>
        <family val="2"/>
      </rPr>
      <t>gasMS,j,LT</t>
    </r>
    <phoneticPr fontId="0" type="noConversion"/>
  </si>
  <si>
    <r>
      <t>NEX</t>
    </r>
    <r>
      <rPr>
        <vertAlign val="subscript"/>
        <sz val="8"/>
        <rFont val="Arial"/>
        <family val="2"/>
      </rPr>
      <t>LT</t>
    </r>
    <r>
      <rPr>
        <vertAlign val="subscript"/>
        <sz val="10"/>
        <rFont val="Arial"/>
        <family val="2"/>
      </rPr>
      <t>,y</t>
    </r>
    <phoneticPr fontId="0" type="noConversion"/>
  </si>
  <si>
    <r>
      <t>GWP</t>
    </r>
    <r>
      <rPr>
        <vertAlign val="subscript"/>
        <sz val="10"/>
        <rFont val="Arial"/>
        <family val="2"/>
      </rPr>
      <t>N2O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</si>
  <si>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phoneticPr fontId="9" type="noConversion"/>
  </si>
  <si>
    <r>
      <t>CF</t>
    </r>
    <r>
      <rPr>
        <vertAlign val="subscript"/>
        <sz val="10"/>
        <rFont val="Arial"/>
        <family val="2"/>
      </rPr>
      <t>N20,N-N</t>
    </r>
    <phoneticPr fontId="0" type="noConversion"/>
  </si>
  <si>
    <r>
      <t>Conversion Factor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 to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phoneticPr fontId="0" type="noConversion"/>
  </si>
  <si>
    <r>
      <t>E</t>
    </r>
    <r>
      <rPr>
        <b/>
        <vertAlign val="subscript"/>
        <sz val="10"/>
        <rFont val="Arial"/>
        <family val="2"/>
      </rPr>
      <t>N2O,ID,y</t>
    </r>
    <phoneticPr fontId="0" type="noConversion"/>
  </si>
  <si>
    <r>
      <t>BE</t>
    </r>
    <r>
      <rPr>
        <i/>
        <vertAlign val="subscript"/>
        <sz val="8"/>
        <rFont val="Arial"/>
        <family val="2"/>
      </rPr>
      <t>N2O,y</t>
    </r>
    <r>
      <rPr>
        <i/>
        <sz val="8"/>
        <rFont val="Arial"/>
        <family val="2"/>
      </rPr>
      <t xml:space="preserve"> </t>
    </r>
    <r>
      <rPr>
        <b/>
        <sz val="10"/>
        <rFont val="Arial"/>
        <family val="2"/>
      </rPr>
      <t>= GWP</t>
    </r>
    <r>
      <rPr>
        <b/>
        <vertAlign val="subscript"/>
        <sz val="8"/>
        <rFont val="Arial"/>
        <family val="2"/>
      </rPr>
      <t>N2O</t>
    </r>
    <r>
      <rPr>
        <b/>
        <sz val="10"/>
        <rFont val="Arial"/>
        <family val="2"/>
      </rPr>
      <t>*CF</t>
    </r>
    <r>
      <rPr>
        <b/>
        <vertAlign val="subscript"/>
        <sz val="8"/>
        <rFont val="Arial"/>
        <family val="2"/>
      </rPr>
      <t>N2O-N,N</t>
    </r>
    <r>
      <rPr>
        <b/>
        <sz val="10"/>
        <rFont val="Arial"/>
        <family val="2"/>
      </rPr>
      <t>* 1/1000*(E</t>
    </r>
    <r>
      <rPr>
        <b/>
        <vertAlign val="subscript"/>
        <sz val="8"/>
        <rFont val="Arial"/>
        <family val="2"/>
      </rPr>
      <t>N2O,D,y</t>
    </r>
    <r>
      <rPr>
        <b/>
        <sz val="10"/>
        <rFont val="Arial"/>
        <family val="2"/>
      </rPr>
      <t xml:space="preserve"> + E</t>
    </r>
    <r>
      <rPr>
        <b/>
        <vertAlign val="subscript"/>
        <sz val="8"/>
        <rFont val="Arial"/>
        <family val="2"/>
      </rPr>
      <t>N2O,ID,y</t>
    </r>
    <r>
      <rPr>
        <b/>
        <sz val="10"/>
        <rFont val="Arial"/>
        <family val="2"/>
      </rPr>
      <t>) =</t>
    </r>
    <phoneticPr fontId="0" type="noConversion"/>
  </si>
  <si>
    <r>
      <t xml:space="preserve"> BE</t>
    </r>
    <r>
      <rPr>
        <b/>
        <sz val="8"/>
        <rFont val="Arial"/>
        <family val="2"/>
      </rPr>
      <t xml:space="preserve">CH4,y </t>
    </r>
    <r>
      <rPr>
        <b/>
        <sz val="10"/>
        <rFont val="Arial"/>
        <family val="2"/>
      </rPr>
      <t>+ BE</t>
    </r>
    <r>
      <rPr>
        <b/>
        <sz val="8"/>
        <rFont val="Arial"/>
        <family val="2"/>
      </rPr>
      <t>N2O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 xml:space="preserve"> =</t>
    </r>
    <phoneticPr fontId="0" type="noConversion"/>
  </si>
  <si>
    <t>Weight record</t>
    <phoneticPr fontId="9" type="noConversion"/>
  </si>
  <si>
    <r>
      <t>E</t>
    </r>
    <r>
      <rPr>
        <vertAlign val="subscript"/>
        <sz val="10"/>
        <rFont val="Arial"/>
        <family val="2"/>
      </rPr>
      <t>N2O,ID,y</t>
    </r>
    <r>
      <rPr>
        <sz val="10"/>
        <rFont val="Arial"/>
        <family val="2"/>
      </rPr>
      <t>-monthly</t>
    </r>
    <phoneticPr fontId="9" type="noConversion"/>
  </si>
  <si>
    <r>
      <t>Average swine population used in both baseline and project case emission reductions (N</t>
    </r>
    <r>
      <rPr>
        <vertAlign val="subscript"/>
        <sz val="10"/>
        <rFont val="Arial"/>
        <family val="2"/>
      </rPr>
      <t>L,T</t>
    </r>
    <r>
      <rPr>
        <sz val="10"/>
        <rFont val="Arial"/>
        <family val="2"/>
      </rPr>
      <t>) and Weight of swine (W</t>
    </r>
    <r>
      <rPr>
        <vertAlign val="subscript"/>
        <sz val="10"/>
        <rFont val="Arial"/>
        <family val="2"/>
      </rPr>
      <t>site</t>
    </r>
    <r>
      <rPr>
        <sz val="10"/>
        <rFont val="Arial"/>
        <family val="2"/>
      </rPr>
      <t>)</t>
    </r>
    <phoneticPr fontId="9" type="noConversion"/>
  </si>
  <si>
    <r>
      <t>N</t>
    </r>
    <r>
      <rPr>
        <vertAlign val="subscript"/>
        <sz val="10"/>
        <rFont val="Arial"/>
        <family val="2"/>
      </rPr>
      <t>LT</t>
    </r>
    <phoneticPr fontId="9" type="noConversion"/>
  </si>
  <si>
    <r>
      <t>w</t>
    </r>
    <r>
      <rPr>
        <vertAlign val="subscript"/>
        <sz val="10"/>
        <rFont val="Arial"/>
        <family val="2"/>
      </rPr>
      <t>site</t>
    </r>
    <phoneticPr fontId="9" type="noConversion"/>
  </si>
  <si>
    <r>
      <t>EC</t>
    </r>
    <r>
      <rPr>
        <vertAlign val="subscript"/>
        <sz val="10"/>
        <rFont val="Arial"/>
        <family val="2"/>
      </rPr>
      <t>PJ,j,y</t>
    </r>
    <r>
      <rPr>
        <sz val="10"/>
        <rFont val="Arial"/>
        <family val="2"/>
      </rPr>
      <t>(MWh)</t>
    </r>
    <phoneticPr fontId="9" type="noConversion"/>
  </si>
  <si>
    <r>
      <t>Vf1(m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  <phoneticPr fontId="9" type="noConversion"/>
  </si>
  <si>
    <r>
      <t>Vf2(m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  <phoneticPr fontId="9" type="noConversion"/>
  </si>
  <si>
    <r>
      <t>T</t>
    </r>
    <r>
      <rPr>
        <vertAlign val="subscript"/>
        <sz val="11"/>
        <color indexed="63"/>
        <rFont val="Arial"/>
        <family val="2"/>
      </rPr>
      <t>t</t>
    </r>
    <r>
      <rPr>
        <sz val="11"/>
        <color indexed="63"/>
        <rFont val="Arial"/>
        <family val="2"/>
      </rPr>
      <t>(°C)</t>
    </r>
    <phoneticPr fontId="9" type="noConversion"/>
  </si>
  <si>
    <r>
      <t>P</t>
    </r>
    <r>
      <rPr>
        <vertAlign val="subscript"/>
        <sz val="11"/>
        <color indexed="63"/>
        <rFont val="Arial"/>
        <family val="2"/>
      </rPr>
      <t>t</t>
    </r>
    <r>
      <rPr>
        <sz val="11"/>
        <color indexed="63"/>
        <rFont val="Arial"/>
        <family val="2"/>
      </rPr>
      <t>(pa)</t>
    </r>
    <phoneticPr fontId="9" type="noConversion"/>
  </si>
  <si>
    <r>
      <t>ρ</t>
    </r>
    <r>
      <rPr>
        <vertAlign val="subscript"/>
        <sz val="10"/>
        <color indexed="63"/>
        <rFont val="Arial"/>
        <family val="2"/>
      </rPr>
      <t>i,n</t>
    </r>
    <r>
      <rPr>
        <sz val="10"/>
        <color indexed="63"/>
        <rFont val="Arial"/>
        <family val="2"/>
      </rPr>
      <t>(t/m3)</t>
    </r>
    <phoneticPr fontId="9" type="noConversion"/>
  </si>
  <si>
    <r>
      <t>V</t>
    </r>
    <r>
      <rPr>
        <vertAlign val="subscript"/>
        <sz val="11"/>
        <color indexed="63"/>
        <rFont val="Arial"/>
        <family val="2"/>
      </rPr>
      <t>i,t,db</t>
    </r>
    <r>
      <rPr>
        <sz val="11"/>
        <color indexed="63"/>
        <rFont val="Arial"/>
        <family val="2"/>
      </rPr>
      <t>(%)</t>
    </r>
    <phoneticPr fontId="9" type="noConversion"/>
  </si>
  <si>
    <r>
      <t>V</t>
    </r>
    <r>
      <rPr>
        <vertAlign val="subscript"/>
        <sz val="11"/>
        <color indexed="63"/>
        <rFont val="Arial"/>
        <family val="2"/>
      </rPr>
      <t>t,db</t>
    </r>
    <r>
      <rPr>
        <sz val="11"/>
        <color indexed="63"/>
        <rFont val="Arial"/>
        <family val="2"/>
      </rPr>
      <t>(m</t>
    </r>
    <r>
      <rPr>
        <vertAlign val="superscript"/>
        <sz val="11"/>
        <color indexed="63"/>
        <rFont val="Arial"/>
        <family val="2"/>
      </rPr>
      <t>3</t>
    </r>
    <r>
      <rPr>
        <sz val="11"/>
        <color indexed="63"/>
        <rFont val="Arial"/>
        <family val="2"/>
      </rPr>
      <t>/month)</t>
    </r>
    <phoneticPr fontId="9" type="noConversion"/>
  </si>
  <si>
    <r>
      <t>Fi,t(t 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/month)</t>
    </r>
    <phoneticPr fontId="9" type="noConversion"/>
  </si>
  <si>
    <r>
      <t>Baseline Emission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9" type="noConversion"/>
  </si>
  <si>
    <r>
      <t>Project Emisson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9" type="noConversion"/>
  </si>
  <si>
    <r>
      <t>Leakage Emisson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9" type="noConversion"/>
  </si>
  <si>
    <r>
      <t>Emission Reductions(tCO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9" type="noConversion"/>
  </si>
  <si>
    <r>
      <t xml:space="preserve"> </t>
    </r>
    <r>
      <rPr>
        <b/>
        <sz val="10"/>
        <color indexed="8"/>
        <rFont val="Arial"/>
        <family val="2"/>
      </rPr>
      <t>m</t>
    </r>
    <r>
      <rPr>
        <b/>
        <vertAlign val="subscript"/>
        <sz val="10"/>
        <color indexed="8"/>
        <rFont val="Arial"/>
        <family val="2"/>
      </rPr>
      <t>Strat</t>
    </r>
    <phoneticPr fontId="9" type="noConversion"/>
  </si>
  <si>
    <r>
      <t>s.e. (m</t>
    </r>
    <r>
      <rPr>
        <b/>
        <vertAlign val="subscript"/>
        <sz val="10"/>
        <rFont val="Arial"/>
        <family val="2"/>
      </rPr>
      <t>Strat</t>
    </r>
    <r>
      <rPr>
        <b/>
        <sz val="10"/>
        <rFont val="Arial"/>
        <family val="2"/>
      </rPr>
      <t>)</t>
    </r>
    <phoneticPr fontId="9" type="noConversion"/>
  </si>
  <si>
    <r>
      <t>m</t>
    </r>
    <r>
      <rPr>
        <vertAlign val="subscript"/>
        <sz val="10"/>
        <rFont val="Arial"/>
        <family val="2"/>
      </rPr>
      <t>i</t>
    </r>
    <phoneticPr fontId="9" type="noConversion"/>
  </si>
  <si>
    <r>
      <t xml:space="preserve"> </t>
    </r>
    <r>
      <rPr>
        <sz val="10"/>
        <color indexed="8"/>
        <rFont val="Arial"/>
        <family val="2"/>
      </rPr>
      <t>SD</t>
    </r>
    <r>
      <rPr>
        <vertAlign val="subscript"/>
        <sz val="10"/>
        <color indexed="8"/>
        <rFont val="Arial"/>
        <family val="2"/>
      </rPr>
      <t>i</t>
    </r>
    <phoneticPr fontId="9" type="noConversion"/>
  </si>
  <si>
    <r>
      <t>n</t>
    </r>
    <r>
      <rPr>
        <vertAlign val="subscript"/>
        <sz val="10"/>
        <rFont val="Arial"/>
        <family val="2"/>
      </rPr>
      <t>i</t>
    </r>
    <phoneticPr fontId="9" type="noConversion"/>
  </si>
  <si>
    <r>
      <t>g</t>
    </r>
    <r>
      <rPr>
        <vertAlign val="subscript"/>
        <sz val="10"/>
        <rFont val="Arial"/>
        <family val="2"/>
      </rPr>
      <t>i</t>
    </r>
    <phoneticPr fontId="9" type="noConversion"/>
  </si>
  <si>
    <r>
      <t>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/N</t>
    </r>
    <phoneticPr fontId="9" type="noConversion"/>
  </si>
  <si>
    <r>
      <t>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*m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/N</t>
    </r>
    <phoneticPr fontId="9" type="noConversion"/>
  </si>
  <si>
    <r>
      <t>1-(n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/g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</t>
    </r>
    <phoneticPr fontId="9" type="noConversion"/>
  </si>
  <si>
    <r>
      <t>SD</t>
    </r>
    <r>
      <rPr>
        <vertAlign val="subscript"/>
        <sz val="10"/>
        <rFont val="Arial"/>
        <family val="2"/>
      </rPr>
      <t>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/n</t>
    </r>
    <r>
      <rPr>
        <vertAlign val="subscript"/>
        <sz val="10"/>
        <rFont val="Arial"/>
        <family val="2"/>
      </rPr>
      <t>i</t>
    </r>
    <phoneticPr fontId="9" type="noConversion"/>
  </si>
  <si>
    <r>
      <t xml:space="preserve"> m</t>
    </r>
    <r>
      <rPr>
        <b/>
        <vertAlign val="subscript"/>
        <sz val="10"/>
        <rFont val="Arial"/>
        <family val="2"/>
      </rPr>
      <t xml:space="preserve">Strat </t>
    </r>
    <r>
      <rPr>
        <b/>
        <sz val="10"/>
        <rFont val="Arial"/>
        <family val="2"/>
      </rPr>
      <t xml:space="preserve"> </t>
    </r>
    <phoneticPr fontId="9" type="noConversion"/>
  </si>
  <si>
    <r>
      <t xml:space="preserve"> g</t>
    </r>
    <r>
      <rPr>
        <b/>
        <vertAlign val="subscript"/>
        <sz val="10"/>
        <rFont val="Arial"/>
        <family val="2"/>
      </rPr>
      <t xml:space="preserve">i  </t>
    </r>
    <phoneticPr fontId="9" type="noConversion"/>
  </si>
  <si>
    <r>
      <t xml:space="preserve"> Size of the i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district where i=a,…,k  </t>
    </r>
    <phoneticPr fontId="9" type="noConversion"/>
  </si>
  <si>
    <r>
      <t xml:space="preserve"> m</t>
    </r>
    <r>
      <rPr>
        <b/>
        <vertAlign val="subscript"/>
        <sz val="10"/>
        <rFont val="Arial"/>
        <family val="2"/>
      </rPr>
      <t xml:space="preserve">i  </t>
    </r>
    <phoneticPr fontId="9" type="noConversion"/>
  </si>
  <si>
    <r>
      <t xml:space="preserve"> Mean of the i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district where i= a,…,k  </t>
    </r>
    <phoneticPr fontId="9" type="noConversion"/>
  </si>
  <si>
    <r>
      <t>s.e. (m</t>
    </r>
    <r>
      <rPr>
        <b/>
        <vertAlign val="subscript"/>
        <sz val="10"/>
        <rFont val="Arial"/>
        <family val="2"/>
      </rPr>
      <t>Strat</t>
    </r>
    <r>
      <rPr>
        <b/>
        <sz val="10"/>
        <rFont val="Arial"/>
        <family val="2"/>
      </rPr>
      <t xml:space="preserve">)   </t>
    </r>
    <phoneticPr fontId="9" type="noConversion"/>
  </si>
  <si>
    <r>
      <t xml:space="preserve"> n</t>
    </r>
    <r>
      <rPr>
        <b/>
        <vertAlign val="subscript"/>
        <sz val="10"/>
        <rFont val="Arial"/>
        <family val="2"/>
      </rPr>
      <t xml:space="preserve">i </t>
    </r>
    <r>
      <rPr>
        <b/>
        <sz val="10"/>
        <rFont val="Arial"/>
        <family val="2"/>
      </rPr>
      <t xml:space="preserve"> </t>
    </r>
    <phoneticPr fontId="9" type="noConversion"/>
  </si>
  <si>
    <r>
      <t xml:space="preserve"> Number of sampled units the i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district where i=a,…,k  </t>
    </r>
    <phoneticPr fontId="9" type="noConversion"/>
  </si>
  <si>
    <r>
      <t xml:space="preserve"> SD</t>
    </r>
    <r>
      <rPr>
        <b/>
        <vertAlign val="subscript"/>
        <sz val="10"/>
        <rFont val="Arial"/>
        <family val="2"/>
      </rPr>
      <t>i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</t>
    </r>
    <phoneticPr fontId="9" type="noConversion"/>
  </si>
  <si>
    <r>
      <t xml:space="preserve"> Variance of the i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district where i=a,…,k </t>
    </r>
    <phoneticPr fontId="9" type="noConversion"/>
  </si>
  <si>
    <r>
      <t xml:space="preserve">The precision associated with an estimate is: 
</t>
    </r>
    <r>
      <rPr>
        <b/>
        <sz val="10"/>
        <rFont val="Arial"/>
        <family val="2"/>
      </rPr>
      <t>t-value × standard error of the mean</t>
    </r>
    <phoneticPr fontId="9" type="noConversion"/>
  </si>
  <si>
    <r>
      <t xml:space="preserve">Precision </t>
    </r>
    <r>
      <rPr>
        <b/>
        <sz val="10"/>
        <color indexed="8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  <phoneticPr fontId="9" type="noConversion"/>
  </si>
  <si>
    <r>
      <t>N</t>
    </r>
    <r>
      <rPr>
        <vertAlign val="subscript"/>
        <sz val="8"/>
        <rFont val="Arial"/>
        <family val="2"/>
      </rPr>
      <t>LT</t>
    </r>
    <phoneticPr fontId="0" type="noConversion"/>
  </si>
  <si>
    <r>
      <t>NEX</t>
    </r>
    <r>
      <rPr>
        <vertAlign val="subscript"/>
        <sz val="8"/>
        <rFont val="Arial"/>
        <family val="2"/>
      </rPr>
      <t>LT,y</t>
    </r>
    <phoneticPr fontId="0" type="noConversion"/>
  </si>
  <si>
    <r>
      <t>R</t>
    </r>
    <r>
      <rPr>
        <i/>
        <vertAlign val="subscript"/>
        <sz val="8"/>
        <rFont val="Arial"/>
        <family val="2"/>
      </rPr>
      <t>N,n</t>
    </r>
    <phoneticPr fontId="9" type="noConversion"/>
  </si>
  <si>
    <r>
      <t>KgN-N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O-N/kg NH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-N+NO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-N</t>
    </r>
    <phoneticPr fontId="0" type="noConversion"/>
  </si>
  <si>
    <r>
      <t>F</t>
    </r>
    <r>
      <rPr>
        <vertAlign val="subscript"/>
        <sz val="10"/>
        <rFont val="Arial"/>
        <family val="2"/>
      </rPr>
      <t>leach</t>
    </r>
    <phoneticPr fontId="9" type="noConversion"/>
  </si>
  <si>
    <r>
      <t>F</t>
    </r>
    <r>
      <rPr>
        <vertAlign val="subscript"/>
        <sz val="10"/>
        <rFont val="Arial"/>
        <family val="2"/>
      </rPr>
      <t>gasm</t>
    </r>
    <phoneticPr fontId="9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</si>
  <si>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phoneticPr fontId="0" type="noConversion"/>
  </si>
  <si>
    <r>
      <t>LE</t>
    </r>
    <r>
      <rPr>
        <vertAlign val="subscript"/>
        <sz val="8"/>
        <rFont val="Arial"/>
        <family val="2"/>
      </rPr>
      <t>N2O,land</t>
    </r>
    <r>
      <rPr>
        <vertAlign val="subscript"/>
        <sz val="10"/>
        <rFont val="Arial"/>
        <family val="2"/>
      </rPr>
      <t>,y</t>
    </r>
    <r>
      <rPr>
        <b/>
        <sz val="10"/>
        <rFont val="Arial"/>
        <family val="2"/>
      </rPr>
      <t>-monthly</t>
    </r>
    <phoneticPr fontId="0" type="noConversion"/>
  </si>
  <si>
    <r>
      <t xml:space="preserve"> 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O-N/year </t>
    </r>
    <phoneticPr fontId="0" type="noConversion"/>
  </si>
  <si>
    <r>
      <t>LE</t>
    </r>
    <r>
      <rPr>
        <vertAlign val="subscript"/>
        <sz val="8"/>
        <rFont val="Arial"/>
        <family val="2"/>
      </rPr>
      <t>N2O,runoff</t>
    </r>
    <r>
      <rPr>
        <vertAlign val="subscript"/>
        <sz val="10"/>
        <rFont val="Arial"/>
        <family val="2"/>
      </rPr>
      <t>,y</t>
    </r>
    <r>
      <rPr>
        <b/>
        <sz val="10"/>
        <rFont val="Arial"/>
        <family val="2"/>
      </rPr>
      <t>-monthly</t>
    </r>
    <phoneticPr fontId="0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</si>
  <si>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O-N/year </t>
    </r>
    <phoneticPr fontId="0" type="noConversion"/>
  </si>
  <si>
    <r>
      <t>LE</t>
    </r>
    <r>
      <rPr>
        <vertAlign val="subscript"/>
        <sz val="8"/>
        <rFont val="Arial"/>
        <family val="2"/>
      </rPr>
      <t>N2O,vol</t>
    </r>
    <r>
      <rPr>
        <vertAlign val="subscript"/>
        <sz val="10"/>
        <rFont val="Arial"/>
        <family val="2"/>
      </rPr>
      <t>,y</t>
    </r>
    <r>
      <rPr>
        <b/>
        <sz val="10"/>
        <rFont val="Arial"/>
        <family val="2"/>
      </rPr>
      <t>-monthly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</si>
  <si>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</si>
  <si>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BL,N2O,y</t>
    </r>
    <phoneticPr fontId="0" type="noConversion"/>
  </si>
  <si>
    <r>
      <t>R</t>
    </r>
    <r>
      <rPr>
        <i/>
        <sz val="8"/>
        <rFont val="Arial"/>
        <family val="2"/>
      </rPr>
      <t>N</t>
    </r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</si>
  <si>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O-N/kg N</t>
    </r>
    <phoneticPr fontId="9" type="noConversion"/>
  </si>
  <si>
    <r>
      <t>LE</t>
    </r>
    <r>
      <rPr>
        <b/>
        <vertAlign val="subscript"/>
        <sz val="10"/>
        <rFont val="Arial"/>
        <family val="2"/>
      </rPr>
      <t>N2O,land,y</t>
    </r>
    <r>
      <rPr>
        <b/>
        <sz val="10"/>
        <rFont val="Arial"/>
        <family val="2"/>
      </rPr>
      <t>-monthly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</si>
  <si>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N2O,runoff,y</t>
    </r>
    <r>
      <rPr>
        <b/>
        <sz val="10"/>
        <rFont val="Arial"/>
        <family val="2"/>
      </rPr>
      <t>-monthly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</si>
  <si>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N2O,vol</t>
    </r>
    <r>
      <rPr>
        <b/>
        <sz val="10"/>
        <rFont val="Arial"/>
        <family val="2"/>
      </rPr>
      <t>-monthly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</si>
  <si>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PJ,N2O,y</t>
    </r>
    <phoneticPr fontId="0" type="noConversion"/>
  </si>
  <si>
    <r>
      <t>GWP</t>
    </r>
    <r>
      <rPr>
        <sz val="8"/>
        <rFont val="Arial"/>
        <family val="2"/>
      </rPr>
      <t>CH4</t>
    </r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</si>
  <si>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 CH</t>
    </r>
    <r>
      <rPr>
        <vertAlign val="subscript"/>
        <sz val="10"/>
        <rFont val="Arial"/>
        <family val="2"/>
      </rPr>
      <t>4</t>
    </r>
    <phoneticPr fontId="0" type="noConversion"/>
  </si>
  <si>
    <r>
      <t>D</t>
    </r>
    <r>
      <rPr>
        <sz val="8"/>
        <rFont val="Arial"/>
        <family val="2"/>
      </rPr>
      <t>CH4</t>
    </r>
  </si>
  <si>
    <r>
      <t>t/m</t>
    </r>
    <r>
      <rPr>
        <vertAlign val="superscript"/>
        <sz val="10"/>
        <rFont val="Arial"/>
        <family val="2"/>
      </rPr>
      <t>3</t>
    </r>
    <phoneticPr fontId="0" type="noConversion"/>
  </si>
  <si>
    <r>
      <t>VS</t>
    </r>
    <r>
      <rPr>
        <sz val="8"/>
        <rFont val="Arial"/>
        <family val="2"/>
      </rPr>
      <t>LT,y</t>
    </r>
  </si>
  <si>
    <r>
      <t>B</t>
    </r>
    <r>
      <rPr>
        <vertAlign val="subscript"/>
        <sz val="10"/>
        <rFont val="Arial"/>
        <family val="2"/>
      </rPr>
      <t>0,LT</t>
    </r>
    <phoneticPr fontId="9" type="noConversion"/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</si>
  <si>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CH4/kg-dm</t>
    </r>
    <phoneticPr fontId="0" type="noConversion"/>
  </si>
  <si>
    <r>
      <t>R</t>
    </r>
    <r>
      <rPr>
        <vertAlign val="subscript"/>
        <sz val="10"/>
        <rFont val="Arial"/>
        <family val="2"/>
      </rPr>
      <t xml:space="preserve">VS </t>
    </r>
    <phoneticPr fontId="9" type="noConversion"/>
  </si>
  <si>
    <r>
      <t>LE</t>
    </r>
    <r>
      <rPr>
        <vertAlign val="subscript"/>
        <sz val="10"/>
        <rFont val="Arial"/>
        <family val="2"/>
      </rPr>
      <t>BL,CH4,y</t>
    </r>
    <r>
      <rPr>
        <sz val="10"/>
        <rFont val="Arial"/>
        <family val="2"/>
      </rPr>
      <t>-monthly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</si>
  <si>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BL,CH4,y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</si>
  <si>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/tCH</t>
    </r>
    <r>
      <rPr>
        <vertAlign val="subscript"/>
        <sz val="10"/>
        <rFont val="Arial"/>
        <family val="2"/>
      </rPr>
      <t>4</t>
    </r>
    <phoneticPr fontId="0" type="noConversion"/>
  </si>
  <si>
    <r>
      <t>B</t>
    </r>
    <r>
      <rPr>
        <vertAlign val="subscript"/>
        <sz val="10"/>
        <rFont val="Arial"/>
        <family val="2"/>
      </rPr>
      <t>o,LT</t>
    </r>
    <phoneticPr fontId="0" type="noConversion"/>
  </si>
  <si>
    <r>
      <t>R</t>
    </r>
    <r>
      <rPr>
        <sz val="8"/>
        <rFont val="Arial"/>
        <family val="2"/>
      </rPr>
      <t>VS</t>
    </r>
  </si>
  <si>
    <r>
      <t>LE</t>
    </r>
    <r>
      <rPr>
        <vertAlign val="subscript"/>
        <sz val="10"/>
        <rFont val="Arial"/>
        <family val="2"/>
      </rPr>
      <t>PJ,CH4 ,y</t>
    </r>
    <r>
      <rPr>
        <sz val="10"/>
        <rFont val="Arial"/>
        <family val="2"/>
      </rPr>
      <t>-monthly</t>
    </r>
    <phoneticPr fontId="0" type="noConversion"/>
  </si>
  <si>
    <r>
      <t xml:space="preserve">LE </t>
    </r>
    <r>
      <rPr>
        <b/>
        <vertAlign val="subscript"/>
        <sz val="10"/>
        <rFont val="Arial"/>
        <family val="2"/>
      </rPr>
      <t>PJ,CH4 ,y</t>
    </r>
    <phoneticPr fontId="0" type="noConversion"/>
  </si>
  <si>
    <r>
      <t>LE</t>
    </r>
    <r>
      <rPr>
        <b/>
        <vertAlign val="subscript"/>
        <sz val="10"/>
        <rFont val="Arial"/>
        <family val="2"/>
      </rPr>
      <t>PJ,CH4,y</t>
    </r>
    <phoneticPr fontId="0" type="noConversion"/>
  </si>
  <si>
    <r>
      <t>a. LE</t>
    </r>
    <r>
      <rPr>
        <i/>
        <sz val="8"/>
        <color indexed="9"/>
        <rFont val="Arial"/>
        <family val="2"/>
      </rPr>
      <t xml:space="preserve">B,CH4 </t>
    </r>
    <r>
      <rPr>
        <b/>
        <sz val="10"/>
        <color indexed="9"/>
        <rFont val="Arial"/>
        <family val="2"/>
      </rPr>
      <t>CH4- land application</t>
    </r>
  </si>
  <si>
    <r>
      <t>VS</t>
    </r>
    <r>
      <rPr>
        <i/>
        <sz val="8"/>
        <color indexed="9"/>
        <rFont val="Arial"/>
        <family val="2"/>
      </rPr>
      <t>LT,M</t>
    </r>
  </si>
  <si>
    <r>
      <t>N</t>
    </r>
    <r>
      <rPr>
        <i/>
        <vertAlign val="subscript"/>
        <sz val="10"/>
        <color indexed="9"/>
        <rFont val="Arial"/>
        <family val="2"/>
      </rPr>
      <t>population(head, animal population)</t>
    </r>
  </si>
  <si>
    <r>
      <t>B</t>
    </r>
    <r>
      <rPr>
        <i/>
        <sz val="8"/>
        <color indexed="9"/>
        <rFont val="Arial"/>
        <family val="2"/>
      </rPr>
      <t>0,LT</t>
    </r>
  </si>
  <si>
    <r>
      <t>EC</t>
    </r>
    <r>
      <rPr>
        <vertAlign val="subscript"/>
        <sz val="10"/>
        <rFont val="Arial"/>
        <family val="2"/>
      </rPr>
      <t>PJ,j,y</t>
    </r>
    <phoneticPr fontId="0" type="noConversion"/>
  </si>
  <si>
    <r>
      <t>EF</t>
    </r>
    <r>
      <rPr>
        <vertAlign val="subscript"/>
        <sz val="10"/>
        <rFont val="Arial"/>
        <family val="2"/>
      </rPr>
      <t>EF,j,y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</si>
  <si>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/MWh</t>
    </r>
    <phoneticPr fontId="0" type="noConversion"/>
  </si>
  <si>
    <r>
      <t>TDL</t>
    </r>
    <r>
      <rPr>
        <vertAlign val="subscript"/>
        <sz val="10"/>
        <rFont val="Arial"/>
        <family val="2"/>
      </rPr>
      <t>j,y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</si>
  <si>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EC,y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</si>
  <si>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FC,y</t>
    </r>
    <phoneticPr fontId="0" type="noConversion"/>
  </si>
  <si>
    <r>
      <t>GWP</t>
    </r>
    <r>
      <rPr>
        <i/>
        <vertAlign val="subscript"/>
        <sz val="10"/>
        <color indexed="8"/>
        <rFont val="Arial"/>
        <family val="2"/>
      </rPr>
      <t>CH4</t>
    </r>
    <phoneticPr fontId="0" type="noConversion"/>
  </si>
  <si>
    <r>
      <t>EF</t>
    </r>
    <r>
      <rPr>
        <i/>
        <vertAlign val="subscript"/>
        <sz val="10"/>
        <color indexed="8"/>
        <rFont val="Arial"/>
        <family val="2"/>
      </rPr>
      <t>CH4,default</t>
    </r>
    <phoneticPr fontId="0" type="noConversion"/>
  </si>
  <si>
    <r>
      <t>tCH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leaked / tCH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produced</t>
    </r>
    <phoneticPr fontId="0" type="noConversion"/>
  </si>
  <si>
    <r>
      <t>Q</t>
    </r>
    <r>
      <rPr>
        <vertAlign val="subscript"/>
        <sz val="10"/>
        <rFont val="Arial"/>
        <family val="2"/>
      </rPr>
      <t>CH4,y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</si>
  <si>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CH4,y</t>
    </r>
    <phoneticPr fontId="0" type="noConversion"/>
  </si>
  <si>
    <r>
      <t>η</t>
    </r>
    <r>
      <rPr>
        <vertAlign val="subscript"/>
        <sz val="10"/>
        <color indexed="8"/>
        <rFont val="Arial"/>
        <family val="2"/>
      </rPr>
      <t>flare,m</t>
    </r>
    <phoneticPr fontId="0" type="noConversion"/>
  </si>
  <si>
    <r>
      <t>PE</t>
    </r>
    <r>
      <rPr>
        <vertAlign val="subscript"/>
        <sz val="10"/>
        <color indexed="8"/>
        <rFont val="Arial"/>
        <family val="2"/>
      </rPr>
      <t>flare,y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</si>
  <si>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AD</t>
    </r>
    <phoneticPr fontId="0" type="noConversion"/>
  </si>
  <si>
    <r>
      <t>GWP</t>
    </r>
    <r>
      <rPr>
        <vertAlign val="subscript"/>
        <sz val="10"/>
        <rFont val="Arial"/>
        <family val="2"/>
      </rPr>
      <t>CH4</t>
    </r>
    <phoneticPr fontId="0" type="noConversion"/>
  </si>
  <si>
    <r>
      <t>D</t>
    </r>
    <r>
      <rPr>
        <vertAlign val="subscript"/>
        <sz val="10"/>
        <rFont val="Arial"/>
        <family val="2"/>
      </rPr>
      <t>CH4</t>
    </r>
    <phoneticPr fontId="0" type="noConversion"/>
  </si>
  <si>
    <r>
      <t>F</t>
    </r>
    <r>
      <rPr>
        <vertAlign val="subscript"/>
        <sz val="10"/>
        <rFont val="Arial"/>
        <family val="2"/>
      </rPr>
      <t>Aer</t>
    </r>
    <phoneticPr fontId="0" type="noConversion"/>
  </si>
  <si>
    <r>
      <t>1-R</t>
    </r>
    <r>
      <rPr>
        <vertAlign val="subscript"/>
        <sz val="10"/>
        <rFont val="Arial"/>
        <family val="2"/>
      </rPr>
      <t>vs,n</t>
    </r>
    <phoneticPr fontId="0" type="noConversion"/>
  </si>
  <si>
    <r>
      <t>B</t>
    </r>
    <r>
      <rPr>
        <vertAlign val="subscript"/>
        <sz val="10"/>
        <rFont val="Arial"/>
        <family val="2"/>
      </rPr>
      <t>0,LT</t>
    </r>
    <phoneticPr fontId="0" type="noConversion"/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</si>
  <si>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/kg-dm</t>
    </r>
    <phoneticPr fontId="0" type="noConversion"/>
  </si>
  <si>
    <r>
      <t>N</t>
    </r>
    <r>
      <rPr>
        <vertAlign val="subscript"/>
        <sz val="10"/>
        <rFont val="Arial"/>
        <family val="2"/>
      </rPr>
      <t>LT</t>
    </r>
    <phoneticPr fontId="0" type="noConversion"/>
  </si>
  <si>
    <r>
      <t>VS</t>
    </r>
    <r>
      <rPr>
        <vertAlign val="subscript"/>
        <sz val="10"/>
        <rFont val="Arial"/>
        <family val="2"/>
      </rPr>
      <t>LT,y</t>
    </r>
    <phoneticPr fontId="0" type="noConversion"/>
  </si>
  <si>
    <r>
      <t>MS%</t>
    </r>
    <r>
      <rPr>
        <vertAlign val="subscript"/>
        <sz val="10"/>
        <rFont val="Arial"/>
        <family val="2"/>
      </rPr>
      <t>j</t>
    </r>
    <phoneticPr fontId="0" type="noConversion"/>
  </si>
  <si>
    <r>
      <t>PE</t>
    </r>
    <r>
      <rPr>
        <vertAlign val="subscript"/>
        <sz val="10"/>
        <rFont val="Arial"/>
        <family val="2"/>
      </rPr>
      <t>Aer,y</t>
    </r>
    <r>
      <rPr>
        <sz val="10"/>
        <rFont val="Arial"/>
        <family val="2"/>
      </rPr>
      <t>-monthly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</si>
  <si>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Aer,y</t>
    </r>
    <phoneticPr fontId="0" type="noConversion"/>
  </si>
  <si>
    <r>
      <t>PE</t>
    </r>
    <r>
      <rPr>
        <b/>
        <vertAlign val="subscript"/>
        <sz val="10"/>
        <color indexed="9"/>
        <rFont val="Arial"/>
        <family val="2"/>
      </rPr>
      <t>N2O,Y</t>
    </r>
    <r>
      <rPr>
        <b/>
        <sz val="10"/>
        <color indexed="9"/>
        <rFont val="Arial"/>
        <family val="2"/>
      </rPr>
      <t>=310*(44/28)*1/1000*EF</t>
    </r>
    <r>
      <rPr>
        <b/>
        <vertAlign val="subscript"/>
        <sz val="10"/>
        <color indexed="9"/>
        <rFont val="Arial"/>
        <family val="2"/>
      </rPr>
      <t>N2O</t>
    </r>
    <r>
      <rPr>
        <b/>
        <sz val="10"/>
        <color indexed="9"/>
        <rFont val="Arial"/>
        <family val="2"/>
      </rPr>
      <t>*NEX*N</t>
    </r>
  </si>
  <si>
    <r>
      <t>E</t>
    </r>
    <r>
      <rPr>
        <vertAlign val="subscript"/>
        <sz val="10"/>
        <rFont val="Arial"/>
        <family val="2"/>
      </rPr>
      <t>N2O,D,y</t>
    </r>
    <r>
      <rPr>
        <sz val="10"/>
        <rFont val="Arial"/>
        <family val="2"/>
      </rPr>
      <t>-monthly</t>
    </r>
    <phoneticPr fontId="9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</si>
  <si>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O-N/kg NH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-N and NO</t>
    </r>
    <r>
      <rPr>
        <vertAlign val="subscript"/>
        <sz val="10"/>
        <rFont val="Arial"/>
        <family val="2"/>
      </rPr>
      <t>X</t>
    </r>
    <r>
      <rPr>
        <sz val="10"/>
        <rFont val="Arial"/>
        <family val="2"/>
      </rPr>
      <t>-N</t>
    </r>
    <phoneticPr fontId="0" type="noConversion"/>
  </si>
  <si>
    <r>
      <t>F</t>
    </r>
    <r>
      <rPr>
        <vertAlign val="subscript"/>
        <sz val="10"/>
        <rFont val="Arial"/>
        <family val="2"/>
      </rPr>
      <t>gasMS,j,LT</t>
    </r>
    <phoneticPr fontId="0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</si>
  <si>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/t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phoneticPr fontId="0" type="noConversion"/>
  </si>
  <si>
    <r>
      <t>F</t>
    </r>
    <r>
      <rPr>
        <vertAlign val="subscript"/>
        <sz val="10"/>
        <rFont val="Arial"/>
        <family val="2"/>
      </rPr>
      <t>CH4,RG,m</t>
    </r>
    <phoneticPr fontId="9" type="noConversion"/>
  </si>
  <si>
    <r>
      <t>EF</t>
    </r>
    <r>
      <rPr>
        <vertAlign val="subscript"/>
        <sz val="10"/>
        <rFont val="Arial"/>
        <family val="2"/>
      </rPr>
      <t xml:space="preserve">N2O,D,j </t>
    </r>
    <phoneticPr fontId="9" type="noConversion"/>
  </si>
  <si>
    <r>
      <t>a) CH4 emissions: PE</t>
    </r>
    <r>
      <rPr>
        <i/>
        <sz val="10"/>
        <color indexed="9"/>
        <rFont val="Arial"/>
        <family val="2"/>
      </rPr>
      <t>Aer,y</t>
    </r>
  </si>
  <si>
    <r>
      <t>EF</t>
    </r>
    <r>
      <rPr>
        <vertAlign val="subscript"/>
        <sz val="10"/>
        <rFont val="Arial"/>
        <family val="2"/>
      </rPr>
      <t>N2O,ID</t>
    </r>
    <phoneticPr fontId="0" type="noConversion"/>
  </si>
  <si>
    <r>
      <t>PE</t>
    </r>
    <r>
      <rPr>
        <b/>
        <vertAlign val="subscript"/>
        <sz val="10"/>
        <rFont val="Arial"/>
        <family val="2"/>
      </rPr>
      <t>N2O,y</t>
    </r>
    <r>
      <rPr>
        <b/>
        <sz val="10"/>
        <rFont val="Arial"/>
        <family val="2"/>
      </rPr>
      <t>=GWP</t>
    </r>
    <r>
      <rPr>
        <b/>
        <vertAlign val="subscript"/>
        <sz val="10"/>
        <rFont val="Arial"/>
        <family val="2"/>
      </rPr>
      <t>N2O</t>
    </r>
    <r>
      <rPr>
        <b/>
        <sz val="10"/>
        <rFont val="Arial"/>
        <family val="2"/>
      </rPr>
      <t>*(44/28)*1/1000*(E</t>
    </r>
    <r>
      <rPr>
        <b/>
        <vertAlign val="subscript"/>
        <sz val="10"/>
        <rFont val="Arial"/>
        <family val="2"/>
      </rPr>
      <t>N2O,ID,y</t>
    </r>
    <r>
      <rPr>
        <b/>
        <sz val="10"/>
        <rFont val="Arial"/>
        <family val="2"/>
      </rPr>
      <t xml:space="preserve"> +E</t>
    </r>
    <r>
      <rPr>
        <b/>
        <vertAlign val="subscript"/>
        <sz val="10"/>
        <rFont val="Arial"/>
        <family val="2"/>
      </rPr>
      <t>N20,ID,y</t>
    </r>
    <r>
      <rPr>
        <b/>
        <sz val="10"/>
        <rFont val="Arial"/>
        <family val="2"/>
      </rPr>
      <t>)=</t>
    </r>
    <phoneticPr fontId="0" type="noConversion"/>
  </si>
  <si>
    <r>
      <t>PEy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e)</t>
    </r>
    <phoneticPr fontId="0" type="noConversion"/>
  </si>
  <si>
    <r>
      <t>Emission reduction from  methane production(tCO</t>
    </r>
    <r>
      <rPr>
        <vertAlign val="subscript"/>
        <sz val="11"/>
        <color rgb="FF4D4D4C"/>
        <rFont val="Arial"/>
        <family val="2"/>
      </rPr>
      <t>2</t>
    </r>
    <r>
      <rPr>
        <sz val="11"/>
        <color rgb="FF4D4D4C"/>
        <rFont val="Arial"/>
        <family val="2"/>
      </rPr>
      <t>e)</t>
    </r>
    <phoneticPr fontId="9" type="noConversion"/>
  </si>
  <si>
    <t>Monthly Statistics of the average animal weight of a defined livestock population at the project site (Wsite)</t>
    <phoneticPr fontId="9" type="noConversion"/>
  </si>
  <si>
    <t>Market swine</t>
    <phoneticPr fontId="68" type="noConversion"/>
  </si>
  <si>
    <t>Breeding swine</t>
    <phoneticPr fontId="68" type="noConversion"/>
  </si>
  <si>
    <t>NO.</t>
    <phoneticPr fontId="17" type="noConversion"/>
  </si>
  <si>
    <t>Nursery phase 0-60</t>
    <phoneticPr fontId="69" type="noConversion"/>
  </si>
  <si>
    <t xml:space="preserve">Growing phase 60-130days </t>
    <phoneticPr fontId="69" type="noConversion"/>
  </si>
  <si>
    <t>Mature phase 130-180days</t>
    <phoneticPr fontId="69" type="noConversion"/>
  </si>
  <si>
    <t>Nursery phase  30-70days</t>
    <phoneticPr fontId="69" type="noConversion"/>
  </si>
  <si>
    <t xml:space="preserve">Growing phase  70-220days </t>
    <phoneticPr fontId="69" type="noConversion"/>
  </si>
  <si>
    <t>Mature phase  220-310days</t>
    <phoneticPr fontId="69" type="noConversion"/>
  </si>
  <si>
    <r>
      <t>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  <phoneticPr fontId="9" type="noConversion"/>
  </si>
  <si>
    <r>
      <t>NEX</t>
    </r>
    <r>
      <rPr>
        <vertAlign val="subscript"/>
        <sz val="10"/>
        <rFont val="Arial"/>
        <family val="2"/>
      </rPr>
      <t>LT,y</t>
    </r>
    <phoneticPr fontId="9" type="noConversion"/>
  </si>
  <si>
    <t>calculated as equatoin 5 in MR, of which NLT for marke swine and breeding swine is sourced from  "market swine production record" and " Breeding Pig stock record"</t>
    <phoneticPr fontId="0" type="noConversion"/>
  </si>
  <si>
    <t>calculated as equatoin 5 in MR, of which NLT for marke swine and breeding swine is sourced from  "market swine production record" and " Breeding Pig stock record"</t>
    <phoneticPr fontId="9" type="noConversion"/>
  </si>
  <si>
    <t xml:space="preserve">Electricity daily report , the electricity consumption in this monitoring period comes from the grid company. </t>
    <phoneticPr fontId="0" type="noConversion"/>
  </si>
  <si>
    <t>calculated, biogas flow, temperature and pressure is sourced from DCS system. CH4 is calculated as equation 19 in MR.</t>
    <phoneticPr fontId="0" type="noConversion"/>
  </si>
  <si>
    <r>
      <t>ii) Methane emissions from aerobic AWMS treatment (PE</t>
    </r>
    <r>
      <rPr>
        <vertAlign val="subscript"/>
        <sz val="10"/>
        <rFont val="Arial"/>
        <family val="2"/>
      </rPr>
      <t>Aer, y</t>
    </r>
    <r>
      <rPr>
        <sz val="10"/>
        <rFont val="Arial"/>
        <family val="2"/>
      </rPr>
      <t>):</t>
    </r>
    <phoneticPr fontId="9" type="noConversion"/>
  </si>
  <si>
    <t>subtotal</t>
  </si>
  <si>
    <t>subtotal</t>
    <phoneticPr fontId="0" type="noConversion"/>
  </si>
  <si>
    <t>PDD</t>
    <phoneticPr fontId="9" type="noConversion"/>
  </si>
  <si>
    <t>tCO2e</t>
  </si>
  <si>
    <t>2006 IPCC default value, vol. 4, ch. 10, tbl. 10.21</t>
    <phoneticPr fontId="9" type="noConversion"/>
  </si>
  <si>
    <r>
      <t>Amount of GHGs emission avoided or sequestered (tCO</t>
    </r>
    <r>
      <rPr>
        <b/>
        <vertAlign val="subscript"/>
        <sz val="11"/>
        <rFont val="Verdana"/>
        <family val="2"/>
      </rPr>
      <t>2</t>
    </r>
    <r>
      <rPr>
        <b/>
        <sz val="11"/>
        <rFont val="Verdana"/>
        <family val="2"/>
      </rPr>
      <t>e)</t>
    </r>
    <phoneticPr fontId="9" type="noConversion"/>
  </si>
  <si>
    <t>01/01/2021 - 30/06/2022 (both days included)</t>
    <phoneticPr fontId="13" type="noConversion"/>
  </si>
  <si>
    <t>01/04/2022-30/04/2022</t>
  </si>
  <si>
    <t>01/05/2022-31/05/2022</t>
  </si>
  <si>
    <t>01/06/2022-30/06/2022</t>
  </si>
  <si>
    <t>01/01/2022-30/06/2022</t>
    <phoneticPr fontId="0" type="noConversion"/>
  </si>
  <si>
    <t>calculated</t>
    <phoneticPr fontId="9" type="noConversion"/>
  </si>
  <si>
    <t>kg N/animal/year</t>
    <phoneticPr fontId="9" type="noConversion"/>
  </si>
  <si>
    <t>Calculated</t>
    <phoneticPr fontId="9" type="noConversion"/>
  </si>
  <si>
    <t>kg N2O-N/year</t>
    <phoneticPr fontId="9" type="noConversion"/>
  </si>
  <si>
    <r>
      <t>kg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O-N/year</t>
    </r>
    <phoneticPr fontId="9" type="noConversion"/>
  </si>
  <si>
    <r>
      <t>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  <phoneticPr fontId="9" type="noConversion"/>
  </si>
  <si>
    <r>
      <t>t CH</t>
    </r>
    <r>
      <rPr>
        <vertAlign val="subscript"/>
        <sz val="10"/>
        <rFont val="Arial"/>
        <family val="2"/>
      </rPr>
      <t>4</t>
    </r>
    <phoneticPr fontId="9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</si>
  <si>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</t>
    </r>
    <phoneticPr fontId="9" type="noConversion"/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</si>
  <si>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</t>
    </r>
    <phoneticPr fontId="0" type="noConversion"/>
  </si>
  <si>
    <t>calculated</t>
    <phoneticPr fontId="0" type="noConversion"/>
  </si>
  <si>
    <t>01/01/2022-30/06/2022</t>
    <phoneticPr fontId="9" type="noConversion"/>
  </si>
  <si>
    <t>GS11333</t>
    <phoneticPr fontId="13" type="noConversion"/>
  </si>
  <si>
    <t>Yongjiahe swine farm</t>
    <phoneticPr fontId="17" type="noConversion"/>
  </si>
  <si>
    <t>Zhoujiachong swine farm</t>
    <phoneticPr fontId="17" type="noConversion"/>
  </si>
  <si>
    <t>Jiucaiyuan</t>
    <phoneticPr fontId="17" type="noConversion"/>
  </si>
  <si>
    <t>Gaoshanmiao</t>
    <phoneticPr fontId="17" type="noConversion"/>
  </si>
  <si>
    <t>Shayang 1st phase</t>
    <phoneticPr fontId="17" type="noConversion"/>
  </si>
  <si>
    <t>Shayang 2nd phase</t>
    <phoneticPr fontId="17" type="noConversion"/>
  </si>
  <si>
    <t>Ezhou</t>
    <phoneticPr fontId="17" type="noConversion"/>
  </si>
  <si>
    <t>Tuchong</t>
  </si>
  <si>
    <t>Sangzihu</t>
  </si>
  <si>
    <r>
      <t>N</t>
    </r>
    <r>
      <rPr>
        <vertAlign val="subscript"/>
        <sz val="10"/>
        <rFont val="Arial"/>
        <family val="2"/>
      </rPr>
      <t>LT</t>
    </r>
    <phoneticPr fontId="17" type="noConversion"/>
  </si>
  <si>
    <r>
      <t>Wsite-Arithmetic mean*N</t>
    </r>
    <r>
      <rPr>
        <vertAlign val="subscript"/>
        <sz val="10"/>
        <rFont val="Arial"/>
        <family val="2"/>
      </rPr>
      <t>LT</t>
    </r>
    <phoneticPr fontId="17" type="noConversion"/>
  </si>
  <si>
    <t>Yongjiahe</t>
  </si>
  <si>
    <t>Zhoujiachong</t>
  </si>
  <si>
    <t>Jiucaiyuan</t>
  </si>
  <si>
    <t>Gaoshanmiao</t>
  </si>
  <si>
    <t>Shayang 1st phase</t>
  </si>
  <si>
    <t>Shayang 2nd phase</t>
  </si>
  <si>
    <t>Ezhou</t>
  </si>
  <si>
    <t>t-value is depends on:
(i) the level of confidence, and
(ii) the size of the sample. 
The t-value associated with 95% confidence and the sample size of 453 is 1.9650 as derived in Microsoft Excel using the TINV
function</t>
    <phoneticPr fontId="9" type="noConversion"/>
  </si>
  <si>
    <t>Yongjiahe swine farm</t>
    <phoneticPr fontId="9" type="noConversion"/>
  </si>
  <si>
    <t>Zhoujiachong swine farm</t>
    <phoneticPr fontId="9" type="noConversion"/>
  </si>
  <si>
    <t>Jiucaiyuan swine farm</t>
    <phoneticPr fontId="9" type="noConversion"/>
  </si>
  <si>
    <t>Gaoshanmiao swine farm</t>
    <phoneticPr fontId="9" type="noConversion"/>
  </si>
  <si>
    <t>Shayang 1st phase swine farm</t>
    <phoneticPr fontId="9" type="noConversion"/>
  </si>
  <si>
    <t>Shayang 2st phase swine farm</t>
    <phoneticPr fontId="9" type="noConversion"/>
  </si>
  <si>
    <t>Ezhou swine farm</t>
    <phoneticPr fontId="9" type="noConversion"/>
  </si>
  <si>
    <t>Tuchong swine farm</t>
    <phoneticPr fontId="9" type="noConversion"/>
  </si>
  <si>
    <t>Sangzihu swine farm</t>
    <phoneticPr fontId="9" type="noConversion"/>
  </si>
  <si>
    <t>01/02/2021-28/02/2021</t>
    <phoneticPr fontId="9" type="noConversion"/>
  </si>
  <si>
    <t>Monthly electricity consumption</t>
    <phoneticPr fontId="9" type="noConversion"/>
  </si>
  <si>
    <r>
      <t>18 full time jobs created</t>
    </r>
    <r>
      <rPr>
        <sz val="11"/>
        <rFont val="宋体"/>
        <family val="2"/>
        <charset val="134"/>
      </rPr>
      <t>，</t>
    </r>
    <r>
      <rPr>
        <sz val="11"/>
        <rFont val="Verdana"/>
        <family val="2"/>
      </rPr>
      <t>including 9 females and 9 males</t>
    </r>
    <phoneticPr fontId="9" type="noConversion"/>
  </si>
  <si>
    <t xml:space="preserve">Swine Farm Animal Manure Management System GHG Mitigation Project in Hubei Province </t>
  </si>
  <si>
    <t>01/01/2021-30/06/2022</t>
  </si>
  <si>
    <t>01/01/2021-30/06/2022</t>
    <phoneticPr fontId="9" type="noConversion"/>
  </si>
  <si>
    <r>
      <t>t/m</t>
    </r>
    <r>
      <rPr>
        <vertAlign val="superscript"/>
        <sz val="10"/>
        <color indexed="8"/>
        <rFont val="Arial"/>
        <family val="2"/>
      </rPr>
      <t>3</t>
    </r>
    <phoneticPr fontId="9" type="noConversion"/>
  </si>
  <si>
    <t>Subtotal</t>
    <phoneticPr fontId="0" type="noConversion"/>
  </si>
  <si>
    <t>Total</t>
    <phoneticPr fontId="9" type="noConversion"/>
  </si>
  <si>
    <r>
      <t>BE</t>
    </r>
    <r>
      <rPr>
        <vertAlign val="subscript"/>
        <sz val="10"/>
        <rFont val="Arial"/>
        <family val="2"/>
      </rPr>
      <t>CH4</t>
    </r>
    <phoneticPr fontId="9" type="noConversion"/>
  </si>
  <si>
    <t>PEAD</t>
    <phoneticPr fontId="9" type="noConversion"/>
  </si>
  <si>
    <t>BECH4-PEAD</t>
    <phoneticPr fontId="9" type="noConversion"/>
  </si>
  <si>
    <t>Date Duration:01/01/2021 - 31/01/2021</t>
    <phoneticPr fontId="9" type="noConversion"/>
  </si>
  <si>
    <t>Date Duration:01/02/2021 - 28/02/2021</t>
    <phoneticPr fontId="9" type="noConversion"/>
  </si>
  <si>
    <t>Date Duration:01/03/2021 - 31/03/2021</t>
    <phoneticPr fontId="9" type="noConversion"/>
  </si>
  <si>
    <t>Date Duration:01/04/2021 - 30/04/2021</t>
    <phoneticPr fontId="9" type="noConversion"/>
  </si>
  <si>
    <t>Date Duration:01/05/2021 - 31/05/2021</t>
    <phoneticPr fontId="9" type="noConversion"/>
  </si>
  <si>
    <t>Date Duration:01/06/2021 - 30/06/2021</t>
    <phoneticPr fontId="9" type="noConversion"/>
  </si>
  <si>
    <t>Date Duration:01/07/2021 - 31/07/2021</t>
    <phoneticPr fontId="9" type="noConversion"/>
  </si>
  <si>
    <t>Date Duration:01/08/2021 - 31/08/2021</t>
    <phoneticPr fontId="9" type="noConversion"/>
  </si>
  <si>
    <t>Date Duration:01/09/2021 - 30/09/2021</t>
    <phoneticPr fontId="9" type="noConversion"/>
  </si>
  <si>
    <t>Date Duration:01/10/2021 - 31/10/2021</t>
    <phoneticPr fontId="9" type="noConversion"/>
  </si>
  <si>
    <t>Date Duration:01/11/2021 - 30/11/2021</t>
    <phoneticPr fontId="9" type="noConversion"/>
  </si>
  <si>
    <t>Date Duration:01/12/2021 - 31/12/2021</t>
    <phoneticPr fontId="9" type="noConversion"/>
  </si>
  <si>
    <t>Date Duration:01/01/2022 - 31/01/2022</t>
    <phoneticPr fontId="9" type="noConversion"/>
  </si>
  <si>
    <t>Date Duration:01/02/2022 -28/02/2022</t>
    <phoneticPr fontId="9" type="noConversion"/>
  </si>
  <si>
    <t>Date Duration:01/03/2022 -31/03/2022</t>
    <phoneticPr fontId="9" type="noConversion"/>
  </si>
  <si>
    <t>Date Duration:01/04/2022 -30/04/2022</t>
    <phoneticPr fontId="9" type="noConversion"/>
  </si>
  <si>
    <t>Date Duration:01/05/2022 -31/05/2022</t>
    <phoneticPr fontId="9" type="noConversion"/>
  </si>
  <si>
    <t>Date Duration:01/06/2022 -30/06/2022</t>
    <phoneticPr fontId="9" type="noConversion"/>
  </si>
  <si>
    <t>tCOtCO2e2etCO2e</t>
    <phoneticPr fontId="9" type="noConversion"/>
  </si>
  <si>
    <t>tCO2e</t>
    <phoneticPr fontId="9" type="noConversion"/>
  </si>
  <si>
    <t>02</t>
    <phoneticPr fontId="9" type="noConversion"/>
  </si>
  <si>
    <t>Total electricity produced (MWh)</t>
    <phoneticPr fontId="9" type="noConversion"/>
  </si>
  <si>
    <t>09/10/2022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</si>
</sst>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??_);_(@_)"/>
    <numFmt numFmtId="178" formatCode="0_ "/>
    <numFmt numFmtId="179" formatCode="0.00_ "/>
    <numFmt numFmtId="180" formatCode="0.0_ "/>
    <numFmt numFmtId="181" formatCode="_ * #,##0_ ;_ * \-#,##0_ ;_ * &quot;-&quot;??_ ;_ @_ "/>
    <numFmt numFmtId="182" formatCode="_-* #,##0.00\ [$€]_-;\-* #,##0.00\ [$€]_-;_-* &quot;-&quot;??\ [$€]_-;_-@_-"/>
    <numFmt numFmtId="183" formatCode="0.0"/>
    <numFmt numFmtId="184" formatCode="#,##0.000"/>
    <numFmt numFmtId="185" formatCode="0.00_);[Red]\(0.00\)"/>
    <numFmt numFmtId="186" formatCode="dd/mm/yyyy"/>
    <numFmt numFmtId="187" formatCode="0.0000_ "/>
    <numFmt numFmtId="188" formatCode="#,##0.0"/>
    <numFmt numFmtId="189" formatCode="0.000_);[Red]\(0.000\)"/>
    <numFmt numFmtId="190" formatCode="0.00000_);[Red]\(0.00000\)"/>
    <numFmt numFmtId="191" formatCode="0_);[Red]\(0\)"/>
    <numFmt numFmtId="192" formatCode="0.0000"/>
    <numFmt numFmtId="193" formatCode="0.00000"/>
    <numFmt numFmtId="194" formatCode="0.000%"/>
    <numFmt numFmtId="195" formatCode="#,##0.00_ "/>
    <numFmt numFmtId="196" formatCode="#,##0_ "/>
    <numFmt numFmtId="197" formatCode="#,##0_);[Red]\(#,##0\)"/>
    <numFmt numFmtId="198" formatCode="0.000"/>
  </numFmts>
  <fonts count="78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4D4D4C"/>
      <name val="Verdana"/>
      <family val="2"/>
    </font>
    <font>
      <sz val="10"/>
      <name val="Verdana"/>
      <family val="2"/>
    </font>
    <font>
      <sz val="9"/>
      <name val="宋体"/>
      <family val="3"/>
      <charset val="134"/>
    </font>
    <font>
      <sz val="11"/>
      <name val="Verdana"/>
      <family val="2"/>
    </font>
    <font>
      <b/>
      <sz val="11"/>
      <name val="Verdana"/>
      <family val="2"/>
    </font>
    <font>
      <b/>
      <vertAlign val="subscript"/>
      <sz val="11"/>
      <name val="Verdana"/>
      <family val="2"/>
    </font>
    <font>
      <sz val="9"/>
      <name val="宋体"/>
      <family val="3"/>
      <charset val="134"/>
      <scheme val="minor"/>
    </font>
    <font>
      <sz val="11"/>
      <name val="宋体"/>
      <family val="2"/>
      <charset val="134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46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vertAlign val="subscript"/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u/>
      <sz val="10"/>
      <color indexed="10"/>
      <name val="Arial"/>
      <family val="2"/>
    </font>
    <font>
      <i/>
      <vertAlign val="subscript"/>
      <sz val="8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bscript"/>
      <sz val="8"/>
      <color indexed="8"/>
      <name val="Arial"/>
      <family val="2"/>
    </font>
    <font>
      <i/>
      <sz val="10"/>
      <name val="Arial"/>
      <family val="2"/>
    </font>
    <font>
      <i/>
      <vertAlign val="subscript"/>
      <sz val="8"/>
      <name val="Arial"/>
      <family val="2"/>
    </font>
    <font>
      <sz val="10"/>
      <color rgb="FF4D4D4C"/>
      <name val="Arial"/>
      <family val="2"/>
    </font>
    <font>
      <sz val="8"/>
      <color indexed="8"/>
      <name val="Arial"/>
      <family val="2"/>
    </font>
    <font>
      <vertAlign val="subscript"/>
      <sz val="10"/>
      <color rgb="FF000000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i/>
      <vertAlign val="subscript"/>
      <sz val="10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vertAlign val="subscript"/>
      <sz val="8"/>
      <name val="Arial"/>
      <family val="2"/>
    </font>
    <font>
      <i/>
      <sz val="8"/>
      <name val="Arial"/>
      <family val="2"/>
    </font>
    <font>
      <b/>
      <vertAlign val="subscript"/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sz val="11"/>
      <color rgb="FF4D4D4C"/>
      <name val="Arial"/>
      <family val="2"/>
    </font>
    <font>
      <vertAlign val="subscript"/>
      <sz val="11"/>
      <color indexed="63"/>
      <name val="Arial"/>
      <family val="2"/>
    </font>
    <font>
      <sz val="11"/>
      <color indexed="63"/>
      <name val="Arial"/>
      <family val="2"/>
    </font>
    <font>
      <vertAlign val="subscript"/>
      <sz val="10"/>
      <color indexed="63"/>
      <name val="Arial"/>
      <family val="2"/>
    </font>
    <font>
      <sz val="10"/>
      <color indexed="63"/>
      <name val="Arial"/>
      <family val="2"/>
    </font>
    <font>
      <vertAlign val="superscript"/>
      <sz val="11"/>
      <color indexed="63"/>
      <name val="Arial"/>
      <family val="2"/>
    </font>
    <font>
      <sz val="10"/>
      <color rgb="FF222222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8"/>
      <color indexed="9"/>
      <name val="Arial"/>
      <family val="2"/>
    </font>
    <font>
      <sz val="10"/>
      <color indexed="9"/>
      <name val="Arial"/>
      <family val="2"/>
    </font>
    <font>
      <i/>
      <vertAlign val="subscript"/>
      <sz val="10"/>
      <color indexed="9"/>
      <name val="Arial"/>
      <family val="2"/>
    </font>
    <font>
      <b/>
      <vertAlign val="subscript"/>
      <sz val="10"/>
      <color indexed="9"/>
      <name val="Arial"/>
      <family val="2"/>
    </font>
    <font>
      <b/>
      <sz val="10"/>
      <color theme="1"/>
      <name val="Arial"/>
      <family val="2"/>
    </font>
    <font>
      <i/>
      <sz val="10"/>
      <color indexed="9"/>
      <name val="Arial"/>
      <family val="2"/>
    </font>
    <font>
      <vertAlign val="subscript"/>
      <sz val="11"/>
      <color rgb="FF4D4D4C"/>
      <name val="Arial"/>
      <family val="2"/>
    </font>
    <font>
      <sz val="10"/>
      <name val="宋体"/>
      <family val="2"/>
      <charset val="134"/>
    </font>
    <font>
      <sz val="9"/>
      <name val="宋体"/>
      <family val="2"/>
      <charset val="134"/>
      <scheme val="minor"/>
    </font>
    <font>
      <sz val="9"/>
      <name val="微软雅黑"/>
      <family val="2"/>
      <charset val="134"/>
    </font>
    <font>
      <sz val="10"/>
      <name val="Arial"/>
      <family val="2"/>
      <charset val="134"/>
    </font>
    <font>
      <sz val="11"/>
      <color theme="1"/>
      <name val="Arial"/>
      <family val="2"/>
    </font>
    <font>
      <sz val="10"/>
      <color theme="1"/>
      <name val="Verdana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82" fontId="8" fillId="0" borderId="0" applyFont="0" applyFill="0" applyBorder="0" applyAlignment="0" applyProtection="0"/>
    <xf numFmtId="0" fontId="10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6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176" fontId="2" fillId="0" borderId="0" applyFont="0" applyFill="0" applyBorder="0" applyAlignment="0" applyProtection="0"/>
    <xf numFmtId="0" fontId="1" fillId="0" borderId="0"/>
  </cellStyleXfs>
  <cellXfs count="656">
    <xf numFmtId="0" fontId="0" fillId="0" borderId="0" xfId="0"/>
    <xf numFmtId="0" fontId="12" fillId="5" borderId="0" xfId="0" applyFont="1" applyFill="1" applyBorder="1" applyAlignment="1">
      <alignment horizontal="right" vertical="center"/>
    </xf>
    <xf numFmtId="0" fontId="12" fillId="5" borderId="0" xfId="0" applyFont="1" applyFill="1" applyBorder="1" applyAlignment="1">
      <alignment vertical="center"/>
    </xf>
    <xf numFmtId="0" fontId="12" fillId="0" borderId="0" xfId="0" applyFont="1" applyBorder="1"/>
    <xf numFmtId="0" fontId="12" fillId="5" borderId="0" xfId="0" applyFont="1" applyFill="1" applyBorder="1" applyAlignment="1">
      <alignment horizontal="left" vertical="center"/>
    </xf>
    <xf numFmtId="186" fontId="12" fillId="5" borderId="0" xfId="0" applyNumberFormat="1" applyFont="1" applyFill="1" applyBorder="1" applyAlignment="1">
      <alignment horizontal="left" vertical="center"/>
    </xf>
    <xf numFmtId="0" fontId="12" fillId="9" borderId="4" xfId="0" applyFont="1" applyFill="1" applyBorder="1" applyAlignment="1">
      <alignment horizontal="justify" vertical="center" wrapText="1"/>
    </xf>
    <xf numFmtId="0" fontId="12" fillId="9" borderId="3" xfId="0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vertical="center"/>
    </xf>
    <xf numFmtId="0" fontId="12" fillId="9" borderId="12" xfId="0" applyFont="1" applyFill="1" applyBorder="1" applyAlignment="1">
      <alignment horizontal="justify" vertical="center" wrapText="1"/>
    </xf>
    <xf numFmtId="14" fontId="12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horizontal="left"/>
    </xf>
    <xf numFmtId="1" fontId="12" fillId="0" borderId="0" xfId="0" applyNumberFormat="1" applyFont="1" applyBorder="1"/>
    <xf numFmtId="3" fontId="12" fillId="0" borderId="0" xfId="0" applyNumberFormat="1" applyFont="1" applyBorder="1"/>
    <xf numFmtId="10" fontId="11" fillId="0" borderId="0" xfId="7" applyNumberFormat="1" applyFont="1" applyBorder="1"/>
    <xf numFmtId="10" fontId="12" fillId="0" borderId="0" xfId="7" applyNumberFormat="1" applyFont="1" applyBorder="1"/>
    <xf numFmtId="0" fontId="14" fillId="0" borderId="0" xfId="0" applyFont="1"/>
    <xf numFmtId="0" fontId="15" fillId="8" borderId="2" xfId="0" applyFont="1" applyFill="1" applyBorder="1" applyAlignment="1">
      <alignment horizontal="center" vertical="center" wrapText="1"/>
    </xf>
    <xf numFmtId="195" fontId="14" fillId="4" borderId="2" xfId="0" applyNumberFormat="1" applyFont="1" applyFill="1" applyBorder="1" applyAlignment="1">
      <alignment horizontal="center" vertical="center"/>
    </xf>
    <xf numFmtId="14" fontId="14" fillId="0" borderId="0" xfId="0" applyNumberFormat="1" applyFont="1"/>
    <xf numFmtId="0" fontId="14" fillId="4" borderId="2" xfId="0" applyFont="1" applyFill="1" applyBorder="1" applyAlignment="1">
      <alignment horizontal="center" vertical="center"/>
    </xf>
    <xf numFmtId="196" fontId="14" fillId="4" borderId="2" xfId="0" applyNumberFormat="1" applyFont="1" applyFill="1" applyBorder="1" applyAlignment="1">
      <alignment horizontal="center" vertical="center"/>
    </xf>
    <xf numFmtId="196" fontId="14" fillId="0" borderId="0" xfId="0" applyNumberFormat="1" applyFont="1"/>
    <xf numFmtId="3" fontId="14" fillId="0" borderId="0" xfId="0" applyNumberFormat="1" applyFont="1"/>
    <xf numFmtId="2" fontId="14" fillId="0" borderId="0" xfId="0" applyNumberFormat="1" applyFont="1"/>
    <xf numFmtId="10" fontId="14" fillId="0" borderId="0" xfId="7" applyNumberFormat="1" applyFont="1"/>
    <xf numFmtId="197" fontId="15" fillId="8" borderId="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0" fillId="0" borderId="0" xfId="0" applyFont="1"/>
    <xf numFmtId="0" fontId="21" fillId="0" borderId="0" xfId="0" applyFont="1"/>
    <xf numFmtId="0" fontId="20" fillId="2" borderId="0" xfId="0" applyFont="1" applyFill="1"/>
    <xf numFmtId="0" fontId="21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0" xfId="0" applyFont="1"/>
    <xf numFmtId="0" fontId="22" fillId="0" borderId="3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5" fillId="0" borderId="3" xfId="0" applyFont="1" applyBorder="1"/>
    <xf numFmtId="0" fontId="0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26" fillId="0" borderId="0" xfId="10" applyFont="1" applyAlignment="1" applyProtection="1"/>
    <xf numFmtId="3" fontId="0" fillId="0" borderId="2" xfId="11" applyNumberFormat="1" applyFont="1" applyFill="1" applyBorder="1" applyAlignment="1">
      <alignment horizontal="right" vertical="center"/>
    </xf>
    <xf numFmtId="17" fontId="5" fillId="0" borderId="3" xfId="0" applyNumberFormat="1" applyFont="1" applyBorder="1"/>
    <xf numFmtId="3" fontId="0" fillId="0" borderId="0" xfId="0" applyNumberFormat="1" applyFont="1"/>
    <xf numFmtId="0" fontId="30" fillId="0" borderId="3" xfId="0" applyFont="1" applyBorder="1"/>
    <xf numFmtId="188" fontId="0" fillId="0" borderId="2" xfId="1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4" fontId="0" fillId="0" borderId="2" xfId="0" applyNumberFormat="1" applyFont="1" applyBorder="1" applyAlignment="1">
      <alignment horizontal="right"/>
    </xf>
    <xf numFmtId="14" fontId="23" fillId="0" borderId="0" xfId="0" applyNumberFormat="1" applyFont="1"/>
    <xf numFmtId="17" fontId="22" fillId="0" borderId="3" xfId="0" applyNumberFormat="1" applyFont="1" applyBorder="1"/>
    <xf numFmtId="0" fontId="22" fillId="0" borderId="12" xfId="0" applyFont="1" applyBorder="1"/>
    <xf numFmtId="3" fontId="36" fillId="3" borderId="11" xfId="0" applyNumberFormat="1" applyFont="1" applyFill="1" applyBorder="1"/>
    <xf numFmtId="0" fontId="5" fillId="0" borderId="11" xfId="0" applyFont="1" applyBorder="1" applyAlignment="1">
      <alignment horizontal="center"/>
    </xf>
    <xf numFmtId="180" fontId="0" fillId="0" borderId="0" xfId="0" applyNumberFormat="1" applyFont="1"/>
    <xf numFmtId="0" fontId="21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37" fillId="0" borderId="0" xfId="0" applyFont="1"/>
    <xf numFmtId="0" fontId="0" fillId="0" borderId="0" xfId="0" applyFont="1" applyAlignment="1">
      <alignment horizontal="right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" fontId="0" fillId="5" borderId="2" xfId="11" applyNumberFormat="1" applyFont="1" applyFill="1" applyBorder="1" applyAlignment="1">
      <alignment horizontal="right" vertical="center"/>
    </xf>
    <xf numFmtId="0" fontId="0" fillId="0" borderId="3" xfId="0" applyFont="1" applyBorder="1"/>
    <xf numFmtId="17" fontId="20" fillId="0" borderId="3" xfId="0" applyNumberFormat="1" applyFont="1" applyBorder="1"/>
    <xf numFmtId="0" fontId="20" fillId="0" borderId="12" xfId="0" applyFont="1" applyBorder="1"/>
    <xf numFmtId="0" fontId="0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1" fillId="0" borderId="0" xfId="0" applyFont="1"/>
    <xf numFmtId="2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2" fontId="0" fillId="0" borderId="2" xfId="11" applyNumberFormat="1" applyFont="1" applyBorder="1" applyAlignment="1">
      <alignment horizontal="right"/>
    </xf>
    <xf numFmtId="177" fontId="20" fillId="0" borderId="0" xfId="0" applyNumberFormat="1" applyFont="1"/>
    <xf numFmtId="3" fontId="19" fillId="3" borderId="0" xfId="0" applyNumberFormat="1" applyFont="1" applyFill="1" applyAlignment="1">
      <alignment horizontal="left"/>
    </xf>
    <xf numFmtId="0" fontId="0" fillId="0" borderId="0" xfId="9" applyFont="1">
      <alignment vertical="center"/>
    </xf>
    <xf numFmtId="177" fontId="0" fillId="0" borderId="0" xfId="9" applyNumberFormat="1" applyFont="1">
      <alignment vertical="center"/>
    </xf>
    <xf numFmtId="178" fontId="0" fillId="0" borderId="0" xfId="9" applyNumberFormat="1" applyFont="1" applyAlignment="1">
      <alignment horizontal="center" vertical="center"/>
    </xf>
    <xf numFmtId="0" fontId="20" fillId="3" borderId="0" xfId="0" applyFont="1" applyFill="1"/>
    <xf numFmtId="0" fontId="0" fillId="3" borderId="0" xfId="0" applyFont="1" applyFill="1"/>
    <xf numFmtId="0" fontId="20" fillId="3" borderId="0" xfId="11" applyNumberFormat="1" applyFont="1" applyFill="1" applyBorder="1"/>
    <xf numFmtId="0" fontId="0" fillId="3" borderId="0" xfId="11" applyNumberFormat="1" applyFont="1" applyFill="1" applyBorder="1"/>
    <xf numFmtId="176" fontId="0" fillId="0" borderId="0" xfId="0" applyNumberFormat="1" applyFont="1"/>
    <xf numFmtId="177" fontId="0" fillId="0" borderId="0" xfId="0" applyNumberFormat="1" applyFont="1" applyAlignment="1">
      <alignment horizontal="center"/>
    </xf>
    <xf numFmtId="0" fontId="0" fillId="0" borderId="12" xfId="0" applyFont="1" applyBorder="1"/>
    <xf numFmtId="177" fontId="0" fillId="0" borderId="0" xfId="0" applyNumberFormat="1" applyFont="1"/>
    <xf numFmtId="17" fontId="22" fillId="0" borderId="12" xfId="0" applyNumberFormat="1" applyFont="1" applyBorder="1"/>
    <xf numFmtId="0" fontId="0" fillId="0" borderId="2" xfId="0" applyFont="1" applyBorder="1"/>
    <xf numFmtId="0" fontId="0" fillId="0" borderId="7" xfId="0" applyFont="1" applyBorder="1" applyAlignment="1">
      <alignment horizontal="center"/>
    </xf>
    <xf numFmtId="0" fontId="0" fillId="0" borderId="0" xfId="0" applyFont="1" applyBorder="1"/>
    <xf numFmtId="0" fontId="0" fillId="0" borderId="12" xfId="0" applyFont="1" applyFill="1" applyBorder="1"/>
    <xf numFmtId="183" fontId="0" fillId="0" borderId="11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8" fillId="0" borderId="5" xfId="0" applyFont="1" applyBorder="1"/>
    <xf numFmtId="0" fontId="32" fillId="0" borderId="5" xfId="0" applyFont="1" applyBorder="1"/>
    <xf numFmtId="0" fontId="0" fillId="0" borderId="6" xfId="0" applyFont="1" applyBorder="1"/>
    <xf numFmtId="176" fontId="0" fillId="0" borderId="2" xfId="11" applyFont="1" applyBorder="1" applyAlignment="1">
      <alignment horizontal="center"/>
    </xf>
    <xf numFmtId="185" fontId="0" fillId="0" borderId="2" xfId="11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93" fontId="0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center"/>
    </xf>
    <xf numFmtId="176" fontId="0" fillId="0" borderId="11" xfId="11" applyFont="1" applyBorder="1"/>
    <xf numFmtId="2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Fill="1"/>
    <xf numFmtId="181" fontId="0" fillId="0" borderId="0" xfId="0" applyNumberFormat="1" applyFont="1" applyFill="1"/>
    <xf numFmtId="181" fontId="0" fillId="0" borderId="0" xfId="0" applyNumberFormat="1" applyFont="1" applyFill="1" applyBorder="1"/>
    <xf numFmtId="43" fontId="0" fillId="0" borderId="0" xfId="0" applyNumberFormat="1" applyFont="1" applyFill="1" applyBorder="1"/>
    <xf numFmtId="44" fontId="0" fillId="0" borderId="0" xfId="0" applyNumberFormat="1" applyFont="1"/>
    <xf numFmtId="185" fontId="0" fillId="0" borderId="0" xfId="0" applyNumberFormat="1" applyFont="1"/>
    <xf numFmtId="44" fontId="0" fillId="0" borderId="0" xfId="0" applyNumberFormat="1" applyFont="1" applyFill="1"/>
    <xf numFmtId="3" fontId="0" fillId="0" borderId="0" xfId="0" applyNumberFormat="1" applyFont="1" applyFill="1"/>
    <xf numFmtId="177" fontId="0" fillId="0" borderId="0" xfId="11" applyNumberFormat="1" applyFont="1" applyFill="1"/>
    <xf numFmtId="43" fontId="0" fillId="0" borderId="0" xfId="0" applyNumberFormat="1" applyFont="1" applyFill="1"/>
    <xf numFmtId="195" fontId="0" fillId="0" borderId="0" xfId="0" applyNumberFormat="1" applyFont="1"/>
    <xf numFmtId="177" fontId="0" fillId="0" borderId="0" xfId="0" applyNumberFormat="1" applyFont="1" applyFill="1"/>
    <xf numFmtId="44" fontId="54" fillId="0" borderId="0" xfId="0" applyNumberFormat="1" applyFont="1"/>
    <xf numFmtId="181" fontId="0" fillId="0" borderId="0" xfId="0" applyNumberFormat="1" applyFont="1"/>
    <xf numFmtId="194" fontId="0" fillId="0" borderId="0" xfId="7" applyNumberFormat="1" applyFont="1"/>
    <xf numFmtId="179" fontId="0" fillId="0" borderId="0" xfId="0" applyNumberFormat="1" applyFont="1"/>
    <xf numFmtId="0" fontId="20" fillId="0" borderId="4" xfId="0" applyFont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/>
    </xf>
    <xf numFmtId="197" fontId="0" fillId="0" borderId="2" xfId="0" applyNumberFormat="1" applyFont="1" applyBorder="1" applyAlignment="1">
      <alignment horizontal="center" vertical="center"/>
    </xf>
    <xf numFmtId="197" fontId="0" fillId="5" borderId="2" xfId="0" applyNumberFormat="1" applyFont="1" applyFill="1" applyBorder="1" applyAlignment="1">
      <alignment horizontal="center" vertical="center"/>
    </xf>
    <xf numFmtId="197" fontId="0" fillId="0" borderId="2" xfId="0" applyNumberFormat="1" applyFont="1" applyBorder="1" applyAlignment="1">
      <alignment horizontal="center" vertical="center" wrapText="1"/>
    </xf>
    <xf numFmtId="197" fontId="0" fillId="0" borderId="7" xfId="0" applyNumberFormat="1" applyFont="1" applyBorder="1" applyAlignment="1">
      <alignment horizontal="center" vertical="center"/>
    </xf>
    <xf numFmtId="197" fontId="0" fillId="0" borderId="3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97" fontId="0" fillId="0" borderId="11" xfId="0" applyNumberFormat="1" applyFont="1" applyBorder="1" applyAlignment="1">
      <alignment horizontal="center" vertical="center"/>
    </xf>
    <xf numFmtId="197" fontId="0" fillId="0" borderId="13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92" fontId="0" fillId="6" borderId="2" xfId="0" applyNumberFormat="1" applyFont="1" applyFill="1" applyBorder="1" applyAlignment="1">
      <alignment horizontal="center" vertical="center"/>
    </xf>
    <xf numFmtId="192" fontId="0" fillId="7" borderId="2" xfId="0" applyNumberFormat="1" applyFont="1" applyFill="1" applyBorder="1" applyAlignment="1">
      <alignment horizontal="center" vertical="center"/>
    </xf>
    <xf numFmtId="0" fontId="55" fillId="0" borderId="8" xfId="0" applyFont="1" applyBorder="1" applyAlignment="1">
      <alignment vertical="center"/>
    </xf>
    <xf numFmtId="0" fontId="55" fillId="0" borderId="0" xfId="0" applyFont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 wrapText="1"/>
    </xf>
    <xf numFmtId="17" fontId="0" fillId="4" borderId="8" xfId="0" applyNumberFormat="1" applyFont="1" applyFill="1" applyBorder="1" applyAlignment="1">
      <alignment horizontal="right" vertical="center"/>
    </xf>
    <xf numFmtId="1" fontId="0" fillId="0" borderId="2" xfId="0" applyNumberFormat="1" applyFont="1" applyBorder="1" applyAlignment="1">
      <alignment horizontal="center" vertical="center"/>
    </xf>
    <xf numFmtId="179" fontId="0" fillId="6" borderId="2" xfId="0" applyNumberFormat="1" applyFont="1" applyFill="1" applyBorder="1" applyAlignment="1">
      <alignment horizontal="center" vertical="center"/>
    </xf>
    <xf numFmtId="192" fontId="0" fillId="6" borderId="2" xfId="0" applyNumberFormat="1" applyFont="1" applyFill="1" applyBorder="1" applyAlignment="1">
      <alignment horizontal="center" vertical="center" wrapText="1"/>
    </xf>
    <xf numFmtId="179" fontId="0" fillId="7" borderId="2" xfId="0" applyNumberFormat="1" applyFont="1" applyFill="1" applyBorder="1" applyAlignment="1">
      <alignment horizontal="center" vertical="center"/>
    </xf>
    <xf numFmtId="1" fontId="0" fillId="7" borderId="2" xfId="0" applyNumberFormat="1" applyFont="1" applyFill="1" applyBorder="1" applyAlignment="1">
      <alignment horizontal="center" vertical="center" wrapText="1"/>
    </xf>
    <xf numFmtId="2" fontId="0" fillId="7" borderId="2" xfId="0" applyNumberFormat="1" applyFont="1" applyFill="1" applyBorder="1" applyAlignment="1">
      <alignment horizontal="center" vertical="center" wrapText="1"/>
    </xf>
    <xf numFmtId="192" fontId="0" fillId="7" borderId="2" xfId="0" applyNumberFormat="1" applyFont="1" applyFill="1" applyBorder="1" applyAlignment="1">
      <alignment horizontal="center" vertical="center" wrapText="1"/>
    </xf>
    <xf numFmtId="2" fontId="0" fillId="6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178" fontId="55" fillId="0" borderId="0" xfId="0" applyNumberFormat="1" applyFont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5" borderId="2" xfId="0" applyFont="1" applyFill="1" applyBorder="1" applyAlignment="1">
      <alignment horizontal="center" vertical="center"/>
    </xf>
    <xf numFmtId="179" fontId="0" fillId="0" borderId="10" xfId="0" applyNumberFormat="1" applyFont="1" applyBorder="1" applyAlignment="1">
      <alignment vertical="center"/>
    </xf>
    <xf numFmtId="179" fontId="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179" fontId="0" fillId="0" borderId="0" xfId="0" applyNumberFormat="1" applyFont="1" applyAlignment="1">
      <alignment horizontal="left" vertical="center"/>
    </xf>
    <xf numFmtId="179" fontId="0" fillId="0" borderId="10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187" fontId="20" fillId="0" borderId="2" xfId="0" applyNumberFormat="1" applyFont="1" applyBorder="1" applyAlignment="1">
      <alignment horizontal="center" vertical="center"/>
    </xf>
    <xf numFmtId="179" fontId="0" fillId="0" borderId="0" xfId="0" applyNumberFormat="1" applyFont="1" applyAlignment="1">
      <alignment vertical="center" wrapText="1"/>
    </xf>
    <xf numFmtId="179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87" fontId="0" fillId="5" borderId="2" xfId="0" applyNumberFormat="1" applyFont="1" applyFill="1" applyBorder="1" applyAlignment="1">
      <alignment horizontal="center" vertical="center"/>
    </xf>
    <xf numFmtId="179" fontId="0" fillId="5" borderId="2" xfId="0" applyNumberFormat="1" applyFont="1" applyFill="1" applyBorder="1" applyAlignment="1">
      <alignment horizontal="center" vertical="center"/>
    </xf>
    <xf numFmtId="187" fontId="0" fillId="0" borderId="2" xfId="0" applyNumberFormat="1" applyFont="1" applyBorder="1" applyAlignment="1">
      <alignment horizontal="center" vertical="center" wrapText="1"/>
    </xf>
    <xf numFmtId="187" fontId="0" fillId="0" borderId="2" xfId="0" applyNumberFormat="1" applyFont="1" applyBorder="1" applyAlignment="1">
      <alignment horizontal="center" vertical="center"/>
    </xf>
    <xf numFmtId="10" fontId="0" fillId="0" borderId="2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0" fillId="0" borderId="3" xfId="5" applyFont="1" applyBorder="1">
      <alignment vertical="center"/>
    </xf>
    <xf numFmtId="3" fontId="0" fillId="0" borderId="2" xfId="11" applyNumberFormat="1" applyFont="1" applyFill="1" applyBorder="1" applyAlignment="1">
      <alignment horizontal="center" vertical="center"/>
    </xf>
    <xf numFmtId="4" fontId="0" fillId="0" borderId="2" xfId="5" applyNumberFormat="1" applyFont="1" applyBorder="1" applyAlignment="1">
      <alignment horizontal="center" vertical="center"/>
    </xf>
    <xf numFmtId="9" fontId="0" fillId="0" borderId="2" xfId="9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/>
    </xf>
    <xf numFmtId="0" fontId="0" fillId="0" borderId="7" xfId="0" applyFont="1" applyBorder="1" applyAlignment="1">
      <alignment horizontal="center" wrapText="1"/>
    </xf>
    <xf numFmtId="0" fontId="0" fillId="0" borderId="3" xfId="4" applyFont="1" applyBorder="1">
      <alignment vertical="center"/>
    </xf>
    <xf numFmtId="0" fontId="20" fillId="0" borderId="3" xfId="5" applyFont="1" applyBorder="1">
      <alignment vertical="center"/>
    </xf>
    <xf numFmtId="176" fontId="0" fillId="0" borderId="2" xfId="5" applyNumberFormat="1" applyFont="1" applyBorder="1" applyAlignment="1">
      <alignment horizontal="center" vertical="center"/>
    </xf>
    <xf numFmtId="2" fontId="0" fillId="0" borderId="2" xfId="5" applyNumberFormat="1" applyFont="1" applyBorder="1" applyAlignment="1">
      <alignment horizontal="center" vertical="center"/>
    </xf>
    <xf numFmtId="0" fontId="20" fillId="0" borderId="12" xfId="5" applyFont="1" applyBorder="1">
      <alignment vertical="center"/>
    </xf>
    <xf numFmtId="0" fontId="0" fillId="0" borderId="0" xfId="5" applyFont="1">
      <alignment vertical="center"/>
    </xf>
    <xf numFmtId="177" fontId="36" fillId="0" borderId="0" xfId="5" applyNumberFormat="1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20" fillId="0" borderId="3" xfId="5" applyFont="1" applyBorder="1" applyAlignment="1"/>
    <xf numFmtId="1" fontId="20" fillId="0" borderId="9" xfId="5" applyNumberFormat="1" applyFont="1" applyBorder="1" applyAlignment="1">
      <alignment horizontal="center" vertical="center"/>
    </xf>
    <xf numFmtId="1" fontId="20" fillId="0" borderId="26" xfId="5" applyNumberFormat="1" applyFont="1" applyBorder="1" applyAlignment="1">
      <alignment horizontal="center" vertical="center"/>
    </xf>
    <xf numFmtId="17" fontId="20" fillId="0" borderId="3" xfId="5" applyNumberFormat="1" applyFont="1" applyBorder="1">
      <alignment vertical="center"/>
    </xf>
    <xf numFmtId="0" fontId="0" fillId="0" borderId="3" xfId="0" applyFont="1" applyBorder="1" applyAlignment="1">
      <alignment horizontal="left"/>
    </xf>
    <xf numFmtId="0" fontId="0" fillId="0" borderId="3" xfId="9" applyFont="1" applyBorder="1">
      <alignment vertical="center"/>
    </xf>
    <xf numFmtId="4" fontId="0" fillId="0" borderId="2" xfId="8" applyNumberFormat="1" applyFont="1" applyBorder="1" applyAlignment="1">
      <alignment horizontal="center"/>
    </xf>
    <xf numFmtId="0" fontId="0" fillId="0" borderId="2" xfId="9" applyFont="1" applyBorder="1" applyAlignment="1">
      <alignment horizontal="center" vertical="center"/>
    </xf>
    <xf numFmtId="0" fontId="42" fillId="0" borderId="2" xfId="5" applyFont="1" applyBorder="1" applyAlignment="1">
      <alignment horizontal="center" vertical="center"/>
    </xf>
    <xf numFmtId="9" fontId="0" fillId="0" borderId="2" xfId="5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20" fillId="0" borderId="4" xfId="0" applyFont="1" applyBorder="1"/>
    <xf numFmtId="0" fontId="20" fillId="0" borderId="3" xfId="0" applyFont="1" applyBorder="1"/>
    <xf numFmtId="178" fontId="0" fillId="0" borderId="0" xfId="0" applyNumberFormat="1" applyFont="1"/>
    <xf numFmtId="17" fontId="5" fillId="0" borderId="0" xfId="0" applyNumberFormat="1" applyFont="1" applyBorder="1"/>
    <xf numFmtId="3" fontId="2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7" fontId="20" fillId="0" borderId="0" xfId="0" applyNumberFormat="1" applyFont="1" applyAlignment="1">
      <alignment horizontal="center"/>
    </xf>
    <xf numFmtId="0" fontId="59" fillId="0" borderId="0" xfId="0" applyFont="1"/>
    <xf numFmtId="0" fontId="61" fillId="0" borderId="0" xfId="0" applyFont="1" applyAlignment="1">
      <alignment horizontal="center"/>
    </xf>
    <xf numFmtId="0" fontId="61" fillId="0" borderId="0" xfId="0" applyFont="1"/>
    <xf numFmtId="0" fontId="59" fillId="0" borderId="0" xfId="0" applyFont="1" applyAlignment="1">
      <alignment horizontal="center"/>
    </xf>
    <xf numFmtId="0" fontId="61" fillId="0" borderId="0" xfId="4" applyFont="1">
      <alignment vertical="center"/>
    </xf>
    <xf numFmtId="0" fontId="61" fillId="0" borderId="0" xfId="8" applyFont="1" applyAlignment="1">
      <alignment horizontal="center"/>
    </xf>
    <xf numFmtId="0" fontId="61" fillId="0" borderId="0" xfId="4" applyFont="1" applyAlignment="1">
      <alignment horizontal="center" vertical="center"/>
    </xf>
    <xf numFmtId="0" fontId="61" fillId="0" borderId="0" xfId="0" applyFont="1" applyAlignment="1">
      <alignment horizontal="left"/>
    </xf>
    <xf numFmtId="177" fontId="61" fillId="0" borderId="0" xfId="11" applyNumberFormat="1" applyFont="1" applyFill="1" applyBorder="1" applyAlignment="1">
      <alignment horizontal="center" vertical="center"/>
    </xf>
    <xf numFmtId="0" fontId="61" fillId="0" borderId="0" xfId="9" applyFont="1">
      <alignment vertical="center"/>
    </xf>
    <xf numFmtId="0" fontId="61" fillId="0" borderId="0" xfId="9" applyFont="1" applyAlignment="1">
      <alignment horizontal="center" vertical="center"/>
    </xf>
    <xf numFmtId="9" fontId="61" fillId="0" borderId="0" xfId="9" applyNumberFormat="1" applyFont="1" applyAlignment="1">
      <alignment horizontal="center" vertical="center"/>
    </xf>
    <xf numFmtId="0" fontId="59" fillId="0" borderId="0" xfId="4" applyFont="1">
      <alignment vertical="center"/>
    </xf>
    <xf numFmtId="176" fontId="59" fillId="0" borderId="0" xfId="4" applyNumberFormat="1" applyFont="1" applyAlignment="1">
      <alignment horizontal="center" vertical="center"/>
    </xf>
    <xf numFmtId="177" fontId="59" fillId="0" borderId="0" xfId="0" applyNumberFormat="1" applyFont="1" applyAlignment="1">
      <alignment horizontal="center"/>
    </xf>
    <xf numFmtId="0" fontId="0" fillId="2" borderId="0" xfId="0" applyFont="1" applyFill="1"/>
    <xf numFmtId="0" fontId="20" fillId="0" borderId="0" xfId="4" applyFont="1" applyAlignment="1"/>
    <xf numFmtId="0" fontId="21" fillId="0" borderId="0" xfId="9" applyFont="1" applyAlignment="1">
      <alignment horizontal="left" vertical="center"/>
    </xf>
    <xf numFmtId="0" fontId="20" fillId="0" borderId="4" xfId="4" applyFont="1" applyBorder="1" applyAlignment="1"/>
    <xf numFmtId="0" fontId="0" fillId="0" borderId="3" xfId="4" applyFont="1" applyBorder="1" applyAlignment="1"/>
    <xf numFmtId="0" fontId="20" fillId="0" borderId="3" xfId="4" applyFont="1" applyBorder="1" applyAlignment="1"/>
    <xf numFmtId="17" fontId="20" fillId="0" borderId="3" xfId="4" applyNumberFormat="1" applyFont="1" applyBorder="1" applyAlignment="1"/>
    <xf numFmtId="0" fontId="20" fillId="0" borderId="12" xfId="4" applyFont="1" applyBorder="1" applyAlignment="1"/>
    <xf numFmtId="0" fontId="0" fillId="0" borderId="11" xfId="9" applyFont="1" applyBorder="1" applyAlignment="1">
      <alignment horizontal="center" vertical="center"/>
    </xf>
    <xf numFmtId="0" fontId="0" fillId="0" borderId="0" xfId="9" applyFont="1" applyAlignment="1">
      <alignment horizontal="center" vertical="center"/>
    </xf>
    <xf numFmtId="0" fontId="0" fillId="0" borderId="0" xfId="9" applyFont="1" applyAlignment="1">
      <alignment horizontal="center" vertical="center" wrapText="1"/>
    </xf>
    <xf numFmtId="0" fontId="20" fillId="0" borderId="3" xfId="4" applyFont="1" applyBorder="1">
      <alignment vertical="center"/>
    </xf>
    <xf numFmtId="3" fontId="0" fillId="0" borderId="2" xfId="4" applyNumberFormat="1" applyFont="1" applyBorder="1" applyAlignment="1">
      <alignment horizontal="center" vertical="center"/>
    </xf>
    <xf numFmtId="3" fontId="0" fillId="0" borderId="11" xfId="4" applyNumberFormat="1" applyFont="1" applyBorder="1" applyAlignment="1">
      <alignment horizontal="center" vertical="center"/>
    </xf>
    <xf numFmtId="17" fontId="5" fillId="0" borderId="1" xfId="0" applyNumberFormat="1" applyFont="1" applyBorder="1"/>
    <xf numFmtId="3" fontId="20" fillId="0" borderId="0" xfId="0" applyNumberFormat="1" applyFont="1"/>
    <xf numFmtId="3" fontId="20" fillId="0" borderId="2" xfId="4" applyNumberFormat="1" applyFont="1" applyFill="1" applyBorder="1" applyAlignment="1">
      <alignment horizontal="right" vertical="center"/>
    </xf>
    <xf numFmtId="3" fontId="0" fillId="0" borderId="2" xfId="4" applyNumberFormat="1" applyFont="1" applyFill="1" applyBorder="1" applyAlignment="1">
      <alignment horizontal="center" vertical="center"/>
    </xf>
    <xf numFmtId="0" fontId="20" fillId="0" borderId="3" xfId="4" applyFont="1" applyFill="1" applyBorder="1">
      <alignment vertical="center"/>
    </xf>
    <xf numFmtId="17" fontId="20" fillId="0" borderId="3" xfId="4" applyNumberFormat="1" applyFont="1" applyFill="1" applyBorder="1">
      <alignment vertical="center"/>
    </xf>
    <xf numFmtId="0" fontId="0" fillId="0" borderId="0" xfId="4" applyFont="1">
      <alignment vertical="center"/>
    </xf>
    <xf numFmtId="0" fontId="20" fillId="0" borderId="0" xfId="4" applyFont="1">
      <alignment vertical="center"/>
    </xf>
    <xf numFmtId="0" fontId="20" fillId="0" borderId="4" xfId="4" applyFont="1" applyBorder="1">
      <alignment vertical="center"/>
    </xf>
    <xf numFmtId="3" fontId="20" fillId="0" borderId="5" xfId="9" applyNumberFormat="1" applyFont="1" applyBorder="1" applyAlignment="1">
      <alignment horizontal="right" vertical="center"/>
    </xf>
    <xf numFmtId="3" fontId="20" fillId="0" borderId="2" xfId="9" applyNumberFormat="1" applyFont="1" applyBorder="1" applyAlignment="1">
      <alignment horizontal="right" vertical="center"/>
    </xf>
    <xf numFmtId="0" fontId="0" fillId="0" borderId="7" xfId="0" applyFont="1" applyBorder="1"/>
    <xf numFmtId="185" fontId="0" fillId="0" borderId="2" xfId="9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9" fontId="0" fillId="0" borderId="2" xfId="7" applyFont="1" applyFill="1" applyBorder="1" applyAlignment="1">
      <alignment horizontal="right" vertical="center"/>
    </xf>
    <xf numFmtId="0" fontId="0" fillId="0" borderId="7" xfId="4" applyFont="1" applyBorder="1" applyAlignment="1">
      <alignment horizontal="center" vertical="center"/>
    </xf>
    <xf numFmtId="191" fontId="0" fillId="0" borderId="2" xfId="9" applyNumberFormat="1" applyFont="1" applyBorder="1" applyAlignment="1">
      <alignment horizontal="right" vertical="center"/>
    </xf>
    <xf numFmtId="0" fontId="20" fillId="0" borderId="12" xfId="4" applyFont="1" applyBorder="1">
      <alignment vertical="center"/>
    </xf>
    <xf numFmtId="0" fontId="0" fillId="0" borderId="13" xfId="0" applyFont="1" applyBorder="1" applyAlignment="1">
      <alignment horizontal="center"/>
    </xf>
    <xf numFmtId="0" fontId="0" fillId="2" borderId="0" xfId="4" applyFont="1" applyFill="1">
      <alignment vertical="center"/>
    </xf>
    <xf numFmtId="0" fontId="59" fillId="0" borderId="0" xfId="4" applyFont="1" applyAlignment="1"/>
    <xf numFmtId="0" fontId="0" fillId="5" borderId="2" xfId="4" applyFont="1" applyFill="1" applyBorder="1" applyAlignment="1">
      <alignment horizontal="right"/>
    </xf>
    <xf numFmtId="2" fontId="0" fillId="5" borderId="2" xfId="4" applyNumberFormat="1" applyFont="1" applyFill="1" applyBorder="1" applyAlignment="1">
      <alignment horizontal="right"/>
    </xf>
    <xf numFmtId="9" fontId="0" fillId="5" borderId="2" xfId="0" applyNumberFormat="1" applyFont="1" applyFill="1" applyBorder="1"/>
    <xf numFmtId="0" fontId="20" fillId="5" borderId="4" xfId="0" applyFont="1" applyFill="1" applyBorder="1" applyAlignment="1">
      <alignment horizontal="center"/>
    </xf>
    <xf numFmtId="3" fontId="64" fillId="3" borderId="0" xfId="0" applyNumberFormat="1" applyFont="1" applyFill="1" applyAlignment="1">
      <alignment horizontal="center" wrapText="1"/>
    </xf>
    <xf numFmtId="177" fontId="0" fillId="0" borderId="0" xfId="0" applyNumberFormat="1" applyFont="1" applyAlignment="1">
      <alignment horizontal="left"/>
    </xf>
    <xf numFmtId="0" fontId="0" fillId="0" borderId="3" xfId="0" applyFont="1" applyBorder="1" applyAlignment="1">
      <alignment vertical="center"/>
    </xf>
    <xf numFmtId="0" fontId="48" fillId="0" borderId="6" xfId="0" applyFont="1" applyFill="1" applyBorder="1" applyAlignment="1">
      <alignment wrapText="1"/>
    </xf>
    <xf numFmtId="0" fontId="55" fillId="0" borderId="2" xfId="0" applyFont="1" applyBorder="1" applyAlignment="1">
      <alignment horizontal="center" vertical="center"/>
    </xf>
    <xf numFmtId="2" fontId="55" fillId="0" borderId="2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12" xfId="4" applyFont="1" applyBorder="1" applyAlignment="1">
      <alignment horizontal="left" vertical="center"/>
    </xf>
    <xf numFmtId="17" fontId="5" fillId="0" borderId="12" xfId="0" applyNumberFormat="1" applyFont="1" applyBorder="1"/>
    <xf numFmtId="177" fontId="20" fillId="0" borderId="0" xfId="0" applyNumberFormat="1" applyFont="1" applyBorder="1"/>
    <xf numFmtId="0" fontId="20" fillId="0" borderId="0" xfId="0" applyFont="1" applyBorder="1"/>
    <xf numFmtId="0" fontId="0" fillId="2" borderId="0" xfId="4" applyFont="1" applyFill="1" applyBorder="1">
      <alignment vertical="center"/>
    </xf>
    <xf numFmtId="0" fontId="0" fillId="2" borderId="0" xfId="0" applyFont="1" applyFill="1" applyBorder="1"/>
    <xf numFmtId="0" fontId="0" fillId="0" borderId="0" xfId="4" applyFont="1" applyBorder="1">
      <alignment vertical="center"/>
    </xf>
    <xf numFmtId="0" fontId="21" fillId="0" borderId="0" xfId="0" applyFont="1" applyBorder="1"/>
    <xf numFmtId="0" fontId="20" fillId="0" borderId="0" xfId="4" applyFont="1" applyBorder="1">
      <alignment vertical="center"/>
    </xf>
    <xf numFmtId="3" fontId="20" fillId="0" borderId="0" xfId="9" applyNumberFormat="1" applyFont="1" applyBorder="1" applyAlignment="1">
      <alignment horizontal="right" vertical="center"/>
    </xf>
    <xf numFmtId="0" fontId="70" fillId="0" borderId="0" xfId="0" applyFont="1"/>
    <xf numFmtId="10" fontId="0" fillId="0" borderId="0" xfId="7" applyNumberFormat="1" applyFont="1"/>
    <xf numFmtId="0" fontId="0" fillId="0" borderId="0" xfId="0" applyFont="1"/>
    <xf numFmtId="0" fontId="7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3" fontId="2" fillId="0" borderId="2" xfId="0" applyNumberFormat="1" applyFont="1" applyBorder="1" applyAlignment="1">
      <alignment horizontal="center" vertical="center"/>
    </xf>
    <xf numFmtId="0" fontId="67" fillId="0" borderId="0" xfId="0" applyFont="1"/>
    <xf numFmtId="43" fontId="0" fillId="0" borderId="0" xfId="0" applyNumberFormat="1" applyFont="1"/>
    <xf numFmtId="176" fontId="0" fillId="0" borderId="0" xfId="0" applyNumberFormat="1" applyFont="1" applyBorder="1"/>
    <xf numFmtId="2" fontId="0" fillId="7" borderId="2" xfId="0" applyNumberFormat="1" applyFont="1" applyFill="1" applyBorder="1" applyAlignment="1">
      <alignment horizontal="center" vertical="center"/>
    </xf>
    <xf numFmtId="2" fontId="0" fillId="6" borderId="2" xfId="0" applyNumberFormat="1" applyFont="1" applyFill="1" applyBorder="1" applyAlignment="1">
      <alignment horizontal="center" vertical="center" wrapText="1"/>
    </xf>
    <xf numFmtId="1" fontId="55" fillId="0" borderId="0" xfId="0" applyNumberFormat="1" applyFont="1" applyAlignment="1">
      <alignment vertical="center"/>
    </xf>
    <xf numFmtId="3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3" fontId="20" fillId="0" borderId="5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179" fontId="0" fillId="0" borderId="0" xfId="0" applyNumberFormat="1" applyFont="1" applyFill="1"/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177" fontId="20" fillId="0" borderId="2" xfId="11" applyNumberFormat="1" applyFont="1" applyFill="1" applyBorder="1" applyAlignment="1">
      <alignment horizontal="right"/>
    </xf>
    <xf numFmtId="177" fontId="20" fillId="0" borderId="11" xfId="11" applyNumberFormat="1" applyFont="1" applyFill="1" applyBorder="1" applyAlignment="1">
      <alignment horizontal="right"/>
    </xf>
    <xf numFmtId="177" fontId="0" fillId="0" borderId="0" xfId="0" applyNumberFormat="1" applyFont="1" applyBorder="1"/>
    <xf numFmtId="177" fontId="0" fillId="0" borderId="2" xfId="0" applyNumberFormat="1" applyFont="1" applyBorder="1" applyAlignment="1">
      <alignment horizontal="center"/>
    </xf>
    <xf numFmtId="177" fontId="0" fillId="0" borderId="1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" fontId="0" fillId="0" borderId="7" xfId="0" applyNumberFormat="1" applyFont="1" applyBorder="1" applyAlignment="1">
      <alignment horizontal="right"/>
    </xf>
    <xf numFmtId="0" fontId="41" fillId="0" borderId="7" xfId="0" applyFont="1" applyBorder="1"/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17" fontId="20" fillId="0" borderId="12" xfId="0" applyNumberFormat="1" applyFont="1" applyBorder="1"/>
    <xf numFmtId="177" fontId="20" fillId="0" borderId="2" xfId="0" applyNumberFormat="1" applyFont="1" applyBorder="1" applyAlignment="1">
      <alignment horizontal="center"/>
    </xf>
    <xf numFmtId="177" fontId="20" fillId="0" borderId="5" xfId="0" applyNumberFormat="1" applyFont="1" applyBorder="1" applyAlignment="1">
      <alignment horizontal="center"/>
    </xf>
    <xf numFmtId="177" fontId="20" fillId="0" borderId="11" xfId="0" applyNumberFormat="1" applyFont="1" applyBorder="1" applyAlignment="1">
      <alignment horizontal="center"/>
    </xf>
    <xf numFmtId="1" fontId="0" fillId="0" borderId="2" xfId="5" applyNumberFormat="1" applyFont="1" applyBorder="1" applyAlignment="1">
      <alignment horizontal="center" vertical="center"/>
    </xf>
    <xf numFmtId="0" fontId="0" fillId="0" borderId="0" xfId="5" applyFont="1" applyBorder="1">
      <alignment vertical="center"/>
    </xf>
    <xf numFmtId="0" fontId="23" fillId="0" borderId="0" xfId="0" applyFont="1" applyBorder="1"/>
    <xf numFmtId="0" fontId="0" fillId="0" borderId="2" xfId="0" applyFont="1" applyBorder="1" applyAlignment="1">
      <alignment horizontal="center"/>
    </xf>
    <xf numFmtId="0" fontId="72" fillId="0" borderId="7" xfId="0" applyFont="1" applyBorder="1" applyAlignment="1">
      <alignment horizontal="left" vertical="center"/>
    </xf>
    <xf numFmtId="197" fontId="67" fillId="0" borderId="0" xfId="0" applyNumberFormat="1" applyFont="1"/>
    <xf numFmtId="192" fontId="0" fillId="0" borderId="7" xfId="0" applyNumberFormat="1" applyFont="1" applyFill="1" applyBorder="1" applyAlignment="1">
      <alignment horizontal="center"/>
    </xf>
    <xf numFmtId="192" fontId="0" fillId="0" borderId="13" xfId="11" applyNumberFormat="1" applyFont="1" applyFill="1" applyBorder="1" applyAlignment="1">
      <alignment horizontal="center"/>
    </xf>
    <xf numFmtId="0" fontId="0" fillId="0" borderId="0" xfId="0" applyFont="1"/>
    <xf numFmtId="0" fontId="0" fillId="0" borderId="37" xfId="0" applyFont="1" applyBorder="1"/>
    <xf numFmtId="192" fontId="0" fillId="0" borderId="27" xfId="0" applyNumberFormat="1" applyFont="1" applyFill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17" fontId="0" fillId="4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72" fillId="0" borderId="7" xfId="0" quotePrefix="1" applyFont="1" applyBorder="1" applyAlignment="1">
      <alignment horizontal="left" vertical="center"/>
    </xf>
    <xf numFmtId="183" fontId="2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3" fontId="0" fillId="0" borderId="2" xfId="1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198" fontId="0" fillId="7" borderId="2" xfId="0" applyNumberFormat="1" applyFont="1" applyFill="1" applyBorder="1" applyAlignment="1">
      <alignment horizontal="center" vertical="center" wrapText="1"/>
    </xf>
    <xf numFmtId="179" fontId="0" fillId="10" borderId="26" xfId="0" applyNumberFormat="1" applyFont="1" applyFill="1" applyBorder="1" applyAlignment="1">
      <alignment horizontal="center" vertical="center"/>
    </xf>
    <xf numFmtId="187" fontId="0" fillId="10" borderId="2" xfId="0" applyNumberFormat="1" applyFont="1" applyFill="1" applyBorder="1" applyAlignment="1">
      <alignment horizontal="center" vertical="center"/>
    </xf>
    <xf numFmtId="192" fontId="0" fillId="0" borderId="0" xfId="0" applyNumberFormat="1" applyFont="1"/>
    <xf numFmtId="1" fontId="0" fillId="0" borderId="11" xfId="0" applyNumberFormat="1" applyFont="1" applyBorder="1" applyAlignment="1">
      <alignment horizontal="center"/>
    </xf>
    <xf numFmtId="193" fontId="0" fillId="0" borderId="11" xfId="0" applyNumberFormat="1" applyFont="1" applyBorder="1" applyAlignment="1">
      <alignment horizontal="center"/>
    </xf>
    <xf numFmtId="176" fontId="0" fillId="0" borderId="11" xfId="1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4" fontId="0" fillId="5" borderId="2" xfId="11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1" fontId="0" fillId="5" borderId="2" xfId="0" applyNumberFormat="1" applyFont="1" applyFill="1" applyBorder="1" applyAlignment="1">
      <alignment horizontal="center"/>
    </xf>
    <xf numFmtId="2" fontId="0" fillId="5" borderId="2" xfId="0" applyNumberFormat="1" applyFont="1" applyFill="1" applyBorder="1" applyAlignment="1">
      <alignment horizontal="center"/>
    </xf>
    <xf numFmtId="4" fontId="0" fillId="0" borderId="2" xfId="11" applyNumberFormat="1" applyFont="1" applyFill="1" applyBorder="1" applyAlignment="1">
      <alignment horizontal="center" vertical="center"/>
    </xf>
    <xf numFmtId="2" fontId="0" fillId="0" borderId="2" xfId="11" applyNumberFormat="1" applyFont="1" applyFill="1" applyBorder="1" applyAlignment="1">
      <alignment horizontal="center"/>
    </xf>
    <xf numFmtId="2" fontId="0" fillId="0" borderId="2" xfId="11" applyNumberFormat="1" applyFont="1" applyBorder="1" applyAlignment="1">
      <alignment horizontal="center"/>
    </xf>
    <xf numFmtId="3" fontId="0" fillId="0" borderId="2" xfId="11" applyNumberFormat="1" applyFont="1" applyBorder="1" applyAlignment="1">
      <alignment horizontal="center"/>
    </xf>
    <xf numFmtId="3" fontId="42" fillId="0" borderId="2" xfId="11" applyNumberFormat="1" applyFont="1" applyBorder="1" applyAlignment="1">
      <alignment horizontal="center"/>
    </xf>
    <xf numFmtId="192" fontId="0" fillId="0" borderId="2" xfId="0" applyNumberFormat="1" applyFont="1" applyBorder="1" applyAlignment="1">
      <alignment horizontal="center"/>
    </xf>
    <xf numFmtId="0" fontId="0" fillId="0" borderId="2" xfId="4" applyFont="1" applyBorder="1" applyAlignment="1">
      <alignment horizontal="center" vertical="center"/>
    </xf>
    <xf numFmtId="9" fontId="0" fillId="0" borderId="2" xfId="4" applyNumberFormat="1" applyFont="1" applyBorder="1" applyAlignment="1">
      <alignment horizontal="center" vertical="center"/>
    </xf>
    <xf numFmtId="1" fontId="20" fillId="0" borderId="2" xfId="4" applyNumberFormat="1" applyFont="1" applyBorder="1" applyAlignment="1">
      <alignment horizontal="center" vertical="center"/>
    </xf>
    <xf numFmtId="0" fontId="20" fillId="0" borderId="11" xfId="4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185" fontId="0" fillId="0" borderId="2" xfId="4" applyNumberFormat="1" applyFont="1" applyBorder="1" applyAlignment="1">
      <alignment horizontal="center" vertical="center"/>
    </xf>
    <xf numFmtId="3" fontId="20" fillId="0" borderId="2" xfId="4" applyNumberFormat="1" applyFont="1" applyBorder="1" applyAlignment="1">
      <alignment horizontal="center" vertical="center"/>
    </xf>
    <xf numFmtId="3" fontId="20" fillId="0" borderId="11" xfId="4" applyNumberFormat="1" applyFont="1" applyBorder="1" applyAlignment="1">
      <alignment horizontal="center" vertical="center"/>
    </xf>
    <xf numFmtId="191" fontId="0" fillId="0" borderId="2" xfId="9" applyNumberFormat="1" applyFont="1" applyBorder="1" applyAlignment="1">
      <alignment horizontal="center" vertical="center"/>
    </xf>
    <xf numFmtId="185" fontId="0" fillId="0" borderId="2" xfId="9" applyNumberFormat="1" applyFont="1" applyBorder="1" applyAlignment="1">
      <alignment horizontal="center" vertical="center"/>
    </xf>
    <xf numFmtId="190" fontId="0" fillId="0" borderId="2" xfId="9" applyNumberFormat="1" applyFont="1" applyBorder="1" applyAlignment="1">
      <alignment horizontal="center" vertical="center"/>
    </xf>
    <xf numFmtId="189" fontId="0" fillId="0" borderId="2" xfId="9" applyNumberFormat="1" applyFont="1" applyBorder="1" applyAlignment="1">
      <alignment horizontal="center" vertical="center"/>
    </xf>
    <xf numFmtId="9" fontId="0" fillId="0" borderId="2" xfId="7" applyFont="1" applyFill="1" applyBorder="1" applyAlignment="1">
      <alignment horizontal="center" vertical="center"/>
    </xf>
    <xf numFmtId="185" fontId="42" fillId="0" borderId="2" xfId="9" applyNumberFormat="1" applyFont="1" applyBorder="1" applyAlignment="1">
      <alignment horizontal="center" vertical="center"/>
    </xf>
    <xf numFmtId="2" fontId="0" fillId="5" borderId="2" xfId="4" applyNumberFormat="1" applyFont="1" applyFill="1" applyBorder="1" applyAlignment="1">
      <alignment horizontal="center"/>
    </xf>
    <xf numFmtId="185" fontId="0" fillId="5" borderId="2" xfId="0" applyNumberFormat="1" applyFont="1" applyFill="1" applyBorder="1" applyAlignment="1">
      <alignment horizontal="center"/>
    </xf>
    <xf numFmtId="4" fontId="0" fillId="0" borderId="2" xfId="9" applyNumberFormat="1" applyFont="1" applyBorder="1" applyAlignment="1">
      <alignment horizontal="center" vertical="center"/>
    </xf>
    <xf numFmtId="4" fontId="42" fillId="0" borderId="2" xfId="9" applyNumberFormat="1" applyFont="1" applyBorder="1" applyAlignment="1">
      <alignment horizontal="center" vertical="center"/>
    </xf>
    <xf numFmtId="3" fontId="0" fillId="0" borderId="2" xfId="9" applyNumberFormat="1" applyFont="1" applyBorder="1" applyAlignment="1">
      <alignment horizontal="center" vertical="center"/>
    </xf>
    <xf numFmtId="0" fontId="0" fillId="0" borderId="2" xfId="4" applyFont="1" applyBorder="1" applyAlignment="1">
      <alignment horizontal="center"/>
    </xf>
    <xf numFmtId="0" fontId="0" fillId="0" borderId="0" xfId="0" applyFont="1"/>
    <xf numFmtId="0" fontId="20" fillId="0" borderId="1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0" fontId="0" fillId="0" borderId="2" xfId="5" applyFont="1" applyBorder="1" applyAlignment="1">
      <alignment horizontal="center" vertical="center"/>
    </xf>
    <xf numFmtId="3" fontId="0" fillId="0" borderId="2" xfId="11" applyNumberFormat="1" applyFont="1" applyFill="1" applyBorder="1" applyAlignment="1">
      <alignment horizontal="center" vertical="center"/>
    </xf>
    <xf numFmtId="3" fontId="42" fillId="0" borderId="2" xfId="0" applyNumberFormat="1" applyFont="1" applyBorder="1" applyAlignment="1">
      <alignment horizontal="center"/>
    </xf>
    <xf numFmtId="185" fontId="0" fillId="0" borderId="2" xfId="11" applyNumberFormat="1" applyFont="1" applyBorder="1" applyAlignment="1">
      <alignment horizontal="center" vertical="center"/>
    </xf>
    <xf numFmtId="4" fontId="0" fillId="0" borderId="2" xfId="4" applyNumberFormat="1" applyFont="1" applyFill="1" applyBorder="1" applyAlignment="1">
      <alignment horizontal="center" vertical="center"/>
    </xf>
    <xf numFmtId="3" fontId="20" fillId="0" borderId="2" xfId="4" applyNumberFormat="1" applyFont="1" applyFill="1" applyBorder="1" applyAlignment="1">
      <alignment horizontal="center" vertical="center"/>
    </xf>
    <xf numFmtId="9" fontId="0" fillId="5" borderId="2" xfId="0" applyNumberFormat="1" applyFont="1" applyFill="1" applyBorder="1" applyAlignment="1">
      <alignment horizontal="center"/>
    </xf>
    <xf numFmtId="184" fontId="0" fillId="0" borderId="2" xfId="9" applyNumberFormat="1" applyFont="1" applyBorder="1" applyAlignment="1">
      <alignment horizontal="center" vertical="center"/>
    </xf>
    <xf numFmtId="0" fontId="20" fillId="0" borderId="41" xfId="4" applyFont="1" applyBorder="1">
      <alignment vertical="center"/>
    </xf>
    <xf numFmtId="3" fontId="20" fillId="0" borderId="42" xfId="0" applyNumberFormat="1" applyFont="1" applyBorder="1" applyAlignment="1">
      <alignment horizontal="right"/>
    </xf>
    <xf numFmtId="0" fontId="61" fillId="0" borderId="43" xfId="0" applyFont="1" applyBorder="1"/>
    <xf numFmtId="0" fontId="20" fillId="0" borderId="1" xfId="4" applyFont="1" applyBorder="1" applyAlignment="1"/>
    <xf numFmtId="3" fontId="64" fillId="3" borderId="0" xfId="0" applyNumberFormat="1" applyFont="1" applyFill="1" applyBorder="1" applyAlignment="1">
      <alignment horizontal="left" wrapText="1"/>
    </xf>
    <xf numFmtId="0" fontId="59" fillId="0" borderId="23" xfId="0" applyFont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9" fontId="0" fillId="0" borderId="2" xfId="9" applyNumberFormat="1" applyFont="1" applyFill="1" applyBorder="1" applyAlignment="1">
      <alignment horizontal="center" vertical="center"/>
    </xf>
    <xf numFmtId="9" fontId="0" fillId="0" borderId="2" xfId="5" applyNumberFormat="1" applyFont="1" applyFill="1" applyBorder="1" applyAlignment="1">
      <alignment horizontal="center" vertical="center"/>
    </xf>
    <xf numFmtId="185" fontId="0" fillId="0" borderId="2" xfId="5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2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7" xfId="0" applyFont="1" applyBorder="1" applyAlignment="1">
      <alignment horizontal="center"/>
    </xf>
    <xf numFmtId="0" fontId="0" fillId="0" borderId="0" xfId="0" applyFont="1"/>
    <xf numFmtId="185" fontId="0" fillId="0" borderId="0" xfId="7" applyNumberFormat="1" applyFont="1" applyAlignment="1"/>
    <xf numFmtId="185" fontId="0" fillId="0" borderId="0" xfId="0" applyNumberFormat="1" applyFont="1" applyFill="1"/>
    <xf numFmtId="185" fontId="0" fillId="0" borderId="0" xfId="7" applyNumberFormat="1" applyFont="1"/>
    <xf numFmtId="0" fontId="0" fillId="0" borderId="0" xfId="0" applyFont="1"/>
    <xf numFmtId="0" fontId="70" fillId="0" borderId="0" xfId="0" applyFont="1" applyFill="1"/>
    <xf numFmtId="3" fontId="77" fillId="0" borderId="0" xfId="0" applyNumberFormat="1" applyFont="1" applyFill="1"/>
    <xf numFmtId="1" fontId="77" fillId="0" borderId="0" xfId="0" applyNumberFormat="1" applyFont="1"/>
    <xf numFmtId="2" fontId="0" fillId="0" borderId="16" xfId="0" applyNumberFormat="1" applyFont="1" applyBorder="1" applyAlignment="1">
      <alignment horizontal="center"/>
    </xf>
    <xf numFmtId="2" fontId="0" fillId="0" borderId="27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2" xfId="0" applyFont="1" applyBorder="1" applyAlignment="1">
      <alignment horizontal="center" vertical="center"/>
    </xf>
    <xf numFmtId="44" fontId="0" fillId="0" borderId="0" xfId="0" applyNumberFormat="1" applyFont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0" xfId="11" applyNumberFormat="1" applyFont="1" applyBorder="1" applyAlignment="1">
      <alignment horizontal="center"/>
    </xf>
    <xf numFmtId="176" fontId="0" fillId="0" borderId="20" xfId="11" applyFont="1" applyBorder="1" applyAlignment="1">
      <alignment horizontal="left"/>
    </xf>
    <xf numFmtId="2" fontId="0" fillId="0" borderId="44" xfId="11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85" fontId="0" fillId="0" borderId="11" xfId="11" applyNumberFormat="1" applyFont="1" applyBorder="1" applyAlignment="1">
      <alignment horizontal="center"/>
    </xf>
    <xf numFmtId="185" fontId="0" fillId="0" borderId="0" xfId="0" applyNumberFormat="1" applyFont="1" applyAlignment="1">
      <alignment horizontal="center"/>
    </xf>
    <xf numFmtId="179" fontId="0" fillId="0" borderId="2" xfId="0" applyNumberFormat="1" applyFont="1" applyBorder="1" applyAlignment="1">
      <alignment horizontal="center"/>
    </xf>
    <xf numFmtId="179" fontId="0" fillId="0" borderId="11" xfId="0" applyNumberFormat="1" applyFont="1" applyBorder="1" applyAlignment="1">
      <alignment horizontal="center"/>
    </xf>
    <xf numFmtId="197" fontId="0" fillId="0" borderId="2" xfId="0" applyNumberFormat="1" applyFont="1" applyBorder="1" applyAlignment="1">
      <alignment horizontal="center"/>
    </xf>
    <xf numFmtId="197" fontId="0" fillId="0" borderId="2" xfId="11" applyNumberFormat="1" applyFont="1" applyBorder="1" applyAlignment="1">
      <alignment horizontal="left"/>
    </xf>
    <xf numFmtId="197" fontId="0" fillId="0" borderId="16" xfId="0" applyNumberFormat="1" applyFont="1" applyBorder="1" applyAlignment="1">
      <alignment horizontal="center"/>
    </xf>
    <xf numFmtId="197" fontId="0" fillId="0" borderId="16" xfId="11" applyNumberFormat="1" applyFont="1" applyBorder="1" applyAlignment="1">
      <alignment horizontal="left"/>
    </xf>
    <xf numFmtId="197" fontId="0" fillId="0" borderId="11" xfId="0" applyNumberFormat="1" applyFont="1" applyBorder="1" applyAlignment="1">
      <alignment horizontal="center"/>
    </xf>
    <xf numFmtId="197" fontId="0" fillId="0" borderId="11" xfId="11" applyNumberFormat="1" applyFont="1" applyBorder="1" applyAlignment="1">
      <alignment horizontal="left"/>
    </xf>
    <xf numFmtId="0" fontId="0" fillId="0" borderId="0" xfId="0" applyFont="1"/>
    <xf numFmtId="0" fontId="15" fillId="8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/>
    </xf>
    <xf numFmtId="3" fontId="20" fillId="0" borderId="26" xfId="0" applyNumberFormat="1" applyFont="1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ont="1"/>
    <xf numFmtId="0" fontId="5" fillId="0" borderId="30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177" fontId="20" fillId="0" borderId="11" xfId="11" applyNumberFormat="1" applyFont="1" applyFill="1" applyBorder="1" applyAlignment="1">
      <alignment horizontal="center"/>
    </xf>
    <xf numFmtId="0" fontId="20" fillId="0" borderId="2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0" fillId="0" borderId="21" xfId="9" applyFont="1" applyBorder="1" applyAlignment="1">
      <alignment horizontal="center" vertical="center"/>
    </xf>
    <xf numFmtId="0" fontId="0" fillId="0" borderId="22" xfId="9" applyFont="1" applyBorder="1" applyAlignment="1">
      <alignment horizontal="center" vertical="center"/>
    </xf>
    <xf numFmtId="0" fontId="0" fillId="0" borderId="10" xfId="9" applyFont="1" applyBorder="1" applyAlignment="1">
      <alignment horizontal="center" vertical="center"/>
    </xf>
    <xf numFmtId="0" fontId="0" fillId="0" borderId="23" xfId="9" applyFont="1" applyBorder="1" applyAlignment="1">
      <alignment horizontal="center" vertical="center"/>
    </xf>
    <xf numFmtId="0" fontId="0" fillId="0" borderId="24" xfId="9" applyFont="1" applyBorder="1" applyAlignment="1">
      <alignment horizontal="center" vertical="center"/>
    </xf>
    <xf numFmtId="0" fontId="0" fillId="0" borderId="25" xfId="9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5" borderId="27" xfId="4" applyFont="1" applyFill="1" applyBorder="1" applyAlignment="1">
      <alignment horizontal="center" vertical="center" wrapText="1"/>
    </xf>
    <xf numFmtId="0" fontId="0" fillId="5" borderId="28" xfId="4" applyFont="1" applyFill="1" applyBorder="1" applyAlignment="1">
      <alignment horizontal="center" vertical="center" wrapText="1"/>
    </xf>
    <xf numFmtId="0" fontId="0" fillId="5" borderId="29" xfId="4" applyFont="1" applyFill="1" applyBorder="1" applyAlignment="1">
      <alignment horizontal="center" vertical="center" wrapText="1"/>
    </xf>
    <xf numFmtId="185" fontId="0" fillId="0" borderId="2" xfId="0" applyNumberFormat="1" applyFont="1" applyFill="1" applyBorder="1" applyAlignment="1">
      <alignment horizontal="center"/>
    </xf>
    <xf numFmtId="191" fontId="20" fillId="0" borderId="2" xfId="9" applyNumberFormat="1" applyFont="1" applyBorder="1" applyAlignment="1">
      <alignment horizontal="center" vertical="center"/>
    </xf>
    <xf numFmtId="191" fontId="20" fillId="0" borderId="11" xfId="9" applyNumberFormat="1" applyFont="1" applyBorder="1" applyAlignment="1">
      <alignment horizontal="center" vertical="center"/>
    </xf>
    <xf numFmtId="4" fontId="20" fillId="0" borderId="9" xfId="9" applyNumberFormat="1" applyFont="1" applyFill="1" applyBorder="1" applyAlignment="1">
      <alignment horizontal="center" vertical="center"/>
    </xf>
    <xf numFmtId="4" fontId="20" fillId="0" borderId="26" xfId="9" applyNumberFormat="1" applyFont="1" applyFill="1" applyBorder="1" applyAlignment="1">
      <alignment horizontal="center" vertical="center"/>
    </xf>
    <xf numFmtId="3" fontId="0" fillId="0" borderId="2" xfId="4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9" fontId="0" fillId="0" borderId="16" xfId="4" applyNumberFormat="1" applyFont="1" applyBorder="1" applyAlignment="1">
      <alignment horizontal="center" vertical="center"/>
    </xf>
    <xf numFmtId="9" fontId="0" fillId="0" borderId="17" xfId="4" applyNumberFormat="1" applyFont="1" applyBorder="1" applyAlignment="1">
      <alignment horizontal="center" vertical="center"/>
    </xf>
    <xf numFmtId="9" fontId="0" fillId="0" borderId="14" xfId="4" applyNumberFormat="1" applyFont="1" applyBorder="1" applyAlignment="1">
      <alignment horizontal="center" vertical="center"/>
    </xf>
    <xf numFmtId="3" fontId="0" fillId="0" borderId="16" xfId="4" applyNumberFormat="1" applyFont="1" applyFill="1" applyBorder="1" applyAlignment="1">
      <alignment horizontal="center" vertical="center"/>
    </xf>
    <xf numFmtId="3" fontId="0" fillId="0" borderId="17" xfId="4" applyNumberFormat="1" applyFont="1" applyFill="1" applyBorder="1" applyAlignment="1">
      <alignment horizontal="center" vertical="center"/>
    </xf>
    <xf numFmtId="3" fontId="0" fillId="0" borderId="14" xfId="4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 vertical="center" wrapText="1"/>
    </xf>
    <xf numFmtId="0" fontId="0" fillId="0" borderId="13" xfId="9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0" fillId="0" borderId="16" xfId="9" applyFont="1" applyBorder="1" applyAlignment="1">
      <alignment horizontal="center" vertical="center"/>
    </xf>
    <xf numFmtId="0" fontId="0" fillId="0" borderId="17" xfId="9" applyFont="1" applyBorder="1" applyAlignment="1">
      <alignment horizontal="center" vertical="center"/>
    </xf>
    <xf numFmtId="0" fontId="0" fillId="0" borderId="14" xfId="9" applyFont="1" applyBorder="1" applyAlignment="1">
      <alignment horizontal="center" vertical="center"/>
    </xf>
    <xf numFmtId="0" fontId="0" fillId="0" borderId="2" xfId="9" applyFont="1" applyBorder="1" applyAlignment="1">
      <alignment horizontal="center" vertical="center" wrapText="1"/>
    </xf>
    <xf numFmtId="0" fontId="0" fillId="0" borderId="7" xfId="9" applyFont="1" applyBorder="1" applyAlignment="1">
      <alignment horizontal="center" vertical="center" wrapText="1"/>
    </xf>
    <xf numFmtId="3" fontId="20" fillId="0" borderId="9" xfId="9" applyNumberFormat="1" applyFont="1" applyFill="1" applyBorder="1" applyAlignment="1">
      <alignment horizontal="center" vertical="center"/>
    </xf>
    <xf numFmtId="3" fontId="20" fillId="0" borderId="26" xfId="9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3" fontId="20" fillId="0" borderId="2" xfId="9" applyNumberFormat="1" applyFont="1" applyFill="1" applyBorder="1" applyAlignment="1">
      <alignment horizontal="center" vertical="center"/>
    </xf>
    <xf numFmtId="3" fontId="20" fillId="0" borderId="11" xfId="9" applyNumberFormat="1" applyFon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3" fontId="20" fillId="0" borderId="9" xfId="0" applyNumberFormat="1" applyFont="1" applyFill="1" applyBorder="1" applyAlignment="1">
      <alignment horizontal="center"/>
    </xf>
    <xf numFmtId="3" fontId="20" fillId="0" borderId="26" xfId="0" applyNumberFormat="1" applyFont="1" applyFill="1" applyBorder="1" applyAlignment="1">
      <alignment horizontal="center"/>
    </xf>
    <xf numFmtId="3" fontId="20" fillId="0" borderId="11" xfId="0" applyNumberFormat="1" applyFont="1" applyFill="1" applyBorder="1" applyAlignment="1">
      <alignment horizontal="center"/>
    </xf>
    <xf numFmtId="44" fontId="0" fillId="0" borderId="28" xfId="0" applyNumberFormat="1" applyFont="1" applyBorder="1" applyAlignment="1">
      <alignment horizontal="center"/>
    </xf>
    <xf numFmtId="44" fontId="0" fillId="0" borderId="30" xfId="0" applyNumberFormat="1" applyFont="1" applyBorder="1" applyAlignment="1">
      <alignment horizontal="center"/>
    </xf>
    <xf numFmtId="3" fontId="20" fillId="0" borderId="11" xfId="0" applyNumberFormat="1" applyFont="1" applyBorder="1" applyAlignment="1">
      <alignment horizontal="center"/>
    </xf>
    <xf numFmtId="3" fontId="20" fillId="0" borderId="11" xfId="9" applyNumberFormat="1" applyFont="1" applyBorder="1" applyAlignment="1">
      <alignment horizontal="center" vertical="center"/>
    </xf>
    <xf numFmtId="0" fontId="0" fillId="0" borderId="16" xfId="5" applyFont="1" applyBorder="1" applyAlignment="1">
      <alignment horizontal="center" vertical="center" wrapText="1"/>
    </xf>
    <xf numFmtId="0" fontId="0" fillId="0" borderId="17" xfId="5" applyFont="1" applyBorder="1" applyAlignment="1">
      <alignment horizontal="center" vertical="center" wrapText="1"/>
    </xf>
    <xf numFmtId="0" fontId="0" fillId="0" borderId="14" xfId="5" applyFont="1" applyBorder="1" applyAlignment="1">
      <alignment horizontal="center" vertical="center" wrapText="1"/>
    </xf>
    <xf numFmtId="0" fontId="0" fillId="0" borderId="27" xfId="5" applyFont="1" applyFill="1" applyBorder="1" applyAlignment="1">
      <alignment horizontal="center" vertical="center" wrapText="1"/>
    </xf>
    <xf numFmtId="0" fontId="0" fillId="0" borderId="28" xfId="5" applyFont="1" applyFill="1" applyBorder="1" applyAlignment="1">
      <alignment horizontal="center" vertical="center" wrapText="1"/>
    </xf>
    <xf numFmtId="0" fontId="0" fillId="0" borderId="29" xfId="5" applyFont="1" applyFill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/>
    </xf>
    <xf numFmtId="0" fontId="0" fillId="0" borderId="11" xfId="5" applyFont="1" applyBorder="1" applyAlignment="1">
      <alignment horizontal="center" vertical="center"/>
    </xf>
    <xf numFmtId="3" fontId="0" fillId="0" borderId="9" xfId="5" applyNumberFormat="1" applyFont="1" applyBorder="1" applyAlignment="1">
      <alignment horizontal="center" vertical="center"/>
    </xf>
    <xf numFmtId="3" fontId="0" fillId="0" borderId="26" xfId="5" applyNumberFormat="1" applyFont="1" applyBorder="1" applyAlignment="1">
      <alignment horizontal="center" vertical="center"/>
    </xf>
    <xf numFmtId="3" fontId="20" fillId="0" borderId="9" xfId="5" applyNumberFormat="1" applyFont="1" applyBorder="1" applyAlignment="1">
      <alignment horizontal="center" vertical="center"/>
    </xf>
    <xf numFmtId="3" fontId="20" fillId="0" borderId="26" xfId="5" applyNumberFormat="1" applyFont="1" applyBorder="1" applyAlignment="1">
      <alignment horizontal="center" vertical="center"/>
    </xf>
    <xf numFmtId="3" fontId="20" fillId="0" borderId="20" xfId="5" applyNumberFormat="1" applyFont="1" applyBorder="1" applyAlignment="1">
      <alignment horizontal="center" vertical="center"/>
    </xf>
    <xf numFmtId="3" fontId="20" fillId="0" borderId="34" xfId="5" applyNumberFormat="1" applyFont="1" applyBorder="1" applyAlignment="1">
      <alignment horizontal="center" vertical="center"/>
    </xf>
    <xf numFmtId="1" fontId="2" fillId="0" borderId="9" xfId="5" applyNumberFormat="1" applyFont="1" applyBorder="1" applyAlignment="1">
      <alignment horizontal="center" vertical="center"/>
    </xf>
    <xf numFmtId="1" fontId="2" fillId="0" borderId="26" xfId="5" applyNumberFormat="1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2" fontId="0" fillId="0" borderId="9" xfId="5" applyNumberFormat="1" applyFont="1" applyBorder="1" applyAlignment="1">
      <alignment horizontal="center" vertical="center"/>
    </xf>
    <xf numFmtId="2" fontId="0" fillId="0" borderId="26" xfId="5" applyNumberFormat="1" applyFont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176" fontId="0" fillId="0" borderId="9" xfId="5" applyNumberFormat="1" applyFont="1" applyBorder="1" applyAlignment="1">
      <alignment horizontal="center" vertical="center"/>
    </xf>
    <xf numFmtId="176" fontId="0" fillId="0" borderId="26" xfId="5" applyNumberFormat="1" applyFont="1" applyBorder="1" applyAlignment="1">
      <alignment horizontal="center" vertical="center"/>
    </xf>
    <xf numFmtId="3" fontId="20" fillId="0" borderId="11" xfId="5" applyNumberFormat="1" applyFont="1" applyBorder="1" applyAlignment="1">
      <alignment horizontal="center" vertical="center"/>
    </xf>
    <xf numFmtId="1" fontId="20" fillId="0" borderId="9" xfId="5" applyNumberFormat="1" applyFont="1" applyBorder="1" applyAlignment="1">
      <alignment horizontal="center" vertical="center"/>
    </xf>
    <xf numFmtId="1" fontId="20" fillId="0" borderId="26" xfId="5" applyNumberFormat="1" applyFont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/>
    </xf>
    <xf numFmtId="0" fontId="0" fillId="0" borderId="40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1" fontId="20" fillId="0" borderId="2" xfId="5" applyNumberFormat="1" applyFont="1" applyBorder="1" applyAlignment="1">
      <alignment horizontal="center" vertical="center"/>
    </xf>
    <xf numFmtId="0" fontId="0" fillId="0" borderId="7" xfId="5" applyFont="1" applyBorder="1" applyAlignment="1">
      <alignment horizontal="center" vertical="center"/>
    </xf>
    <xf numFmtId="0" fontId="0" fillId="0" borderId="13" xfId="5" applyFont="1" applyBorder="1" applyAlignment="1">
      <alignment horizontal="center" vertical="center"/>
    </xf>
    <xf numFmtId="3" fontId="0" fillId="0" borderId="2" xfId="11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wrapText="1"/>
    </xf>
    <xf numFmtId="0" fontId="0" fillId="0" borderId="36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3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76" fillId="0" borderId="4" xfId="0" applyFont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/>
    </xf>
    <xf numFmtId="0" fontId="20" fillId="10" borderId="14" xfId="0" applyFont="1" applyFill="1" applyBorder="1" applyAlignment="1">
      <alignment horizontal="center" vertical="center"/>
    </xf>
    <xf numFmtId="0" fontId="20" fillId="10" borderId="16" xfId="0" applyFont="1" applyFill="1" applyBorder="1" applyAlignment="1">
      <alignment horizontal="center" vertical="center" wrapText="1"/>
    </xf>
    <xf numFmtId="0" fontId="20" fillId="10" borderId="14" xfId="0" applyFont="1" applyFill="1" applyBorder="1" applyAlignment="1">
      <alignment horizontal="center" vertical="center" wrapText="1"/>
    </xf>
    <xf numFmtId="0" fontId="55" fillId="0" borderId="8" xfId="0" applyFont="1" applyBorder="1" applyAlignment="1">
      <alignment horizontal="left" vertical="center"/>
    </xf>
    <xf numFmtId="0" fontId="20" fillId="6" borderId="9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187" fontId="0" fillId="0" borderId="2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0" fillId="8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left" vertical="center"/>
    </xf>
    <xf numFmtId="179" fontId="0" fillId="5" borderId="2" xfId="0" applyNumberFormat="1" applyFont="1" applyFill="1" applyBorder="1" applyAlignment="1">
      <alignment horizontal="left" vertical="center"/>
    </xf>
    <xf numFmtId="0" fontId="75" fillId="0" borderId="14" xfId="0" applyFont="1" applyBorder="1" applyAlignment="1">
      <alignment horizontal="left"/>
    </xf>
    <xf numFmtId="0" fontId="75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73" fillId="0" borderId="9" xfId="0" applyFont="1" applyBorder="1" applyAlignment="1">
      <alignment horizontal="right" vertical="center"/>
    </xf>
    <xf numFmtId="0" fontId="73" fillId="0" borderId="31" xfId="0" applyFont="1" applyBorder="1" applyAlignment="1">
      <alignment horizontal="right" vertical="center"/>
    </xf>
    <xf numFmtId="0" fontId="73" fillId="0" borderId="26" xfId="0" applyFont="1" applyBorder="1" applyAlignment="1">
      <alignment horizontal="right" vertical="center"/>
    </xf>
    <xf numFmtId="0" fontId="74" fillId="0" borderId="2" xfId="0" applyFont="1" applyBorder="1" applyAlignment="1">
      <alignment horizontal="left"/>
    </xf>
    <xf numFmtId="0" fontId="74" fillId="0" borderId="9" xfId="0" applyFont="1" applyBorder="1" applyAlignment="1">
      <alignment horizontal="left" vertical="center"/>
    </xf>
    <xf numFmtId="0" fontId="74" fillId="0" borderId="31" xfId="0" applyFont="1" applyBorder="1" applyAlignment="1">
      <alignment horizontal="left" vertical="center"/>
    </xf>
    <xf numFmtId="0" fontId="74" fillId="0" borderId="26" xfId="0" applyFont="1" applyBorder="1" applyAlignment="1">
      <alignment horizontal="left" vertical="center"/>
    </xf>
    <xf numFmtId="0" fontId="75" fillId="0" borderId="14" xfId="0" applyFont="1" applyBorder="1" applyAlignment="1">
      <alignment horizontal="left" vertical="center"/>
    </xf>
    <xf numFmtId="0" fontId="75" fillId="0" borderId="2" xfId="0" applyFont="1" applyBorder="1" applyAlignment="1">
      <alignment horizontal="left" vertical="center"/>
    </xf>
    <xf numFmtId="0" fontId="74" fillId="0" borderId="14" xfId="0" applyFont="1" applyBorder="1" applyAlignment="1">
      <alignment horizontal="left"/>
    </xf>
  </cellXfs>
  <cellStyles count="13">
    <cellStyle name="Euro" xfId="1" xr:uid="{00000000-0005-0000-0000-000000000000}"/>
    <cellStyle name="Normal 2" xfId="2" xr:uid="{00000000-0005-0000-0000-000001000000}"/>
    <cellStyle name="Normal_AMIGO AGRO (HOGS INVTY 06)" xfId="3" xr:uid="{00000000-0005-0000-0000-000002000000}"/>
    <cellStyle name="Normal_Sheet2" xfId="4" xr:uid="{00000000-0005-0000-0000-000003000000}"/>
    <cellStyle name="Normal_Sheet3" xfId="5" xr:uid="{00000000-0005-0000-0000-000004000000}"/>
    <cellStyle name="Percent 2" xfId="6" xr:uid="{00000000-0005-0000-0000-000005000000}"/>
    <cellStyle name="百分比" xfId="7" builtinId="5"/>
    <cellStyle name="常规" xfId="0" builtinId="0"/>
    <cellStyle name="常规 2" xfId="12" xr:uid="{82907693-CA91-411D-82CC-49956B83C243}"/>
    <cellStyle name="常规_Sheet2" xfId="8" xr:uid="{00000000-0005-0000-0000-000008000000}"/>
    <cellStyle name="常规_范霍夫数－计算结果" xfId="9" xr:uid="{00000000-0005-0000-0000-000009000000}"/>
    <cellStyle name="超链接" xfId="10" builtinId="8"/>
    <cellStyle name="千位分隔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625929</xdr:colOff>
      <xdr:row>3</xdr:row>
      <xdr:rowOff>21812</xdr:rowOff>
    </xdr:to>
    <xdr:pic>
      <xdr:nvPicPr>
        <xdr:cNvPr id="77382" name="Picture 3">
          <a:extLst>
            <a:ext uri="{FF2B5EF4-FFF2-40B4-BE49-F238E27FC236}">
              <a16:creationId xmlns:a16="http://schemas.microsoft.com/office/drawing/2014/main" id="{AA46EAA2-61F1-457D-ACAB-D3BF5E102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850"/>
          <a:ext cx="28892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805989</xdr:colOff>
      <xdr:row>0</xdr:row>
      <xdr:rowOff>48491</xdr:rowOff>
    </xdr:from>
    <xdr:to>
      <xdr:col>4</xdr:col>
      <xdr:colOff>703479</xdr:colOff>
      <xdr:row>7</xdr:row>
      <xdr:rowOff>16452</xdr:rowOff>
    </xdr:to>
    <xdr:pic>
      <xdr:nvPicPr>
        <xdr:cNvPr id="77383" name="图片 1">
          <a:extLst>
            <a:ext uri="{FF2B5EF4-FFF2-40B4-BE49-F238E27FC236}">
              <a16:creationId xmlns:a16="http://schemas.microsoft.com/office/drawing/2014/main" id="{A9CC20F7-B996-4F07-A0E4-4F2B95F2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644" y="48491"/>
          <a:ext cx="4143908" cy="1226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649432</xdr:colOff>
      <xdr:row>2</xdr:row>
      <xdr:rowOff>9080</xdr:rowOff>
    </xdr:from>
    <xdr:to>
      <xdr:col>5</xdr:col>
      <xdr:colOff>510586</xdr:colOff>
      <xdr:row>5</xdr:row>
      <xdr:rowOff>133998</xdr:rowOff>
    </xdr:to>
    <xdr:pic>
      <xdr:nvPicPr>
        <xdr:cNvPr id="77384" name="Picture 4">
          <a:extLst>
            <a:ext uri="{FF2B5EF4-FFF2-40B4-BE49-F238E27FC236}">
              <a16:creationId xmlns:a16="http://schemas.microsoft.com/office/drawing/2014/main" id="{B52CA2E7-8777-478E-A9B9-D10E1038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505" y="410862"/>
          <a:ext cx="4048979" cy="643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3</xdr:col>
      <xdr:colOff>421822</xdr:colOff>
      <xdr:row>122</xdr:row>
      <xdr:rowOff>54388</xdr:rowOff>
    </xdr:to>
    <xdr:pic>
      <xdr:nvPicPr>
        <xdr:cNvPr id="77385" name="图片 3">
          <a:extLst>
            <a:ext uri="{FF2B5EF4-FFF2-40B4-BE49-F238E27FC236}">
              <a16:creationId xmlns:a16="http://schemas.microsoft.com/office/drawing/2014/main" id="{5E34BCAC-0B7A-4940-B9B2-66658E34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08886"/>
          <a:ext cx="4742708" cy="400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3464</xdr:colOff>
      <xdr:row>122</xdr:row>
      <xdr:rowOff>117824</xdr:rowOff>
    </xdr:from>
    <xdr:to>
      <xdr:col>4</xdr:col>
      <xdr:colOff>19776</xdr:colOff>
      <xdr:row>124</xdr:row>
      <xdr:rowOff>154315</xdr:rowOff>
    </xdr:to>
    <xdr:pic>
      <xdr:nvPicPr>
        <xdr:cNvPr id="77386" name="图片 4">
          <a:extLst>
            <a:ext uri="{FF2B5EF4-FFF2-40B4-BE49-F238E27FC236}">
              <a16:creationId xmlns:a16="http://schemas.microsoft.com/office/drawing/2014/main" id="{1326E91D-B73D-41FB-9B0B-5459D8BA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3073074"/>
          <a:ext cx="4267291" cy="408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2117</xdr:colOff>
      <xdr:row>125</xdr:row>
      <xdr:rowOff>96059</xdr:rowOff>
    </xdr:from>
    <xdr:to>
      <xdr:col>3</xdr:col>
      <xdr:colOff>493889</xdr:colOff>
      <xdr:row>128</xdr:row>
      <xdr:rowOff>96169</xdr:rowOff>
    </xdr:to>
    <xdr:pic>
      <xdr:nvPicPr>
        <xdr:cNvPr id="77387" name="Picture 5">
          <a:extLst>
            <a:ext uri="{FF2B5EF4-FFF2-40B4-BE49-F238E27FC236}">
              <a16:creationId xmlns:a16="http://schemas.microsoft.com/office/drawing/2014/main" id="{5438E3D8-D74D-4D87-9452-FF9EDBC2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503" y="23596832"/>
          <a:ext cx="2587272" cy="493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</xdr:colOff>
      <xdr:row>126</xdr:row>
      <xdr:rowOff>0</xdr:rowOff>
    </xdr:from>
    <xdr:to>
      <xdr:col>4</xdr:col>
      <xdr:colOff>2264128</xdr:colOff>
      <xdr:row>129</xdr:row>
      <xdr:rowOff>2822</xdr:rowOff>
    </xdr:to>
    <xdr:pic>
      <xdr:nvPicPr>
        <xdr:cNvPr id="77388" name="Picture 6">
          <a:extLst>
            <a:ext uri="{FF2B5EF4-FFF2-40B4-BE49-F238E27FC236}">
              <a16:creationId xmlns:a16="http://schemas.microsoft.com/office/drawing/2014/main" id="{3D63557B-D2CF-4503-AA6C-1BF4F295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1" y="23665295"/>
          <a:ext cx="2267937" cy="505049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4</xdr:col>
      <xdr:colOff>1814</xdr:colOff>
      <xdr:row>239</xdr:row>
      <xdr:rowOff>21369</xdr:rowOff>
    </xdr:to>
    <xdr:pic>
      <xdr:nvPicPr>
        <xdr:cNvPr id="77389" name="图片 5">
          <a:extLst>
            <a:ext uri="{FF2B5EF4-FFF2-40B4-BE49-F238E27FC236}">
              <a16:creationId xmlns:a16="http://schemas.microsoft.com/office/drawing/2014/main" id="{CDF402F3-EBDB-4FD7-928C-515499A35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386" y="42897136"/>
          <a:ext cx="4253428" cy="367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768350</xdr:colOff>
      <xdr:row>1</xdr:row>
      <xdr:rowOff>120650</xdr:rowOff>
    </xdr:from>
    <xdr:to>
      <xdr:col>2</xdr:col>
      <xdr:colOff>740410</xdr:colOff>
      <xdr:row>5</xdr:row>
      <xdr:rowOff>0</xdr:rowOff>
    </xdr:to>
    <xdr:pic>
      <xdr:nvPicPr>
        <xdr:cNvPr id="76693" name="图片 3">
          <a:extLst>
            <a:ext uri="{FF2B5EF4-FFF2-40B4-BE49-F238E27FC236}">
              <a16:creationId xmlns:a16="http://schemas.microsoft.com/office/drawing/2014/main" id="{E225E8B4-60FB-4BB7-8798-140683B7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317500"/>
          <a:ext cx="38862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263172</xdr:colOff>
      <xdr:row>6</xdr:row>
      <xdr:rowOff>150989</xdr:rowOff>
    </xdr:from>
    <xdr:to>
      <xdr:col>2</xdr:col>
      <xdr:colOff>898101</xdr:colOff>
      <xdr:row>10</xdr:row>
      <xdr:rowOff>77612</xdr:rowOff>
    </xdr:to>
    <xdr:pic>
      <xdr:nvPicPr>
        <xdr:cNvPr id="76694" name="图片 4">
          <a:extLst>
            <a:ext uri="{FF2B5EF4-FFF2-40B4-BE49-F238E27FC236}">
              <a16:creationId xmlns:a16="http://schemas.microsoft.com/office/drawing/2014/main" id="{ED8BC111-E295-4639-A868-52C2282E3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72" y="1124656"/>
          <a:ext cx="4555772" cy="575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929216</xdr:colOff>
      <xdr:row>6</xdr:row>
      <xdr:rowOff>150989</xdr:rowOff>
    </xdr:from>
    <xdr:to>
      <xdr:col>4</xdr:col>
      <xdr:colOff>1316849</xdr:colOff>
      <xdr:row>10</xdr:row>
      <xdr:rowOff>93698</xdr:rowOff>
    </xdr:to>
    <xdr:pic>
      <xdr:nvPicPr>
        <xdr:cNvPr id="76695" name="图片 8">
          <a:extLst>
            <a:ext uri="{FF2B5EF4-FFF2-40B4-BE49-F238E27FC236}">
              <a16:creationId xmlns:a16="http://schemas.microsoft.com/office/drawing/2014/main" id="{E4B7E634-A1D3-4222-819C-4C88F066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994" y="1124656"/>
          <a:ext cx="4052006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553085</xdr:colOff>
      <xdr:row>39</xdr:row>
      <xdr:rowOff>2117</xdr:rowOff>
    </xdr:from>
    <xdr:to>
      <xdr:col>2</xdr:col>
      <xdr:colOff>1304854</xdr:colOff>
      <xdr:row>40</xdr:row>
      <xdr:rowOff>190499</xdr:rowOff>
    </xdr:to>
    <xdr:pic>
      <xdr:nvPicPr>
        <xdr:cNvPr id="76696" name="图片 5">
          <a:extLst>
            <a:ext uri="{FF2B5EF4-FFF2-40B4-BE49-F238E27FC236}">
              <a16:creationId xmlns:a16="http://schemas.microsoft.com/office/drawing/2014/main" id="{D721C603-905B-45D1-AD28-060A47E4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085" y="7622117"/>
          <a:ext cx="4610029" cy="4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284480</xdr:colOff>
      <xdr:row>69</xdr:row>
      <xdr:rowOff>57150</xdr:rowOff>
    </xdr:from>
    <xdr:to>
      <xdr:col>3</xdr:col>
      <xdr:colOff>0</xdr:colOff>
      <xdr:row>74</xdr:row>
      <xdr:rowOff>16862</xdr:rowOff>
    </xdr:to>
    <xdr:pic>
      <xdr:nvPicPr>
        <xdr:cNvPr id="76697" name="图片 1">
          <a:extLst>
            <a:ext uri="{FF2B5EF4-FFF2-40B4-BE49-F238E27FC236}">
              <a16:creationId xmlns:a16="http://schemas.microsoft.com/office/drawing/2014/main" id="{832DC113-CBCF-4200-8909-ADF7D2180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80" y="13544550"/>
          <a:ext cx="5236210" cy="815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206692</xdr:colOff>
      <xdr:row>109</xdr:row>
      <xdr:rowOff>21273</xdr:rowOff>
    </xdr:from>
    <xdr:to>
      <xdr:col>3</xdr:col>
      <xdr:colOff>1773872</xdr:colOff>
      <xdr:row>112</xdr:row>
      <xdr:rowOff>96838</xdr:rowOff>
    </xdr:to>
    <xdr:pic>
      <xdr:nvPicPr>
        <xdr:cNvPr id="76698" name="Picture 4">
          <a:extLst>
            <a:ext uri="{FF2B5EF4-FFF2-40B4-BE49-F238E27FC236}">
              <a16:creationId xmlns:a16="http://schemas.microsoft.com/office/drawing/2014/main" id="{288DC32C-21E6-455A-9C63-70043F36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" y="20719098"/>
          <a:ext cx="7087870" cy="586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1086485</xdr:colOff>
      <xdr:row>186</xdr:row>
      <xdr:rowOff>0</xdr:rowOff>
    </xdr:from>
    <xdr:to>
      <xdr:col>3</xdr:col>
      <xdr:colOff>16510</xdr:colOff>
      <xdr:row>189</xdr:row>
      <xdr:rowOff>8890</xdr:rowOff>
    </xdr:to>
    <xdr:pic>
      <xdr:nvPicPr>
        <xdr:cNvPr id="76699" name="Picture 5">
          <a:extLst>
            <a:ext uri="{FF2B5EF4-FFF2-40B4-BE49-F238E27FC236}">
              <a16:creationId xmlns:a16="http://schemas.microsoft.com/office/drawing/2014/main" id="{7D4484A0-EF09-4ADC-9BD7-C9552A9CC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485" y="34461450"/>
          <a:ext cx="4453255" cy="52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3</xdr:col>
      <xdr:colOff>8890</xdr:colOff>
      <xdr:row>192</xdr:row>
      <xdr:rowOff>8890</xdr:rowOff>
    </xdr:to>
    <xdr:pic>
      <xdr:nvPicPr>
        <xdr:cNvPr id="76700" name="Picture 6">
          <a:extLst>
            <a:ext uri="{FF2B5EF4-FFF2-40B4-BE49-F238E27FC236}">
              <a16:creationId xmlns:a16="http://schemas.microsoft.com/office/drawing/2014/main" id="{CC36CEEB-C7E6-40FE-8533-F9E87F5B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147250"/>
          <a:ext cx="3120390" cy="386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2264410</xdr:colOff>
      <xdr:row>262</xdr:row>
      <xdr:rowOff>54610</xdr:rowOff>
    </xdr:from>
    <xdr:to>
      <xdr:col>2</xdr:col>
      <xdr:colOff>1507490</xdr:colOff>
      <xdr:row>265</xdr:row>
      <xdr:rowOff>59691</xdr:rowOff>
    </xdr:to>
    <xdr:pic>
      <xdr:nvPicPr>
        <xdr:cNvPr id="76701" name="Picture 7">
          <a:extLst>
            <a:ext uri="{FF2B5EF4-FFF2-40B4-BE49-F238E27FC236}">
              <a16:creationId xmlns:a16="http://schemas.microsoft.com/office/drawing/2014/main" id="{BD0418A2-8703-4E45-B2A0-C7044B94A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410" y="48184435"/>
          <a:ext cx="3087370" cy="51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1308100</xdr:colOff>
      <xdr:row>0</xdr:row>
      <xdr:rowOff>342900</xdr:rowOff>
    </xdr:from>
    <xdr:to>
      <xdr:col>2</xdr:col>
      <xdr:colOff>565009</xdr:colOff>
      <xdr:row>3</xdr:row>
      <xdr:rowOff>19685</xdr:rowOff>
    </xdr:to>
    <xdr:pic>
      <xdr:nvPicPr>
        <xdr:cNvPr id="78095" name="Picture 1">
          <a:extLst>
            <a:ext uri="{FF2B5EF4-FFF2-40B4-BE49-F238E27FC236}">
              <a16:creationId xmlns:a16="http://schemas.microsoft.com/office/drawing/2014/main" id="{B8B36D09-1CAF-45FE-BDD2-AE016003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" y="196850"/>
          <a:ext cx="30162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1809750</xdr:colOff>
      <xdr:row>4</xdr:row>
      <xdr:rowOff>279400</xdr:rowOff>
    </xdr:from>
    <xdr:to>
      <xdr:col>4</xdr:col>
      <xdr:colOff>206586</xdr:colOff>
      <xdr:row>19</xdr:row>
      <xdr:rowOff>353</xdr:rowOff>
    </xdr:to>
    <xdr:pic>
      <xdr:nvPicPr>
        <xdr:cNvPr id="78096" name="Picture 2">
          <a:extLst>
            <a:ext uri="{FF2B5EF4-FFF2-40B4-BE49-F238E27FC236}">
              <a16:creationId xmlns:a16="http://schemas.microsoft.com/office/drawing/2014/main" id="{399A622F-05E3-425A-9A24-5C2B6E708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50900"/>
          <a:ext cx="5168900" cy="231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913694</xdr:colOff>
      <xdr:row>136</xdr:row>
      <xdr:rowOff>56868</xdr:rowOff>
    </xdr:from>
    <xdr:to>
      <xdr:col>3</xdr:col>
      <xdr:colOff>1288908</xdr:colOff>
      <xdr:row>151</xdr:row>
      <xdr:rowOff>17498</xdr:rowOff>
    </xdr:to>
    <xdr:pic>
      <xdr:nvPicPr>
        <xdr:cNvPr id="78097" name="Picture 4">
          <a:extLst>
            <a:ext uri="{FF2B5EF4-FFF2-40B4-BE49-F238E27FC236}">
              <a16:creationId xmlns:a16="http://schemas.microsoft.com/office/drawing/2014/main" id="{ADA8F9CB-92EC-4105-9843-03F9DDEB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694" y="23897943"/>
          <a:ext cx="5258364" cy="253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670419</xdr:colOff>
      <xdr:row>232</xdr:row>
      <xdr:rowOff>136782</xdr:rowOff>
    </xdr:from>
    <xdr:to>
      <xdr:col>4</xdr:col>
      <xdr:colOff>163759</xdr:colOff>
      <xdr:row>240</xdr:row>
      <xdr:rowOff>18203</xdr:rowOff>
    </xdr:to>
    <xdr:pic>
      <xdr:nvPicPr>
        <xdr:cNvPr id="78098" name="Picture 3">
          <a:extLst>
            <a:ext uri="{FF2B5EF4-FFF2-40B4-BE49-F238E27FC236}">
              <a16:creationId xmlns:a16="http://schemas.microsoft.com/office/drawing/2014/main" id="{DC9FDB8E-F5F4-4024-B4FC-35624A29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419" y="41370507"/>
          <a:ext cx="6142425" cy="1253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226783</xdr:colOff>
      <xdr:row>2</xdr:row>
      <xdr:rowOff>18142</xdr:rowOff>
    </xdr:from>
    <xdr:to>
      <xdr:col>10</xdr:col>
      <xdr:colOff>1064983</xdr:colOff>
      <xdr:row>2</xdr:row>
      <xdr:rowOff>364852</xdr:rowOff>
    </xdr:to>
    <xdr:pic>
      <xdr:nvPicPr>
        <xdr:cNvPr id="10" name="图片 6">
          <a:extLst>
            <a:ext uri="{FF2B5EF4-FFF2-40B4-BE49-F238E27FC236}">
              <a16:creationId xmlns:a16="http://schemas.microsoft.com/office/drawing/2014/main" id="{7B4EB813-6B8D-434B-8B35-E5519942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8854" y="662213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36286</xdr:colOff>
      <xdr:row>2</xdr:row>
      <xdr:rowOff>63501</xdr:rowOff>
    </xdr:from>
    <xdr:to>
      <xdr:col>19</xdr:col>
      <xdr:colOff>874486</xdr:colOff>
      <xdr:row>3</xdr:row>
      <xdr:rowOff>20140</xdr:rowOff>
    </xdr:to>
    <xdr:pic>
      <xdr:nvPicPr>
        <xdr:cNvPr id="11" name="图片 6">
          <a:extLst>
            <a:ext uri="{FF2B5EF4-FFF2-40B4-BE49-F238E27FC236}">
              <a16:creationId xmlns:a16="http://schemas.microsoft.com/office/drawing/2014/main" id="{27B77113-7B47-419B-BBD3-3A910D2C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8500" y="707572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838200</xdr:colOff>
      <xdr:row>2</xdr:row>
      <xdr:rowOff>342900</xdr:rowOff>
    </xdr:to>
    <xdr:pic>
      <xdr:nvPicPr>
        <xdr:cNvPr id="12" name="图片 6">
          <a:extLst>
            <a:ext uri="{FF2B5EF4-FFF2-40B4-BE49-F238E27FC236}">
              <a16:creationId xmlns:a16="http://schemas.microsoft.com/office/drawing/2014/main" id="{9DB26BF9-1609-48EA-A584-0B8104E2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0143" y="644071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97971</xdr:colOff>
      <xdr:row>2</xdr:row>
      <xdr:rowOff>25400</xdr:rowOff>
    </xdr:from>
    <xdr:to>
      <xdr:col>37</xdr:col>
      <xdr:colOff>932361</xdr:colOff>
      <xdr:row>2</xdr:row>
      <xdr:rowOff>363855</xdr:rowOff>
    </xdr:to>
    <xdr:pic>
      <xdr:nvPicPr>
        <xdr:cNvPr id="13" name="图片 6">
          <a:extLst>
            <a:ext uri="{FF2B5EF4-FFF2-40B4-BE49-F238E27FC236}">
              <a16:creationId xmlns:a16="http://schemas.microsoft.com/office/drawing/2014/main" id="{F054F885-A914-4151-B84C-23607AB5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69971" y="669471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54429</xdr:colOff>
      <xdr:row>2</xdr:row>
      <xdr:rowOff>0</xdr:rowOff>
    </xdr:from>
    <xdr:to>
      <xdr:col>46</xdr:col>
      <xdr:colOff>896439</xdr:colOff>
      <xdr:row>2</xdr:row>
      <xdr:rowOff>342900</xdr:rowOff>
    </xdr:to>
    <xdr:pic>
      <xdr:nvPicPr>
        <xdr:cNvPr id="14" name="图片 6">
          <a:extLst>
            <a:ext uri="{FF2B5EF4-FFF2-40B4-BE49-F238E27FC236}">
              <a16:creationId xmlns:a16="http://schemas.microsoft.com/office/drawing/2014/main" id="{9B3FDCAB-C345-4D89-ABF4-B77E35D8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5715" y="644071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55</xdr:col>
      <xdr:colOff>199571</xdr:colOff>
      <xdr:row>2</xdr:row>
      <xdr:rowOff>27214</xdr:rowOff>
    </xdr:from>
    <xdr:to>
      <xdr:col>55</xdr:col>
      <xdr:colOff>1044756</xdr:colOff>
      <xdr:row>2</xdr:row>
      <xdr:rowOff>365669</xdr:rowOff>
    </xdr:to>
    <xdr:pic>
      <xdr:nvPicPr>
        <xdr:cNvPr id="15" name="图片 6">
          <a:extLst>
            <a:ext uri="{FF2B5EF4-FFF2-40B4-BE49-F238E27FC236}">
              <a16:creationId xmlns:a16="http://schemas.microsoft.com/office/drawing/2014/main" id="{20319B2F-624E-496E-AE4E-AF35E63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1714" y="67128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64</xdr:col>
      <xdr:colOff>208643</xdr:colOff>
      <xdr:row>2</xdr:row>
      <xdr:rowOff>18142</xdr:rowOff>
    </xdr:from>
    <xdr:ext cx="838200" cy="342900"/>
    <xdr:pic>
      <xdr:nvPicPr>
        <xdr:cNvPr id="17" name="图片 6">
          <a:extLst>
            <a:ext uri="{FF2B5EF4-FFF2-40B4-BE49-F238E27FC236}">
              <a16:creationId xmlns:a16="http://schemas.microsoft.com/office/drawing/2014/main" id="{8E170DE5-0DFC-454A-8D5B-EF062983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4929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73</xdr:col>
      <xdr:colOff>208643</xdr:colOff>
      <xdr:row>2</xdr:row>
      <xdr:rowOff>18142</xdr:rowOff>
    </xdr:from>
    <xdr:ext cx="838200" cy="342900"/>
    <xdr:pic>
      <xdr:nvPicPr>
        <xdr:cNvPr id="18" name="图片 6">
          <a:extLst>
            <a:ext uri="{FF2B5EF4-FFF2-40B4-BE49-F238E27FC236}">
              <a16:creationId xmlns:a16="http://schemas.microsoft.com/office/drawing/2014/main" id="{D01B582D-8C85-4D57-9D1C-C083EF25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325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82</xdr:col>
      <xdr:colOff>208643</xdr:colOff>
      <xdr:row>2</xdr:row>
      <xdr:rowOff>18142</xdr:rowOff>
    </xdr:from>
    <xdr:ext cx="838200" cy="342900"/>
    <xdr:pic>
      <xdr:nvPicPr>
        <xdr:cNvPr id="19" name="图片 6">
          <a:extLst>
            <a:ext uri="{FF2B5EF4-FFF2-40B4-BE49-F238E27FC236}">
              <a16:creationId xmlns:a16="http://schemas.microsoft.com/office/drawing/2014/main" id="{36786023-DEB2-4D15-B80F-B8311331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500" y="576035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034;&#28113;&#20848;/&#21442;&#32771;&#39033;&#30446;/&#20859;&#27542;&#22330;&#39033;&#30446;/3716/ER%20Calculation_Deqingyuan_37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8034;&#28113;&#20848;\&#21442;&#32771;&#39033;&#30446;\&#20859;&#27542;&#22330;&#39033;&#30446;\3716\ER%20Calculation_Deqingyuan_37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8034;&#28113;&#20848;\&#20859;&#27542;&#22330;\&#27491;&#37030;\02%20ji'an-GS11238\3.%20Validation\MR\2nd\1st%20ER%20-%20Zhengbang%20Ji'an%20AMMS%20Project-V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asic data"/>
      <sheetName val="ER"/>
      <sheetName val="Sheet1"/>
      <sheetName val="Sheet2"/>
      <sheetName val="Sheet3"/>
      <sheetName val="Sheet4"/>
      <sheetName val="Sheet5"/>
      <sheetName val="Sheet6"/>
      <sheetName val="Sheet7"/>
      <sheetName val="Wsite"/>
      <sheetName val="Electricity"/>
      <sheetName val="Biogas"/>
      <sheetName val="Temperature"/>
    </sheetNames>
    <sheetDataSet>
      <sheetData sheetId="0"/>
      <sheetData sheetId="1"/>
      <sheetData sheetId="2">
        <row r="1">
          <cell r="B1">
            <v>32861</v>
          </cell>
        </row>
        <row r="2">
          <cell r="B2">
            <v>54261</v>
          </cell>
        </row>
        <row r="8">
          <cell r="B8">
            <v>12282.917114928456</v>
          </cell>
        </row>
        <row r="17">
          <cell r="B17">
            <v>9116.4939179598041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asic data"/>
      <sheetName val="ER"/>
      <sheetName val="Sheet1"/>
      <sheetName val="Sheet2"/>
      <sheetName val="Sheet3"/>
      <sheetName val="Sheet4"/>
      <sheetName val="Sheet5"/>
      <sheetName val="Sheet6"/>
      <sheetName val="Sheet7"/>
      <sheetName val="Wsite"/>
      <sheetName val="Electricity"/>
      <sheetName val="Biogas"/>
      <sheetName val="Temperature"/>
    </sheetNames>
    <sheetDataSet>
      <sheetData sheetId="0"/>
      <sheetData sheetId="1"/>
      <sheetData sheetId="2">
        <row r="1">
          <cell r="B1">
            <v>32861</v>
          </cell>
        </row>
        <row r="2">
          <cell r="B2">
            <v>54261</v>
          </cell>
        </row>
        <row r="8">
          <cell r="B8">
            <v>12282.917114928456</v>
          </cell>
        </row>
        <row r="17">
          <cell r="B17">
            <v>9116.4939179598041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DG Outcomes"/>
      <sheetName val="Baseline Emission"/>
      <sheetName val="Project Emission"/>
      <sheetName val="Leakage"/>
      <sheetName val="monitoring results"/>
      <sheetName val="Reliability Check"/>
      <sheetName val="2020-10"/>
      <sheetName val="2020-11"/>
      <sheetName val="2020-12"/>
      <sheetName val="2021-1"/>
      <sheetName val="2021-2"/>
      <sheetName val="2021-3"/>
      <sheetName val="2021-4"/>
      <sheetName val="2021-5"/>
      <sheetName val="2021-6"/>
      <sheetName val="2021-7"/>
    </sheetNames>
    <sheetDataSet>
      <sheetData sheetId="0" refreshError="1"/>
      <sheetData sheetId="1" refreshError="1"/>
      <sheetData sheetId="2" refreshError="1">
        <row r="10">
          <cell r="B10" t="str">
            <v>Market Swine</v>
          </cell>
          <cell r="C10" t="str">
            <v>Breeding Swine</v>
          </cell>
        </row>
        <row r="13">
          <cell r="B13">
            <v>6.7000000000000002E-4</v>
          </cell>
          <cell r="C13">
            <v>6.7000000000000002E-4</v>
          </cell>
        </row>
        <row r="17">
          <cell r="B17">
            <v>0.28999999999999998</v>
          </cell>
          <cell r="C17">
            <v>0.28999999999999998</v>
          </cell>
        </row>
        <row r="18">
          <cell r="D18" t="str">
            <v>No of heads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85" zoomScaleNormal="85" workbookViewId="0">
      <selection activeCell="C21" sqref="C21"/>
    </sheetView>
  </sheetViews>
  <sheetFormatPr defaultColWidth="8.77734375" defaultRowHeight="12.6" x14ac:dyDescent="0.2"/>
  <cols>
    <col min="1" max="1" width="9.21875" style="3" customWidth="1"/>
    <col min="2" max="2" width="52.109375" style="3" customWidth="1"/>
    <col min="3" max="3" width="48" style="3" customWidth="1"/>
    <col min="4" max="4" width="8.77734375" style="3"/>
    <col min="5" max="5" width="9.88671875" style="3" customWidth="1"/>
    <col min="6" max="6" width="9.77734375" style="3" bestFit="1" customWidth="1"/>
    <col min="7" max="7" width="8.77734375" style="3"/>
    <col min="8" max="8" width="12.33203125" style="3" bestFit="1" customWidth="1"/>
    <col min="9" max="16384" width="8.77734375" style="3"/>
  </cols>
  <sheetData>
    <row r="1" spans="1:8" x14ac:dyDescent="0.2">
      <c r="A1" s="1"/>
      <c r="B1" s="2"/>
      <c r="C1" s="2"/>
      <c r="D1" s="2"/>
      <c r="E1" s="2"/>
      <c r="F1" s="2"/>
    </row>
    <row r="2" spans="1:8" x14ac:dyDescent="0.2">
      <c r="A2" s="1"/>
      <c r="B2" s="4"/>
      <c r="C2" s="4"/>
      <c r="D2" s="4"/>
      <c r="E2" s="2"/>
      <c r="F2" s="2"/>
    </row>
    <row r="3" spans="1:8" x14ac:dyDescent="0.2">
      <c r="A3" s="1"/>
      <c r="B3" s="4"/>
      <c r="C3" s="4"/>
      <c r="D3" s="4"/>
      <c r="E3" s="2"/>
      <c r="F3" s="2"/>
    </row>
    <row r="4" spans="1:8" ht="13.8" customHeight="1" thickBot="1" x14ac:dyDescent="0.25">
      <c r="A4" s="1"/>
      <c r="B4" s="5"/>
      <c r="C4" s="4"/>
      <c r="D4" s="4"/>
      <c r="E4" s="2"/>
      <c r="F4" s="2"/>
    </row>
    <row r="5" spans="1:8" ht="39" customHeight="1" x14ac:dyDescent="0.2">
      <c r="A5" s="1"/>
      <c r="B5" s="6" t="s">
        <v>75</v>
      </c>
      <c r="C5" s="323" t="s">
        <v>389</v>
      </c>
      <c r="D5" s="4"/>
      <c r="E5" s="2"/>
      <c r="F5" s="2"/>
    </row>
    <row r="6" spans="1:8" x14ac:dyDescent="0.2">
      <c r="A6" s="1"/>
      <c r="B6" s="7" t="s">
        <v>76</v>
      </c>
      <c r="C6" s="324" t="s">
        <v>357</v>
      </c>
      <c r="D6" s="4"/>
      <c r="E6" s="2"/>
      <c r="F6" s="2"/>
    </row>
    <row r="7" spans="1:8" ht="23.55" customHeight="1" x14ac:dyDescent="0.2">
      <c r="A7" s="1"/>
      <c r="B7" s="7" t="s">
        <v>77</v>
      </c>
      <c r="C7" s="354" t="s">
        <v>418</v>
      </c>
      <c r="D7" s="4"/>
      <c r="E7" s="2"/>
      <c r="F7" s="2"/>
    </row>
    <row r="8" spans="1:8" x14ac:dyDescent="0.2">
      <c r="A8" s="8"/>
      <c r="B8" s="7" t="s">
        <v>78</v>
      </c>
      <c r="C8" s="344" t="s">
        <v>420</v>
      </c>
      <c r="D8" s="8"/>
      <c r="E8" s="8"/>
      <c r="F8" s="8"/>
    </row>
    <row r="9" spans="1:8" ht="13.2" thickBot="1" x14ac:dyDescent="0.25">
      <c r="A9" s="8"/>
      <c r="B9" s="9" t="s">
        <v>79</v>
      </c>
      <c r="C9" s="325" t="s">
        <v>341</v>
      </c>
      <c r="D9" s="8"/>
      <c r="E9" s="10"/>
      <c r="F9" s="8"/>
    </row>
    <row r="10" spans="1:8" x14ac:dyDescent="0.2">
      <c r="C10" s="11"/>
    </row>
    <row r="12" spans="1:8" x14ac:dyDescent="0.2">
      <c r="F12" s="12"/>
      <c r="G12" s="13"/>
      <c r="H12" s="14"/>
    </row>
    <row r="13" spans="1:8" x14ac:dyDescent="0.2">
      <c r="D13" s="13"/>
      <c r="F13" s="12"/>
      <c r="G13" s="13"/>
    </row>
    <row r="15" spans="1:8" x14ac:dyDescent="0.2">
      <c r="F15" s="15"/>
    </row>
    <row r="23" spans="6:6" x14ac:dyDescent="0.2">
      <c r="F23" s="12"/>
    </row>
  </sheetData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9394-A26D-43FC-A53D-0A6360E3CE18}">
  <dimension ref="A1:G165"/>
  <sheetViews>
    <sheetView zoomScale="120" zoomScaleNormal="120" workbookViewId="0">
      <selection activeCell="E20" sqref="E20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399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20</v>
      </c>
      <c r="C6" s="301">
        <v>51.2</v>
      </c>
      <c r="D6" s="301">
        <v>76</v>
      </c>
      <c r="E6" s="301">
        <v>45.9</v>
      </c>
      <c r="F6" s="301">
        <v>85.9</v>
      </c>
      <c r="G6" s="301">
        <v>90.5</v>
      </c>
    </row>
    <row r="7" spans="1:7" x14ac:dyDescent="0.25">
      <c r="A7" s="442">
        <v>2</v>
      </c>
      <c r="B7" s="301">
        <v>27.7</v>
      </c>
      <c r="C7" s="301">
        <v>54</v>
      </c>
      <c r="D7" s="301">
        <v>76.099999999999994</v>
      </c>
      <c r="E7" s="301">
        <v>37.1</v>
      </c>
      <c r="F7" s="301">
        <v>80.599999999999994</v>
      </c>
      <c r="G7" s="301">
        <v>92.8</v>
      </c>
    </row>
    <row r="8" spans="1:7" x14ac:dyDescent="0.25">
      <c r="A8" s="442">
        <v>3</v>
      </c>
      <c r="B8" s="301">
        <v>14.5</v>
      </c>
      <c r="C8" s="301">
        <v>49.3</v>
      </c>
      <c r="D8" s="301">
        <v>77</v>
      </c>
      <c r="E8" s="301">
        <v>47.7</v>
      </c>
      <c r="F8" s="301">
        <v>87.8</v>
      </c>
      <c r="G8" s="301">
        <v>99.4</v>
      </c>
    </row>
    <row r="9" spans="1:7" x14ac:dyDescent="0.25">
      <c r="A9" s="442">
        <v>4</v>
      </c>
      <c r="B9" s="301">
        <v>19.399999999999999</v>
      </c>
      <c r="C9" s="301">
        <v>49.3</v>
      </c>
      <c r="D9" s="301">
        <v>81.3</v>
      </c>
      <c r="E9" s="301">
        <v>37.799999999999997</v>
      </c>
      <c r="F9" s="301">
        <v>81.3</v>
      </c>
      <c r="G9" s="301">
        <v>106.2</v>
      </c>
    </row>
    <row r="10" spans="1:7" x14ac:dyDescent="0.25">
      <c r="A10" s="442">
        <v>5</v>
      </c>
      <c r="B10" s="301">
        <v>24.6</v>
      </c>
      <c r="C10" s="301">
        <v>48.1</v>
      </c>
      <c r="D10" s="301">
        <v>75.5</v>
      </c>
      <c r="E10" s="301">
        <v>27.2</v>
      </c>
      <c r="F10" s="301">
        <v>80.900000000000006</v>
      </c>
      <c r="G10" s="301">
        <v>110.4</v>
      </c>
    </row>
    <row r="11" spans="1:7" x14ac:dyDescent="0.25">
      <c r="A11" s="442">
        <v>6</v>
      </c>
      <c r="B11" s="301">
        <v>18</v>
      </c>
      <c r="C11" s="301">
        <v>45.9</v>
      </c>
      <c r="D11" s="301">
        <v>78.400000000000006</v>
      </c>
      <c r="E11" s="301">
        <v>28.3</v>
      </c>
      <c r="F11" s="301">
        <v>87.4</v>
      </c>
      <c r="G11" s="301">
        <v>90.8</v>
      </c>
    </row>
    <row r="12" spans="1:7" x14ac:dyDescent="0.25">
      <c r="A12" s="442">
        <v>7</v>
      </c>
      <c r="B12" s="301">
        <v>15</v>
      </c>
      <c r="C12" s="301">
        <v>51.9</v>
      </c>
      <c r="D12" s="301">
        <v>84.1</v>
      </c>
      <c r="E12" s="301">
        <v>38.700000000000003</v>
      </c>
      <c r="F12" s="301">
        <v>80.900000000000006</v>
      </c>
      <c r="G12" s="301">
        <v>104.3</v>
      </c>
    </row>
    <row r="13" spans="1:7" x14ac:dyDescent="0.25">
      <c r="A13" s="442">
        <v>8</v>
      </c>
      <c r="B13" s="301">
        <v>25.3</v>
      </c>
      <c r="C13" s="301">
        <v>45.4</v>
      </c>
      <c r="D13" s="301">
        <v>76.5</v>
      </c>
      <c r="E13" s="301">
        <v>57.5</v>
      </c>
      <c r="F13" s="301">
        <v>86</v>
      </c>
      <c r="G13" s="301">
        <v>103.9</v>
      </c>
    </row>
    <row r="14" spans="1:7" x14ac:dyDescent="0.25">
      <c r="A14" s="442">
        <v>9</v>
      </c>
      <c r="B14" s="301">
        <v>10.5</v>
      </c>
      <c r="C14" s="301">
        <v>49.9</v>
      </c>
      <c r="D14" s="301">
        <v>78.2</v>
      </c>
      <c r="E14" s="301">
        <v>55.4</v>
      </c>
      <c r="F14" s="301">
        <v>88.7</v>
      </c>
      <c r="G14" s="301">
        <v>104.1</v>
      </c>
    </row>
    <row r="15" spans="1:7" x14ac:dyDescent="0.25">
      <c r="A15" s="442">
        <v>10</v>
      </c>
      <c r="B15" s="301">
        <v>21.7</v>
      </c>
      <c r="C15" s="301">
        <v>45.4</v>
      </c>
      <c r="D15" s="301">
        <v>84.2</v>
      </c>
      <c r="E15" s="301">
        <v>40.1</v>
      </c>
      <c r="F15" s="301">
        <v>87.5</v>
      </c>
      <c r="G15" s="301">
        <v>100.8</v>
      </c>
    </row>
    <row r="16" spans="1:7" x14ac:dyDescent="0.25">
      <c r="A16" s="442">
        <v>11</v>
      </c>
      <c r="B16" s="301">
        <v>28.3</v>
      </c>
      <c r="C16" s="301">
        <v>49.6</v>
      </c>
      <c r="D16" s="301">
        <v>82.8</v>
      </c>
      <c r="E16" s="301">
        <v>32.9</v>
      </c>
      <c r="F16" s="301">
        <v>89.7</v>
      </c>
      <c r="G16" s="301">
        <v>101.9</v>
      </c>
    </row>
    <row r="17" spans="1:7" x14ac:dyDescent="0.25">
      <c r="A17" s="442">
        <v>12</v>
      </c>
      <c r="B17" s="301">
        <v>29.9</v>
      </c>
      <c r="C17" s="301">
        <v>47.1</v>
      </c>
      <c r="D17" s="301">
        <v>80.7</v>
      </c>
      <c r="E17" s="301">
        <v>25.2</v>
      </c>
      <c r="F17" s="301">
        <v>86.5</v>
      </c>
      <c r="G17" s="301">
        <v>103.7</v>
      </c>
    </row>
    <row r="18" spans="1:7" x14ac:dyDescent="0.25">
      <c r="A18" s="442">
        <v>13</v>
      </c>
      <c r="B18" s="301">
        <v>14.8</v>
      </c>
      <c r="C18" s="301">
        <v>52.8</v>
      </c>
      <c r="D18" s="301">
        <v>78</v>
      </c>
      <c r="E18" s="301">
        <v>44.2</v>
      </c>
      <c r="F18" s="301">
        <v>84.7</v>
      </c>
      <c r="G18" s="301">
        <v>98.5</v>
      </c>
    </row>
    <row r="19" spans="1:7" x14ac:dyDescent="0.25">
      <c r="A19" s="442">
        <v>14</v>
      </c>
      <c r="B19" s="301"/>
      <c r="C19" s="301"/>
      <c r="D19" s="301">
        <v>75.900000000000006</v>
      </c>
      <c r="E19" s="301">
        <v>48.4</v>
      </c>
      <c r="F19" s="301">
        <v>83.9</v>
      </c>
      <c r="G19" s="301">
        <v>101.7</v>
      </c>
    </row>
    <row r="20" spans="1:7" x14ac:dyDescent="0.25">
      <c r="A20" s="442">
        <v>15</v>
      </c>
      <c r="B20" s="301"/>
      <c r="C20" s="301"/>
      <c r="D20" s="301"/>
      <c r="E20" s="301">
        <v>26.2</v>
      </c>
      <c r="F20" s="301">
        <v>82.3</v>
      </c>
      <c r="G20" s="301">
        <v>92.1</v>
      </c>
    </row>
    <row r="21" spans="1:7" x14ac:dyDescent="0.25">
      <c r="A21" s="442">
        <v>16</v>
      </c>
      <c r="B21" s="301"/>
      <c r="C21" s="301"/>
      <c r="D21" s="301"/>
      <c r="E21" s="301">
        <v>27.3</v>
      </c>
      <c r="F21" s="301">
        <v>81.599999999999994</v>
      </c>
      <c r="G21" s="301">
        <v>93.1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89.2</v>
      </c>
      <c r="G22" s="301">
        <v>93.8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80.5</v>
      </c>
      <c r="G23" s="301">
        <v>100.9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86.2</v>
      </c>
      <c r="G24" s="301">
        <v>95.4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81.599999999999994</v>
      </c>
      <c r="G25" s="301">
        <v>92.8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86.7</v>
      </c>
      <c r="G26" s="301">
        <v>98.6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88.6</v>
      </c>
      <c r="G27" s="301">
        <v>102.2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87.5</v>
      </c>
      <c r="G28" s="301">
        <v>108.4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81.8</v>
      </c>
      <c r="G29" s="301">
        <v>106.6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107.4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109.8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95.9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96.1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91.2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14.3</v>
      </c>
      <c r="C39" s="301">
        <v>48.5</v>
      </c>
      <c r="D39" s="301">
        <v>83.6</v>
      </c>
      <c r="E39" s="301">
        <v>42.1</v>
      </c>
      <c r="F39" s="301">
        <v>88.4</v>
      </c>
      <c r="G39" s="301">
        <v>101.2</v>
      </c>
    </row>
    <row r="40" spans="1:7" x14ac:dyDescent="0.25">
      <c r="A40" s="442">
        <v>2</v>
      </c>
      <c r="B40" s="301">
        <v>29.2</v>
      </c>
      <c r="C40" s="301">
        <v>45.6</v>
      </c>
      <c r="D40" s="301">
        <v>83.8</v>
      </c>
      <c r="E40" s="301">
        <v>48</v>
      </c>
      <c r="F40" s="301">
        <v>86.2</v>
      </c>
      <c r="G40" s="301">
        <v>90.8</v>
      </c>
    </row>
    <row r="41" spans="1:7" x14ac:dyDescent="0.25">
      <c r="A41" s="442">
        <v>3</v>
      </c>
      <c r="B41" s="301">
        <v>26</v>
      </c>
      <c r="C41" s="301">
        <v>52.6</v>
      </c>
      <c r="D41" s="301">
        <v>79.099999999999994</v>
      </c>
      <c r="E41" s="301">
        <v>57.1</v>
      </c>
      <c r="F41" s="301">
        <v>87.5</v>
      </c>
      <c r="G41" s="301">
        <v>95.9</v>
      </c>
    </row>
    <row r="42" spans="1:7" x14ac:dyDescent="0.25">
      <c r="A42" s="442">
        <v>4</v>
      </c>
      <c r="B42" s="301">
        <v>28.3</v>
      </c>
      <c r="C42" s="301">
        <v>47.6</v>
      </c>
      <c r="D42" s="301">
        <v>77.099999999999994</v>
      </c>
      <c r="E42" s="301">
        <v>58.9</v>
      </c>
      <c r="F42" s="301">
        <v>88.1</v>
      </c>
      <c r="G42" s="301">
        <v>98.3</v>
      </c>
    </row>
    <row r="43" spans="1:7" x14ac:dyDescent="0.25">
      <c r="A43" s="442">
        <v>5</v>
      </c>
      <c r="B43" s="301">
        <v>25.1</v>
      </c>
      <c r="C43" s="301">
        <v>50.6</v>
      </c>
      <c r="D43" s="301">
        <v>81.900000000000006</v>
      </c>
      <c r="E43" s="301">
        <v>37.4</v>
      </c>
      <c r="F43" s="301">
        <v>89.7</v>
      </c>
      <c r="G43" s="301">
        <v>98.7</v>
      </c>
    </row>
    <row r="44" spans="1:7" x14ac:dyDescent="0.25">
      <c r="A44" s="442">
        <v>6</v>
      </c>
      <c r="B44" s="301"/>
      <c r="C44" s="301">
        <v>53.8</v>
      </c>
      <c r="D44" s="301"/>
      <c r="E44" s="301">
        <v>28.2</v>
      </c>
      <c r="F44" s="301">
        <v>84.5</v>
      </c>
      <c r="G44" s="301">
        <v>111</v>
      </c>
    </row>
    <row r="45" spans="1:7" x14ac:dyDescent="0.25">
      <c r="A45" s="442">
        <v>7</v>
      </c>
      <c r="B45" s="301"/>
      <c r="C45" s="301"/>
      <c r="D45" s="301"/>
      <c r="E45" s="301"/>
      <c r="F45" s="301">
        <v>82.4</v>
      </c>
      <c r="G45" s="301">
        <v>107.6</v>
      </c>
    </row>
    <row r="46" spans="1:7" x14ac:dyDescent="0.25">
      <c r="A46" s="442">
        <v>8</v>
      </c>
      <c r="B46" s="301"/>
      <c r="C46" s="301"/>
      <c r="D46" s="301"/>
      <c r="E46" s="301"/>
      <c r="F46" s="301">
        <v>90</v>
      </c>
      <c r="G46" s="301">
        <v>95.2</v>
      </c>
    </row>
    <row r="47" spans="1:7" x14ac:dyDescent="0.25">
      <c r="A47" s="442">
        <v>9</v>
      </c>
      <c r="B47" s="301"/>
      <c r="C47" s="301"/>
      <c r="D47" s="301"/>
      <c r="E47" s="301"/>
      <c r="F47" s="301">
        <v>85.9</v>
      </c>
      <c r="G47" s="301">
        <v>110.4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85</v>
      </c>
      <c r="G48" s="301">
        <v>100.3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10.7</v>
      </c>
      <c r="C53" s="301">
        <v>53.1</v>
      </c>
      <c r="D53" s="301">
        <v>83.6</v>
      </c>
      <c r="E53" s="301">
        <v>51.8</v>
      </c>
      <c r="F53" s="301">
        <v>89.4</v>
      </c>
      <c r="G53" s="301">
        <v>105.4</v>
      </c>
    </row>
    <row r="54" spans="1:7" x14ac:dyDescent="0.25">
      <c r="A54" s="442">
        <v>2</v>
      </c>
      <c r="B54" s="301">
        <v>21.7</v>
      </c>
      <c r="C54" s="301">
        <v>45.5</v>
      </c>
      <c r="D54" s="301">
        <v>76.3</v>
      </c>
      <c r="E54" s="301">
        <v>37.299999999999997</v>
      </c>
      <c r="F54" s="301">
        <v>88.8</v>
      </c>
      <c r="G54" s="301">
        <v>108.4</v>
      </c>
    </row>
    <row r="55" spans="1:7" x14ac:dyDescent="0.25">
      <c r="A55" s="442">
        <v>3</v>
      </c>
      <c r="B55" s="301">
        <v>15.1</v>
      </c>
      <c r="C55" s="301">
        <v>46.2</v>
      </c>
      <c r="D55" s="301">
        <v>75.599999999999994</v>
      </c>
      <c r="E55" s="301">
        <v>39.6</v>
      </c>
      <c r="F55" s="301">
        <v>82.8</v>
      </c>
      <c r="G55" s="301">
        <v>108.5</v>
      </c>
    </row>
    <row r="56" spans="1:7" x14ac:dyDescent="0.25">
      <c r="A56" s="442">
        <v>4</v>
      </c>
      <c r="B56" s="301">
        <v>20.6</v>
      </c>
      <c r="C56" s="301">
        <v>50.9</v>
      </c>
      <c r="D56" s="301">
        <v>79.5</v>
      </c>
      <c r="E56" s="301">
        <v>51.1</v>
      </c>
      <c r="F56" s="301">
        <v>80</v>
      </c>
      <c r="G56" s="301">
        <v>103.5</v>
      </c>
    </row>
    <row r="57" spans="1:7" x14ac:dyDescent="0.25">
      <c r="A57" s="442">
        <v>5</v>
      </c>
      <c r="B57" s="301"/>
      <c r="C57" s="301">
        <v>54</v>
      </c>
      <c r="D57" s="301">
        <v>81.3</v>
      </c>
      <c r="E57" s="301">
        <v>57.2</v>
      </c>
      <c r="F57" s="301">
        <v>82.6</v>
      </c>
      <c r="G57" s="301">
        <v>98.4</v>
      </c>
    </row>
    <row r="58" spans="1:7" x14ac:dyDescent="0.25">
      <c r="A58" s="442">
        <v>6</v>
      </c>
      <c r="B58" s="301"/>
      <c r="C58" s="301"/>
      <c r="D58" s="301"/>
      <c r="E58" s="301"/>
      <c r="F58" s="301">
        <v>89.5</v>
      </c>
      <c r="G58" s="301">
        <v>95.5</v>
      </c>
    </row>
    <row r="59" spans="1:7" x14ac:dyDescent="0.25">
      <c r="A59" s="442">
        <v>7</v>
      </c>
      <c r="B59" s="301"/>
      <c r="C59" s="301"/>
      <c r="D59" s="301"/>
      <c r="E59" s="301"/>
      <c r="F59" s="301">
        <v>89.8</v>
      </c>
      <c r="G59" s="301">
        <v>106.4</v>
      </c>
    </row>
    <row r="60" spans="1:7" x14ac:dyDescent="0.25">
      <c r="A60" s="442">
        <v>8</v>
      </c>
      <c r="B60" s="301"/>
      <c r="C60" s="301"/>
      <c r="D60" s="301"/>
      <c r="E60" s="301"/>
      <c r="F60" s="301">
        <v>87.6</v>
      </c>
      <c r="G60" s="301">
        <v>95.4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103.9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28.5</v>
      </c>
      <c r="C66" s="301">
        <v>50.6</v>
      </c>
      <c r="D66" s="301">
        <v>84.6</v>
      </c>
      <c r="E66" s="301">
        <v>37</v>
      </c>
      <c r="F66" s="301">
        <v>83.9</v>
      </c>
      <c r="G66" s="301">
        <v>110</v>
      </c>
    </row>
    <row r="67" spans="1:7" x14ac:dyDescent="0.25">
      <c r="A67" s="442">
        <v>2</v>
      </c>
      <c r="B67" s="301">
        <v>17.7</v>
      </c>
      <c r="C67" s="301">
        <v>46</v>
      </c>
      <c r="D67" s="301">
        <v>80</v>
      </c>
      <c r="E67" s="301">
        <v>32.4</v>
      </c>
      <c r="F67" s="301">
        <v>85.7</v>
      </c>
      <c r="G67" s="301">
        <v>96.2</v>
      </c>
    </row>
    <row r="68" spans="1:7" x14ac:dyDescent="0.25">
      <c r="A68" s="442">
        <v>3</v>
      </c>
      <c r="B68" s="301">
        <v>20.6</v>
      </c>
      <c r="C68" s="301">
        <v>45.2</v>
      </c>
      <c r="D68" s="301">
        <v>84.6</v>
      </c>
      <c r="E68" s="301">
        <v>43.9</v>
      </c>
      <c r="F68" s="301">
        <v>86.3</v>
      </c>
      <c r="G68" s="301">
        <v>93.7</v>
      </c>
    </row>
    <row r="69" spans="1:7" x14ac:dyDescent="0.25">
      <c r="A69" s="442">
        <v>4</v>
      </c>
      <c r="B69" s="301"/>
      <c r="C69" s="301"/>
      <c r="D69" s="301">
        <v>76.099999999999994</v>
      </c>
      <c r="E69" s="301">
        <v>45</v>
      </c>
      <c r="F69" s="301">
        <v>82.2</v>
      </c>
      <c r="G69" s="301">
        <v>90.8</v>
      </c>
    </row>
    <row r="70" spans="1:7" x14ac:dyDescent="0.25">
      <c r="A70" s="442">
        <v>5</v>
      </c>
      <c r="B70" s="301"/>
      <c r="C70" s="301"/>
      <c r="D70" s="301"/>
      <c r="E70" s="301"/>
      <c r="F70" s="301">
        <v>89</v>
      </c>
      <c r="G70" s="301">
        <v>105.6</v>
      </c>
    </row>
    <row r="71" spans="1:7" x14ac:dyDescent="0.25">
      <c r="A71" s="442">
        <v>6</v>
      </c>
      <c r="B71" s="301"/>
      <c r="C71" s="301"/>
      <c r="D71" s="301"/>
      <c r="E71" s="301"/>
      <c r="F71" s="301">
        <v>81.599999999999994</v>
      </c>
      <c r="G71" s="301">
        <v>97.5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92.1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24.3</v>
      </c>
      <c r="C76" s="301">
        <v>45.3</v>
      </c>
      <c r="D76" s="301">
        <v>82.1</v>
      </c>
      <c r="E76" s="301">
        <v>51</v>
      </c>
      <c r="F76" s="301">
        <v>85.3</v>
      </c>
      <c r="G76" s="301">
        <v>107.5</v>
      </c>
    </row>
    <row r="77" spans="1:7" x14ac:dyDescent="0.25">
      <c r="A77" s="442">
        <v>2</v>
      </c>
      <c r="B77" s="301">
        <v>28.1</v>
      </c>
      <c r="C77" s="301">
        <v>51</v>
      </c>
      <c r="D77" s="301">
        <v>75.3</v>
      </c>
      <c r="E77" s="301">
        <v>50</v>
      </c>
      <c r="F77" s="301">
        <v>81.5</v>
      </c>
      <c r="G77" s="301">
        <v>92.7</v>
      </c>
    </row>
    <row r="78" spans="1:7" x14ac:dyDescent="0.25">
      <c r="A78" s="442">
        <v>3</v>
      </c>
      <c r="B78" s="301"/>
      <c r="C78" s="301"/>
      <c r="D78" s="301"/>
      <c r="E78" s="301">
        <v>53.5</v>
      </c>
      <c r="F78" s="301">
        <v>85.7</v>
      </c>
      <c r="G78" s="301">
        <v>104.6</v>
      </c>
    </row>
    <row r="79" spans="1:7" x14ac:dyDescent="0.25">
      <c r="A79" s="442">
        <v>4</v>
      </c>
      <c r="B79" s="301"/>
      <c r="C79" s="301"/>
      <c r="D79" s="301"/>
      <c r="E79" s="301"/>
      <c r="F79" s="301">
        <v>80.099999999999994</v>
      </c>
      <c r="G79" s="301">
        <v>93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23.7</v>
      </c>
      <c r="C83" s="301">
        <v>51.9</v>
      </c>
      <c r="D83" s="301">
        <v>77.3</v>
      </c>
      <c r="E83" s="301">
        <v>33.299999999999997</v>
      </c>
      <c r="F83" s="301">
        <v>85.6</v>
      </c>
      <c r="G83" s="301">
        <v>103.4</v>
      </c>
    </row>
    <row r="84" spans="1:7" x14ac:dyDescent="0.25">
      <c r="A84" s="442">
        <v>2</v>
      </c>
      <c r="B84" s="301">
        <v>21.1</v>
      </c>
      <c r="C84" s="301">
        <v>49.3</v>
      </c>
      <c r="D84" s="301">
        <v>84.8</v>
      </c>
      <c r="E84" s="301">
        <v>37.799999999999997</v>
      </c>
      <c r="F84" s="301">
        <v>88.4</v>
      </c>
      <c r="G84" s="301">
        <v>96.1</v>
      </c>
    </row>
    <row r="85" spans="1:7" x14ac:dyDescent="0.25">
      <c r="A85" s="442">
        <v>3</v>
      </c>
      <c r="B85" s="301">
        <v>28.5</v>
      </c>
      <c r="C85" s="301">
        <v>45.4</v>
      </c>
      <c r="D85" s="301">
        <v>83.8</v>
      </c>
      <c r="E85" s="301">
        <v>36.799999999999997</v>
      </c>
      <c r="F85" s="301">
        <v>86.2</v>
      </c>
      <c r="G85" s="301">
        <v>91.2</v>
      </c>
    </row>
    <row r="86" spans="1:7" x14ac:dyDescent="0.25">
      <c r="A86" s="442">
        <v>4</v>
      </c>
      <c r="B86" s="301"/>
      <c r="C86" s="301"/>
      <c r="D86" s="301"/>
      <c r="E86" s="301">
        <v>25.4</v>
      </c>
      <c r="F86" s="301">
        <v>89.8</v>
      </c>
      <c r="G86" s="301">
        <v>103.6</v>
      </c>
    </row>
    <row r="87" spans="1:7" x14ac:dyDescent="0.25">
      <c r="A87" s="442">
        <v>5</v>
      </c>
      <c r="B87" s="301"/>
      <c r="C87" s="301"/>
      <c r="D87" s="301"/>
      <c r="E87" s="301"/>
      <c r="F87" s="301">
        <v>84.3</v>
      </c>
      <c r="G87" s="301">
        <v>104.7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90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15.4</v>
      </c>
      <c r="C93" s="301">
        <v>47.3</v>
      </c>
      <c r="D93" s="301">
        <v>76.400000000000006</v>
      </c>
      <c r="E93" s="301">
        <v>30.6</v>
      </c>
      <c r="F93" s="301">
        <v>80.3</v>
      </c>
      <c r="G93" s="301">
        <v>105.2</v>
      </c>
    </row>
    <row r="94" spans="1:7" x14ac:dyDescent="0.25">
      <c r="A94" s="442">
        <v>2</v>
      </c>
      <c r="B94" s="301">
        <v>19.7</v>
      </c>
      <c r="C94" s="301">
        <v>51.8</v>
      </c>
      <c r="D94" s="301">
        <v>81.099999999999994</v>
      </c>
      <c r="E94" s="301">
        <v>46.9</v>
      </c>
      <c r="F94" s="301">
        <v>80.599999999999994</v>
      </c>
      <c r="G94" s="301">
        <v>107.5</v>
      </c>
    </row>
    <row r="95" spans="1:7" x14ac:dyDescent="0.25">
      <c r="A95" s="442">
        <v>3</v>
      </c>
      <c r="B95" s="301"/>
      <c r="C95" s="301"/>
      <c r="D95" s="301"/>
      <c r="E95" s="301">
        <v>59.2</v>
      </c>
      <c r="F95" s="301">
        <v>84.7</v>
      </c>
      <c r="G95" s="301">
        <v>91.1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96.2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28.9</v>
      </c>
      <c r="C100" s="301">
        <v>46.3</v>
      </c>
      <c r="D100" s="301">
        <v>82.9</v>
      </c>
      <c r="E100" s="301">
        <v>55.5</v>
      </c>
      <c r="F100" s="301">
        <v>88.1</v>
      </c>
      <c r="G100" s="301">
        <v>101.4</v>
      </c>
    </row>
    <row r="101" spans="1:7" x14ac:dyDescent="0.25">
      <c r="A101" s="442">
        <v>2</v>
      </c>
      <c r="B101" s="301">
        <v>10.1</v>
      </c>
      <c r="C101" s="301">
        <v>46</v>
      </c>
      <c r="D101" s="301">
        <v>82.3</v>
      </c>
      <c r="E101" s="301">
        <v>35.5</v>
      </c>
      <c r="F101" s="301">
        <v>83</v>
      </c>
      <c r="G101" s="301">
        <v>107.4</v>
      </c>
    </row>
    <row r="102" spans="1:7" x14ac:dyDescent="0.25">
      <c r="A102" s="442">
        <v>3</v>
      </c>
      <c r="B102" s="301">
        <v>28.6</v>
      </c>
      <c r="C102" s="301">
        <v>49.9</v>
      </c>
      <c r="D102" s="301">
        <v>83.9</v>
      </c>
      <c r="E102" s="301">
        <v>53.9</v>
      </c>
      <c r="F102" s="301">
        <v>89.8</v>
      </c>
      <c r="G102" s="301">
        <v>97.2</v>
      </c>
    </row>
    <row r="103" spans="1:7" x14ac:dyDescent="0.25">
      <c r="A103" s="442">
        <v>4</v>
      </c>
      <c r="B103" s="301">
        <v>20.7</v>
      </c>
      <c r="C103" s="301">
        <v>54</v>
      </c>
      <c r="D103" s="301">
        <v>77.7</v>
      </c>
      <c r="E103" s="301">
        <v>50.3</v>
      </c>
      <c r="F103" s="301">
        <v>89.2</v>
      </c>
      <c r="G103" s="301">
        <v>106.6</v>
      </c>
    </row>
    <row r="104" spans="1:7" x14ac:dyDescent="0.25">
      <c r="A104" s="442">
        <v>5</v>
      </c>
      <c r="B104" s="301">
        <v>26.6</v>
      </c>
      <c r="C104" s="301">
        <v>53.2</v>
      </c>
      <c r="D104" s="301">
        <v>81.3</v>
      </c>
      <c r="E104" s="301">
        <v>39.700000000000003</v>
      </c>
      <c r="F104" s="301">
        <v>88.9</v>
      </c>
      <c r="G104" s="301">
        <v>110.1</v>
      </c>
    </row>
    <row r="105" spans="1:7" x14ac:dyDescent="0.25">
      <c r="A105" s="442">
        <v>6</v>
      </c>
      <c r="B105" s="301">
        <v>23.8</v>
      </c>
      <c r="C105" s="301">
        <v>50.7</v>
      </c>
      <c r="D105" s="301">
        <v>84.7</v>
      </c>
      <c r="E105" s="301">
        <v>38.700000000000003</v>
      </c>
      <c r="F105" s="301">
        <v>88.3</v>
      </c>
      <c r="G105" s="301">
        <v>103.6</v>
      </c>
    </row>
    <row r="106" spans="1:7" x14ac:dyDescent="0.25">
      <c r="A106" s="442">
        <v>7</v>
      </c>
      <c r="B106" s="301">
        <v>26.2</v>
      </c>
      <c r="C106" s="301">
        <v>47.5</v>
      </c>
      <c r="D106" s="301">
        <v>77</v>
      </c>
      <c r="E106" s="301">
        <v>29.4</v>
      </c>
      <c r="F106" s="301">
        <v>89.5</v>
      </c>
      <c r="G106" s="301">
        <v>97.4</v>
      </c>
    </row>
    <row r="107" spans="1:7" x14ac:dyDescent="0.25">
      <c r="A107" s="442">
        <v>8</v>
      </c>
      <c r="B107" s="301">
        <v>24.7</v>
      </c>
      <c r="C107" s="301">
        <v>49.2</v>
      </c>
      <c r="D107" s="301">
        <v>81.2</v>
      </c>
      <c r="E107" s="301">
        <v>58.7</v>
      </c>
      <c r="F107" s="301">
        <v>83.9</v>
      </c>
      <c r="G107" s="301">
        <v>101.7</v>
      </c>
    </row>
    <row r="108" spans="1:7" x14ac:dyDescent="0.25">
      <c r="A108" s="442">
        <v>9</v>
      </c>
      <c r="B108" s="301">
        <v>14.1</v>
      </c>
      <c r="C108" s="301">
        <v>51.7</v>
      </c>
      <c r="D108" s="301">
        <v>84.7</v>
      </c>
      <c r="E108" s="301">
        <v>26.5</v>
      </c>
      <c r="F108" s="301">
        <v>84.8</v>
      </c>
      <c r="G108" s="301">
        <v>91.3</v>
      </c>
    </row>
    <row r="109" spans="1:7" x14ac:dyDescent="0.25">
      <c r="A109" s="442">
        <v>10</v>
      </c>
      <c r="B109" s="301">
        <v>12.8</v>
      </c>
      <c r="C109" s="301">
        <v>52.3</v>
      </c>
      <c r="D109" s="301">
        <v>79.5</v>
      </c>
      <c r="E109" s="301">
        <v>33.4</v>
      </c>
      <c r="F109" s="301">
        <v>82.3</v>
      </c>
      <c r="G109" s="301">
        <v>92.2</v>
      </c>
    </row>
    <row r="110" spans="1:7" x14ac:dyDescent="0.25">
      <c r="A110" s="442">
        <v>11</v>
      </c>
      <c r="B110" s="301"/>
      <c r="C110" s="301">
        <v>54.9</v>
      </c>
      <c r="D110" s="301">
        <v>84.2</v>
      </c>
      <c r="E110" s="301">
        <v>53</v>
      </c>
      <c r="F110" s="301">
        <v>83.6</v>
      </c>
      <c r="G110" s="301">
        <v>93.1</v>
      </c>
    </row>
    <row r="111" spans="1:7" x14ac:dyDescent="0.25">
      <c r="A111" s="442">
        <v>12</v>
      </c>
      <c r="B111" s="301"/>
      <c r="C111" s="301">
        <v>46.3</v>
      </c>
      <c r="D111" s="301"/>
      <c r="E111" s="301">
        <v>49.9</v>
      </c>
      <c r="F111" s="301">
        <v>86.2</v>
      </c>
      <c r="G111" s="301">
        <v>99.7</v>
      </c>
    </row>
    <row r="112" spans="1:7" x14ac:dyDescent="0.25">
      <c r="A112" s="442">
        <v>13</v>
      </c>
      <c r="B112" s="301"/>
      <c r="C112" s="301">
        <v>48.9</v>
      </c>
      <c r="D112" s="301"/>
      <c r="E112" s="301">
        <v>51.5</v>
      </c>
      <c r="F112" s="301">
        <v>80.900000000000006</v>
      </c>
      <c r="G112" s="301">
        <v>103.9</v>
      </c>
    </row>
    <row r="113" spans="1:7" x14ac:dyDescent="0.25">
      <c r="A113" s="442">
        <v>14</v>
      </c>
      <c r="B113" s="301"/>
      <c r="C113" s="301"/>
      <c r="D113" s="301"/>
      <c r="E113" s="301">
        <v>39.9</v>
      </c>
      <c r="F113" s="301">
        <v>80.8</v>
      </c>
      <c r="G113" s="301">
        <v>92.3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84.4</v>
      </c>
      <c r="G114" s="301">
        <v>92.9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88.7</v>
      </c>
      <c r="G115" s="301">
        <v>100.8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86.6</v>
      </c>
      <c r="G116" s="301">
        <v>104.5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85.7</v>
      </c>
      <c r="G117" s="301">
        <v>90.8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81.8</v>
      </c>
      <c r="G118" s="301">
        <v>109.5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82.2</v>
      </c>
      <c r="G119" s="301">
        <v>104.8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80.599999999999994</v>
      </c>
      <c r="G120" s="301">
        <v>108.5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86.4</v>
      </c>
      <c r="G121" s="301">
        <v>104.1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17.3</v>
      </c>
      <c r="C125" s="301">
        <v>53.4</v>
      </c>
      <c r="D125" s="301">
        <v>80.099999999999994</v>
      </c>
      <c r="E125" s="301">
        <v>45.5</v>
      </c>
      <c r="F125" s="301">
        <v>88.5</v>
      </c>
      <c r="G125" s="301">
        <v>95.5</v>
      </c>
    </row>
    <row r="126" spans="1:7" x14ac:dyDescent="0.25">
      <c r="A126" s="442">
        <v>2</v>
      </c>
      <c r="B126" s="301">
        <v>11.8</v>
      </c>
      <c r="C126" s="301">
        <v>48.9</v>
      </c>
      <c r="D126" s="301">
        <v>76.099999999999994</v>
      </c>
      <c r="E126" s="301">
        <v>41.5</v>
      </c>
      <c r="F126" s="301">
        <v>88.4</v>
      </c>
      <c r="G126" s="301">
        <v>92.1</v>
      </c>
    </row>
    <row r="127" spans="1:7" x14ac:dyDescent="0.25">
      <c r="A127" s="442">
        <v>3</v>
      </c>
      <c r="B127" s="301">
        <v>25.1</v>
      </c>
      <c r="C127" s="301">
        <v>48.4</v>
      </c>
      <c r="D127" s="301">
        <v>79.5</v>
      </c>
      <c r="E127" s="301">
        <v>39.1</v>
      </c>
      <c r="F127" s="301">
        <v>83.5</v>
      </c>
      <c r="G127" s="301">
        <v>101.5</v>
      </c>
    </row>
    <row r="128" spans="1:7" x14ac:dyDescent="0.25">
      <c r="A128" s="442">
        <v>4</v>
      </c>
      <c r="B128" s="301">
        <v>18.3</v>
      </c>
      <c r="C128" s="301">
        <v>51</v>
      </c>
      <c r="D128" s="301">
        <v>77.099999999999994</v>
      </c>
      <c r="E128" s="301">
        <v>40.4</v>
      </c>
      <c r="F128" s="301">
        <v>87.3</v>
      </c>
      <c r="G128" s="301">
        <v>94.1</v>
      </c>
    </row>
    <row r="129" spans="1:7" x14ac:dyDescent="0.25">
      <c r="A129" s="442">
        <v>5</v>
      </c>
      <c r="B129" s="301">
        <v>23.3</v>
      </c>
      <c r="C129" s="301">
        <v>50.4</v>
      </c>
      <c r="D129" s="301">
        <v>80.5</v>
      </c>
      <c r="E129" s="301">
        <v>55.5</v>
      </c>
      <c r="F129" s="301">
        <v>89.6</v>
      </c>
      <c r="G129" s="301">
        <v>109.5</v>
      </c>
    </row>
    <row r="130" spans="1:7" x14ac:dyDescent="0.25">
      <c r="A130" s="442">
        <v>6</v>
      </c>
      <c r="B130" s="301">
        <v>13.6</v>
      </c>
      <c r="C130" s="301">
        <v>53.7</v>
      </c>
      <c r="D130" s="301">
        <v>77.599999999999994</v>
      </c>
      <c r="E130" s="301">
        <v>35.799999999999997</v>
      </c>
      <c r="F130" s="301">
        <v>84.7</v>
      </c>
      <c r="G130" s="301">
        <v>99</v>
      </c>
    </row>
    <row r="131" spans="1:7" x14ac:dyDescent="0.25">
      <c r="A131" s="442">
        <v>7</v>
      </c>
      <c r="B131" s="301">
        <v>17.5</v>
      </c>
      <c r="C131" s="301">
        <v>50.8</v>
      </c>
      <c r="D131" s="301">
        <v>82.4</v>
      </c>
      <c r="E131" s="301">
        <v>31.9</v>
      </c>
      <c r="F131" s="301">
        <v>85.3</v>
      </c>
      <c r="G131" s="301">
        <v>109.1</v>
      </c>
    </row>
    <row r="132" spans="1:7" x14ac:dyDescent="0.25">
      <c r="A132" s="442">
        <v>8</v>
      </c>
      <c r="B132" s="301">
        <v>23.2</v>
      </c>
      <c r="C132" s="301">
        <v>46.6</v>
      </c>
      <c r="D132" s="301">
        <v>83.5</v>
      </c>
      <c r="E132" s="301">
        <v>26.7</v>
      </c>
      <c r="F132" s="301">
        <v>80.599999999999994</v>
      </c>
      <c r="G132" s="301">
        <v>98.7</v>
      </c>
    </row>
    <row r="133" spans="1:7" x14ac:dyDescent="0.25">
      <c r="A133" s="442">
        <v>9</v>
      </c>
      <c r="B133" s="301">
        <v>20.399999999999999</v>
      </c>
      <c r="C133" s="301">
        <v>45.9</v>
      </c>
      <c r="D133" s="301">
        <v>79</v>
      </c>
      <c r="E133" s="301">
        <v>43.6</v>
      </c>
      <c r="F133" s="301">
        <v>84.9</v>
      </c>
      <c r="G133" s="301">
        <v>99.7</v>
      </c>
    </row>
    <row r="134" spans="1:7" x14ac:dyDescent="0.25">
      <c r="A134" s="442">
        <v>10</v>
      </c>
      <c r="B134" s="301">
        <v>28.3</v>
      </c>
      <c r="C134" s="301">
        <v>46.4</v>
      </c>
      <c r="D134" s="301">
        <v>81.5</v>
      </c>
      <c r="E134" s="301">
        <v>34.299999999999997</v>
      </c>
      <c r="F134" s="301">
        <v>87.8</v>
      </c>
      <c r="G134" s="301">
        <v>104.5</v>
      </c>
    </row>
    <row r="135" spans="1:7" x14ac:dyDescent="0.25">
      <c r="A135" s="442">
        <v>11</v>
      </c>
      <c r="B135" s="301"/>
      <c r="C135" s="301">
        <v>46.6</v>
      </c>
      <c r="D135" s="301">
        <v>78.599999999999994</v>
      </c>
      <c r="E135" s="301">
        <v>59.6</v>
      </c>
      <c r="F135" s="301">
        <v>86.2</v>
      </c>
      <c r="G135" s="301">
        <v>108.2</v>
      </c>
    </row>
    <row r="136" spans="1:7" x14ac:dyDescent="0.25">
      <c r="A136" s="442">
        <v>12</v>
      </c>
      <c r="B136" s="301"/>
      <c r="C136" s="301">
        <v>52.9</v>
      </c>
      <c r="D136" s="301">
        <v>78.8</v>
      </c>
      <c r="E136" s="301">
        <v>35.4</v>
      </c>
      <c r="F136" s="301">
        <v>81</v>
      </c>
      <c r="G136" s="301">
        <v>101.9</v>
      </c>
    </row>
    <row r="137" spans="1:7" x14ac:dyDescent="0.25">
      <c r="A137" s="442">
        <v>13</v>
      </c>
      <c r="B137" s="301"/>
      <c r="C137" s="301"/>
      <c r="D137" s="301"/>
      <c r="E137" s="301">
        <v>28</v>
      </c>
      <c r="F137" s="301">
        <v>81.7</v>
      </c>
      <c r="G137" s="301">
        <v>96.5</v>
      </c>
    </row>
    <row r="138" spans="1:7" x14ac:dyDescent="0.25">
      <c r="A138" s="442">
        <v>14</v>
      </c>
      <c r="B138" s="301"/>
      <c r="C138" s="301"/>
      <c r="D138" s="301"/>
      <c r="E138" s="301">
        <v>48.5</v>
      </c>
      <c r="F138" s="301">
        <v>88.4</v>
      </c>
      <c r="G138" s="301">
        <v>91.1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83.3</v>
      </c>
      <c r="G139" s="301">
        <v>92.7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89.2</v>
      </c>
      <c r="G140" s="301">
        <v>98.5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80</v>
      </c>
      <c r="G141" s="301">
        <v>100.1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83.2</v>
      </c>
      <c r="G142" s="301">
        <v>93.8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87.9</v>
      </c>
      <c r="G143" s="301">
        <v>101.6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107.7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93.4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103.3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90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ROUNDDOWN(AVERAGE(B6:D19),1)</f>
        <v>50.3</v>
      </c>
      <c r="C151" s="301">
        <f>ROUNDDOWN(AVERAGE(E6:G34),1)</f>
        <v>80.400000000000006</v>
      </c>
      <c r="D151" s="353">
        <v>28044</v>
      </c>
      <c r="E151" s="362">
        <v>47098</v>
      </c>
      <c r="F151" s="353">
        <f>B151*D151</f>
        <v>1410613.2</v>
      </c>
      <c r="G151" s="353">
        <f>C151*E151</f>
        <v>3786679.2</v>
      </c>
    </row>
    <row r="152" spans="1:7" x14ac:dyDescent="0.25">
      <c r="A152" s="298" t="s">
        <v>370</v>
      </c>
      <c r="B152" s="301">
        <f>ROUNDDOWN(AVERAGE(B39:D44),1)</f>
        <v>51.6</v>
      </c>
      <c r="C152" s="301">
        <f>ROUNDDOWN(AVERAGE(E39:G48),1)</f>
        <v>82.6</v>
      </c>
      <c r="D152" s="353">
        <v>10608</v>
      </c>
      <c r="E152" s="362">
        <v>17257</v>
      </c>
      <c r="F152" s="353">
        <f t="shared" ref="F152:G159" si="0">B152*D152</f>
        <v>547372.80000000005</v>
      </c>
      <c r="G152" s="353">
        <f t="shared" si="0"/>
        <v>1425428.2</v>
      </c>
    </row>
    <row r="153" spans="1:7" x14ac:dyDescent="0.25">
      <c r="A153" s="298" t="s">
        <v>371</v>
      </c>
      <c r="B153" s="301">
        <f>ROUNDDOWN(AVERAGE(B53:D57),1)</f>
        <v>51</v>
      </c>
      <c r="C153" s="301">
        <f>ROUNDDOWN(AVERAGE(E53:G61),1)</f>
        <v>84.2</v>
      </c>
      <c r="D153" s="353">
        <v>8465</v>
      </c>
      <c r="E153" s="362">
        <v>14880</v>
      </c>
      <c r="F153" s="353">
        <f t="shared" si="0"/>
        <v>431715</v>
      </c>
      <c r="G153" s="353">
        <f t="shared" si="0"/>
        <v>1252896</v>
      </c>
    </row>
    <row r="154" spans="1:7" x14ac:dyDescent="0.25">
      <c r="A154" s="298" t="s">
        <v>372</v>
      </c>
      <c r="B154" s="301">
        <f>ROUNDDOWN(AVERAGE(B66:D69),1)</f>
        <v>53.3</v>
      </c>
      <c r="C154" s="301">
        <f>ROUNDDOWN(AVERAGE(E66:G72),1)</f>
        <v>79.5</v>
      </c>
      <c r="D154" s="353">
        <v>6339</v>
      </c>
      <c r="E154" s="362">
        <v>10487</v>
      </c>
      <c r="F154" s="353">
        <f t="shared" si="0"/>
        <v>337868.69999999995</v>
      </c>
      <c r="G154" s="353">
        <f t="shared" si="0"/>
        <v>833716.5</v>
      </c>
    </row>
    <row r="155" spans="1:7" x14ac:dyDescent="0.25">
      <c r="A155" s="298" t="s">
        <v>373</v>
      </c>
      <c r="B155" s="301">
        <f>ROUNDDOWN(AVERAGE(B76:D77),1)</f>
        <v>51</v>
      </c>
      <c r="C155" s="301">
        <f>ROUNDDOWN(AVERAGE(E76:G79),1)</f>
        <v>80.400000000000006</v>
      </c>
      <c r="D155" s="353">
        <v>3699</v>
      </c>
      <c r="E155" s="362">
        <v>6493</v>
      </c>
      <c r="F155" s="353">
        <f t="shared" si="0"/>
        <v>188649</v>
      </c>
      <c r="G155" s="353">
        <f t="shared" si="0"/>
        <v>522037.2</v>
      </c>
    </row>
    <row r="156" spans="1:7" x14ac:dyDescent="0.25">
      <c r="A156" s="298" t="s">
        <v>374</v>
      </c>
      <c r="B156" s="301">
        <f>ROUNDDOWN(AVERAGE(B83:D85),1)</f>
        <v>51.7</v>
      </c>
      <c r="C156" s="301">
        <f>ROUNDDOWN(AVERAGE(E83:G88),1)</f>
        <v>77.099999999999994</v>
      </c>
      <c r="D156" s="353">
        <v>5340</v>
      </c>
      <c r="E156" s="362">
        <v>9378</v>
      </c>
      <c r="F156" s="353">
        <f t="shared" si="0"/>
        <v>276078</v>
      </c>
      <c r="G156" s="353">
        <f t="shared" si="0"/>
        <v>723043.79999999993</v>
      </c>
    </row>
    <row r="157" spans="1:7" x14ac:dyDescent="0.25">
      <c r="A157" s="298" t="s">
        <v>375</v>
      </c>
      <c r="B157" s="301">
        <f>ROUNDDOWN(AVERAGE(B93:D96),1)</f>
        <v>48.6</v>
      </c>
      <c r="C157" s="301">
        <f>ROUNDDOWN(AVERAGE(E93:G96),1)</f>
        <v>78.2</v>
      </c>
      <c r="D157" s="353">
        <v>3613</v>
      </c>
      <c r="E157" s="362">
        <v>5823</v>
      </c>
      <c r="F157" s="353">
        <f t="shared" si="0"/>
        <v>175591.80000000002</v>
      </c>
      <c r="G157" s="353">
        <f t="shared" si="0"/>
        <v>455358.60000000003</v>
      </c>
    </row>
    <row r="158" spans="1:7" x14ac:dyDescent="0.25">
      <c r="A158" s="298" t="s">
        <v>365</v>
      </c>
      <c r="B158" s="301">
        <f>ROUNDDOWN(AVERAGE(B100:D112),1)</f>
        <v>51.9</v>
      </c>
      <c r="C158" s="301">
        <f>ROUNDDOWN(AVERAGE(E100:G121),1)</f>
        <v>81.099999999999994</v>
      </c>
      <c r="D158" s="353">
        <v>23194</v>
      </c>
      <c r="E158" s="362">
        <v>40157</v>
      </c>
      <c r="F158" s="353">
        <f t="shared" si="0"/>
        <v>1203768.5999999999</v>
      </c>
      <c r="G158" s="353">
        <f t="shared" si="0"/>
        <v>3256732.6999999997</v>
      </c>
    </row>
    <row r="159" spans="1:7" x14ac:dyDescent="0.25">
      <c r="A159" s="298" t="s">
        <v>366</v>
      </c>
      <c r="B159" s="301">
        <f>ROUNDDOWN(AVERAGE(B125:D136),1)</f>
        <v>51.4</v>
      </c>
      <c r="C159" s="301">
        <f>ROUNDDOWN(AVERAGE(E125:G147),1)</f>
        <v>79.8</v>
      </c>
      <c r="D159" s="353">
        <v>22794</v>
      </c>
      <c r="E159" s="362">
        <v>40539</v>
      </c>
      <c r="F159" s="353">
        <f t="shared" si="0"/>
        <v>1171611.5999999999</v>
      </c>
      <c r="G159" s="353">
        <f t="shared" si="0"/>
        <v>3235012.1999999997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192112</v>
      </c>
      <c r="F160" s="353">
        <f>SUM(F151:F159)</f>
        <v>5743268.6999999993</v>
      </c>
      <c r="G160" s="353">
        <f>SUM(G151:G159)</f>
        <v>15490904.399999999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51.2</v>
      </c>
      <c r="D165" s="280">
        <f>ROUNDDOWN(G160/E160,1)</f>
        <v>80.599999999999994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D8F24-23EB-45A3-BBD1-7015A6BCC16E}">
  <dimension ref="A1:G165"/>
  <sheetViews>
    <sheetView zoomScale="130" zoomScaleNormal="130" workbookViewId="0">
      <selection activeCell="F23" sqref="F23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400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28.9</v>
      </c>
      <c r="C6" s="301">
        <v>50.6</v>
      </c>
      <c r="D6" s="301">
        <v>76.5</v>
      </c>
      <c r="E6" s="301">
        <v>49.2</v>
      </c>
      <c r="F6" s="301">
        <v>80.400000000000006</v>
      </c>
      <c r="G6" s="301">
        <v>107.5</v>
      </c>
    </row>
    <row r="7" spans="1:7" x14ac:dyDescent="0.25">
      <c r="A7" s="442">
        <v>2</v>
      </c>
      <c r="B7" s="301">
        <v>25.8</v>
      </c>
      <c r="C7" s="301">
        <v>53.8</v>
      </c>
      <c r="D7" s="301">
        <v>83</v>
      </c>
      <c r="E7" s="301">
        <v>39</v>
      </c>
      <c r="F7" s="301">
        <v>89.6</v>
      </c>
      <c r="G7" s="301">
        <v>105.8</v>
      </c>
    </row>
    <row r="8" spans="1:7" x14ac:dyDescent="0.25">
      <c r="A8" s="442">
        <v>3</v>
      </c>
      <c r="B8" s="301">
        <v>15.3</v>
      </c>
      <c r="C8" s="301">
        <v>52.7</v>
      </c>
      <c r="D8" s="301">
        <v>80.599999999999994</v>
      </c>
      <c r="E8" s="301">
        <v>56.6</v>
      </c>
      <c r="F8" s="301">
        <v>82.3</v>
      </c>
      <c r="G8" s="301">
        <v>93.7</v>
      </c>
    </row>
    <row r="9" spans="1:7" x14ac:dyDescent="0.25">
      <c r="A9" s="442">
        <v>4</v>
      </c>
      <c r="B9" s="301">
        <v>11.7</v>
      </c>
      <c r="C9" s="301">
        <v>53.9</v>
      </c>
      <c r="D9" s="301">
        <v>84.2</v>
      </c>
      <c r="E9" s="301">
        <v>25.9</v>
      </c>
      <c r="F9" s="301">
        <v>89.5</v>
      </c>
      <c r="G9" s="301">
        <v>90.6</v>
      </c>
    </row>
    <row r="10" spans="1:7" x14ac:dyDescent="0.25">
      <c r="A10" s="442">
        <v>5</v>
      </c>
      <c r="B10" s="301">
        <v>20</v>
      </c>
      <c r="C10" s="301">
        <v>54</v>
      </c>
      <c r="D10" s="301">
        <v>77.400000000000006</v>
      </c>
      <c r="E10" s="301">
        <v>50.2</v>
      </c>
      <c r="F10" s="301">
        <v>83.7</v>
      </c>
      <c r="G10" s="301">
        <v>96.5</v>
      </c>
    </row>
    <row r="11" spans="1:7" x14ac:dyDescent="0.25">
      <c r="A11" s="442">
        <v>6</v>
      </c>
      <c r="B11" s="301">
        <v>11.5</v>
      </c>
      <c r="C11" s="301">
        <v>45.3</v>
      </c>
      <c r="D11" s="301">
        <v>84.6</v>
      </c>
      <c r="E11" s="301">
        <v>36.5</v>
      </c>
      <c r="F11" s="301">
        <v>80.400000000000006</v>
      </c>
      <c r="G11" s="301">
        <v>105.2</v>
      </c>
    </row>
    <row r="12" spans="1:7" x14ac:dyDescent="0.25">
      <c r="A12" s="442">
        <v>7</v>
      </c>
      <c r="B12" s="301">
        <v>25.2</v>
      </c>
      <c r="C12" s="301">
        <v>50</v>
      </c>
      <c r="D12" s="301">
        <v>76.400000000000006</v>
      </c>
      <c r="E12" s="301">
        <v>37.299999999999997</v>
      </c>
      <c r="F12" s="301">
        <v>88.2</v>
      </c>
      <c r="G12" s="301">
        <v>109.5</v>
      </c>
    </row>
    <row r="13" spans="1:7" x14ac:dyDescent="0.25">
      <c r="A13" s="442">
        <v>8</v>
      </c>
      <c r="B13" s="301">
        <v>12.7</v>
      </c>
      <c r="C13" s="301">
        <v>48.9</v>
      </c>
      <c r="D13" s="301">
        <v>80.7</v>
      </c>
      <c r="E13" s="301">
        <v>39.5</v>
      </c>
      <c r="F13" s="301">
        <v>81.400000000000006</v>
      </c>
      <c r="G13" s="301">
        <v>93.3</v>
      </c>
    </row>
    <row r="14" spans="1:7" x14ac:dyDescent="0.25">
      <c r="A14" s="442">
        <v>9</v>
      </c>
      <c r="B14" s="301">
        <v>21.4</v>
      </c>
      <c r="C14" s="301">
        <v>54.4</v>
      </c>
      <c r="D14" s="301">
        <v>77.7</v>
      </c>
      <c r="E14" s="301">
        <v>56.8</v>
      </c>
      <c r="F14" s="301">
        <v>90</v>
      </c>
      <c r="G14" s="301">
        <v>98.9</v>
      </c>
    </row>
    <row r="15" spans="1:7" x14ac:dyDescent="0.25">
      <c r="A15" s="442">
        <v>10</v>
      </c>
      <c r="B15" s="301">
        <v>27.9</v>
      </c>
      <c r="C15" s="301">
        <v>54.2</v>
      </c>
      <c r="D15" s="301">
        <v>78.900000000000006</v>
      </c>
      <c r="E15" s="301">
        <v>27.6</v>
      </c>
      <c r="F15" s="301">
        <v>85.2</v>
      </c>
      <c r="G15" s="301">
        <v>96.6</v>
      </c>
    </row>
    <row r="16" spans="1:7" x14ac:dyDescent="0.25">
      <c r="A16" s="442">
        <v>11</v>
      </c>
      <c r="B16" s="301">
        <v>10.3</v>
      </c>
      <c r="C16" s="301">
        <v>54.2</v>
      </c>
      <c r="D16" s="301">
        <v>77.900000000000006</v>
      </c>
      <c r="E16" s="301">
        <v>39</v>
      </c>
      <c r="F16" s="301">
        <v>87</v>
      </c>
      <c r="G16" s="301">
        <v>105.3</v>
      </c>
    </row>
    <row r="17" spans="1:7" x14ac:dyDescent="0.25">
      <c r="A17" s="442">
        <v>12</v>
      </c>
      <c r="B17" s="301">
        <v>23.8</v>
      </c>
      <c r="C17" s="301">
        <v>53.4</v>
      </c>
      <c r="D17" s="301">
        <v>77.2</v>
      </c>
      <c r="E17" s="301">
        <v>36.1</v>
      </c>
      <c r="F17" s="301">
        <v>86.8</v>
      </c>
      <c r="G17" s="301">
        <v>93.2</v>
      </c>
    </row>
    <row r="18" spans="1:7" x14ac:dyDescent="0.25">
      <c r="A18" s="442">
        <v>13</v>
      </c>
      <c r="B18" s="301">
        <v>13.3</v>
      </c>
      <c r="C18" s="301">
        <v>54.8</v>
      </c>
      <c r="D18" s="301">
        <v>78.8</v>
      </c>
      <c r="E18" s="301">
        <v>33.799999999999997</v>
      </c>
      <c r="F18" s="301">
        <v>80.8</v>
      </c>
      <c r="G18" s="301">
        <v>96.9</v>
      </c>
    </row>
    <row r="19" spans="1:7" x14ac:dyDescent="0.25">
      <c r="A19" s="442">
        <v>14</v>
      </c>
      <c r="B19" s="301"/>
      <c r="C19" s="301"/>
      <c r="D19" s="301">
        <v>76.5</v>
      </c>
      <c r="E19" s="301">
        <v>55.6</v>
      </c>
      <c r="F19" s="301">
        <v>86.1</v>
      </c>
      <c r="G19" s="301">
        <v>111</v>
      </c>
    </row>
    <row r="20" spans="1:7" x14ac:dyDescent="0.25">
      <c r="A20" s="442">
        <v>15</v>
      </c>
      <c r="B20" s="301"/>
      <c r="C20" s="301"/>
      <c r="D20" s="301"/>
      <c r="E20" s="301">
        <v>53.4</v>
      </c>
      <c r="F20" s="301">
        <v>89.5</v>
      </c>
      <c r="G20" s="301">
        <v>101.6</v>
      </c>
    </row>
    <row r="21" spans="1:7" x14ac:dyDescent="0.25">
      <c r="A21" s="442">
        <v>16</v>
      </c>
      <c r="B21" s="301"/>
      <c r="C21" s="301"/>
      <c r="D21" s="301"/>
      <c r="E21" s="301">
        <v>27.4</v>
      </c>
      <c r="F21" s="301">
        <v>88.4</v>
      </c>
      <c r="G21" s="301">
        <v>103.1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80</v>
      </c>
      <c r="G22" s="301">
        <v>109.1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89.3</v>
      </c>
      <c r="G23" s="301">
        <v>90.4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81.8</v>
      </c>
      <c r="G24" s="301">
        <v>91.3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85.1</v>
      </c>
      <c r="G25" s="301">
        <v>99.2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86.2</v>
      </c>
      <c r="G26" s="301">
        <v>100.2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89.3</v>
      </c>
      <c r="G27" s="301">
        <v>94.1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82.2</v>
      </c>
      <c r="G28" s="301">
        <v>106.4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82.2</v>
      </c>
      <c r="G29" s="301">
        <v>105.3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101.9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95.7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93.9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106.4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97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10.4</v>
      </c>
      <c r="C39" s="301">
        <v>47.5</v>
      </c>
      <c r="D39" s="301">
        <v>80.7</v>
      </c>
      <c r="E39" s="301">
        <v>58.1</v>
      </c>
      <c r="F39" s="301">
        <v>89.7</v>
      </c>
      <c r="G39" s="301">
        <v>91.9</v>
      </c>
    </row>
    <row r="40" spans="1:7" x14ac:dyDescent="0.25">
      <c r="A40" s="442">
        <v>2</v>
      </c>
      <c r="B40" s="301">
        <v>26.9</v>
      </c>
      <c r="C40" s="301">
        <v>45.4</v>
      </c>
      <c r="D40" s="301">
        <v>83.9</v>
      </c>
      <c r="E40" s="301">
        <v>50.3</v>
      </c>
      <c r="F40" s="301">
        <v>88.3</v>
      </c>
      <c r="G40" s="301">
        <v>93.8</v>
      </c>
    </row>
    <row r="41" spans="1:7" x14ac:dyDescent="0.25">
      <c r="A41" s="442">
        <v>3</v>
      </c>
      <c r="B41" s="301">
        <v>14.9</v>
      </c>
      <c r="C41" s="301">
        <v>50.3</v>
      </c>
      <c r="D41" s="301">
        <v>84.2</v>
      </c>
      <c r="E41" s="301">
        <v>29.3</v>
      </c>
      <c r="F41" s="301">
        <v>88.4</v>
      </c>
      <c r="G41" s="301">
        <v>108.2</v>
      </c>
    </row>
    <row r="42" spans="1:7" x14ac:dyDescent="0.25">
      <c r="A42" s="442">
        <v>4</v>
      </c>
      <c r="B42" s="301">
        <v>17.7</v>
      </c>
      <c r="C42" s="301">
        <v>45</v>
      </c>
      <c r="D42" s="301">
        <v>77.099999999999994</v>
      </c>
      <c r="E42" s="301">
        <v>50.1</v>
      </c>
      <c r="F42" s="301">
        <v>88.3</v>
      </c>
      <c r="G42" s="301">
        <v>101.2</v>
      </c>
    </row>
    <row r="43" spans="1:7" x14ac:dyDescent="0.25">
      <c r="A43" s="442">
        <v>5</v>
      </c>
      <c r="B43" s="301">
        <v>20.7</v>
      </c>
      <c r="C43" s="301">
        <v>54.5</v>
      </c>
      <c r="D43" s="301">
        <v>81.400000000000006</v>
      </c>
      <c r="E43" s="301">
        <v>47.4</v>
      </c>
      <c r="F43" s="301">
        <v>89.6</v>
      </c>
      <c r="G43" s="301">
        <v>101.4</v>
      </c>
    </row>
    <row r="44" spans="1:7" x14ac:dyDescent="0.25">
      <c r="A44" s="442">
        <v>6</v>
      </c>
      <c r="B44" s="301"/>
      <c r="C44" s="301">
        <v>54.6</v>
      </c>
      <c r="D44" s="301"/>
      <c r="E44" s="301">
        <v>48.9</v>
      </c>
      <c r="F44" s="301">
        <v>80.599999999999994</v>
      </c>
      <c r="G44" s="301">
        <v>95.1</v>
      </c>
    </row>
    <row r="45" spans="1:7" x14ac:dyDescent="0.25">
      <c r="A45" s="442">
        <v>7</v>
      </c>
      <c r="B45" s="301"/>
      <c r="C45" s="301"/>
      <c r="D45" s="301"/>
      <c r="E45" s="301"/>
      <c r="F45" s="301">
        <v>83.3</v>
      </c>
      <c r="G45" s="301">
        <v>101</v>
      </c>
    </row>
    <row r="46" spans="1:7" x14ac:dyDescent="0.25">
      <c r="A46" s="442">
        <v>8</v>
      </c>
      <c r="B46" s="301"/>
      <c r="C46" s="301"/>
      <c r="D46" s="301"/>
      <c r="E46" s="301"/>
      <c r="F46" s="301">
        <v>82.4</v>
      </c>
      <c r="G46" s="301">
        <v>93.3</v>
      </c>
    </row>
    <row r="47" spans="1:7" x14ac:dyDescent="0.25">
      <c r="A47" s="442">
        <v>9</v>
      </c>
      <c r="B47" s="301"/>
      <c r="C47" s="301"/>
      <c r="D47" s="301"/>
      <c r="E47" s="301"/>
      <c r="F47" s="301">
        <v>87.5</v>
      </c>
      <c r="G47" s="301">
        <v>104.2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87.4</v>
      </c>
      <c r="G48" s="301">
        <v>103.5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23.3</v>
      </c>
      <c r="C53" s="301">
        <v>50.1</v>
      </c>
      <c r="D53" s="301">
        <v>77.900000000000006</v>
      </c>
      <c r="E53" s="301">
        <v>55.8</v>
      </c>
      <c r="F53" s="301">
        <v>88.7</v>
      </c>
      <c r="G53" s="301">
        <v>102.8</v>
      </c>
    </row>
    <row r="54" spans="1:7" x14ac:dyDescent="0.25">
      <c r="A54" s="442">
        <v>2</v>
      </c>
      <c r="B54" s="301">
        <v>29.4</v>
      </c>
      <c r="C54" s="301">
        <v>54.9</v>
      </c>
      <c r="D54" s="301">
        <v>80.900000000000006</v>
      </c>
      <c r="E54" s="301">
        <v>59.2</v>
      </c>
      <c r="F54" s="301">
        <v>81.2</v>
      </c>
      <c r="G54" s="301">
        <v>102.3</v>
      </c>
    </row>
    <row r="55" spans="1:7" x14ac:dyDescent="0.25">
      <c r="A55" s="442">
        <v>3</v>
      </c>
      <c r="B55" s="301">
        <v>24.6</v>
      </c>
      <c r="C55" s="301">
        <v>53.8</v>
      </c>
      <c r="D55" s="301">
        <v>77.7</v>
      </c>
      <c r="E55" s="301">
        <v>36.299999999999997</v>
      </c>
      <c r="F55" s="301">
        <v>82.1</v>
      </c>
      <c r="G55" s="301">
        <v>109.6</v>
      </c>
    </row>
    <row r="56" spans="1:7" x14ac:dyDescent="0.25">
      <c r="A56" s="442">
        <v>4</v>
      </c>
      <c r="B56" s="301">
        <v>15.5</v>
      </c>
      <c r="C56" s="301">
        <v>51.6</v>
      </c>
      <c r="D56" s="301">
        <v>77.099999999999994</v>
      </c>
      <c r="E56" s="301">
        <v>36.1</v>
      </c>
      <c r="F56" s="301">
        <v>84.8</v>
      </c>
      <c r="G56" s="301">
        <v>94.7</v>
      </c>
    </row>
    <row r="57" spans="1:7" x14ac:dyDescent="0.25">
      <c r="A57" s="442">
        <v>5</v>
      </c>
      <c r="B57" s="301"/>
      <c r="C57" s="301">
        <v>53.8</v>
      </c>
      <c r="D57" s="301">
        <v>81.5</v>
      </c>
      <c r="E57" s="301">
        <v>56.2</v>
      </c>
      <c r="F57" s="301">
        <v>81.7</v>
      </c>
      <c r="G57" s="301">
        <v>107.3</v>
      </c>
    </row>
    <row r="58" spans="1:7" x14ac:dyDescent="0.25">
      <c r="A58" s="442">
        <v>6</v>
      </c>
      <c r="B58" s="301"/>
      <c r="C58" s="301"/>
      <c r="D58" s="301"/>
      <c r="E58" s="301"/>
      <c r="F58" s="301">
        <v>89.8</v>
      </c>
      <c r="G58" s="301">
        <v>107.8</v>
      </c>
    </row>
    <row r="59" spans="1:7" x14ac:dyDescent="0.25">
      <c r="A59" s="442">
        <v>7</v>
      </c>
      <c r="B59" s="301"/>
      <c r="C59" s="301"/>
      <c r="D59" s="301"/>
      <c r="E59" s="301"/>
      <c r="F59" s="301">
        <v>85.9</v>
      </c>
      <c r="G59" s="301">
        <v>105</v>
      </c>
    </row>
    <row r="60" spans="1:7" x14ac:dyDescent="0.25">
      <c r="A60" s="442">
        <v>8</v>
      </c>
      <c r="B60" s="301"/>
      <c r="C60" s="301"/>
      <c r="D60" s="301"/>
      <c r="E60" s="301"/>
      <c r="F60" s="301">
        <v>81.7</v>
      </c>
      <c r="G60" s="301">
        <v>109.8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95.4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26.8</v>
      </c>
      <c r="C66" s="301">
        <v>48.6</v>
      </c>
      <c r="D66" s="301">
        <v>78.099999999999994</v>
      </c>
      <c r="E66" s="301">
        <v>59.8</v>
      </c>
      <c r="F66" s="301">
        <v>89.5</v>
      </c>
      <c r="G66" s="301">
        <v>90.3</v>
      </c>
    </row>
    <row r="67" spans="1:7" x14ac:dyDescent="0.25">
      <c r="A67" s="442">
        <v>2</v>
      </c>
      <c r="B67" s="301">
        <v>19.600000000000001</v>
      </c>
      <c r="C67" s="301">
        <v>48.8</v>
      </c>
      <c r="D67" s="301">
        <v>77.2</v>
      </c>
      <c r="E67" s="301">
        <v>52.2</v>
      </c>
      <c r="F67" s="301">
        <v>80.599999999999994</v>
      </c>
      <c r="G67" s="301">
        <v>95.2</v>
      </c>
    </row>
    <row r="68" spans="1:7" x14ac:dyDescent="0.25">
      <c r="A68" s="442">
        <v>3</v>
      </c>
      <c r="B68" s="301">
        <v>27.9</v>
      </c>
      <c r="C68" s="301">
        <v>54</v>
      </c>
      <c r="D68" s="301">
        <v>78.2</v>
      </c>
      <c r="E68" s="301">
        <v>56.5</v>
      </c>
      <c r="F68" s="301">
        <v>86.1</v>
      </c>
      <c r="G68" s="301">
        <v>101.9</v>
      </c>
    </row>
    <row r="69" spans="1:7" x14ac:dyDescent="0.25">
      <c r="A69" s="442">
        <v>4</v>
      </c>
      <c r="B69" s="301"/>
      <c r="C69" s="301"/>
      <c r="D69" s="301">
        <v>81.900000000000006</v>
      </c>
      <c r="E69" s="301">
        <v>35.9</v>
      </c>
      <c r="F69" s="301">
        <v>85.9</v>
      </c>
      <c r="G69" s="301">
        <v>101.6</v>
      </c>
    </row>
    <row r="70" spans="1:7" x14ac:dyDescent="0.25">
      <c r="A70" s="442">
        <v>5</v>
      </c>
      <c r="B70" s="301"/>
      <c r="C70" s="301"/>
      <c r="D70" s="301"/>
      <c r="E70" s="301"/>
      <c r="F70" s="301">
        <v>86.8</v>
      </c>
      <c r="G70" s="301">
        <v>109.3</v>
      </c>
    </row>
    <row r="71" spans="1:7" x14ac:dyDescent="0.25">
      <c r="A71" s="442">
        <v>6</v>
      </c>
      <c r="B71" s="301"/>
      <c r="C71" s="301"/>
      <c r="D71" s="301"/>
      <c r="E71" s="301"/>
      <c r="F71" s="301">
        <v>83</v>
      </c>
      <c r="G71" s="301">
        <v>104.1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110.4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18</v>
      </c>
      <c r="C76" s="301">
        <v>52.9</v>
      </c>
      <c r="D76" s="301">
        <v>80.599999999999994</v>
      </c>
      <c r="E76" s="301">
        <v>35</v>
      </c>
      <c r="F76" s="301">
        <v>80.5</v>
      </c>
      <c r="G76" s="301">
        <v>91</v>
      </c>
    </row>
    <row r="77" spans="1:7" x14ac:dyDescent="0.25">
      <c r="A77" s="442">
        <v>2</v>
      </c>
      <c r="B77" s="301">
        <v>21</v>
      </c>
      <c r="C77" s="301">
        <v>48.5</v>
      </c>
      <c r="D77" s="301">
        <v>78.099999999999994</v>
      </c>
      <c r="E77" s="301">
        <v>36</v>
      </c>
      <c r="F77" s="301">
        <v>85.3</v>
      </c>
      <c r="G77" s="301">
        <v>107.6</v>
      </c>
    </row>
    <row r="78" spans="1:7" x14ac:dyDescent="0.25">
      <c r="A78" s="442">
        <v>3</v>
      </c>
      <c r="B78" s="301"/>
      <c r="C78" s="301"/>
      <c r="D78" s="301"/>
      <c r="E78" s="301">
        <v>41.2</v>
      </c>
      <c r="F78" s="301">
        <v>85.9</v>
      </c>
      <c r="G78" s="301">
        <v>95</v>
      </c>
    </row>
    <row r="79" spans="1:7" x14ac:dyDescent="0.25">
      <c r="A79" s="442">
        <v>4</v>
      </c>
      <c r="B79" s="301"/>
      <c r="C79" s="301"/>
      <c r="D79" s="301"/>
      <c r="E79" s="301"/>
      <c r="F79" s="301">
        <v>88.4</v>
      </c>
      <c r="G79" s="301">
        <v>107.1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20.2</v>
      </c>
      <c r="C83" s="301">
        <v>46.7</v>
      </c>
      <c r="D83" s="301">
        <v>81.099999999999994</v>
      </c>
      <c r="E83" s="301">
        <v>44.5</v>
      </c>
      <c r="F83" s="301">
        <v>81.3</v>
      </c>
      <c r="G83" s="301">
        <v>107.7</v>
      </c>
    </row>
    <row r="84" spans="1:7" x14ac:dyDescent="0.25">
      <c r="A84" s="442">
        <v>2</v>
      </c>
      <c r="B84" s="301">
        <v>11.8</v>
      </c>
      <c r="C84" s="301">
        <v>47.5</v>
      </c>
      <c r="D84" s="301">
        <v>79.099999999999994</v>
      </c>
      <c r="E84" s="301">
        <v>54.9</v>
      </c>
      <c r="F84" s="301">
        <v>82.9</v>
      </c>
      <c r="G84" s="301">
        <v>104.1</v>
      </c>
    </row>
    <row r="85" spans="1:7" x14ac:dyDescent="0.25">
      <c r="A85" s="442">
        <v>3</v>
      </c>
      <c r="B85" s="301">
        <v>10</v>
      </c>
      <c r="C85" s="301">
        <v>46.2</v>
      </c>
      <c r="D85" s="301">
        <v>79.400000000000006</v>
      </c>
      <c r="E85" s="301">
        <v>57.4</v>
      </c>
      <c r="F85" s="301">
        <v>88.3</v>
      </c>
      <c r="G85" s="301">
        <v>109.3</v>
      </c>
    </row>
    <row r="86" spans="1:7" x14ac:dyDescent="0.25">
      <c r="A86" s="442">
        <v>4</v>
      </c>
      <c r="B86" s="301"/>
      <c r="C86" s="301"/>
      <c r="D86" s="301"/>
      <c r="E86" s="301">
        <v>51.9</v>
      </c>
      <c r="F86" s="301">
        <v>87.9</v>
      </c>
      <c r="G86" s="301">
        <v>108.5</v>
      </c>
    </row>
    <row r="87" spans="1:7" x14ac:dyDescent="0.25">
      <c r="A87" s="442">
        <v>5</v>
      </c>
      <c r="B87" s="301"/>
      <c r="C87" s="301"/>
      <c r="D87" s="301"/>
      <c r="E87" s="301"/>
      <c r="F87" s="301">
        <v>89.4</v>
      </c>
      <c r="G87" s="301">
        <v>96.8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93.3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13.6</v>
      </c>
      <c r="C93" s="301">
        <v>52.7</v>
      </c>
      <c r="D93" s="301">
        <v>80.099999999999994</v>
      </c>
      <c r="E93" s="301">
        <v>45.2</v>
      </c>
      <c r="F93" s="301">
        <v>86.7</v>
      </c>
      <c r="G93" s="301">
        <v>96.2</v>
      </c>
    </row>
    <row r="94" spans="1:7" x14ac:dyDescent="0.25">
      <c r="A94" s="442">
        <v>2</v>
      </c>
      <c r="B94" s="301">
        <v>21.1</v>
      </c>
      <c r="C94" s="301">
        <v>53</v>
      </c>
      <c r="D94" s="301">
        <v>78.099999999999994</v>
      </c>
      <c r="E94" s="301">
        <v>52.8</v>
      </c>
      <c r="F94" s="301">
        <v>86.9</v>
      </c>
      <c r="G94" s="301">
        <v>94.1</v>
      </c>
    </row>
    <row r="95" spans="1:7" x14ac:dyDescent="0.25">
      <c r="A95" s="442">
        <v>3</v>
      </c>
      <c r="B95" s="301"/>
      <c r="C95" s="301"/>
      <c r="D95" s="301"/>
      <c r="E95" s="301">
        <v>49.7</v>
      </c>
      <c r="F95" s="301">
        <v>81.5</v>
      </c>
      <c r="G95" s="301">
        <v>104.3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107.4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23</v>
      </c>
      <c r="C100" s="301">
        <v>51.5</v>
      </c>
      <c r="D100" s="301">
        <v>79.7</v>
      </c>
      <c r="E100" s="301">
        <v>50.7</v>
      </c>
      <c r="F100" s="301">
        <v>89.3</v>
      </c>
      <c r="G100" s="301">
        <v>107.6</v>
      </c>
    </row>
    <row r="101" spans="1:7" x14ac:dyDescent="0.25">
      <c r="A101" s="442">
        <v>2</v>
      </c>
      <c r="B101" s="301">
        <v>11.9</v>
      </c>
      <c r="C101" s="301">
        <v>53.6</v>
      </c>
      <c r="D101" s="301">
        <v>83.1</v>
      </c>
      <c r="E101" s="301">
        <v>31.4</v>
      </c>
      <c r="F101" s="301">
        <v>87.6</v>
      </c>
      <c r="G101" s="301">
        <v>108.8</v>
      </c>
    </row>
    <row r="102" spans="1:7" x14ac:dyDescent="0.25">
      <c r="A102" s="442">
        <v>3</v>
      </c>
      <c r="B102" s="301">
        <v>24.1</v>
      </c>
      <c r="C102" s="301">
        <v>54.5</v>
      </c>
      <c r="D102" s="301">
        <v>80.3</v>
      </c>
      <c r="E102" s="301">
        <v>57.4</v>
      </c>
      <c r="F102" s="301">
        <v>85.6</v>
      </c>
      <c r="G102" s="301">
        <v>93</v>
      </c>
    </row>
    <row r="103" spans="1:7" x14ac:dyDescent="0.25">
      <c r="A103" s="442">
        <v>4</v>
      </c>
      <c r="B103" s="301">
        <v>11.4</v>
      </c>
      <c r="C103" s="301">
        <v>49.6</v>
      </c>
      <c r="D103" s="301">
        <v>78.099999999999994</v>
      </c>
      <c r="E103" s="301">
        <v>45.9</v>
      </c>
      <c r="F103" s="301">
        <v>89.2</v>
      </c>
      <c r="G103" s="301">
        <v>102.9</v>
      </c>
    </row>
    <row r="104" spans="1:7" x14ac:dyDescent="0.25">
      <c r="A104" s="442">
        <v>5</v>
      </c>
      <c r="B104" s="301">
        <v>16.600000000000001</v>
      </c>
      <c r="C104" s="301">
        <v>46.6</v>
      </c>
      <c r="D104" s="301">
        <v>77.599999999999994</v>
      </c>
      <c r="E104" s="301">
        <v>37.200000000000003</v>
      </c>
      <c r="F104" s="301">
        <v>88.8</v>
      </c>
      <c r="G104" s="301">
        <v>95.5</v>
      </c>
    </row>
    <row r="105" spans="1:7" x14ac:dyDescent="0.25">
      <c r="A105" s="442">
        <v>6</v>
      </c>
      <c r="B105" s="301">
        <v>16.899999999999999</v>
      </c>
      <c r="C105" s="301">
        <v>47.7</v>
      </c>
      <c r="D105" s="301">
        <v>78.599999999999994</v>
      </c>
      <c r="E105" s="301">
        <v>40.4</v>
      </c>
      <c r="F105" s="301">
        <v>85.3</v>
      </c>
      <c r="G105" s="301">
        <v>100.6</v>
      </c>
    </row>
    <row r="106" spans="1:7" x14ac:dyDescent="0.25">
      <c r="A106" s="442">
        <v>7</v>
      </c>
      <c r="B106" s="301">
        <v>29.1</v>
      </c>
      <c r="C106" s="301">
        <v>52.3</v>
      </c>
      <c r="D106" s="301">
        <v>78.7</v>
      </c>
      <c r="E106" s="301">
        <v>42.7</v>
      </c>
      <c r="F106" s="301">
        <v>84.7</v>
      </c>
      <c r="G106" s="301">
        <v>104.4</v>
      </c>
    </row>
    <row r="107" spans="1:7" x14ac:dyDescent="0.25">
      <c r="A107" s="442">
        <v>8</v>
      </c>
      <c r="B107" s="301">
        <v>18.3</v>
      </c>
      <c r="C107" s="301">
        <v>47.9</v>
      </c>
      <c r="D107" s="301">
        <v>78.099999999999994</v>
      </c>
      <c r="E107" s="301">
        <v>48.8</v>
      </c>
      <c r="F107" s="301">
        <v>84.6</v>
      </c>
      <c r="G107" s="301">
        <v>107.9</v>
      </c>
    </row>
    <row r="108" spans="1:7" x14ac:dyDescent="0.25">
      <c r="A108" s="442">
        <v>9</v>
      </c>
      <c r="B108" s="301">
        <v>17.899999999999999</v>
      </c>
      <c r="C108" s="301">
        <v>46</v>
      </c>
      <c r="D108" s="301">
        <v>81.599999999999994</v>
      </c>
      <c r="E108" s="301">
        <v>29</v>
      </c>
      <c r="F108" s="301">
        <v>82.9</v>
      </c>
      <c r="G108" s="301">
        <v>105.5</v>
      </c>
    </row>
    <row r="109" spans="1:7" x14ac:dyDescent="0.25">
      <c r="A109" s="442">
        <v>10</v>
      </c>
      <c r="B109" s="301">
        <v>22.7</v>
      </c>
      <c r="C109" s="301">
        <v>52.6</v>
      </c>
      <c r="D109" s="301">
        <v>78.5</v>
      </c>
      <c r="E109" s="301">
        <v>54.3</v>
      </c>
      <c r="F109" s="301">
        <v>87.5</v>
      </c>
      <c r="G109" s="301">
        <v>93.7</v>
      </c>
    </row>
    <row r="110" spans="1:7" x14ac:dyDescent="0.25">
      <c r="A110" s="442">
        <v>11</v>
      </c>
      <c r="B110" s="301"/>
      <c r="C110" s="301">
        <v>51.2</v>
      </c>
      <c r="D110" s="301">
        <v>78.5</v>
      </c>
      <c r="E110" s="301">
        <v>26</v>
      </c>
      <c r="F110" s="301">
        <v>80.8</v>
      </c>
      <c r="G110" s="301">
        <v>107.8</v>
      </c>
    </row>
    <row r="111" spans="1:7" x14ac:dyDescent="0.25">
      <c r="A111" s="442">
        <v>12</v>
      </c>
      <c r="B111" s="301"/>
      <c r="C111" s="301">
        <v>48.9</v>
      </c>
      <c r="D111" s="301"/>
      <c r="E111" s="301">
        <v>46.3</v>
      </c>
      <c r="F111" s="301">
        <v>89.3</v>
      </c>
      <c r="G111" s="301">
        <v>90.2</v>
      </c>
    </row>
    <row r="112" spans="1:7" x14ac:dyDescent="0.25">
      <c r="A112" s="442">
        <v>13</v>
      </c>
      <c r="B112" s="301"/>
      <c r="C112" s="301">
        <v>52.1</v>
      </c>
      <c r="D112" s="301"/>
      <c r="E112" s="301">
        <v>56.5</v>
      </c>
      <c r="F112" s="301">
        <v>87.3</v>
      </c>
      <c r="G112" s="301">
        <v>95.2</v>
      </c>
    </row>
    <row r="113" spans="1:7" x14ac:dyDescent="0.25">
      <c r="A113" s="442">
        <v>14</v>
      </c>
      <c r="B113" s="301"/>
      <c r="C113" s="301"/>
      <c r="D113" s="301"/>
      <c r="E113" s="301">
        <v>30.4</v>
      </c>
      <c r="F113" s="301">
        <v>88.9</v>
      </c>
      <c r="G113" s="301">
        <v>95.4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83.7</v>
      </c>
      <c r="G114" s="301">
        <v>91.3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80.8</v>
      </c>
      <c r="G115" s="301">
        <v>109.5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84.9</v>
      </c>
      <c r="G116" s="301">
        <v>92.3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81.400000000000006</v>
      </c>
      <c r="G117" s="301">
        <v>99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86.9</v>
      </c>
      <c r="G118" s="301">
        <v>110.9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89</v>
      </c>
      <c r="G119" s="301">
        <v>107.8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86.3</v>
      </c>
      <c r="G120" s="301">
        <v>99.4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87.7</v>
      </c>
      <c r="G121" s="301">
        <v>95.6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11.9</v>
      </c>
      <c r="C125" s="301">
        <v>52.6</v>
      </c>
      <c r="D125" s="301">
        <v>79.7</v>
      </c>
      <c r="E125" s="301">
        <v>27.8</v>
      </c>
      <c r="F125" s="301">
        <v>81</v>
      </c>
      <c r="G125" s="301">
        <v>102.6</v>
      </c>
    </row>
    <row r="126" spans="1:7" x14ac:dyDescent="0.25">
      <c r="A126" s="442">
        <v>2</v>
      </c>
      <c r="B126" s="301">
        <v>28.6</v>
      </c>
      <c r="C126" s="301">
        <v>52</v>
      </c>
      <c r="D126" s="301">
        <v>77.599999999999994</v>
      </c>
      <c r="E126" s="301">
        <v>47.7</v>
      </c>
      <c r="F126" s="301">
        <v>80.599999999999994</v>
      </c>
      <c r="G126" s="301">
        <v>109.3</v>
      </c>
    </row>
    <row r="127" spans="1:7" x14ac:dyDescent="0.25">
      <c r="A127" s="442">
        <v>3</v>
      </c>
      <c r="B127" s="301">
        <v>26.1</v>
      </c>
      <c r="C127" s="301">
        <v>50.6</v>
      </c>
      <c r="D127" s="301">
        <v>75.7</v>
      </c>
      <c r="E127" s="301">
        <v>43.4</v>
      </c>
      <c r="F127" s="301">
        <v>84.6</v>
      </c>
      <c r="G127" s="301">
        <v>109.7</v>
      </c>
    </row>
    <row r="128" spans="1:7" x14ac:dyDescent="0.25">
      <c r="A128" s="442">
        <v>4</v>
      </c>
      <c r="B128" s="301">
        <v>16.8</v>
      </c>
      <c r="C128" s="301">
        <v>46.6</v>
      </c>
      <c r="D128" s="301">
        <v>78</v>
      </c>
      <c r="E128" s="301">
        <v>58.1</v>
      </c>
      <c r="F128" s="301">
        <v>87.5</v>
      </c>
      <c r="G128" s="301">
        <v>90.3</v>
      </c>
    </row>
    <row r="129" spans="1:7" x14ac:dyDescent="0.25">
      <c r="A129" s="442">
        <v>5</v>
      </c>
      <c r="B129" s="301">
        <v>28.7</v>
      </c>
      <c r="C129" s="301">
        <v>52.6</v>
      </c>
      <c r="D129" s="301">
        <v>82.9</v>
      </c>
      <c r="E129" s="301">
        <v>35.1</v>
      </c>
      <c r="F129" s="301">
        <v>83.7</v>
      </c>
      <c r="G129" s="301">
        <v>97.4</v>
      </c>
    </row>
    <row r="130" spans="1:7" x14ac:dyDescent="0.25">
      <c r="A130" s="442">
        <v>6</v>
      </c>
      <c r="B130" s="301">
        <v>21.5</v>
      </c>
      <c r="C130" s="301">
        <v>50.3</v>
      </c>
      <c r="D130" s="301">
        <v>79</v>
      </c>
      <c r="E130" s="301">
        <v>52.8</v>
      </c>
      <c r="F130" s="301">
        <v>89.9</v>
      </c>
      <c r="G130" s="301">
        <v>91.9</v>
      </c>
    </row>
    <row r="131" spans="1:7" x14ac:dyDescent="0.25">
      <c r="A131" s="442">
        <v>7</v>
      </c>
      <c r="B131" s="301">
        <v>25.1</v>
      </c>
      <c r="C131" s="301">
        <v>48.9</v>
      </c>
      <c r="D131" s="301">
        <v>80.8</v>
      </c>
      <c r="E131" s="301">
        <v>32</v>
      </c>
      <c r="F131" s="301">
        <v>89.7</v>
      </c>
      <c r="G131" s="301">
        <v>106.6</v>
      </c>
    </row>
    <row r="132" spans="1:7" x14ac:dyDescent="0.25">
      <c r="A132" s="442">
        <v>8</v>
      </c>
      <c r="B132" s="301">
        <v>23.4</v>
      </c>
      <c r="C132" s="301">
        <v>51.3</v>
      </c>
      <c r="D132" s="301">
        <v>83.9</v>
      </c>
      <c r="E132" s="301">
        <v>31.7</v>
      </c>
      <c r="F132" s="301">
        <v>89.2</v>
      </c>
      <c r="G132" s="301">
        <v>101</v>
      </c>
    </row>
    <row r="133" spans="1:7" x14ac:dyDescent="0.25">
      <c r="A133" s="442">
        <v>9</v>
      </c>
      <c r="B133" s="301">
        <v>27.1</v>
      </c>
      <c r="C133" s="301">
        <v>51.5</v>
      </c>
      <c r="D133" s="301">
        <v>81.900000000000006</v>
      </c>
      <c r="E133" s="301">
        <v>31.5</v>
      </c>
      <c r="F133" s="301">
        <v>83.8</v>
      </c>
      <c r="G133" s="301">
        <v>97.3</v>
      </c>
    </row>
    <row r="134" spans="1:7" x14ac:dyDescent="0.25">
      <c r="A134" s="442">
        <v>10</v>
      </c>
      <c r="B134" s="301">
        <v>19.2</v>
      </c>
      <c r="C134" s="301">
        <v>53.4</v>
      </c>
      <c r="D134" s="301">
        <v>77.2</v>
      </c>
      <c r="E134" s="301">
        <v>59.1</v>
      </c>
      <c r="F134" s="301">
        <v>85</v>
      </c>
      <c r="G134" s="301">
        <v>98.9</v>
      </c>
    </row>
    <row r="135" spans="1:7" x14ac:dyDescent="0.25">
      <c r="A135" s="442">
        <v>11</v>
      </c>
      <c r="B135" s="301"/>
      <c r="C135" s="301">
        <v>52.6</v>
      </c>
      <c r="D135" s="301">
        <v>79.5</v>
      </c>
      <c r="E135" s="301">
        <v>31.5</v>
      </c>
      <c r="F135" s="301">
        <v>83.6</v>
      </c>
      <c r="G135" s="301">
        <v>104.4</v>
      </c>
    </row>
    <row r="136" spans="1:7" x14ac:dyDescent="0.25">
      <c r="A136" s="442">
        <v>12</v>
      </c>
      <c r="B136" s="301"/>
      <c r="C136" s="301">
        <v>50.7</v>
      </c>
      <c r="D136" s="301">
        <v>82.3</v>
      </c>
      <c r="E136" s="301">
        <v>47.9</v>
      </c>
      <c r="F136" s="301">
        <v>83.2</v>
      </c>
      <c r="G136" s="301">
        <v>97.5</v>
      </c>
    </row>
    <row r="137" spans="1:7" x14ac:dyDescent="0.25">
      <c r="A137" s="442">
        <v>13</v>
      </c>
      <c r="B137" s="301"/>
      <c r="C137" s="301"/>
      <c r="D137" s="301"/>
      <c r="E137" s="301">
        <v>28.2</v>
      </c>
      <c r="F137" s="301">
        <v>86.6</v>
      </c>
      <c r="G137" s="301">
        <v>95.4</v>
      </c>
    </row>
    <row r="138" spans="1:7" x14ac:dyDescent="0.25">
      <c r="A138" s="442">
        <v>14</v>
      </c>
      <c r="B138" s="301"/>
      <c r="C138" s="301"/>
      <c r="D138" s="301"/>
      <c r="E138" s="301">
        <v>32.1</v>
      </c>
      <c r="F138" s="301">
        <v>82.4</v>
      </c>
      <c r="G138" s="301">
        <v>102.2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84.7</v>
      </c>
      <c r="G139" s="301">
        <v>94.5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82.4</v>
      </c>
      <c r="G140" s="301">
        <v>91.8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87.9</v>
      </c>
      <c r="G141" s="301">
        <v>94.8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86.3</v>
      </c>
      <c r="G142" s="301">
        <v>92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88.6</v>
      </c>
      <c r="G143" s="301">
        <v>102.7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104.4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105.7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110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104.7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ROUNDDOWN(AVERAGE(B6:D19),1)</f>
        <v>50.9</v>
      </c>
      <c r="C151" s="301">
        <f>ROUNDDOWN(AVERAGE(E6:G34),1)</f>
        <v>81.2</v>
      </c>
      <c r="D151" s="353">
        <v>28044</v>
      </c>
      <c r="E151" s="362">
        <v>46787</v>
      </c>
      <c r="F151" s="353">
        <f>B151*D151</f>
        <v>1427439.5999999999</v>
      </c>
      <c r="G151" s="353">
        <f>C151*E151</f>
        <v>3799104.4</v>
      </c>
    </row>
    <row r="152" spans="1:7" x14ac:dyDescent="0.25">
      <c r="A152" s="298" t="s">
        <v>370</v>
      </c>
      <c r="B152" s="301">
        <f>ROUNDDOWN(AVERAGE(B39:D44),1)</f>
        <v>49.7</v>
      </c>
      <c r="C152" s="301">
        <f>ROUNDDOWN(AVERAGE(E39:G48),1)</f>
        <v>82.4</v>
      </c>
      <c r="D152" s="353">
        <v>10608</v>
      </c>
      <c r="E152" s="362">
        <v>17209</v>
      </c>
      <c r="F152" s="353">
        <f t="shared" ref="F152:G159" si="0">B152*D152</f>
        <v>527217.6</v>
      </c>
      <c r="G152" s="353">
        <f t="shared" si="0"/>
        <v>1418021.6</v>
      </c>
    </row>
    <row r="153" spans="1:7" x14ac:dyDescent="0.25">
      <c r="A153" s="298" t="s">
        <v>371</v>
      </c>
      <c r="B153" s="301">
        <f>ROUNDDOWN(AVERAGE(B53:D57),1)</f>
        <v>53.7</v>
      </c>
      <c r="C153" s="301">
        <f>ROUNDDOWN(AVERAGE(E53:G61),1)</f>
        <v>84.2</v>
      </c>
      <c r="D153" s="353">
        <v>8465</v>
      </c>
      <c r="E153" s="362">
        <v>14823</v>
      </c>
      <c r="F153" s="353">
        <f t="shared" si="0"/>
        <v>454570.5</v>
      </c>
      <c r="G153" s="353">
        <f t="shared" si="0"/>
        <v>1248096.6000000001</v>
      </c>
    </row>
    <row r="154" spans="1:7" x14ac:dyDescent="0.25">
      <c r="A154" s="298" t="s">
        <v>372</v>
      </c>
      <c r="B154" s="301">
        <f>ROUNDDOWN(AVERAGE(B66:D69),1)</f>
        <v>54.1</v>
      </c>
      <c r="C154" s="301">
        <f>ROUNDDOWN(AVERAGE(E66:G72),1)</f>
        <v>84</v>
      </c>
      <c r="D154" s="353">
        <v>6339</v>
      </c>
      <c r="E154" s="362">
        <v>10451</v>
      </c>
      <c r="F154" s="353">
        <f t="shared" si="0"/>
        <v>342939.9</v>
      </c>
      <c r="G154" s="353">
        <f t="shared" si="0"/>
        <v>877884</v>
      </c>
    </row>
    <row r="155" spans="1:7" x14ac:dyDescent="0.25">
      <c r="A155" s="298" t="s">
        <v>373</v>
      </c>
      <c r="B155" s="301">
        <f>ROUNDDOWN(AVERAGE(B76:D77),1)</f>
        <v>49.8</v>
      </c>
      <c r="C155" s="301">
        <f>ROUNDDOWN(AVERAGE(E76:G79),1)</f>
        <v>77.5</v>
      </c>
      <c r="D155" s="353">
        <v>3699</v>
      </c>
      <c r="E155" s="362">
        <v>6496</v>
      </c>
      <c r="F155" s="353">
        <f t="shared" si="0"/>
        <v>184210.19999999998</v>
      </c>
      <c r="G155" s="353">
        <f t="shared" si="0"/>
        <v>503440</v>
      </c>
    </row>
    <row r="156" spans="1:7" x14ac:dyDescent="0.25">
      <c r="A156" s="298" t="s">
        <v>374</v>
      </c>
      <c r="B156" s="301">
        <f>ROUNDDOWN(AVERAGE(B83:D85),1)</f>
        <v>46.8</v>
      </c>
      <c r="C156" s="301">
        <f>ROUNDDOWN(AVERAGE(E83:G88),1)</f>
        <v>83.8</v>
      </c>
      <c r="D156" s="353">
        <v>5340</v>
      </c>
      <c r="E156" s="362">
        <v>9370</v>
      </c>
      <c r="F156" s="353">
        <f t="shared" si="0"/>
        <v>249911.99999999997</v>
      </c>
      <c r="G156" s="353">
        <f t="shared" si="0"/>
        <v>785206</v>
      </c>
    </row>
    <row r="157" spans="1:7" x14ac:dyDescent="0.25">
      <c r="A157" s="298" t="s">
        <v>375</v>
      </c>
      <c r="B157" s="301">
        <f>ROUNDDOWN(AVERAGE(B93:D94),1)</f>
        <v>49.7</v>
      </c>
      <c r="C157" s="301">
        <f>ROUNDDOWN(AVERAGE(E93:G96),1)</f>
        <v>80.400000000000006</v>
      </c>
      <c r="D157" s="353">
        <v>3613</v>
      </c>
      <c r="E157" s="362">
        <v>5828</v>
      </c>
      <c r="F157" s="353">
        <f t="shared" si="0"/>
        <v>179566.1</v>
      </c>
      <c r="G157" s="353">
        <f t="shared" si="0"/>
        <v>468571.2</v>
      </c>
    </row>
    <row r="158" spans="1:7" x14ac:dyDescent="0.25">
      <c r="A158" s="298" t="s">
        <v>365</v>
      </c>
      <c r="B158" s="301">
        <f>ROUNDDOWN(AVERAGE(B100:D112),1)</f>
        <v>50.5</v>
      </c>
      <c r="C158" s="301">
        <f>ROUNDDOWN(AVERAGE(E100:G121),1)</f>
        <v>81.099999999999994</v>
      </c>
      <c r="D158" s="353">
        <v>23194</v>
      </c>
      <c r="E158" s="362">
        <v>40061</v>
      </c>
      <c r="F158" s="353">
        <f t="shared" si="0"/>
        <v>1171297</v>
      </c>
      <c r="G158" s="353">
        <f t="shared" si="0"/>
        <v>3248947.0999999996</v>
      </c>
    </row>
    <row r="159" spans="1:7" x14ac:dyDescent="0.25">
      <c r="A159" s="298" t="s">
        <v>366</v>
      </c>
      <c r="B159" s="301">
        <f>ROUNDDOWN(AVERAGE(B125:D136),1)</f>
        <v>52.9</v>
      </c>
      <c r="C159" s="301">
        <f>ROUNDDOWN(AVERAGE(E125:G147),1)</f>
        <v>80</v>
      </c>
      <c r="D159" s="353">
        <v>22794</v>
      </c>
      <c r="E159" s="362">
        <v>40397</v>
      </c>
      <c r="F159" s="353">
        <f t="shared" si="0"/>
        <v>1205802.5999999999</v>
      </c>
      <c r="G159" s="353">
        <f t="shared" si="0"/>
        <v>3231760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191422</v>
      </c>
      <c r="F160" s="353">
        <f>SUM(F151:F159)</f>
        <v>5742955.5</v>
      </c>
      <c r="G160" s="353">
        <f>SUM(G151:G159)</f>
        <v>15581030.899999999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51.2</v>
      </c>
      <c r="D165" s="280">
        <f>ROUNDDOWN(G160/E160,1)</f>
        <v>81.3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9DD9-0384-401B-8D48-9913724B0E70}">
  <dimension ref="A1:G165"/>
  <sheetViews>
    <sheetView zoomScale="120" zoomScaleNormal="120" workbookViewId="0">
      <selection activeCell="F24" sqref="F24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401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29.5</v>
      </c>
      <c r="C6" s="301">
        <v>53.9</v>
      </c>
      <c r="D6" s="301">
        <v>79.099999999999994</v>
      </c>
      <c r="E6" s="301">
        <v>60</v>
      </c>
      <c r="F6" s="301">
        <v>83.9</v>
      </c>
      <c r="G6" s="301">
        <v>97.8</v>
      </c>
    </row>
    <row r="7" spans="1:7" x14ac:dyDescent="0.25">
      <c r="A7" s="442">
        <v>2</v>
      </c>
      <c r="B7" s="301">
        <v>11.4</v>
      </c>
      <c r="C7" s="301">
        <v>47.1</v>
      </c>
      <c r="D7" s="301">
        <v>80.8</v>
      </c>
      <c r="E7" s="301">
        <v>56.8</v>
      </c>
      <c r="F7" s="301">
        <v>81.7</v>
      </c>
      <c r="G7" s="301">
        <v>92.2</v>
      </c>
    </row>
    <row r="8" spans="1:7" x14ac:dyDescent="0.25">
      <c r="A8" s="442">
        <v>3</v>
      </c>
      <c r="B8" s="301">
        <v>24.6</v>
      </c>
      <c r="C8" s="301">
        <v>50</v>
      </c>
      <c r="D8" s="301">
        <v>84.9</v>
      </c>
      <c r="E8" s="301">
        <v>26.2</v>
      </c>
      <c r="F8" s="301">
        <v>87</v>
      </c>
      <c r="G8" s="301">
        <v>100.4</v>
      </c>
    </row>
    <row r="9" spans="1:7" x14ac:dyDescent="0.25">
      <c r="A9" s="442">
        <v>4</v>
      </c>
      <c r="B9" s="301">
        <v>28.1</v>
      </c>
      <c r="C9" s="301">
        <v>45.5</v>
      </c>
      <c r="D9" s="301">
        <v>83.8</v>
      </c>
      <c r="E9" s="301">
        <v>38.799999999999997</v>
      </c>
      <c r="F9" s="301">
        <v>86.6</v>
      </c>
      <c r="G9" s="301">
        <v>90.4</v>
      </c>
    </row>
    <row r="10" spans="1:7" x14ac:dyDescent="0.25">
      <c r="A10" s="442">
        <v>5</v>
      </c>
      <c r="B10" s="301">
        <v>25.9</v>
      </c>
      <c r="C10" s="301">
        <v>51.4</v>
      </c>
      <c r="D10" s="301">
        <v>79.599999999999994</v>
      </c>
      <c r="E10" s="301">
        <v>59.9</v>
      </c>
      <c r="F10" s="301">
        <v>84.3</v>
      </c>
      <c r="G10" s="301">
        <v>96.1</v>
      </c>
    </row>
    <row r="11" spans="1:7" x14ac:dyDescent="0.25">
      <c r="A11" s="442">
        <v>6</v>
      </c>
      <c r="B11" s="301">
        <v>21</v>
      </c>
      <c r="C11" s="301">
        <v>46.1</v>
      </c>
      <c r="D11" s="301">
        <v>83</v>
      </c>
      <c r="E11" s="301">
        <v>27.1</v>
      </c>
      <c r="F11" s="301">
        <v>87.5</v>
      </c>
      <c r="G11" s="301">
        <v>90.5</v>
      </c>
    </row>
    <row r="12" spans="1:7" x14ac:dyDescent="0.25">
      <c r="A12" s="442">
        <v>7</v>
      </c>
      <c r="B12" s="301">
        <v>29.4</v>
      </c>
      <c r="C12" s="301">
        <v>49.5</v>
      </c>
      <c r="D12" s="301">
        <v>84.6</v>
      </c>
      <c r="E12" s="301">
        <v>37</v>
      </c>
      <c r="F12" s="301">
        <v>86.6</v>
      </c>
      <c r="G12" s="301">
        <v>107</v>
      </c>
    </row>
    <row r="13" spans="1:7" x14ac:dyDescent="0.25">
      <c r="A13" s="442">
        <v>8</v>
      </c>
      <c r="B13" s="301">
        <v>19.5</v>
      </c>
      <c r="C13" s="301">
        <v>46.6</v>
      </c>
      <c r="D13" s="301">
        <v>80.2</v>
      </c>
      <c r="E13" s="301">
        <v>59.6</v>
      </c>
      <c r="F13" s="301">
        <v>82.5</v>
      </c>
      <c r="G13" s="301">
        <v>105</v>
      </c>
    </row>
    <row r="14" spans="1:7" x14ac:dyDescent="0.25">
      <c r="A14" s="442">
        <v>9</v>
      </c>
      <c r="B14" s="301">
        <v>29.6</v>
      </c>
      <c r="C14" s="301">
        <v>49.1</v>
      </c>
      <c r="D14" s="301">
        <v>81.5</v>
      </c>
      <c r="E14" s="301">
        <v>55.8</v>
      </c>
      <c r="F14" s="301">
        <v>80.8</v>
      </c>
      <c r="G14" s="301">
        <v>98.6</v>
      </c>
    </row>
    <row r="15" spans="1:7" x14ac:dyDescent="0.25">
      <c r="A15" s="442">
        <v>10</v>
      </c>
      <c r="B15" s="301">
        <v>14.1</v>
      </c>
      <c r="C15" s="301">
        <v>45.2</v>
      </c>
      <c r="D15" s="301">
        <v>82.8</v>
      </c>
      <c r="E15" s="301">
        <v>25.8</v>
      </c>
      <c r="F15" s="301">
        <v>84.3</v>
      </c>
      <c r="G15" s="301">
        <v>96.1</v>
      </c>
    </row>
    <row r="16" spans="1:7" x14ac:dyDescent="0.25">
      <c r="A16" s="442">
        <v>11</v>
      </c>
      <c r="B16" s="301">
        <v>12.4</v>
      </c>
      <c r="C16" s="301">
        <v>45.6</v>
      </c>
      <c r="D16" s="301">
        <v>75.2</v>
      </c>
      <c r="E16" s="301">
        <v>40.4</v>
      </c>
      <c r="F16" s="301">
        <v>81</v>
      </c>
      <c r="G16" s="301">
        <v>99.6</v>
      </c>
    </row>
    <row r="17" spans="1:7" x14ac:dyDescent="0.25">
      <c r="A17" s="442">
        <v>12</v>
      </c>
      <c r="B17" s="301">
        <v>17.899999999999999</v>
      </c>
      <c r="C17" s="301">
        <v>48.9</v>
      </c>
      <c r="D17" s="301">
        <v>78.3</v>
      </c>
      <c r="E17" s="301">
        <v>34.200000000000003</v>
      </c>
      <c r="F17" s="301">
        <v>81</v>
      </c>
      <c r="G17" s="301">
        <v>98.5</v>
      </c>
    </row>
    <row r="18" spans="1:7" x14ac:dyDescent="0.25">
      <c r="A18" s="442">
        <v>13</v>
      </c>
      <c r="B18" s="301">
        <v>10.4</v>
      </c>
      <c r="C18" s="301">
        <v>45.2</v>
      </c>
      <c r="D18" s="301">
        <v>82.5</v>
      </c>
      <c r="E18" s="301">
        <v>48.1</v>
      </c>
      <c r="F18" s="301">
        <v>82.7</v>
      </c>
      <c r="G18" s="301">
        <v>101.8</v>
      </c>
    </row>
    <row r="19" spans="1:7" x14ac:dyDescent="0.25">
      <c r="A19" s="442">
        <v>14</v>
      </c>
      <c r="B19" s="301"/>
      <c r="C19" s="301"/>
      <c r="D19" s="301">
        <v>78</v>
      </c>
      <c r="E19" s="301">
        <v>42</v>
      </c>
      <c r="F19" s="301">
        <v>84.5</v>
      </c>
      <c r="G19" s="301">
        <v>104.6</v>
      </c>
    </row>
    <row r="20" spans="1:7" x14ac:dyDescent="0.25">
      <c r="A20" s="442">
        <v>15</v>
      </c>
      <c r="B20" s="301"/>
      <c r="C20" s="301"/>
      <c r="D20" s="301"/>
      <c r="E20" s="301">
        <v>27.1</v>
      </c>
      <c r="F20" s="301">
        <v>82.5</v>
      </c>
      <c r="G20" s="301">
        <v>92.7</v>
      </c>
    </row>
    <row r="21" spans="1:7" x14ac:dyDescent="0.25">
      <c r="A21" s="442">
        <v>16</v>
      </c>
      <c r="B21" s="301"/>
      <c r="C21" s="301"/>
      <c r="D21" s="301"/>
      <c r="E21" s="301">
        <v>35.6</v>
      </c>
      <c r="F21" s="301">
        <v>86.1</v>
      </c>
      <c r="G21" s="301">
        <v>92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81.099999999999994</v>
      </c>
      <c r="G22" s="301">
        <v>95.5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88.8</v>
      </c>
      <c r="G23" s="301">
        <v>102.8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83.5</v>
      </c>
      <c r="G24" s="301">
        <v>104.5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87.1</v>
      </c>
      <c r="G25" s="301">
        <v>100.3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82</v>
      </c>
      <c r="G26" s="301">
        <v>91.9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88.9</v>
      </c>
      <c r="G27" s="301">
        <v>90.5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80.7</v>
      </c>
      <c r="G28" s="301">
        <v>90.4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84.7</v>
      </c>
      <c r="G29" s="301">
        <v>100.2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94.6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91.7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106.2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103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108.5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12</v>
      </c>
      <c r="C39" s="301">
        <v>53.3</v>
      </c>
      <c r="D39" s="301">
        <v>83.1</v>
      </c>
      <c r="E39" s="301">
        <v>52.4</v>
      </c>
      <c r="F39" s="301">
        <v>89.9</v>
      </c>
      <c r="G39" s="301">
        <v>111</v>
      </c>
    </row>
    <row r="40" spans="1:7" x14ac:dyDescent="0.25">
      <c r="A40" s="442">
        <v>2</v>
      </c>
      <c r="B40" s="301">
        <v>17.7</v>
      </c>
      <c r="C40" s="301">
        <v>49.2</v>
      </c>
      <c r="D40" s="301">
        <v>76.5</v>
      </c>
      <c r="E40" s="301">
        <v>53.7</v>
      </c>
      <c r="F40" s="301">
        <v>84.4</v>
      </c>
      <c r="G40" s="301">
        <v>97</v>
      </c>
    </row>
    <row r="41" spans="1:7" x14ac:dyDescent="0.25">
      <c r="A41" s="442">
        <v>3</v>
      </c>
      <c r="B41" s="301">
        <v>11.3</v>
      </c>
      <c r="C41" s="301">
        <v>45.9</v>
      </c>
      <c r="D41" s="301">
        <v>80.400000000000006</v>
      </c>
      <c r="E41" s="301">
        <v>25.5</v>
      </c>
      <c r="F41" s="301">
        <v>81.599999999999994</v>
      </c>
      <c r="G41" s="301">
        <v>94.8</v>
      </c>
    </row>
    <row r="42" spans="1:7" x14ac:dyDescent="0.25">
      <c r="A42" s="442">
        <v>4</v>
      </c>
      <c r="B42" s="301">
        <v>16.8</v>
      </c>
      <c r="C42" s="301">
        <v>51.9</v>
      </c>
      <c r="D42" s="301">
        <v>82.7</v>
      </c>
      <c r="E42" s="301">
        <v>54.1</v>
      </c>
      <c r="F42" s="301">
        <v>84.2</v>
      </c>
      <c r="G42" s="301">
        <v>110.6</v>
      </c>
    </row>
    <row r="43" spans="1:7" x14ac:dyDescent="0.25">
      <c r="A43" s="442">
        <v>5</v>
      </c>
      <c r="B43" s="301">
        <v>20.100000000000001</v>
      </c>
      <c r="C43" s="301">
        <v>46.2</v>
      </c>
      <c r="D43" s="301">
        <v>79.8</v>
      </c>
      <c r="E43" s="301">
        <v>46.2</v>
      </c>
      <c r="F43" s="301">
        <v>86.7</v>
      </c>
      <c r="G43" s="301">
        <v>102</v>
      </c>
    </row>
    <row r="44" spans="1:7" x14ac:dyDescent="0.25">
      <c r="A44" s="442">
        <v>6</v>
      </c>
      <c r="B44" s="301"/>
      <c r="C44" s="301">
        <v>52.1</v>
      </c>
      <c r="D44" s="301"/>
      <c r="E44" s="301">
        <v>58.1</v>
      </c>
      <c r="F44" s="301">
        <v>87.1</v>
      </c>
      <c r="G44" s="301">
        <v>102.9</v>
      </c>
    </row>
    <row r="45" spans="1:7" x14ac:dyDescent="0.25">
      <c r="A45" s="442">
        <v>7</v>
      </c>
      <c r="B45" s="301"/>
      <c r="C45" s="301"/>
      <c r="D45" s="301"/>
      <c r="E45" s="301"/>
      <c r="F45" s="301">
        <v>83.6</v>
      </c>
      <c r="G45" s="301">
        <v>96.3</v>
      </c>
    </row>
    <row r="46" spans="1:7" x14ac:dyDescent="0.25">
      <c r="A46" s="442">
        <v>8</v>
      </c>
      <c r="B46" s="301"/>
      <c r="C46" s="301"/>
      <c r="D46" s="301"/>
      <c r="E46" s="301"/>
      <c r="F46" s="301">
        <v>85.1</v>
      </c>
      <c r="G46" s="301">
        <v>105.5</v>
      </c>
    </row>
    <row r="47" spans="1:7" x14ac:dyDescent="0.25">
      <c r="A47" s="442">
        <v>9</v>
      </c>
      <c r="B47" s="301"/>
      <c r="C47" s="301"/>
      <c r="D47" s="301"/>
      <c r="E47" s="301"/>
      <c r="F47" s="301">
        <v>89.5</v>
      </c>
      <c r="G47" s="301">
        <v>97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83</v>
      </c>
      <c r="G48" s="301">
        <v>96.5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15.4</v>
      </c>
      <c r="C53" s="301">
        <v>49.7</v>
      </c>
      <c r="D53" s="301">
        <v>76.7</v>
      </c>
      <c r="E53" s="301">
        <v>28.8</v>
      </c>
      <c r="F53" s="301">
        <v>84.5</v>
      </c>
      <c r="G53" s="301">
        <v>99</v>
      </c>
    </row>
    <row r="54" spans="1:7" x14ac:dyDescent="0.25">
      <c r="A54" s="442">
        <v>2</v>
      </c>
      <c r="B54" s="301">
        <v>22.5</v>
      </c>
      <c r="C54" s="301">
        <v>52.1</v>
      </c>
      <c r="D54" s="301">
        <v>81.3</v>
      </c>
      <c r="E54" s="301">
        <v>36.5</v>
      </c>
      <c r="F54" s="301">
        <v>86.4</v>
      </c>
      <c r="G54" s="301">
        <v>92.6</v>
      </c>
    </row>
    <row r="55" spans="1:7" x14ac:dyDescent="0.25">
      <c r="A55" s="442">
        <v>3</v>
      </c>
      <c r="B55" s="301">
        <v>18.2</v>
      </c>
      <c r="C55" s="301">
        <v>45.7</v>
      </c>
      <c r="D55" s="301">
        <v>83.4</v>
      </c>
      <c r="E55" s="301">
        <v>42</v>
      </c>
      <c r="F55" s="301">
        <v>88.2</v>
      </c>
      <c r="G55" s="301">
        <v>108.4</v>
      </c>
    </row>
    <row r="56" spans="1:7" x14ac:dyDescent="0.25">
      <c r="A56" s="442">
        <v>4</v>
      </c>
      <c r="B56" s="301">
        <v>28.3</v>
      </c>
      <c r="C56" s="301">
        <v>52</v>
      </c>
      <c r="D56" s="301">
        <v>83.2</v>
      </c>
      <c r="E56" s="301">
        <v>35.700000000000003</v>
      </c>
      <c r="F56" s="301">
        <v>82.6</v>
      </c>
      <c r="G56" s="301">
        <v>109.6</v>
      </c>
    </row>
    <row r="57" spans="1:7" x14ac:dyDescent="0.25">
      <c r="A57" s="442">
        <v>5</v>
      </c>
      <c r="B57" s="301"/>
      <c r="C57" s="301">
        <v>47.8</v>
      </c>
      <c r="D57" s="301">
        <v>81.099999999999994</v>
      </c>
      <c r="E57" s="301">
        <v>32.4</v>
      </c>
      <c r="F57" s="301">
        <v>85.1</v>
      </c>
      <c r="G57" s="301">
        <v>103.9</v>
      </c>
    </row>
    <row r="58" spans="1:7" x14ac:dyDescent="0.25">
      <c r="A58" s="442">
        <v>6</v>
      </c>
      <c r="B58" s="301"/>
      <c r="C58" s="301"/>
      <c r="D58" s="301"/>
      <c r="E58" s="301"/>
      <c r="F58" s="301">
        <v>86.2</v>
      </c>
      <c r="G58" s="301">
        <v>108.9</v>
      </c>
    </row>
    <row r="59" spans="1:7" x14ac:dyDescent="0.25">
      <c r="A59" s="442">
        <v>7</v>
      </c>
      <c r="B59" s="301"/>
      <c r="C59" s="301"/>
      <c r="D59" s="301"/>
      <c r="E59" s="301"/>
      <c r="F59" s="301">
        <v>80</v>
      </c>
      <c r="G59" s="301">
        <v>99.8</v>
      </c>
    </row>
    <row r="60" spans="1:7" x14ac:dyDescent="0.25">
      <c r="A60" s="442">
        <v>8</v>
      </c>
      <c r="B60" s="301"/>
      <c r="C60" s="301"/>
      <c r="D60" s="301"/>
      <c r="E60" s="301"/>
      <c r="F60" s="301">
        <v>88.6</v>
      </c>
      <c r="G60" s="301">
        <v>101.4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107.6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26.4</v>
      </c>
      <c r="C66" s="301">
        <v>54.5</v>
      </c>
      <c r="D66" s="301">
        <v>78.400000000000006</v>
      </c>
      <c r="E66" s="301">
        <v>58.4</v>
      </c>
      <c r="F66" s="301">
        <v>85.8</v>
      </c>
      <c r="G66" s="301">
        <v>100.8</v>
      </c>
    </row>
    <row r="67" spans="1:7" x14ac:dyDescent="0.25">
      <c r="A67" s="442">
        <v>2</v>
      </c>
      <c r="B67" s="301">
        <v>11.5</v>
      </c>
      <c r="C67" s="301">
        <v>49</v>
      </c>
      <c r="D67" s="301">
        <v>84</v>
      </c>
      <c r="E67" s="301">
        <v>28.7</v>
      </c>
      <c r="F67" s="301">
        <v>83.5</v>
      </c>
      <c r="G67" s="301">
        <v>97.3</v>
      </c>
    </row>
    <row r="68" spans="1:7" x14ac:dyDescent="0.25">
      <c r="A68" s="442">
        <v>3</v>
      </c>
      <c r="B68" s="301">
        <v>19.5</v>
      </c>
      <c r="C68" s="301">
        <v>49.1</v>
      </c>
      <c r="D68" s="301">
        <v>77.099999999999994</v>
      </c>
      <c r="E68" s="301">
        <v>29.4</v>
      </c>
      <c r="F68" s="301">
        <v>81.3</v>
      </c>
      <c r="G68" s="301">
        <v>100.2</v>
      </c>
    </row>
    <row r="69" spans="1:7" x14ac:dyDescent="0.25">
      <c r="A69" s="442">
        <v>4</v>
      </c>
      <c r="B69" s="301"/>
      <c r="C69" s="301"/>
      <c r="D69" s="301">
        <v>79.8</v>
      </c>
      <c r="E69" s="301">
        <v>27.1</v>
      </c>
      <c r="F69" s="301">
        <v>84.3</v>
      </c>
      <c r="G69" s="301">
        <v>101.1</v>
      </c>
    </row>
    <row r="70" spans="1:7" x14ac:dyDescent="0.25">
      <c r="A70" s="442">
        <v>5</v>
      </c>
      <c r="B70" s="301"/>
      <c r="C70" s="301"/>
      <c r="D70" s="301"/>
      <c r="E70" s="301"/>
      <c r="F70" s="301">
        <v>89.1</v>
      </c>
      <c r="G70" s="301">
        <v>90.3</v>
      </c>
    </row>
    <row r="71" spans="1:7" x14ac:dyDescent="0.25">
      <c r="A71" s="442">
        <v>6</v>
      </c>
      <c r="B71" s="301"/>
      <c r="C71" s="301"/>
      <c r="D71" s="301"/>
      <c r="E71" s="301"/>
      <c r="F71" s="301">
        <v>84.6</v>
      </c>
      <c r="G71" s="301">
        <v>107.4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93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14.3</v>
      </c>
      <c r="C76" s="301">
        <v>46.3</v>
      </c>
      <c r="D76" s="301">
        <v>76.400000000000006</v>
      </c>
      <c r="E76" s="301">
        <v>45.8</v>
      </c>
      <c r="F76" s="301">
        <v>85.7</v>
      </c>
      <c r="G76" s="301">
        <v>92.2</v>
      </c>
    </row>
    <row r="77" spans="1:7" x14ac:dyDescent="0.25">
      <c r="A77" s="442">
        <v>2</v>
      </c>
      <c r="B77" s="301">
        <v>20.2</v>
      </c>
      <c r="C77" s="301">
        <v>50</v>
      </c>
      <c r="D77" s="301">
        <v>77.5</v>
      </c>
      <c r="E77" s="301">
        <v>59.1</v>
      </c>
      <c r="F77" s="301">
        <v>84.7</v>
      </c>
      <c r="G77" s="301">
        <v>91.8</v>
      </c>
    </row>
    <row r="78" spans="1:7" x14ac:dyDescent="0.25">
      <c r="A78" s="442">
        <v>3</v>
      </c>
      <c r="B78" s="301"/>
      <c r="C78" s="301"/>
      <c r="D78" s="301"/>
      <c r="E78" s="301">
        <v>37.1</v>
      </c>
      <c r="F78" s="301">
        <v>84.1</v>
      </c>
      <c r="G78" s="301">
        <v>107.9</v>
      </c>
    </row>
    <row r="79" spans="1:7" x14ac:dyDescent="0.25">
      <c r="A79" s="442">
        <v>4</v>
      </c>
      <c r="B79" s="301"/>
      <c r="C79" s="301"/>
      <c r="D79" s="301"/>
      <c r="E79" s="301"/>
      <c r="F79" s="301">
        <v>81.5</v>
      </c>
      <c r="G79" s="301">
        <v>102.2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10.5</v>
      </c>
      <c r="C83" s="301">
        <v>48.7</v>
      </c>
      <c r="D83" s="301">
        <v>82.2</v>
      </c>
      <c r="E83" s="301">
        <v>42.7</v>
      </c>
      <c r="F83" s="301">
        <v>89.5</v>
      </c>
      <c r="G83" s="301">
        <v>105.6</v>
      </c>
    </row>
    <row r="84" spans="1:7" x14ac:dyDescent="0.25">
      <c r="A84" s="442">
        <v>2</v>
      </c>
      <c r="B84" s="301">
        <v>11.2</v>
      </c>
      <c r="C84" s="301">
        <v>47.5</v>
      </c>
      <c r="D84" s="301">
        <v>81</v>
      </c>
      <c r="E84" s="301">
        <v>45.8</v>
      </c>
      <c r="F84" s="301">
        <v>81</v>
      </c>
      <c r="G84" s="301">
        <v>107.1</v>
      </c>
    </row>
    <row r="85" spans="1:7" x14ac:dyDescent="0.25">
      <c r="A85" s="442">
        <v>3</v>
      </c>
      <c r="B85" s="301">
        <v>29.5</v>
      </c>
      <c r="C85" s="301">
        <v>54.6</v>
      </c>
      <c r="D85" s="301">
        <v>82</v>
      </c>
      <c r="E85" s="301">
        <v>44.5</v>
      </c>
      <c r="F85" s="301">
        <v>87.1</v>
      </c>
      <c r="G85" s="301">
        <v>110.4</v>
      </c>
    </row>
    <row r="86" spans="1:7" x14ac:dyDescent="0.25">
      <c r="A86" s="442">
        <v>4</v>
      </c>
      <c r="B86" s="301"/>
      <c r="C86" s="301"/>
      <c r="D86" s="301"/>
      <c r="E86" s="301">
        <v>58.3</v>
      </c>
      <c r="F86" s="301">
        <v>80.3</v>
      </c>
      <c r="G86" s="301">
        <v>93.3</v>
      </c>
    </row>
    <row r="87" spans="1:7" x14ac:dyDescent="0.25">
      <c r="A87" s="442">
        <v>5</v>
      </c>
      <c r="B87" s="301"/>
      <c r="C87" s="301"/>
      <c r="D87" s="301"/>
      <c r="E87" s="301"/>
      <c r="F87" s="301">
        <v>82.2</v>
      </c>
      <c r="G87" s="301">
        <v>100.4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91.7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21</v>
      </c>
      <c r="C93" s="301">
        <v>45.2</v>
      </c>
      <c r="D93" s="301">
        <v>75.5</v>
      </c>
      <c r="E93" s="301">
        <v>48.1</v>
      </c>
      <c r="F93" s="301">
        <v>86.1</v>
      </c>
      <c r="G93" s="301">
        <v>105.2</v>
      </c>
    </row>
    <row r="94" spans="1:7" x14ac:dyDescent="0.25">
      <c r="A94" s="442">
        <v>2</v>
      </c>
      <c r="B94" s="301">
        <v>23.8</v>
      </c>
      <c r="C94" s="301">
        <v>46.5</v>
      </c>
      <c r="D94" s="301">
        <v>83.6</v>
      </c>
      <c r="E94" s="301">
        <v>42.9</v>
      </c>
      <c r="F94" s="301">
        <v>87.6</v>
      </c>
      <c r="G94" s="301">
        <v>107.2</v>
      </c>
    </row>
    <row r="95" spans="1:7" x14ac:dyDescent="0.25">
      <c r="A95" s="442">
        <v>3</v>
      </c>
      <c r="B95" s="301"/>
      <c r="C95" s="301"/>
      <c r="D95" s="301"/>
      <c r="E95" s="301">
        <v>45.7</v>
      </c>
      <c r="F95" s="301">
        <v>84.1</v>
      </c>
      <c r="G95" s="301">
        <v>101.5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106.4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16.8</v>
      </c>
      <c r="C100" s="301">
        <v>52.2</v>
      </c>
      <c r="D100" s="301">
        <v>83</v>
      </c>
      <c r="E100" s="301">
        <v>28</v>
      </c>
      <c r="F100" s="301">
        <v>89.6</v>
      </c>
      <c r="G100" s="301">
        <v>106.1</v>
      </c>
    </row>
    <row r="101" spans="1:7" x14ac:dyDescent="0.25">
      <c r="A101" s="442">
        <v>2</v>
      </c>
      <c r="B101" s="301">
        <v>15</v>
      </c>
      <c r="C101" s="301">
        <v>47.8</v>
      </c>
      <c r="D101" s="301">
        <v>76.7</v>
      </c>
      <c r="E101" s="301">
        <v>34.6</v>
      </c>
      <c r="F101" s="301">
        <v>86.3</v>
      </c>
      <c r="G101" s="301">
        <v>95.8</v>
      </c>
    </row>
    <row r="102" spans="1:7" x14ac:dyDescent="0.25">
      <c r="A102" s="442">
        <v>3</v>
      </c>
      <c r="B102" s="301">
        <v>18.399999999999999</v>
      </c>
      <c r="C102" s="301">
        <v>54.8</v>
      </c>
      <c r="D102" s="301">
        <v>76.400000000000006</v>
      </c>
      <c r="E102" s="301">
        <v>50.4</v>
      </c>
      <c r="F102" s="301">
        <v>88</v>
      </c>
      <c r="G102" s="301">
        <v>96.9</v>
      </c>
    </row>
    <row r="103" spans="1:7" x14ac:dyDescent="0.25">
      <c r="A103" s="442">
        <v>4</v>
      </c>
      <c r="B103" s="301">
        <v>10.1</v>
      </c>
      <c r="C103" s="301">
        <v>54.4</v>
      </c>
      <c r="D103" s="301">
        <v>82.4</v>
      </c>
      <c r="E103" s="301">
        <v>56.6</v>
      </c>
      <c r="F103" s="301">
        <v>85.4</v>
      </c>
      <c r="G103" s="301">
        <v>109.7</v>
      </c>
    </row>
    <row r="104" spans="1:7" x14ac:dyDescent="0.25">
      <c r="A104" s="442">
        <v>5</v>
      </c>
      <c r="B104" s="301">
        <v>20</v>
      </c>
      <c r="C104" s="301">
        <v>46.2</v>
      </c>
      <c r="D104" s="301">
        <v>80.900000000000006</v>
      </c>
      <c r="E104" s="301">
        <v>48.6</v>
      </c>
      <c r="F104" s="301">
        <v>87.6</v>
      </c>
      <c r="G104" s="301">
        <v>107.2</v>
      </c>
    </row>
    <row r="105" spans="1:7" x14ac:dyDescent="0.25">
      <c r="A105" s="442">
        <v>6</v>
      </c>
      <c r="B105" s="301">
        <v>22.8</v>
      </c>
      <c r="C105" s="301">
        <v>48.3</v>
      </c>
      <c r="D105" s="301">
        <v>75.5</v>
      </c>
      <c r="E105" s="301">
        <v>47.5</v>
      </c>
      <c r="F105" s="301">
        <v>83.1</v>
      </c>
      <c r="G105" s="301">
        <v>102</v>
      </c>
    </row>
    <row r="106" spans="1:7" x14ac:dyDescent="0.25">
      <c r="A106" s="442">
        <v>7</v>
      </c>
      <c r="B106" s="301">
        <v>23.1</v>
      </c>
      <c r="C106" s="301">
        <v>53.3</v>
      </c>
      <c r="D106" s="301">
        <v>81.599999999999994</v>
      </c>
      <c r="E106" s="301">
        <v>43.6</v>
      </c>
      <c r="F106" s="301">
        <v>83.2</v>
      </c>
      <c r="G106" s="301">
        <v>91.1</v>
      </c>
    </row>
    <row r="107" spans="1:7" x14ac:dyDescent="0.25">
      <c r="A107" s="442">
        <v>8</v>
      </c>
      <c r="B107" s="301">
        <v>27.4</v>
      </c>
      <c r="C107" s="301">
        <v>45.8</v>
      </c>
      <c r="D107" s="301">
        <v>83.2</v>
      </c>
      <c r="E107" s="301">
        <v>36.799999999999997</v>
      </c>
      <c r="F107" s="301">
        <v>87.5</v>
      </c>
      <c r="G107" s="301">
        <v>98.2</v>
      </c>
    </row>
    <row r="108" spans="1:7" x14ac:dyDescent="0.25">
      <c r="A108" s="442">
        <v>9</v>
      </c>
      <c r="B108" s="301">
        <v>12.6</v>
      </c>
      <c r="C108" s="301">
        <v>47.3</v>
      </c>
      <c r="D108" s="301">
        <v>78.8</v>
      </c>
      <c r="E108" s="301">
        <v>26.8</v>
      </c>
      <c r="F108" s="301">
        <v>87</v>
      </c>
      <c r="G108" s="301">
        <v>99.8</v>
      </c>
    </row>
    <row r="109" spans="1:7" x14ac:dyDescent="0.25">
      <c r="A109" s="442">
        <v>10</v>
      </c>
      <c r="B109" s="301">
        <v>29.8</v>
      </c>
      <c r="C109" s="301">
        <v>45.3</v>
      </c>
      <c r="D109" s="301">
        <v>78.2</v>
      </c>
      <c r="E109" s="301">
        <v>28.7</v>
      </c>
      <c r="F109" s="301">
        <v>80.400000000000006</v>
      </c>
      <c r="G109" s="301">
        <v>106</v>
      </c>
    </row>
    <row r="110" spans="1:7" x14ac:dyDescent="0.25">
      <c r="A110" s="442">
        <v>11</v>
      </c>
      <c r="B110" s="301"/>
      <c r="C110" s="301">
        <v>49.6</v>
      </c>
      <c r="D110" s="301">
        <v>81.900000000000006</v>
      </c>
      <c r="E110" s="301">
        <v>42.8</v>
      </c>
      <c r="F110" s="301">
        <v>87.8</v>
      </c>
      <c r="G110" s="301">
        <v>104.8</v>
      </c>
    </row>
    <row r="111" spans="1:7" x14ac:dyDescent="0.25">
      <c r="A111" s="442">
        <v>12</v>
      </c>
      <c r="B111" s="301"/>
      <c r="C111" s="301">
        <v>54.3</v>
      </c>
      <c r="D111" s="301"/>
      <c r="E111" s="301">
        <v>58.8</v>
      </c>
      <c r="F111" s="301">
        <v>80.099999999999994</v>
      </c>
      <c r="G111" s="301">
        <v>106.7</v>
      </c>
    </row>
    <row r="112" spans="1:7" x14ac:dyDescent="0.25">
      <c r="A112" s="442">
        <v>13</v>
      </c>
      <c r="B112" s="301"/>
      <c r="C112" s="301">
        <v>54.5</v>
      </c>
      <c r="D112" s="301"/>
      <c r="E112" s="301">
        <v>46.3</v>
      </c>
      <c r="F112" s="301">
        <v>82.8</v>
      </c>
      <c r="G112" s="301">
        <v>109.3</v>
      </c>
    </row>
    <row r="113" spans="1:7" x14ac:dyDescent="0.25">
      <c r="A113" s="442">
        <v>14</v>
      </c>
      <c r="B113" s="301"/>
      <c r="C113" s="301"/>
      <c r="D113" s="301"/>
      <c r="E113" s="301">
        <v>34.4</v>
      </c>
      <c r="F113" s="301">
        <v>89.1</v>
      </c>
      <c r="G113" s="301">
        <v>95.6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87</v>
      </c>
      <c r="G114" s="301">
        <v>101.6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89.3</v>
      </c>
      <c r="G115" s="301">
        <v>104.1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85.9</v>
      </c>
      <c r="G116" s="301">
        <v>102.4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85.7</v>
      </c>
      <c r="G117" s="301">
        <v>94.2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80.400000000000006</v>
      </c>
      <c r="G118" s="301">
        <v>105.9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80.7</v>
      </c>
      <c r="G119" s="301">
        <v>110.4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88</v>
      </c>
      <c r="G120" s="301">
        <v>110.8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87.7</v>
      </c>
      <c r="G121" s="301">
        <v>97.7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26.4</v>
      </c>
      <c r="C125" s="301">
        <v>45</v>
      </c>
      <c r="D125" s="301">
        <v>81.2</v>
      </c>
      <c r="E125" s="301">
        <v>27.3</v>
      </c>
      <c r="F125" s="301">
        <v>81.400000000000006</v>
      </c>
      <c r="G125" s="301">
        <v>110.2</v>
      </c>
    </row>
    <row r="126" spans="1:7" x14ac:dyDescent="0.25">
      <c r="A126" s="442">
        <v>2</v>
      </c>
      <c r="B126" s="301">
        <v>17</v>
      </c>
      <c r="C126" s="301">
        <v>47.4</v>
      </c>
      <c r="D126" s="301">
        <v>77.5</v>
      </c>
      <c r="E126" s="301">
        <v>35.5</v>
      </c>
      <c r="F126" s="301">
        <v>82.4</v>
      </c>
      <c r="G126" s="301">
        <v>101.8</v>
      </c>
    </row>
    <row r="127" spans="1:7" x14ac:dyDescent="0.25">
      <c r="A127" s="442">
        <v>3</v>
      </c>
      <c r="B127" s="301">
        <v>19.8</v>
      </c>
      <c r="C127" s="301">
        <v>54</v>
      </c>
      <c r="D127" s="301">
        <v>83.3</v>
      </c>
      <c r="E127" s="301">
        <v>44.7</v>
      </c>
      <c r="F127" s="301">
        <v>90</v>
      </c>
      <c r="G127" s="301">
        <v>100.8</v>
      </c>
    </row>
    <row r="128" spans="1:7" x14ac:dyDescent="0.25">
      <c r="A128" s="442">
        <v>4</v>
      </c>
      <c r="B128" s="301">
        <v>27.4</v>
      </c>
      <c r="C128" s="301">
        <v>54</v>
      </c>
      <c r="D128" s="301">
        <v>78.2</v>
      </c>
      <c r="E128" s="301">
        <v>43.7</v>
      </c>
      <c r="F128" s="301">
        <v>82.8</v>
      </c>
      <c r="G128" s="301">
        <v>110.3</v>
      </c>
    </row>
    <row r="129" spans="1:7" x14ac:dyDescent="0.25">
      <c r="A129" s="442">
        <v>5</v>
      </c>
      <c r="B129" s="301">
        <v>11.9</v>
      </c>
      <c r="C129" s="301">
        <v>45.6</v>
      </c>
      <c r="D129" s="301">
        <v>79.2</v>
      </c>
      <c r="E129" s="301">
        <v>28.1</v>
      </c>
      <c r="F129" s="301">
        <v>80.900000000000006</v>
      </c>
      <c r="G129" s="301">
        <v>95.9</v>
      </c>
    </row>
    <row r="130" spans="1:7" x14ac:dyDescent="0.25">
      <c r="A130" s="442">
        <v>6</v>
      </c>
      <c r="B130" s="301">
        <v>21.1</v>
      </c>
      <c r="C130" s="301">
        <v>52.3</v>
      </c>
      <c r="D130" s="301">
        <v>84.8</v>
      </c>
      <c r="E130" s="301">
        <v>46.1</v>
      </c>
      <c r="F130" s="301">
        <v>80.2</v>
      </c>
      <c r="G130" s="301">
        <v>104.9</v>
      </c>
    </row>
    <row r="131" spans="1:7" x14ac:dyDescent="0.25">
      <c r="A131" s="442">
        <v>7</v>
      </c>
      <c r="B131" s="301">
        <v>26.1</v>
      </c>
      <c r="C131" s="301">
        <v>46.2</v>
      </c>
      <c r="D131" s="301">
        <v>81.8</v>
      </c>
      <c r="E131" s="301">
        <v>42.2</v>
      </c>
      <c r="F131" s="301">
        <v>89.2</v>
      </c>
      <c r="G131" s="301">
        <v>104.1</v>
      </c>
    </row>
    <row r="132" spans="1:7" x14ac:dyDescent="0.25">
      <c r="A132" s="442">
        <v>8</v>
      </c>
      <c r="B132" s="301">
        <v>26.2</v>
      </c>
      <c r="C132" s="301">
        <v>52.4</v>
      </c>
      <c r="D132" s="301">
        <v>83.5</v>
      </c>
      <c r="E132" s="301">
        <v>44.8</v>
      </c>
      <c r="F132" s="301">
        <v>89.2</v>
      </c>
      <c r="G132" s="301">
        <v>103.4</v>
      </c>
    </row>
    <row r="133" spans="1:7" x14ac:dyDescent="0.25">
      <c r="A133" s="442">
        <v>9</v>
      </c>
      <c r="B133" s="301">
        <v>17.100000000000001</v>
      </c>
      <c r="C133" s="301">
        <v>52.8</v>
      </c>
      <c r="D133" s="301">
        <v>84.2</v>
      </c>
      <c r="E133" s="301">
        <v>35.700000000000003</v>
      </c>
      <c r="F133" s="301">
        <v>84.6</v>
      </c>
      <c r="G133" s="301">
        <v>94.3</v>
      </c>
    </row>
    <row r="134" spans="1:7" x14ac:dyDescent="0.25">
      <c r="A134" s="442">
        <v>10</v>
      </c>
      <c r="B134" s="301">
        <v>11.1</v>
      </c>
      <c r="C134" s="301">
        <v>52.9</v>
      </c>
      <c r="D134" s="301">
        <v>76</v>
      </c>
      <c r="E134" s="301">
        <v>26.7</v>
      </c>
      <c r="F134" s="301">
        <v>85.3</v>
      </c>
      <c r="G134" s="301">
        <v>93</v>
      </c>
    </row>
    <row r="135" spans="1:7" x14ac:dyDescent="0.25">
      <c r="A135" s="442">
        <v>11</v>
      </c>
      <c r="B135" s="301"/>
      <c r="C135" s="301">
        <v>46.4</v>
      </c>
      <c r="D135" s="301">
        <v>75.8</v>
      </c>
      <c r="E135" s="301">
        <v>36.4</v>
      </c>
      <c r="F135" s="301">
        <v>86.8</v>
      </c>
      <c r="G135" s="301">
        <v>94.1</v>
      </c>
    </row>
    <row r="136" spans="1:7" x14ac:dyDescent="0.25">
      <c r="A136" s="442">
        <v>12</v>
      </c>
      <c r="B136" s="301"/>
      <c r="C136" s="301">
        <v>49.3</v>
      </c>
      <c r="D136" s="301">
        <v>83.2</v>
      </c>
      <c r="E136" s="301">
        <v>37.5</v>
      </c>
      <c r="F136" s="301">
        <v>84.6</v>
      </c>
      <c r="G136" s="301">
        <v>102.4</v>
      </c>
    </row>
    <row r="137" spans="1:7" x14ac:dyDescent="0.25">
      <c r="A137" s="442">
        <v>13</v>
      </c>
      <c r="B137" s="301"/>
      <c r="C137" s="301"/>
      <c r="D137" s="301"/>
      <c r="E137" s="301">
        <v>47</v>
      </c>
      <c r="F137" s="301">
        <v>84.6</v>
      </c>
      <c r="G137" s="301">
        <v>93.2</v>
      </c>
    </row>
    <row r="138" spans="1:7" x14ac:dyDescent="0.25">
      <c r="A138" s="442">
        <v>14</v>
      </c>
      <c r="B138" s="301"/>
      <c r="C138" s="301"/>
      <c r="D138" s="301"/>
      <c r="E138" s="301">
        <v>57.2</v>
      </c>
      <c r="F138" s="301">
        <v>81.7</v>
      </c>
      <c r="G138" s="301">
        <v>108.8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82.5</v>
      </c>
      <c r="G139" s="301">
        <v>104.5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81.400000000000006</v>
      </c>
      <c r="G140" s="301">
        <v>97.8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87.9</v>
      </c>
      <c r="G141" s="301">
        <v>91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86</v>
      </c>
      <c r="G142" s="301">
        <v>102.9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80.5</v>
      </c>
      <c r="G143" s="301">
        <v>95.2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98.3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100.7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91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110.7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ROUNDDOWN(AVERAGE(B6:D19),1)</f>
        <v>50.8</v>
      </c>
      <c r="C151" s="301">
        <f>ROUNDDOWN(AVERAGE(E6:G34),1)</f>
        <v>80.2</v>
      </c>
      <c r="D151" s="353">
        <v>28044</v>
      </c>
      <c r="E151" s="362">
        <v>47108</v>
      </c>
      <c r="F151" s="353">
        <f>B151*D151</f>
        <v>1424635.2</v>
      </c>
      <c r="G151" s="353">
        <f>C151*E151</f>
        <v>3778061.6</v>
      </c>
    </row>
    <row r="152" spans="1:7" x14ac:dyDescent="0.25">
      <c r="A152" s="298" t="s">
        <v>370</v>
      </c>
      <c r="B152" s="301">
        <f>ROUNDDOWN(AVERAGE(B39:D44),1)</f>
        <v>48.6</v>
      </c>
      <c r="C152" s="301">
        <f>ROUNDDOWN(AVERAGE(E39:G48),1)</f>
        <v>83</v>
      </c>
      <c r="D152" s="353">
        <v>10608</v>
      </c>
      <c r="E152" s="362">
        <v>17162</v>
      </c>
      <c r="F152" s="353">
        <f t="shared" ref="F152:G159" si="0">B152*D152</f>
        <v>515548.8</v>
      </c>
      <c r="G152" s="353">
        <f t="shared" si="0"/>
        <v>1424446</v>
      </c>
    </row>
    <row r="153" spans="1:7" x14ac:dyDescent="0.25">
      <c r="A153" s="298" t="s">
        <v>371</v>
      </c>
      <c r="B153" s="301">
        <f>ROUNDDOWN(AVERAGE(B53:D57),1)</f>
        <v>52.6</v>
      </c>
      <c r="C153" s="301">
        <f>ROUNDDOWN(AVERAGE(E53:G61),1)</f>
        <v>81.2</v>
      </c>
      <c r="D153" s="353">
        <v>8465</v>
      </c>
      <c r="E153" s="362">
        <v>14898</v>
      </c>
      <c r="F153" s="353">
        <f t="shared" si="0"/>
        <v>445259</v>
      </c>
      <c r="G153" s="353">
        <f t="shared" si="0"/>
        <v>1209717.6000000001</v>
      </c>
    </row>
    <row r="154" spans="1:7" x14ac:dyDescent="0.25">
      <c r="A154" s="298" t="s">
        <v>372</v>
      </c>
      <c r="B154" s="301">
        <f>ROUNDDOWN(AVERAGE(B66:D69),1)</f>
        <v>52.9</v>
      </c>
      <c r="C154" s="301">
        <f>ROUNDDOWN(AVERAGE(E66:G72),1)</f>
        <v>78.900000000000006</v>
      </c>
      <c r="D154" s="353">
        <v>6339</v>
      </c>
      <c r="E154" s="362">
        <v>10447</v>
      </c>
      <c r="F154" s="353">
        <f t="shared" si="0"/>
        <v>335333.09999999998</v>
      </c>
      <c r="G154" s="353">
        <f t="shared" si="0"/>
        <v>824268.3</v>
      </c>
    </row>
    <row r="155" spans="1:7" x14ac:dyDescent="0.25">
      <c r="A155" s="298" t="s">
        <v>373</v>
      </c>
      <c r="B155" s="301">
        <f>ROUNDDOWN(AVERAGE(B76:D79),1)</f>
        <v>47.4</v>
      </c>
      <c r="C155" s="301">
        <f>ROUNDDOWN(AVERAGE(E76:G79),1)</f>
        <v>79.2</v>
      </c>
      <c r="D155" s="353">
        <v>3699</v>
      </c>
      <c r="E155" s="362">
        <v>6526</v>
      </c>
      <c r="F155" s="353">
        <f t="shared" si="0"/>
        <v>175332.6</v>
      </c>
      <c r="G155" s="353">
        <f t="shared" si="0"/>
        <v>516859.2</v>
      </c>
    </row>
    <row r="156" spans="1:7" x14ac:dyDescent="0.25">
      <c r="A156" s="298" t="s">
        <v>374</v>
      </c>
      <c r="B156" s="301">
        <f>ROUNDDOWN(AVERAGE(B83:D85),1)</f>
        <v>49.6</v>
      </c>
      <c r="C156" s="301">
        <f>ROUNDDOWN(AVERAGE(E83:G88),1)</f>
        <v>81.3</v>
      </c>
      <c r="D156" s="353">
        <v>5340</v>
      </c>
      <c r="E156" s="362">
        <v>9339</v>
      </c>
      <c r="F156" s="353">
        <f t="shared" si="0"/>
        <v>264864</v>
      </c>
      <c r="G156" s="353">
        <f t="shared" si="0"/>
        <v>759260.7</v>
      </c>
    </row>
    <row r="157" spans="1:7" x14ac:dyDescent="0.25">
      <c r="A157" s="298" t="s">
        <v>375</v>
      </c>
      <c r="B157" s="301">
        <f>ROUNDDOWN(AVERAGE(B93:D94),1)</f>
        <v>49.2</v>
      </c>
      <c r="C157" s="301">
        <f>ROUNDDOWN(AVERAGE(E93:G96),1)</f>
        <v>81.400000000000006</v>
      </c>
      <c r="D157" s="353">
        <v>3613</v>
      </c>
      <c r="E157" s="362">
        <v>5818</v>
      </c>
      <c r="F157" s="353">
        <f t="shared" si="0"/>
        <v>177759.6</v>
      </c>
      <c r="G157" s="353">
        <f t="shared" si="0"/>
        <v>473585.2</v>
      </c>
    </row>
    <row r="158" spans="1:7" x14ac:dyDescent="0.25">
      <c r="A158" s="298" t="s">
        <v>365</v>
      </c>
      <c r="B158" s="301">
        <f>ROUNDDOWN(AVERAGE(B100:D112),1)</f>
        <v>50.8</v>
      </c>
      <c r="C158" s="301">
        <f>ROUNDDOWN(AVERAGE(E100:G121),1)</f>
        <v>81.400000000000006</v>
      </c>
      <c r="D158" s="353">
        <v>23194</v>
      </c>
      <c r="E158" s="362">
        <v>40363</v>
      </c>
      <c r="F158" s="353">
        <f t="shared" si="0"/>
        <v>1178255.2</v>
      </c>
      <c r="G158" s="353">
        <f t="shared" si="0"/>
        <v>3285548.2</v>
      </c>
    </row>
    <row r="159" spans="1:7" x14ac:dyDescent="0.25">
      <c r="A159" s="298" t="s">
        <v>366</v>
      </c>
      <c r="B159" s="301">
        <f>ROUNDDOWN(AVERAGE(B125:D136),1)</f>
        <v>52</v>
      </c>
      <c r="C159" s="301">
        <f>ROUNDDOWN(AVERAGE(E125:G147),1)</f>
        <v>79.7</v>
      </c>
      <c r="D159" s="353">
        <v>22794</v>
      </c>
      <c r="E159" s="362">
        <v>40483</v>
      </c>
      <c r="F159" s="353">
        <f t="shared" si="0"/>
        <v>1185288</v>
      </c>
      <c r="G159" s="353">
        <f t="shared" si="0"/>
        <v>3226495.1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192144</v>
      </c>
      <c r="F160" s="353">
        <f>SUM(F151:F159)</f>
        <v>5702275.5</v>
      </c>
      <c r="G160" s="353">
        <f>SUM(G151:G159)</f>
        <v>15498241.899999997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50.8</v>
      </c>
      <c r="D165" s="280">
        <f>ROUNDDOWN(G160/E160,1)</f>
        <v>80.599999999999994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C97F-1516-4788-AED5-CD37D82996A4}">
  <dimension ref="A1:G165"/>
  <sheetViews>
    <sheetView zoomScale="120" zoomScaleNormal="120" workbookViewId="0">
      <selection activeCell="F20" sqref="F20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402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16.5</v>
      </c>
      <c r="C6" s="301">
        <v>45.2</v>
      </c>
      <c r="D6" s="301">
        <v>77.099999999999994</v>
      </c>
      <c r="E6" s="301">
        <v>45.9</v>
      </c>
      <c r="F6" s="301">
        <v>84.8</v>
      </c>
      <c r="G6" s="301">
        <v>107.9</v>
      </c>
    </row>
    <row r="7" spans="1:7" x14ac:dyDescent="0.25">
      <c r="A7" s="442">
        <v>2</v>
      </c>
      <c r="B7" s="301">
        <v>22.3</v>
      </c>
      <c r="C7" s="301">
        <v>46.2</v>
      </c>
      <c r="D7" s="301">
        <v>80.400000000000006</v>
      </c>
      <c r="E7" s="301">
        <v>41.9</v>
      </c>
      <c r="F7" s="301">
        <v>87.5</v>
      </c>
      <c r="G7" s="301">
        <v>107.8</v>
      </c>
    </row>
    <row r="8" spans="1:7" x14ac:dyDescent="0.25">
      <c r="A8" s="442">
        <v>3</v>
      </c>
      <c r="B8" s="301">
        <v>24.9</v>
      </c>
      <c r="C8" s="301">
        <v>49.7</v>
      </c>
      <c r="D8" s="301">
        <v>82.6</v>
      </c>
      <c r="E8" s="301">
        <v>52.3</v>
      </c>
      <c r="F8" s="301">
        <v>84.2</v>
      </c>
      <c r="G8" s="301">
        <v>102.4</v>
      </c>
    </row>
    <row r="9" spans="1:7" x14ac:dyDescent="0.25">
      <c r="A9" s="442">
        <v>4</v>
      </c>
      <c r="B9" s="301">
        <v>28.6</v>
      </c>
      <c r="C9" s="301">
        <v>48.4</v>
      </c>
      <c r="D9" s="301">
        <v>83.6</v>
      </c>
      <c r="E9" s="301">
        <v>53.7</v>
      </c>
      <c r="F9" s="301">
        <v>81</v>
      </c>
      <c r="G9" s="301">
        <v>92</v>
      </c>
    </row>
    <row r="10" spans="1:7" x14ac:dyDescent="0.25">
      <c r="A10" s="442">
        <v>5</v>
      </c>
      <c r="B10" s="301">
        <v>29.8</v>
      </c>
      <c r="C10" s="301">
        <v>46.4</v>
      </c>
      <c r="D10" s="301">
        <v>82.8</v>
      </c>
      <c r="E10" s="301">
        <v>36.5</v>
      </c>
      <c r="F10" s="301">
        <v>83.1</v>
      </c>
      <c r="G10" s="301">
        <v>101.7</v>
      </c>
    </row>
    <row r="11" spans="1:7" x14ac:dyDescent="0.25">
      <c r="A11" s="442">
        <v>6</v>
      </c>
      <c r="B11" s="301">
        <v>20</v>
      </c>
      <c r="C11" s="301">
        <v>54.2</v>
      </c>
      <c r="D11" s="301">
        <v>83.9</v>
      </c>
      <c r="E11" s="301">
        <v>41.7</v>
      </c>
      <c r="F11" s="301">
        <v>83.3</v>
      </c>
      <c r="G11" s="301">
        <v>94</v>
      </c>
    </row>
    <row r="12" spans="1:7" x14ac:dyDescent="0.25">
      <c r="A12" s="442">
        <v>7</v>
      </c>
      <c r="B12" s="301">
        <v>14.5</v>
      </c>
      <c r="C12" s="301">
        <v>47.6</v>
      </c>
      <c r="D12" s="301">
        <v>82.5</v>
      </c>
      <c r="E12" s="301">
        <v>34.6</v>
      </c>
      <c r="F12" s="301">
        <v>84.6</v>
      </c>
      <c r="G12" s="301">
        <v>105.5</v>
      </c>
    </row>
    <row r="13" spans="1:7" x14ac:dyDescent="0.25">
      <c r="A13" s="442">
        <v>8</v>
      </c>
      <c r="B13" s="301">
        <v>11.2</v>
      </c>
      <c r="C13" s="301">
        <v>50.5</v>
      </c>
      <c r="D13" s="301">
        <v>79.599999999999994</v>
      </c>
      <c r="E13" s="301">
        <v>59.4</v>
      </c>
      <c r="F13" s="301">
        <v>86</v>
      </c>
      <c r="G13" s="301">
        <v>94.2</v>
      </c>
    </row>
    <row r="14" spans="1:7" x14ac:dyDescent="0.25">
      <c r="A14" s="442">
        <v>9</v>
      </c>
      <c r="B14" s="301">
        <v>28.1</v>
      </c>
      <c r="C14" s="301">
        <v>53</v>
      </c>
      <c r="D14" s="301">
        <v>79.8</v>
      </c>
      <c r="E14" s="301">
        <v>56</v>
      </c>
      <c r="F14" s="301">
        <v>86.2</v>
      </c>
      <c r="G14" s="301">
        <v>101.1</v>
      </c>
    </row>
    <row r="15" spans="1:7" x14ac:dyDescent="0.25">
      <c r="A15" s="442">
        <v>10</v>
      </c>
      <c r="B15" s="301">
        <v>21.3</v>
      </c>
      <c r="C15" s="301">
        <v>47.5</v>
      </c>
      <c r="D15" s="301">
        <v>78.900000000000006</v>
      </c>
      <c r="E15" s="301">
        <v>49.1</v>
      </c>
      <c r="F15" s="301">
        <v>84.8</v>
      </c>
      <c r="G15" s="301">
        <v>106.3</v>
      </c>
    </row>
    <row r="16" spans="1:7" x14ac:dyDescent="0.25">
      <c r="A16" s="442">
        <v>11</v>
      </c>
      <c r="B16" s="301">
        <v>27.6</v>
      </c>
      <c r="C16" s="301">
        <v>54.3</v>
      </c>
      <c r="D16" s="301">
        <v>77.599999999999994</v>
      </c>
      <c r="E16" s="301">
        <v>51</v>
      </c>
      <c r="F16" s="301">
        <v>80.2</v>
      </c>
      <c r="G16" s="301">
        <v>98.7</v>
      </c>
    </row>
    <row r="17" spans="1:7" x14ac:dyDescent="0.25">
      <c r="A17" s="442">
        <v>12</v>
      </c>
      <c r="B17" s="301">
        <v>23.5</v>
      </c>
      <c r="C17" s="301">
        <v>46.2</v>
      </c>
      <c r="D17" s="301">
        <v>84</v>
      </c>
      <c r="E17" s="301">
        <v>41.8</v>
      </c>
      <c r="F17" s="301">
        <v>85.1</v>
      </c>
      <c r="G17" s="301">
        <v>108.9</v>
      </c>
    </row>
    <row r="18" spans="1:7" x14ac:dyDescent="0.25">
      <c r="A18" s="442">
        <v>13</v>
      </c>
      <c r="B18" s="301">
        <v>22.2</v>
      </c>
      <c r="C18" s="301">
        <v>45.1</v>
      </c>
      <c r="D18" s="301">
        <v>77.900000000000006</v>
      </c>
      <c r="E18" s="301">
        <v>33</v>
      </c>
      <c r="F18" s="301">
        <v>86</v>
      </c>
      <c r="G18" s="301">
        <v>110.2</v>
      </c>
    </row>
    <row r="19" spans="1:7" x14ac:dyDescent="0.25">
      <c r="A19" s="442">
        <v>14</v>
      </c>
      <c r="B19" s="301"/>
      <c r="C19" s="301"/>
      <c r="D19" s="301">
        <v>83.4</v>
      </c>
      <c r="E19" s="301">
        <v>27.1</v>
      </c>
      <c r="F19" s="301">
        <v>88.6</v>
      </c>
      <c r="G19" s="301">
        <v>96.6</v>
      </c>
    </row>
    <row r="20" spans="1:7" x14ac:dyDescent="0.25">
      <c r="A20" s="442">
        <v>15</v>
      </c>
      <c r="B20" s="301"/>
      <c r="C20" s="301"/>
      <c r="D20" s="301"/>
      <c r="E20" s="301">
        <v>52.5</v>
      </c>
      <c r="F20" s="301">
        <v>82.6</v>
      </c>
      <c r="G20" s="301">
        <v>110.3</v>
      </c>
    </row>
    <row r="21" spans="1:7" x14ac:dyDescent="0.25">
      <c r="A21" s="442">
        <v>16</v>
      </c>
      <c r="B21" s="301"/>
      <c r="C21" s="301"/>
      <c r="D21" s="301"/>
      <c r="E21" s="301">
        <v>37.9</v>
      </c>
      <c r="F21" s="301">
        <v>88.9</v>
      </c>
      <c r="G21" s="301">
        <v>100.3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88.1</v>
      </c>
      <c r="G22" s="301">
        <v>98.4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85.9</v>
      </c>
      <c r="G23" s="301">
        <v>92.8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84.8</v>
      </c>
      <c r="G24" s="301">
        <v>104.2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83.1</v>
      </c>
      <c r="G25" s="301">
        <v>105.3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81.7</v>
      </c>
      <c r="G26" s="301">
        <v>103.3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82.5</v>
      </c>
      <c r="G27" s="301">
        <v>106.3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80.8</v>
      </c>
      <c r="G28" s="301">
        <v>96.1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85.4</v>
      </c>
      <c r="G29" s="301">
        <v>100.7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92.8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98.1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102.3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97.6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100.4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22.5</v>
      </c>
      <c r="C39" s="301">
        <v>53.2</v>
      </c>
      <c r="D39" s="301">
        <v>76.5</v>
      </c>
      <c r="E39" s="301">
        <v>34.200000000000003</v>
      </c>
      <c r="F39" s="301">
        <v>83.4</v>
      </c>
      <c r="G39" s="301">
        <v>92.6</v>
      </c>
    </row>
    <row r="40" spans="1:7" x14ac:dyDescent="0.25">
      <c r="A40" s="442">
        <v>2</v>
      </c>
      <c r="B40" s="301">
        <v>29.8</v>
      </c>
      <c r="C40" s="301">
        <v>51.2</v>
      </c>
      <c r="D40" s="301">
        <v>75.8</v>
      </c>
      <c r="E40" s="301">
        <v>26.9</v>
      </c>
      <c r="F40" s="301">
        <v>82.5</v>
      </c>
      <c r="G40" s="301">
        <v>94.5</v>
      </c>
    </row>
    <row r="41" spans="1:7" x14ac:dyDescent="0.25">
      <c r="A41" s="442">
        <v>3</v>
      </c>
      <c r="B41" s="301">
        <v>28.3</v>
      </c>
      <c r="C41" s="301">
        <v>49.7</v>
      </c>
      <c r="D41" s="301">
        <v>80.099999999999994</v>
      </c>
      <c r="E41" s="301">
        <v>37.200000000000003</v>
      </c>
      <c r="F41" s="301">
        <v>86.2</v>
      </c>
      <c r="G41" s="301">
        <v>100.7</v>
      </c>
    </row>
    <row r="42" spans="1:7" x14ac:dyDescent="0.25">
      <c r="A42" s="442">
        <v>4</v>
      </c>
      <c r="B42" s="301">
        <v>22.1</v>
      </c>
      <c r="C42" s="301">
        <v>53.4</v>
      </c>
      <c r="D42" s="301">
        <v>77.7</v>
      </c>
      <c r="E42" s="301">
        <v>26.6</v>
      </c>
      <c r="F42" s="301">
        <v>88.6</v>
      </c>
      <c r="G42" s="301">
        <v>92.6</v>
      </c>
    </row>
    <row r="43" spans="1:7" x14ac:dyDescent="0.25">
      <c r="A43" s="442">
        <v>5</v>
      </c>
      <c r="B43" s="301">
        <v>25.3</v>
      </c>
      <c r="C43" s="301">
        <v>53.2</v>
      </c>
      <c r="D43" s="301">
        <v>80.5</v>
      </c>
      <c r="E43" s="301">
        <v>38.200000000000003</v>
      </c>
      <c r="F43" s="301">
        <v>81.400000000000006</v>
      </c>
      <c r="G43" s="301">
        <v>93</v>
      </c>
    </row>
    <row r="44" spans="1:7" x14ac:dyDescent="0.25">
      <c r="A44" s="442">
        <v>6</v>
      </c>
      <c r="B44" s="301"/>
      <c r="C44" s="301">
        <v>48.9</v>
      </c>
      <c r="D44" s="301"/>
      <c r="E44" s="301">
        <v>52.5</v>
      </c>
      <c r="F44" s="301">
        <v>89.6</v>
      </c>
      <c r="G44" s="301">
        <v>106.9</v>
      </c>
    </row>
    <row r="45" spans="1:7" x14ac:dyDescent="0.25">
      <c r="A45" s="442">
        <v>7</v>
      </c>
      <c r="B45" s="301"/>
      <c r="C45" s="301"/>
      <c r="D45" s="301"/>
      <c r="E45" s="301"/>
      <c r="F45" s="301">
        <v>89.1</v>
      </c>
      <c r="G45" s="301">
        <v>95.7</v>
      </c>
    </row>
    <row r="46" spans="1:7" x14ac:dyDescent="0.25">
      <c r="A46" s="442">
        <v>8</v>
      </c>
      <c r="B46" s="301"/>
      <c r="C46" s="301"/>
      <c r="D46" s="301"/>
      <c r="E46" s="301"/>
      <c r="F46" s="301">
        <v>89.7</v>
      </c>
      <c r="G46" s="301">
        <v>93</v>
      </c>
    </row>
    <row r="47" spans="1:7" x14ac:dyDescent="0.25">
      <c r="A47" s="442">
        <v>9</v>
      </c>
      <c r="B47" s="301"/>
      <c r="C47" s="301"/>
      <c r="D47" s="301"/>
      <c r="E47" s="301"/>
      <c r="F47" s="301">
        <v>85</v>
      </c>
      <c r="G47" s="301">
        <v>97.6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82</v>
      </c>
      <c r="G48" s="301">
        <v>103.6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21</v>
      </c>
      <c r="C53" s="301">
        <v>47</v>
      </c>
      <c r="D53" s="301">
        <v>76.7</v>
      </c>
      <c r="E53" s="301">
        <v>45.9</v>
      </c>
      <c r="F53" s="301">
        <v>84.1</v>
      </c>
      <c r="G53" s="301">
        <v>109</v>
      </c>
    </row>
    <row r="54" spans="1:7" x14ac:dyDescent="0.25">
      <c r="A54" s="442">
        <v>2</v>
      </c>
      <c r="B54" s="301">
        <v>17.899999999999999</v>
      </c>
      <c r="C54" s="301">
        <v>53.6</v>
      </c>
      <c r="D54" s="301">
        <v>82</v>
      </c>
      <c r="E54" s="301">
        <v>40.700000000000003</v>
      </c>
      <c r="F54" s="301">
        <v>83</v>
      </c>
      <c r="G54" s="301">
        <v>91.3</v>
      </c>
    </row>
    <row r="55" spans="1:7" x14ac:dyDescent="0.25">
      <c r="A55" s="442">
        <v>3</v>
      </c>
      <c r="B55" s="301">
        <v>11.9</v>
      </c>
      <c r="C55" s="301">
        <v>49.9</v>
      </c>
      <c r="D55" s="301">
        <v>84</v>
      </c>
      <c r="E55" s="301">
        <v>45.2</v>
      </c>
      <c r="F55" s="301">
        <v>88.7</v>
      </c>
      <c r="G55" s="301">
        <v>107.1</v>
      </c>
    </row>
    <row r="56" spans="1:7" x14ac:dyDescent="0.25">
      <c r="A56" s="442">
        <v>4</v>
      </c>
      <c r="B56" s="301">
        <v>17.899999999999999</v>
      </c>
      <c r="C56" s="301">
        <v>48.1</v>
      </c>
      <c r="D56" s="301">
        <v>77.900000000000006</v>
      </c>
      <c r="E56" s="301">
        <v>36.1</v>
      </c>
      <c r="F56" s="301">
        <v>81.099999999999994</v>
      </c>
      <c r="G56" s="301">
        <v>96.4</v>
      </c>
    </row>
    <row r="57" spans="1:7" x14ac:dyDescent="0.25">
      <c r="A57" s="442">
        <v>5</v>
      </c>
      <c r="B57" s="301"/>
      <c r="C57" s="301">
        <v>46.7</v>
      </c>
      <c r="D57" s="301">
        <v>78.7</v>
      </c>
      <c r="E57" s="301">
        <v>25</v>
      </c>
      <c r="F57" s="301">
        <v>85</v>
      </c>
      <c r="G57" s="301">
        <v>101.1</v>
      </c>
    </row>
    <row r="58" spans="1:7" x14ac:dyDescent="0.25">
      <c r="A58" s="442">
        <v>6</v>
      </c>
      <c r="B58" s="301"/>
      <c r="C58" s="301"/>
      <c r="D58" s="301"/>
      <c r="E58" s="301"/>
      <c r="F58" s="301">
        <v>87.3</v>
      </c>
      <c r="G58" s="301">
        <v>95.1</v>
      </c>
    </row>
    <row r="59" spans="1:7" x14ac:dyDescent="0.25">
      <c r="A59" s="442">
        <v>7</v>
      </c>
      <c r="B59" s="301"/>
      <c r="C59" s="301"/>
      <c r="D59" s="301"/>
      <c r="E59" s="301"/>
      <c r="F59" s="301">
        <v>85.8</v>
      </c>
      <c r="G59" s="301">
        <v>90.5</v>
      </c>
    </row>
    <row r="60" spans="1:7" x14ac:dyDescent="0.25">
      <c r="A60" s="442">
        <v>8</v>
      </c>
      <c r="B60" s="301"/>
      <c r="C60" s="301"/>
      <c r="D60" s="301"/>
      <c r="E60" s="301"/>
      <c r="F60" s="301">
        <v>89.5</v>
      </c>
      <c r="G60" s="301">
        <v>94.6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95.4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14.8</v>
      </c>
      <c r="C66" s="301">
        <v>54.7</v>
      </c>
      <c r="D66" s="301">
        <v>78.099999999999994</v>
      </c>
      <c r="E66" s="301">
        <v>42.2</v>
      </c>
      <c r="F66" s="301">
        <v>84.1</v>
      </c>
      <c r="G66" s="301">
        <v>110.3</v>
      </c>
    </row>
    <row r="67" spans="1:7" x14ac:dyDescent="0.25">
      <c r="A67" s="442">
        <v>2</v>
      </c>
      <c r="B67" s="301">
        <v>17.3</v>
      </c>
      <c r="C67" s="301">
        <v>54.1</v>
      </c>
      <c r="D67" s="301">
        <v>78.400000000000006</v>
      </c>
      <c r="E67" s="301">
        <v>34.6</v>
      </c>
      <c r="F67" s="301">
        <v>82.2</v>
      </c>
      <c r="G67" s="301">
        <v>110.1</v>
      </c>
    </row>
    <row r="68" spans="1:7" x14ac:dyDescent="0.25">
      <c r="A68" s="442">
        <v>3</v>
      </c>
      <c r="B68" s="301">
        <v>15.3</v>
      </c>
      <c r="C68" s="301">
        <v>54.2</v>
      </c>
      <c r="D68" s="301">
        <v>82.5</v>
      </c>
      <c r="E68" s="301">
        <v>48.2</v>
      </c>
      <c r="F68" s="301">
        <v>83.6</v>
      </c>
      <c r="G68" s="301">
        <v>93.7</v>
      </c>
    </row>
    <row r="69" spans="1:7" x14ac:dyDescent="0.25">
      <c r="A69" s="442">
        <v>4</v>
      </c>
      <c r="B69" s="301"/>
      <c r="C69" s="301"/>
      <c r="D69" s="301">
        <v>82.1</v>
      </c>
      <c r="E69" s="301">
        <v>40.6</v>
      </c>
      <c r="F69" s="301">
        <v>83</v>
      </c>
      <c r="G69" s="301">
        <v>95.6</v>
      </c>
    </row>
    <row r="70" spans="1:7" x14ac:dyDescent="0.25">
      <c r="A70" s="442">
        <v>5</v>
      </c>
      <c r="B70" s="301"/>
      <c r="C70" s="301"/>
      <c r="D70" s="301"/>
      <c r="E70" s="301"/>
      <c r="F70" s="301">
        <v>82.1</v>
      </c>
      <c r="G70" s="301">
        <v>93.9</v>
      </c>
    </row>
    <row r="71" spans="1:7" x14ac:dyDescent="0.25">
      <c r="A71" s="442">
        <v>6</v>
      </c>
      <c r="B71" s="301"/>
      <c r="C71" s="301"/>
      <c r="D71" s="301"/>
      <c r="E71" s="301"/>
      <c r="F71" s="301">
        <v>83.5</v>
      </c>
      <c r="G71" s="301">
        <v>106.5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105.3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13</v>
      </c>
      <c r="C76" s="301">
        <v>53</v>
      </c>
      <c r="D76" s="301">
        <v>82.4</v>
      </c>
      <c r="E76" s="301">
        <v>33.200000000000003</v>
      </c>
      <c r="F76" s="301">
        <v>84.2</v>
      </c>
      <c r="G76" s="301">
        <v>106.7</v>
      </c>
    </row>
    <row r="77" spans="1:7" x14ac:dyDescent="0.25">
      <c r="A77" s="442">
        <v>2</v>
      </c>
      <c r="B77" s="301">
        <v>30</v>
      </c>
      <c r="C77" s="301">
        <v>52.3</v>
      </c>
      <c r="D77" s="301">
        <v>84.9</v>
      </c>
      <c r="E77" s="301">
        <v>38.1</v>
      </c>
      <c r="F77" s="301">
        <v>81.599999999999994</v>
      </c>
      <c r="G77" s="301">
        <v>99.1</v>
      </c>
    </row>
    <row r="78" spans="1:7" x14ac:dyDescent="0.25">
      <c r="A78" s="442">
        <v>3</v>
      </c>
      <c r="B78" s="301"/>
      <c r="C78" s="301"/>
      <c r="D78" s="301"/>
      <c r="E78" s="301">
        <v>55.4</v>
      </c>
      <c r="F78" s="301">
        <v>87.1</v>
      </c>
      <c r="G78" s="301">
        <v>96.1</v>
      </c>
    </row>
    <row r="79" spans="1:7" x14ac:dyDescent="0.25">
      <c r="A79" s="442">
        <v>4</v>
      </c>
      <c r="B79" s="301"/>
      <c r="C79" s="301"/>
      <c r="D79" s="301"/>
      <c r="E79" s="301"/>
      <c r="F79" s="301">
        <v>89.9</v>
      </c>
      <c r="G79" s="301">
        <v>93.7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11.1</v>
      </c>
      <c r="C83" s="301">
        <v>52.2</v>
      </c>
      <c r="D83" s="301">
        <v>79.099999999999994</v>
      </c>
      <c r="E83" s="301">
        <v>28.1</v>
      </c>
      <c r="F83" s="301">
        <v>80.2</v>
      </c>
      <c r="G83" s="301">
        <v>94.6</v>
      </c>
    </row>
    <row r="84" spans="1:7" x14ac:dyDescent="0.25">
      <c r="A84" s="442">
        <v>2</v>
      </c>
      <c r="B84" s="301">
        <v>18.7</v>
      </c>
      <c r="C84" s="301">
        <v>45.2</v>
      </c>
      <c r="D84" s="301">
        <v>77.2</v>
      </c>
      <c r="E84" s="301">
        <v>48.3</v>
      </c>
      <c r="F84" s="301">
        <v>86.9</v>
      </c>
      <c r="G84" s="301">
        <v>104.3</v>
      </c>
    </row>
    <row r="85" spans="1:7" x14ac:dyDescent="0.25">
      <c r="A85" s="442">
        <v>3</v>
      </c>
      <c r="B85" s="301">
        <v>28</v>
      </c>
      <c r="C85" s="301">
        <v>51.8</v>
      </c>
      <c r="D85" s="301">
        <v>77.5</v>
      </c>
      <c r="E85" s="301">
        <v>41.1</v>
      </c>
      <c r="F85" s="301">
        <v>89</v>
      </c>
      <c r="G85" s="301">
        <v>100.6</v>
      </c>
    </row>
    <row r="86" spans="1:7" x14ac:dyDescent="0.25">
      <c r="A86" s="442">
        <v>4</v>
      </c>
      <c r="B86" s="301"/>
      <c r="C86" s="301"/>
      <c r="D86" s="301"/>
      <c r="E86" s="301">
        <v>36.6</v>
      </c>
      <c r="F86" s="301">
        <v>85.3</v>
      </c>
      <c r="G86" s="301">
        <v>100</v>
      </c>
    </row>
    <row r="87" spans="1:7" x14ac:dyDescent="0.25">
      <c r="A87" s="442">
        <v>5</v>
      </c>
      <c r="B87" s="301"/>
      <c r="C87" s="301"/>
      <c r="D87" s="301"/>
      <c r="E87" s="301"/>
      <c r="F87" s="301">
        <v>87.3</v>
      </c>
      <c r="G87" s="301">
        <v>110.3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94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12.4</v>
      </c>
      <c r="C93" s="301">
        <v>50.7</v>
      </c>
      <c r="D93" s="301">
        <v>83.2</v>
      </c>
      <c r="E93" s="301">
        <v>35.200000000000003</v>
      </c>
      <c r="F93" s="301">
        <v>86.6</v>
      </c>
      <c r="G93" s="301">
        <v>92.1</v>
      </c>
    </row>
    <row r="94" spans="1:7" x14ac:dyDescent="0.25">
      <c r="A94" s="442">
        <v>2</v>
      </c>
      <c r="B94" s="301">
        <v>29.2</v>
      </c>
      <c r="C94" s="301">
        <v>51.4</v>
      </c>
      <c r="D94" s="301">
        <v>76</v>
      </c>
      <c r="E94" s="301">
        <v>40.1</v>
      </c>
      <c r="F94" s="301">
        <v>86.8</v>
      </c>
      <c r="G94" s="301">
        <v>102.3</v>
      </c>
    </row>
    <row r="95" spans="1:7" x14ac:dyDescent="0.25">
      <c r="A95" s="442">
        <v>3</v>
      </c>
      <c r="B95" s="301"/>
      <c r="C95" s="301"/>
      <c r="D95" s="301"/>
      <c r="E95" s="301">
        <v>30.5</v>
      </c>
      <c r="F95" s="301">
        <v>87.1</v>
      </c>
      <c r="G95" s="301">
        <v>109.1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92.4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30</v>
      </c>
      <c r="C100" s="301">
        <v>50.6</v>
      </c>
      <c r="D100" s="301">
        <v>84.9</v>
      </c>
      <c r="E100" s="301">
        <v>39.200000000000003</v>
      </c>
      <c r="F100" s="301">
        <v>90</v>
      </c>
      <c r="G100" s="301">
        <v>90.8</v>
      </c>
    </row>
    <row r="101" spans="1:7" x14ac:dyDescent="0.25">
      <c r="A101" s="442">
        <v>2</v>
      </c>
      <c r="B101" s="301">
        <v>10</v>
      </c>
      <c r="C101" s="301">
        <v>45.5</v>
      </c>
      <c r="D101" s="301">
        <v>77.7</v>
      </c>
      <c r="E101" s="301">
        <v>41.4</v>
      </c>
      <c r="F101" s="301">
        <v>89</v>
      </c>
      <c r="G101" s="301">
        <v>105.1</v>
      </c>
    </row>
    <row r="102" spans="1:7" x14ac:dyDescent="0.25">
      <c r="A102" s="442">
        <v>3</v>
      </c>
      <c r="B102" s="301">
        <v>17</v>
      </c>
      <c r="C102" s="301">
        <v>48.6</v>
      </c>
      <c r="D102" s="301">
        <v>79.8</v>
      </c>
      <c r="E102" s="301">
        <v>49.6</v>
      </c>
      <c r="F102" s="301">
        <v>85.5</v>
      </c>
      <c r="G102" s="301">
        <v>97.9</v>
      </c>
    </row>
    <row r="103" spans="1:7" x14ac:dyDescent="0.25">
      <c r="A103" s="442">
        <v>4</v>
      </c>
      <c r="B103" s="301">
        <v>13.6</v>
      </c>
      <c r="C103" s="301">
        <v>53.5</v>
      </c>
      <c r="D103" s="301">
        <v>83.2</v>
      </c>
      <c r="E103" s="301">
        <v>47.4</v>
      </c>
      <c r="F103" s="301">
        <v>82.7</v>
      </c>
      <c r="G103" s="301">
        <v>106.4</v>
      </c>
    </row>
    <row r="104" spans="1:7" x14ac:dyDescent="0.25">
      <c r="A104" s="442">
        <v>5</v>
      </c>
      <c r="B104" s="301">
        <v>25.8</v>
      </c>
      <c r="C104" s="301">
        <v>47.6</v>
      </c>
      <c r="D104" s="301">
        <v>82.9</v>
      </c>
      <c r="E104" s="301">
        <v>36.299999999999997</v>
      </c>
      <c r="F104" s="301">
        <v>90</v>
      </c>
      <c r="G104" s="301">
        <v>90.4</v>
      </c>
    </row>
    <row r="105" spans="1:7" x14ac:dyDescent="0.25">
      <c r="A105" s="442">
        <v>6</v>
      </c>
      <c r="B105" s="301">
        <v>26.2</v>
      </c>
      <c r="C105" s="301">
        <v>46.6</v>
      </c>
      <c r="D105" s="301">
        <v>81.2</v>
      </c>
      <c r="E105" s="301">
        <v>50.2</v>
      </c>
      <c r="F105" s="301">
        <v>83.8</v>
      </c>
      <c r="G105" s="301">
        <v>102.9</v>
      </c>
    </row>
    <row r="106" spans="1:7" x14ac:dyDescent="0.25">
      <c r="A106" s="442">
        <v>7</v>
      </c>
      <c r="B106" s="301">
        <v>24.8</v>
      </c>
      <c r="C106" s="301">
        <v>51.3</v>
      </c>
      <c r="D106" s="301">
        <v>80.099999999999994</v>
      </c>
      <c r="E106" s="301">
        <v>52.5</v>
      </c>
      <c r="F106" s="301">
        <v>85.9</v>
      </c>
      <c r="G106" s="301">
        <v>108</v>
      </c>
    </row>
    <row r="107" spans="1:7" x14ac:dyDescent="0.25">
      <c r="A107" s="442">
        <v>8</v>
      </c>
      <c r="B107" s="301">
        <v>28.6</v>
      </c>
      <c r="C107" s="301">
        <v>50.5</v>
      </c>
      <c r="D107" s="301">
        <v>77.2</v>
      </c>
      <c r="E107" s="301">
        <v>25.8</v>
      </c>
      <c r="F107" s="301">
        <v>83.7</v>
      </c>
      <c r="G107" s="301">
        <v>93.4</v>
      </c>
    </row>
    <row r="108" spans="1:7" x14ac:dyDescent="0.25">
      <c r="A108" s="442">
        <v>9</v>
      </c>
      <c r="B108" s="301">
        <v>11</v>
      </c>
      <c r="C108" s="301">
        <v>46.8</v>
      </c>
      <c r="D108" s="301">
        <v>82</v>
      </c>
      <c r="E108" s="301">
        <v>26.8</v>
      </c>
      <c r="F108" s="301">
        <v>82.3</v>
      </c>
      <c r="G108" s="301">
        <v>101.6</v>
      </c>
    </row>
    <row r="109" spans="1:7" x14ac:dyDescent="0.25">
      <c r="A109" s="442">
        <v>10</v>
      </c>
      <c r="B109" s="301">
        <v>12.5</v>
      </c>
      <c r="C109" s="301">
        <v>48.6</v>
      </c>
      <c r="D109" s="301">
        <v>78</v>
      </c>
      <c r="E109" s="301">
        <v>45.3</v>
      </c>
      <c r="F109" s="301">
        <v>80.3</v>
      </c>
      <c r="G109" s="301">
        <v>94.7</v>
      </c>
    </row>
    <row r="110" spans="1:7" x14ac:dyDescent="0.25">
      <c r="A110" s="442">
        <v>11</v>
      </c>
      <c r="B110" s="301"/>
      <c r="C110" s="301">
        <v>52.4</v>
      </c>
      <c r="D110" s="301">
        <v>77.2</v>
      </c>
      <c r="E110" s="301">
        <v>44.5</v>
      </c>
      <c r="F110" s="301">
        <v>80.099999999999994</v>
      </c>
      <c r="G110" s="301">
        <v>96.9</v>
      </c>
    </row>
    <row r="111" spans="1:7" x14ac:dyDescent="0.25">
      <c r="A111" s="442">
        <v>12</v>
      </c>
      <c r="B111" s="301"/>
      <c r="C111" s="301">
        <v>54.2</v>
      </c>
      <c r="D111" s="301"/>
      <c r="E111" s="301">
        <v>36.700000000000003</v>
      </c>
      <c r="F111" s="301">
        <v>88.8</v>
      </c>
      <c r="G111" s="301">
        <v>94</v>
      </c>
    </row>
    <row r="112" spans="1:7" x14ac:dyDescent="0.25">
      <c r="A112" s="442">
        <v>13</v>
      </c>
      <c r="B112" s="301"/>
      <c r="C112" s="301">
        <v>50.3</v>
      </c>
      <c r="D112" s="301"/>
      <c r="E112" s="301">
        <v>40.4</v>
      </c>
      <c r="F112" s="301">
        <v>85.3</v>
      </c>
      <c r="G112" s="301">
        <v>100</v>
      </c>
    </row>
    <row r="113" spans="1:7" x14ac:dyDescent="0.25">
      <c r="A113" s="442">
        <v>14</v>
      </c>
      <c r="B113" s="301"/>
      <c r="C113" s="301"/>
      <c r="D113" s="301"/>
      <c r="E113" s="301">
        <v>27.1</v>
      </c>
      <c r="F113" s="301">
        <v>88.3</v>
      </c>
      <c r="G113" s="301">
        <v>100.3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82.9</v>
      </c>
      <c r="G114" s="301">
        <v>91.7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84</v>
      </c>
      <c r="G115" s="301">
        <v>106.3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83</v>
      </c>
      <c r="G116" s="301">
        <v>111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88.1</v>
      </c>
      <c r="G117" s="301">
        <v>100.6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87.1</v>
      </c>
      <c r="G118" s="301">
        <v>90.5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85</v>
      </c>
      <c r="G119" s="301">
        <v>92.2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82.7</v>
      </c>
      <c r="G120" s="301">
        <v>91.2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81.8</v>
      </c>
      <c r="G121" s="301">
        <v>96.7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16.3</v>
      </c>
      <c r="C125" s="301">
        <v>48.7</v>
      </c>
      <c r="D125" s="301">
        <v>78.5</v>
      </c>
      <c r="E125" s="301">
        <v>44</v>
      </c>
      <c r="F125" s="301">
        <v>86.1</v>
      </c>
      <c r="G125" s="301">
        <v>103</v>
      </c>
    </row>
    <row r="126" spans="1:7" x14ac:dyDescent="0.25">
      <c r="A126" s="442">
        <v>2</v>
      </c>
      <c r="B126" s="301">
        <v>15.3</v>
      </c>
      <c r="C126" s="301">
        <v>52.3</v>
      </c>
      <c r="D126" s="301">
        <v>83.3</v>
      </c>
      <c r="E126" s="301">
        <v>40.299999999999997</v>
      </c>
      <c r="F126" s="301">
        <v>88.7</v>
      </c>
      <c r="G126" s="301">
        <v>96.2</v>
      </c>
    </row>
    <row r="127" spans="1:7" x14ac:dyDescent="0.25">
      <c r="A127" s="442">
        <v>3</v>
      </c>
      <c r="B127" s="301">
        <v>20.7</v>
      </c>
      <c r="C127" s="301">
        <v>50.7</v>
      </c>
      <c r="D127" s="301">
        <v>80.7</v>
      </c>
      <c r="E127" s="301">
        <v>31.5</v>
      </c>
      <c r="F127" s="301">
        <v>89.9</v>
      </c>
      <c r="G127" s="301">
        <v>95.1</v>
      </c>
    </row>
    <row r="128" spans="1:7" x14ac:dyDescent="0.25">
      <c r="A128" s="442">
        <v>4</v>
      </c>
      <c r="B128" s="301">
        <v>17.7</v>
      </c>
      <c r="C128" s="301">
        <v>48.4</v>
      </c>
      <c r="D128" s="301">
        <v>82.6</v>
      </c>
      <c r="E128" s="301">
        <v>33.6</v>
      </c>
      <c r="F128" s="301">
        <v>83.6</v>
      </c>
      <c r="G128" s="301">
        <v>93.2</v>
      </c>
    </row>
    <row r="129" spans="1:7" x14ac:dyDescent="0.25">
      <c r="A129" s="442">
        <v>5</v>
      </c>
      <c r="B129" s="301">
        <v>21.4</v>
      </c>
      <c r="C129" s="301">
        <v>54.4</v>
      </c>
      <c r="D129" s="301">
        <v>82.4</v>
      </c>
      <c r="E129" s="301">
        <v>45.1</v>
      </c>
      <c r="F129" s="301">
        <v>81.900000000000006</v>
      </c>
      <c r="G129" s="301">
        <v>104.2</v>
      </c>
    </row>
    <row r="130" spans="1:7" x14ac:dyDescent="0.25">
      <c r="A130" s="442">
        <v>6</v>
      </c>
      <c r="B130" s="301">
        <v>15</v>
      </c>
      <c r="C130" s="301">
        <v>49.6</v>
      </c>
      <c r="D130" s="301">
        <v>83.1</v>
      </c>
      <c r="E130" s="301">
        <v>54.2</v>
      </c>
      <c r="F130" s="301">
        <v>89.3</v>
      </c>
      <c r="G130" s="301">
        <v>104</v>
      </c>
    </row>
    <row r="131" spans="1:7" x14ac:dyDescent="0.25">
      <c r="A131" s="442">
        <v>7</v>
      </c>
      <c r="B131" s="301">
        <v>17.7</v>
      </c>
      <c r="C131" s="301">
        <v>48.2</v>
      </c>
      <c r="D131" s="301">
        <v>77.5</v>
      </c>
      <c r="E131" s="301">
        <v>48.6</v>
      </c>
      <c r="F131" s="301">
        <v>89</v>
      </c>
      <c r="G131" s="301">
        <v>91.8</v>
      </c>
    </row>
    <row r="132" spans="1:7" x14ac:dyDescent="0.25">
      <c r="A132" s="442">
        <v>8</v>
      </c>
      <c r="B132" s="301">
        <v>24.1</v>
      </c>
      <c r="C132" s="301">
        <v>50.6</v>
      </c>
      <c r="D132" s="301">
        <v>77.599999999999994</v>
      </c>
      <c r="E132" s="301">
        <v>36.9</v>
      </c>
      <c r="F132" s="301">
        <v>80</v>
      </c>
      <c r="G132" s="301">
        <v>94.7</v>
      </c>
    </row>
    <row r="133" spans="1:7" x14ac:dyDescent="0.25">
      <c r="A133" s="442">
        <v>9</v>
      </c>
      <c r="B133" s="301">
        <v>21.8</v>
      </c>
      <c r="C133" s="301">
        <v>46.1</v>
      </c>
      <c r="D133" s="301">
        <v>80.2</v>
      </c>
      <c r="E133" s="301">
        <v>58.9</v>
      </c>
      <c r="F133" s="301">
        <v>84.7</v>
      </c>
      <c r="G133" s="301">
        <v>101.3</v>
      </c>
    </row>
    <row r="134" spans="1:7" x14ac:dyDescent="0.25">
      <c r="A134" s="442">
        <v>10</v>
      </c>
      <c r="B134" s="301">
        <v>10.8</v>
      </c>
      <c r="C134" s="301">
        <v>51.2</v>
      </c>
      <c r="D134" s="301">
        <v>82.7</v>
      </c>
      <c r="E134" s="301">
        <v>35.200000000000003</v>
      </c>
      <c r="F134" s="301">
        <v>83.7</v>
      </c>
      <c r="G134" s="301">
        <v>91.6</v>
      </c>
    </row>
    <row r="135" spans="1:7" x14ac:dyDescent="0.25">
      <c r="A135" s="442">
        <v>11</v>
      </c>
      <c r="B135" s="301"/>
      <c r="C135" s="301">
        <v>45.5</v>
      </c>
      <c r="D135" s="301">
        <v>77.3</v>
      </c>
      <c r="E135" s="301">
        <v>44.5</v>
      </c>
      <c r="F135" s="301">
        <v>89.9</v>
      </c>
      <c r="G135" s="301">
        <v>102.5</v>
      </c>
    </row>
    <row r="136" spans="1:7" x14ac:dyDescent="0.25">
      <c r="A136" s="442">
        <v>12</v>
      </c>
      <c r="B136" s="301"/>
      <c r="C136" s="301">
        <v>49.9</v>
      </c>
      <c r="D136" s="301">
        <v>84.4</v>
      </c>
      <c r="E136" s="301">
        <v>27.7</v>
      </c>
      <c r="F136" s="301">
        <v>87.7</v>
      </c>
      <c r="G136" s="301">
        <v>101.7</v>
      </c>
    </row>
    <row r="137" spans="1:7" x14ac:dyDescent="0.25">
      <c r="A137" s="442">
        <v>13</v>
      </c>
      <c r="B137" s="301"/>
      <c r="C137" s="301"/>
      <c r="D137" s="301"/>
      <c r="E137" s="301">
        <v>41.4</v>
      </c>
      <c r="F137" s="301">
        <v>82.4</v>
      </c>
      <c r="G137" s="301">
        <v>90.2</v>
      </c>
    </row>
    <row r="138" spans="1:7" x14ac:dyDescent="0.25">
      <c r="A138" s="442">
        <v>14</v>
      </c>
      <c r="B138" s="301"/>
      <c r="C138" s="301"/>
      <c r="D138" s="301"/>
      <c r="E138" s="301">
        <v>43.4</v>
      </c>
      <c r="F138" s="301">
        <v>87.8</v>
      </c>
      <c r="G138" s="301">
        <v>92.5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84.1</v>
      </c>
      <c r="G139" s="301">
        <v>100.8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84.9</v>
      </c>
      <c r="G140" s="301">
        <v>92.6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86.8</v>
      </c>
      <c r="G141" s="301">
        <v>98.7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86.7</v>
      </c>
      <c r="G142" s="301">
        <v>90.7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81.099999999999994</v>
      </c>
      <c r="G143" s="301">
        <v>90.5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98.2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101.3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105.5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105.2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ROUNDDOWN(AVERAGE(B6:D19),1)</f>
        <v>51.4</v>
      </c>
      <c r="C151" s="301">
        <f>ROUNDDOWN(AVERAGE(E6:G34),1)</f>
        <v>82.3</v>
      </c>
      <c r="D151" s="353">
        <v>28044</v>
      </c>
      <c r="E151" s="362">
        <v>46901</v>
      </c>
      <c r="F151" s="353">
        <f>B151*D151</f>
        <v>1441461.5999999999</v>
      </c>
      <c r="G151" s="353">
        <f>C151*E151</f>
        <v>3859952.3</v>
      </c>
    </row>
    <row r="152" spans="1:7" x14ac:dyDescent="0.25">
      <c r="A152" s="298" t="s">
        <v>370</v>
      </c>
      <c r="B152" s="301">
        <f>ROUNDDOWN(AVERAGE(B39:D44),1)</f>
        <v>51.7</v>
      </c>
      <c r="C152" s="301">
        <f>ROUNDDOWN(AVERAGE(E39:G48),1)</f>
        <v>78.5</v>
      </c>
      <c r="D152" s="353">
        <v>10608</v>
      </c>
      <c r="E152" s="362">
        <v>17259</v>
      </c>
      <c r="F152" s="353">
        <f t="shared" ref="F152:G159" si="0">B152*D152</f>
        <v>548433.6</v>
      </c>
      <c r="G152" s="353">
        <f t="shared" si="0"/>
        <v>1354831.5</v>
      </c>
    </row>
    <row r="153" spans="1:7" x14ac:dyDescent="0.25">
      <c r="A153" s="298" t="s">
        <v>371</v>
      </c>
      <c r="B153" s="301">
        <f>ROUNDDOWN(AVERAGE(B53:D57),1)</f>
        <v>50.9</v>
      </c>
      <c r="C153" s="301">
        <f>ROUNDDOWN(AVERAGE(E53:G61),1)</f>
        <v>79.900000000000006</v>
      </c>
      <c r="D153" s="353">
        <v>8465</v>
      </c>
      <c r="E153" s="362">
        <v>14896</v>
      </c>
      <c r="F153" s="353">
        <f t="shared" si="0"/>
        <v>430868.5</v>
      </c>
      <c r="G153" s="353">
        <f t="shared" si="0"/>
        <v>1190190.4000000001</v>
      </c>
    </row>
    <row r="154" spans="1:7" x14ac:dyDescent="0.25">
      <c r="A154" s="298" t="s">
        <v>372</v>
      </c>
      <c r="B154" s="301">
        <f>ROUNDDOWN(AVERAGE(B66:D69),1)</f>
        <v>53.1</v>
      </c>
      <c r="C154" s="301">
        <f>ROUNDDOWN(AVERAGE(E66:G72),1)</f>
        <v>81.099999999999994</v>
      </c>
      <c r="D154" s="353">
        <v>6339</v>
      </c>
      <c r="E154" s="362">
        <v>10471</v>
      </c>
      <c r="F154" s="353">
        <f t="shared" si="0"/>
        <v>336600.9</v>
      </c>
      <c r="G154" s="353">
        <f t="shared" si="0"/>
        <v>849198.1</v>
      </c>
    </row>
    <row r="155" spans="1:7" x14ac:dyDescent="0.25">
      <c r="A155" s="298" t="s">
        <v>373</v>
      </c>
      <c r="B155" s="301">
        <f>ROUNDDOWN(AVERAGE(B76:D79),1)</f>
        <v>52.6</v>
      </c>
      <c r="C155" s="301">
        <f>ROUNDDOWN(AVERAGE(E76:G79),1)</f>
        <v>78.599999999999994</v>
      </c>
      <c r="D155" s="353">
        <v>3699</v>
      </c>
      <c r="E155" s="362">
        <v>6500</v>
      </c>
      <c r="F155" s="353">
        <f t="shared" si="0"/>
        <v>194567.4</v>
      </c>
      <c r="G155" s="353">
        <f t="shared" si="0"/>
        <v>510899.99999999994</v>
      </c>
    </row>
    <row r="156" spans="1:7" x14ac:dyDescent="0.25">
      <c r="A156" s="298" t="s">
        <v>374</v>
      </c>
      <c r="B156" s="301">
        <f>ROUNDDOWN(AVERAGE(B83:D85),1)</f>
        <v>48.9</v>
      </c>
      <c r="C156" s="301">
        <f>ROUNDDOWN(AVERAGE(E83:G88),1)</f>
        <v>79.099999999999994</v>
      </c>
      <c r="D156" s="353">
        <v>5340</v>
      </c>
      <c r="E156" s="362">
        <v>9367</v>
      </c>
      <c r="F156" s="353">
        <f t="shared" si="0"/>
        <v>261126</v>
      </c>
      <c r="G156" s="353">
        <f t="shared" si="0"/>
        <v>740929.7</v>
      </c>
    </row>
    <row r="157" spans="1:7" x14ac:dyDescent="0.25">
      <c r="A157" s="298" t="s">
        <v>375</v>
      </c>
      <c r="B157" s="301">
        <f>ROUNDDOWN(AVERAGE(B93:D94),1)</f>
        <v>50.4</v>
      </c>
      <c r="C157" s="301">
        <f>ROUNDDOWN(AVERAGE(E93:G96),1)</f>
        <v>76.2</v>
      </c>
      <c r="D157" s="353">
        <v>3613</v>
      </c>
      <c r="E157" s="362">
        <v>5816</v>
      </c>
      <c r="F157" s="353">
        <f t="shared" si="0"/>
        <v>182095.19999999998</v>
      </c>
      <c r="G157" s="353">
        <f t="shared" si="0"/>
        <v>443179.2</v>
      </c>
    </row>
    <row r="158" spans="1:7" x14ac:dyDescent="0.25">
      <c r="A158" s="298" t="s">
        <v>365</v>
      </c>
      <c r="B158" s="301">
        <f>ROUNDDOWN(AVERAGE(B100:D112),1)</f>
        <v>50.8</v>
      </c>
      <c r="C158" s="301">
        <f>ROUNDDOWN(AVERAGE(E100:G121),1)</f>
        <v>79.2</v>
      </c>
      <c r="D158" s="353">
        <v>23194</v>
      </c>
      <c r="E158" s="362">
        <v>40301</v>
      </c>
      <c r="F158" s="353">
        <f t="shared" si="0"/>
        <v>1178255.2</v>
      </c>
      <c r="G158" s="353">
        <f t="shared" si="0"/>
        <v>3191839.2</v>
      </c>
    </row>
    <row r="159" spans="1:7" x14ac:dyDescent="0.25">
      <c r="A159" s="298" t="s">
        <v>366</v>
      </c>
      <c r="B159" s="301">
        <f>ROUNDDOWN(AVERAGE(B125:D136),1)</f>
        <v>51.3</v>
      </c>
      <c r="C159" s="301">
        <f>ROUNDDOWN(AVERAGE(E125:G147),1)</f>
        <v>79.599999999999994</v>
      </c>
      <c r="D159" s="353">
        <v>22794</v>
      </c>
      <c r="E159" s="362">
        <v>40392</v>
      </c>
      <c r="F159" s="353">
        <f t="shared" si="0"/>
        <v>1169332.2</v>
      </c>
      <c r="G159" s="353">
        <f t="shared" si="0"/>
        <v>3215203.1999999997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191903</v>
      </c>
      <c r="F160" s="353">
        <f>SUM(F151:F159)</f>
        <v>5742740.5999999996</v>
      </c>
      <c r="G160" s="353">
        <f>SUM(G151:G159)</f>
        <v>15356223.599999998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51.2</v>
      </c>
      <c r="D165" s="280">
        <f>ROUNDDOWN(G160/E160,1)</f>
        <v>80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E66A4-A467-473D-8CA8-736604D8263E}">
  <dimension ref="A1:G165"/>
  <sheetViews>
    <sheetView zoomScale="120" zoomScaleNormal="120" zoomScaleSheetLayoutView="80" workbookViewId="0">
      <selection activeCell="F19" sqref="F19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403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29.3</v>
      </c>
      <c r="C6" s="301">
        <v>52.8</v>
      </c>
      <c r="D6" s="301">
        <v>75.8</v>
      </c>
      <c r="E6" s="301">
        <v>37.9</v>
      </c>
      <c r="F6" s="301">
        <v>83</v>
      </c>
      <c r="G6" s="301">
        <v>108.4</v>
      </c>
    </row>
    <row r="7" spans="1:7" x14ac:dyDescent="0.25">
      <c r="A7" s="442">
        <v>2</v>
      </c>
      <c r="B7" s="301">
        <v>13</v>
      </c>
      <c r="C7" s="301">
        <v>51.7</v>
      </c>
      <c r="D7" s="301">
        <v>76.2</v>
      </c>
      <c r="E7" s="301">
        <v>53.8</v>
      </c>
      <c r="F7" s="301">
        <v>82.6</v>
      </c>
      <c r="G7" s="301">
        <v>101.2</v>
      </c>
    </row>
    <row r="8" spans="1:7" x14ac:dyDescent="0.25">
      <c r="A8" s="442">
        <v>3</v>
      </c>
      <c r="B8" s="301">
        <v>12.3</v>
      </c>
      <c r="C8" s="301">
        <v>54.3</v>
      </c>
      <c r="D8" s="301">
        <v>76.099999999999994</v>
      </c>
      <c r="E8" s="301">
        <v>53.9</v>
      </c>
      <c r="F8" s="301">
        <v>84.3</v>
      </c>
      <c r="G8" s="301">
        <v>91.2</v>
      </c>
    </row>
    <row r="9" spans="1:7" x14ac:dyDescent="0.25">
      <c r="A9" s="442">
        <v>4</v>
      </c>
      <c r="B9" s="301">
        <v>27.8</v>
      </c>
      <c r="C9" s="301">
        <v>54.3</v>
      </c>
      <c r="D9" s="301">
        <v>85</v>
      </c>
      <c r="E9" s="301">
        <v>50.3</v>
      </c>
      <c r="F9" s="301">
        <v>86.8</v>
      </c>
      <c r="G9" s="301">
        <v>92.1</v>
      </c>
    </row>
    <row r="10" spans="1:7" x14ac:dyDescent="0.25">
      <c r="A10" s="442">
        <v>5</v>
      </c>
      <c r="B10" s="301">
        <v>16.5</v>
      </c>
      <c r="C10" s="301">
        <v>53.6</v>
      </c>
      <c r="D10" s="301">
        <v>83.6</v>
      </c>
      <c r="E10" s="301">
        <v>48.8</v>
      </c>
      <c r="F10" s="301">
        <v>85.1</v>
      </c>
      <c r="G10" s="301">
        <v>90.4</v>
      </c>
    </row>
    <row r="11" spans="1:7" x14ac:dyDescent="0.25">
      <c r="A11" s="442">
        <v>6</v>
      </c>
      <c r="B11" s="301">
        <v>19.899999999999999</v>
      </c>
      <c r="C11" s="301">
        <v>52.2</v>
      </c>
      <c r="D11" s="301">
        <v>79.7</v>
      </c>
      <c r="E11" s="301">
        <v>56.3</v>
      </c>
      <c r="F11" s="301">
        <v>83.5</v>
      </c>
      <c r="G11" s="301">
        <v>92.9</v>
      </c>
    </row>
    <row r="12" spans="1:7" x14ac:dyDescent="0.25">
      <c r="A12" s="442">
        <v>7</v>
      </c>
      <c r="B12" s="301">
        <v>23</v>
      </c>
      <c r="C12" s="301">
        <v>53.3</v>
      </c>
      <c r="D12" s="301">
        <v>75.5</v>
      </c>
      <c r="E12" s="301">
        <v>58.9</v>
      </c>
      <c r="F12" s="301">
        <v>88.1</v>
      </c>
      <c r="G12" s="301">
        <v>102</v>
      </c>
    </row>
    <row r="13" spans="1:7" x14ac:dyDescent="0.25">
      <c r="A13" s="442">
        <v>8</v>
      </c>
      <c r="B13" s="301">
        <v>29.6</v>
      </c>
      <c r="C13" s="301">
        <v>54.8</v>
      </c>
      <c r="D13" s="301">
        <v>79.5</v>
      </c>
      <c r="E13" s="301">
        <v>44</v>
      </c>
      <c r="F13" s="301">
        <v>86.7</v>
      </c>
      <c r="G13" s="301">
        <v>98.9</v>
      </c>
    </row>
    <row r="14" spans="1:7" x14ac:dyDescent="0.25">
      <c r="A14" s="442">
        <v>9</v>
      </c>
      <c r="B14" s="301">
        <v>17</v>
      </c>
      <c r="C14" s="301">
        <v>48.6</v>
      </c>
      <c r="D14" s="301">
        <v>77.3</v>
      </c>
      <c r="E14" s="301">
        <v>59</v>
      </c>
      <c r="F14" s="301">
        <v>81.5</v>
      </c>
      <c r="G14" s="301">
        <v>108</v>
      </c>
    </row>
    <row r="15" spans="1:7" x14ac:dyDescent="0.25">
      <c r="A15" s="442">
        <v>10</v>
      </c>
      <c r="B15" s="301">
        <v>17.7</v>
      </c>
      <c r="C15" s="301">
        <v>47</v>
      </c>
      <c r="D15" s="301">
        <v>79.099999999999994</v>
      </c>
      <c r="E15" s="301">
        <v>47.1</v>
      </c>
      <c r="F15" s="301">
        <v>89.9</v>
      </c>
      <c r="G15" s="301">
        <v>95.4</v>
      </c>
    </row>
    <row r="16" spans="1:7" x14ac:dyDescent="0.25">
      <c r="A16" s="442">
        <v>11</v>
      </c>
      <c r="B16" s="301">
        <v>20</v>
      </c>
      <c r="C16" s="301">
        <v>50.9</v>
      </c>
      <c r="D16" s="301">
        <v>79.5</v>
      </c>
      <c r="E16" s="301">
        <v>46.9</v>
      </c>
      <c r="F16" s="301">
        <v>83</v>
      </c>
      <c r="G16" s="301">
        <v>91.2</v>
      </c>
    </row>
    <row r="17" spans="1:7" x14ac:dyDescent="0.25">
      <c r="A17" s="442">
        <v>12</v>
      </c>
      <c r="B17" s="301">
        <v>29.4</v>
      </c>
      <c r="C17" s="301">
        <v>54.9</v>
      </c>
      <c r="D17" s="301">
        <v>83.1</v>
      </c>
      <c r="E17" s="301">
        <v>44.3</v>
      </c>
      <c r="F17" s="301">
        <v>87.7</v>
      </c>
      <c r="G17" s="301">
        <v>107.1</v>
      </c>
    </row>
    <row r="18" spans="1:7" x14ac:dyDescent="0.25">
      <c r="A18" s="442">
        <v>13</v>
      </c>
      <c r="B18" s="301">
        <v>14.1</v>
      </c>
      <c r="C18" s="301">
        <v>53.7</v>
      </c>
      <c r="D18" s="301">
        <v>81.2</v>
      </c>
      <c r="E18" s="301">
        <v>40.4</v>
      </c>
      <c r="F18" s="301">
        <v>88.5</v>
      </c>
      <c r="G18" s="301">
        <v>97.9</v>
      </c>
    </row>
    <row r="19" spans="1:7" x14ac:dyDescent="0.25">
      <c r="A19" s="442">
        <v>14</v>
      </c>
      <c r="B19" s="301"/>
      <c r="C19" s="301"/>
      <c r="D19" s="301">
        <v>75.7</v>
      </c>
      <c r="E19" s="301">
        <v>51.9</v>
      </c>
      <c r="F19" s="301">
        <v>87.8</v>
      </c>
      <c r="G19" s="301">
        <v>104.7</v>
      </c>
    </row>
    <row r="20" spans="1:7" x14ac:dyDescent="0.25">
      <c r="A20" s="442">
        <v>15</v>
      </c>
      <c r="B20" s="301"/>
      <c r="C20" s="301"/>
      <c r="D20" s="301"/>
      <c r="E20" s="301">
        <v>38.1</v>
      </c>
      <c r="F20" s="301">
        <v>88.5</v>
      </c>
      <c r="G20" s="301">
        <v>99.9</v>
      </c>
    </row>
    <row r="21" spans="1:7" x14ac:dyDescent="0.25">
      <c r="A21" s="442">
        <v>16</v>
      </c>
      <c r="B21" s="301"/>
      <c r="C21" s="301"/>
      <c r="D21" s="301"/>
      <c r="E21" s="301">
        <v>53.3</v>
      </c>
      <c r="F21" s="301">
        <v>82</v>
      </c>
      <c r="G21" s="301">
        <v>105.6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87.3</v>
      </c>
      <c r="G22" s="301">
        <v>104.6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84.4</v>
      </c>
      <c r="G23" s="301">
        <v>91.4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84.8</v>
      </c>
      <c r="G24" s="301">
        <v>99.5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81.599999999999994</v>
      </c>
      <c r="G25" s="301">
        <v>102.3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88</v>
      </c>
      <c r="G26" s="301">
        <v>110.1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84</v>
      </c>
      <c r="G27" s="301">
        <v>109.1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86.2</v>
      </c>
      <c r="G28" s="301">
        <v>105.7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88.4</v>
      </c>
      <c r="G29" s="301">
        <v>90.1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102.3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98.2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94.6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109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96.4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12.6</v>
      </c>
      <c r="C39" s="301">
        <v>53.6</v>
      </c>
      <c r="D39" s="301">
        <v>83</v>
      </c>
      <c r="E39" s="301">
        <v>50.9</v>
      </c>
      <c r="F39" s="301">
        <v>88.9</v>
      </c>
      <c r="G39" s="301">
        <v>90</v>
      </c>
    </row>
    <row r="40" spans="1:7" x14ac:dyDescent="0.25">
      <c r="A40" s="442">
        <v>2</v>
      </c>
      <c r="B40" s="301">
        <v>11.6</v>
      </c>
      <c r="C40" s="301">
        <v>49.2</v>
      </c>
      <c r="D40" s="301">
        <v>79.900000000000006</v>
      </c>
      <c r="E40" s="301">
        <v>49.8</v>
      </c>
      <c r="F40" s="301">
        <v>87.2</v>
      </c>
      <c r="G40" s="301">
        <v>97.6</v>
      </c>
    </row>
    <row r="41" spans="1:7" x14ac:dyDescent="0.25">
      <c r="A41" s="442">
        <v>3</v>
      </c>
      <c r="B41" s="301">
        <v>11.1</v>
      </c>
      <c r="C41" s="301">
        <v>47.7</v>
      </c>
      <c r="D41" s="301">
        <v>75.3</v>
      </c>
      <c r="E41" s="301">
        <v>33.9</v>
      </c>
      <c r="F41" s="301">
        <v>86</v>
      </c>
      <c r="G41" s="301">
        <v>106.2</v>
      </c>
    </row>
    <row r="42" spans="1:7" x14ac:dyDescent="0.25">
      <c r="A42" s="442">
        <v>4</v>
      </c>
      <c r="B42" s="301">
        <v>12</v>
      </c>
      <c r="C42" s="301">
        <v>54.5</v>
      </c>
      <c r="D42" s="301">
        <v>84.9</v>
      </c>
      <c r="E42" s="301">
        <v>26.1</v>
      </c>
      <c r="F42" s="301">
        <v>86.4</v>
      </c>
      <c r="G42" s="301">
        <v>109.4</v>
      </c>
    </row>
    <row r="43" spans="1:7" x14ac:dyDescent="0.25">
      <c r="A43" s="442">
        <v>5</v>
      </c>
      <c r="B43" s="301">
        <v>27.7</v>
      </c>
      <c r="C43" s="301">
        <v>45.8</v>
      </c>
      <c r="D43" s="301">
        <v>84.3</v>
      </c>
      <c r="E43" s="301">
        <v>36.6</v>
      </c>
      <c r="F43" s="301">
        <v>89.6</v>
      </c>
      <c r="G43" s="301">
        <v>104</v>
      </c>
    </row>
    <row r="44" spans="1:7" x14ac:dyDescent="0.25">
      <c r="A44" s="442">
        <v>6</v>
      </c>
      <c r="B44" s="301"/>
      <c r="C44" s="301">
        <v>51.4</v>
      </c>
      <c r="D44" s="301"/>
      <c r="E44" s="301">
        <v>39.200000000000003</v>
      </c>
      <c r="F44" s="301">
        <v>89.4</v>
      </c>
      <c r="G44" s="301">
        <v>105.9</v>
      </c>
    </row>
    <row r="45" spans="1:7" x14ac:dyDescent="0.25">
      <c r="A45" s="442">
        <v>7</v>
      </c>
      <c r="B45" s="301"/>
      <c r="C45" s="301"/>
      <c r="D45" s="301"/>
      <c r="E45" s="301"/>
      <c r="F45" s="301">
        <v>82.5</v>
      </c>
      <c r="G45" s="301">
        <v>98.5</v>
      </c>
    </row>
    <row r="46" spans="1:7" x14ac:dyDescent="0.25">
      <c r="A46" s="442">
        <v>8</v>
      </c>
      <c r="B46" s="301"/>
      <c r="C46" s="301"/>
      <c r="D46" s="301"/>
      <c r="E46" s="301"/>
      <c r="F46" s="301">
        <v>83.5</v>
      </c>
      <c r="G46" s="301">
        <v>106.3</v>
      </c>
    </row>
    <row r="47" spans="1:7" x14ac:dyDescent="0.25">
      <c r="A47" s="442">
        <v>9</v>
      </c>
      <c r="B47" s="301"/>
      <c r="C47" s="301"/>
      <c r="D47" s="301"/>
      <c r="E47" s="301"/>
      <c r="F47" s="301">
        <v>87.8</v>
      </c>
      <c r="G47" s="301">
        <v>104.7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84.2</v>
      </c>
      <c r="G48" s="301">
        <v>110.5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25.9</v>
      </c>
      <c r="C53" s="301">
        <v>53.6</v>
      </c>
      <c r="D53" s="301">
        <v>80</v>
      </c>
      <c r="E53" s="301">
        <v>35.799999999999997</v>
      </c>
      <c r="F53" s="301">
        <v>89.5</v>
      </c>
      <c r="G53" s="301">
        <v>97.8</v>
      </c>
    </row>
    <row r="54" spans="1:7" x14ac:dyDescent="0.25">
      <c r="A54" s="442">
        <v>2</v>
      </c>
      <c r="B54" s="301">
        <v>24.1</v>
      </c>
      <c r="C54" s="301">
        <v>47.5</v>
      </c>
      <c r="D54" s="301">
        <v>75.099999999999994</v>
      </c>
      <c r="E54" s="301">
        <v>28</v>
      </c>
      <c r="F54" s="301">
        <v>88.5</v>
      </c>
      <c r="G54" s="301">
        <v>92.6</v>
      </c>
    </row>
    <row r="55" spans="1:7" x14ac:dyDescent="0.25">
      <c r="A55" s="442">
        <v>3</v>
      </c>
      <c r="B55" s="301">
        <v>26.1</v>
      </c>
      <c r="C55" s="301">
        <v>50.3</v>
      </c>
      <c r="D55" s="301">
        <v>82.8</v>
      </c>
      <c r="E55" s="301">
        <v>26.1</v>
      </c>
      <c r="F55" s="301">
        <v>86.3</v>
      </c>
      <c r="G55" s="301">
        <v>105.7</v>
      </c>
    </row>
    <row r="56" spans="1:7" x14ac:dyDescent="0.25">
      <c r="A56" s="442">
        <v>4</v>
      </c>
      <c r="B56" s="301">
        <v>28.9</v>
      </c>
      <c r="C56" s="301">
        <v>45</v>
      </c>
      <c r="D56" s="301">
        <v>82.7</v>
      </c>
      <c r="E56" s="301">
        <v>49.1</v>
      </c>
      <c r="F56" s="301">
        <v>86.2</v>
      </c>
      <c r="G56" s="301">
        <v>97</v>
      </c>
    </row>
    <row r="57" spans="1:7" x14ac:dyDescent="0.25">
      <c r="A57" s="442">
        <v>5</v>
      </c>
      <c r="B57" s="301"/>
      <c r="C57" s="301">
        <v>52.4</v>
      </c>
      <c r="D57" s="301">
        <v>75.3</v>
      </c>
      <c r="E57" s="301">
        <v>48.8</v>
      </c>
      <c r="F57" s="301">
        <v>87.9</v>
      </c>
      <c r="G57" s="301">
        <v>90.9</v>
      </c>
    </row>
    <row r="58" spans="1:7" x14ac:dyDescent="0.25">
      <c r="A58" s="442">
        <v>6</v>
      </c>
      <c r="B58" s="301"/>
      <c r="C58" s="301"/>
      <c r="D58" s="301"/>
      <c r="E58" s="301"/>
      <c r="F58" s="301">
        <v>87</v>
      </c>
      <c r="G58" s="301">
        <v>90.6</v>
      </c>
    </row>
    <row r="59" spans="1:7" x14ac:dyDescent="0.25">
      <c r="A59" s="442">
        <v>7</v>
      </c>
      <c r="B59" s="301"/>
      <c r="C59" s="301"/>
      <c r="D59" s="301"/>
      <c r="E59" s="301"/>
      <c r="F59" s="301">
        <v>86.7</v>
      </c>
      <c r="G59" s="301">
        <v>110.2</v>
      </c>
    </row>
    <row r="60" spans="1:7" x14ac:dyDescent="0.25">
      <c r="A60" s="442">
        <v>8</v>
      </c>
      <c r="B60" s="301"/>
      <c r="C60" s="301"/>
      <c r="D60" s="301"/>
      <c r="E60" s="301"/>
      <c r="F60" s="301">
        <v>80.099999999999994</v>
      </c>
      <c r="G60" s="301">
        <v>104.5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96.9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18.8</v>
      </c>
      <c r="C66" s="301">
        <v>48.7</v>
      </c>
      <c r="D66" s="301">
        <v>80.7</v>
      </c>
      <c r="E66" s="301">
        <v>39.700000000000003</v>
      </c>
      <c r="F66" s="301">
        <v>86.9</v>
      </c>
      <c r="G66" s="301">
        <v>95.9</v>
      </c>
    </row>
    <row r="67" spans="1:7" x14ac:dyDescent="0.25">
      <c r="A67" s="442">
        <v>2</v>
      </c>
      <c r="B67" s="301">
        <v>20.3</v>
      </c>
      <c r="C67" s="301">
        <v>48.8</v>
      </c>
      <c r="D67" s="301">
        <v>80.599999999999994</v>
      </c>
      <c r="E67" s="301">
        <v>50.5</v>
      </c>
      <c r="F67" s="301">
        <v>83.8</v>
      </c>
      <c r="G67" s="301">
        <v>90.6</v>
      </c>
    </row>
    <row r="68" spans="1:7" x14ac:dyDescent="0.25">
      <c r="A68" s="442">
        <v>3</v>
      </c>
      <c r="B68" s="301">
        <v>23.1</v>
      </c>
      <c r="C68" s="301">
        <v>49.2</v>
      </c>
      <c r="D68" s="301">
        <v>80.5</v>
      </c>
      <c r="E68" s="301">
        <v>28.3</v>
      </c>
      <c r="F68" s="301">
        <v>87.2</v>
      </c>
      <c r="G68" s="301">
        <v>105.9</v>
      </c>
    </row>
    <row r="69" spans="1:7" x14ac:dyDescent="0.25">
      <c r="A69" s="442">
        <v>4</v>
      </c>
      <c r="B69" s="301"/>
      <c r="C69" s="301"/>
      <c r="D69" s="301">
        <v>77.900000000000006</v>
      </c>
      <c r="E69" s="301">
        <v>47</v>
      </c>
      <c r="F69" s="301">
        <v>88.5</v>
      </c>
      <c r="G69" s="301">
        <v>98.4</v>
      </c>
    </row>
    <row r="70" spans="1:7" x14ac:dyDescent="0.25">
      <c r="A70" s="442">
        <v>5</v>
      </c>
      <c r="B70" s="301"/>
      <c r="C70" s="301"/>
      <c r="D70" s="301"/>
      <c r="E70" s="301"/>
      <c r="F70" s="301">
        <v>87</v>
      </c>
      <c r="G70" s="301">
        <v>102.3</v>
      </c>
    </row>
    <row r="71" spans="1:7" x14ac:dyDescent="0.25">
      <c r="A71" s="442">
        <v>6</v>
      </c>
      <c r="B71" s="301"/>
      <c r="C71" s="301"/>
      <c r="D71" s="301"/>
      <c r="E71" s="301"/>
      <c r="F71" s="301">
        <v>83.2</v>
      </c>
      <c r="G71" s="301">
        <v>94.4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96.1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11.6</v>
      </c>
      <c r="C76" s="301">
        <v>49.3</v>
      </c>
      <c r="D76" s="301">
        <v>81.7</v>
      </c>
      <c r="E76" s="301">
        <v>29</v>
      </c>
      <c r="F76" s="301">
        <v>82</v>
      </c>
      <c r="G76" s="301">
        <v>110.4</v>
      </c>
    </row>
    <row r="77" spans="1:7" x14ac:dyDescent="0.25">
      <c r="A77" s="442">
        <v>2</v>
      </c>
      <c r="B77" s="301">
        <v>29.4</v>
      </c>
      <c r="C77" s="301">
        <v>51.3</v>
      </c>
      <c r="D77" s="301">
        <v>78.099999999999994</v>
      </c>
      <c r="E77" s="301">
        <v>41.1</v>
      </c>
      <c r="F77" s="301">
        <v>89.6</v>
      </c>
      <c r="G77" s="301">
        <v>110.5</v>
      </c>
    </row>
    <row r="78" spans="1:7" x14ac:dyDescent="0.25">
      <c r="A78" s="442">
        <v>3</v>
      </c>
      <c r="B78" s="301"/>
      <c r="C78" s="301"/>
      <c r="D78" s="301"/>
      <c r="E78" s="301">
        <v>48.7</v>
      </c>
      <c r="F78" s="301">
        <v>81</v>
      </c>
      <c r="G78" s="301">
        <v>100.2</v>
      </c>
    </row>
    <row r="79" spans="1:7" x14ac:dyDescent="0.25">
      <c r="A79" s="442">
        <v>4</v>
      </c>
      <c r="B79" s="301"/>
      <c r="C79" s="301"/>
      <c r="D79" s="301"/>
      <c r="E79" s="301"/>
      <c r="F79" s="301">
        <v>81.2</v>
      </c>
      <c r="G79" s="301">
        <v>109.1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12.6</v>
      </c>
      <c r="C83" s="301">
        <v>49.3</v>
      </c>
      <c r="D83" s="301">
        <v>76.5</v>
      </c>
      <c r="E83" s="301">
        <v>59.7</v>
      </c>
      <c r="F83" s="301">
        <v>81</v>
      </c>
      <c r="G83" s="301">
        <v>105.8</v>
      </c>
    </row>
    <row r="84" spans="1:7" x14ac:dyDescent="0.25">
      <c r="A84" s="442">
        <v>2</v>
      </c>
      <c r="B84" s="301">
        <v>22.6</v>
      </c>
      <c r="C84" s="301">
        <v>49.7</v>
      </c>
      <c r="D84" s="301">
        <v>80.099999999999994</v>
      </c>
      <c r="E84" s="301">
        <v>47.7</v>
      </c>
      <c r="F84" s="301">
        <v>81.3</v>
      </c>
      <c r="G84" s="301">
        <v>109.7</v>
      </c>
    </row>
    <row r="85" spans="1:7" x14ac:dyDescent="0.25">
      <c r="A85" s="442">
        <v>3</v>
      </c>
      <c r="B85" s="301">
        <v>16.399999999999999</v>
      </c>
      <c r="C85" s="301">
        <v>51.5</v>
      </c>
      <c r="D85" s="301">
        <v>83.3</v>
      </c>
      <c r="E85" s="301">
        <v>44.1</v>
      </c>
      <c r="F85" s="301">
        <v>87.1</v>
      </c>
      <c r="G85" s="301">
        <v>108.7</v>
      </c>
    </row>
    <row r="86" spans="1:7" x14ac:dyDescent="0.25">
      <c r="A86" s="442">
        <v>4</v>
      </c>
      <c r="B86" s="301"/>
      <c r="C86" s="301"/>
      <c r="D86" s="301"/>
      <c r="E86" s="301">
        <v>50.9</v>
      </c>
      <c r="F86" s="301">
        <v>89.4</v>
      </c>
      <c r="G86" s="301">
        <v>105</v>
      </c>
    </row>
    <row r="87" spans="1:7" x14ac:dyDescent="0.25">
      <c r="A87" s="442">
        <v>5</v>
      </c>
      <c r="B87" s="301"/>
      <c r="C87" s="301"/>
      <c r="D87" s="301"/>
      <c r="E87" s="301"/>
      <c r="F87" s="301">
        <v>88.6</v>
      </c>
      <c r="G87" s="301">
        <v>101.4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97.5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30</v>
      </c>
      <c r="C93" s="301">
        <v>54.6</v>
      </c>
      <c r="D93" s="301">
        <v>83.8</v>
      </c>
      <c r="E93" s="301">
        <v>27.8</v>
      </c>
      <c r="F93" s="301">
        <v>80</v>
      </c>
      <c r="G93" s="301">
        <v>101.1</v>
      </c>
    </row>
    <row r="94" spans="1:7" x14ac:dyDescent="0.25">
      <c r="A94" s="442">
        <v>2</v>
      </c>
      <c r="B94" s="301">
        <v>26.2</v>
      </c>
      <c r="C94" s="301">
        <v>53.7</v>
      </c>
      <c r="D94" s="301">
        <v>84.2</v>
      </c>
      <c r="E94" s="301">
        <v>25.8</v>
      </c>
      <c r="F94" s="301">
        <v>82.1</v>
      </c>
      <c r="G94" s="301">
        <v>110.7</v>
      </c>
    </row>
    <row r="95" spans="1:7" x14ac:dyDescent="0.25">
      <c r="A95" s="442">
        <v>3</v>
      </c>
      <c r="B95" s="301"/>
      <c r="C95" s="301"/>
      <c r="D95" s="301"/>
      <c r="E95" s="301">
        <v>39.299999999999997</v>
      </c>
      <c r="F95" s="301">
        <v>85.4</v>
      </c>
      <c r="G95" s="301">
        <v>94.9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104.5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24.9</v>
      </c>
      <c r="C100" s="301">
        <v>54.6</v>
      </c>
      <c r="D100" s="301">
        <v>81.599999999999994</v>
      </c>
      <c r="E100" s="301">
        <v>27.2</v>
      </c>
      <c r="F100" s="301">
        <v>83.2</v>
      </c>
      <c r="G100" s="301">
        <v>90.2</v>
      </c>
    </row>
    <row r="101" spans="1:7" x14ac:dyDescent="0.25">
      <c r="A101" s="442">
        <v>2</v>
      </c>
      <c r="B101" s="301">
        <v>29.6</v>
      </c>
      <c r="C101" s="301">
        <v>53.7</v>
      </c>
      <c r="D101" s="301">
        <v>81.599999999999994</v>
      </c>
      <c r="E101" s="301">
        <v>56.1</v>
      </c>
      <c r="F101" s="301">
        <v>81.8</v>
      </c>
      <c r="G101" s="301">
        <v>97.5</v>
      </c>
    </row>
    <row r="102" spans="1:7" x14ac:dyDescent="0.25">
      <c r="A102" s="442">
        <v>3</v>
      </c>
      <c r="B102" s="301">
        <v>21.4</v>
      </c>
      <c r="C102" s="301">
        <v>45.9</v>
      </c>
      <c r="D102" s="301">
        <v>82</v>
      </c>
      <c r="E102" s="301">
        <v>26.9</v>
      </c>
      <c r="F102" s="301">
        <v>87.4</v>
      </c>
      <c r="G102" s="301">
        <v>95.7</v>
      </c>
    </row>
    <row r="103" spans="1:7" x14ac:dyDescent="0.25">
      <c r="A103" s="442">
        <v>4</v>
      </c>
      <c r="B103" s="301">
        <v>16.399999999999999</v>
      </c>
      <c r="C103" s="301">
        <v>46.3</v>
      </c>
      <c r="D103" s="301">
        <v>78.8</v>
      </c>
      <c r="E103" s="301">
        <v>39.200000000000003</v>
      </c>
      <c r="F103" s="301">
        <v>81</v>
      </c>
      <c r="G103" s="301">
        <v>100.5</v>
      </c>
    </row>
    <row r="104" spans="1:7" x14ac:dyDescent="0.25">
      <c r="A104" s="442">
        <v>5</v>
      </c>
      <c r="B104" s="301">
        <v>24.5</v>
      </c>
      <c r="C104" s="301">
        <v>45.3</v>
      </c>
      <c r="D104" s="301">
        <v>79.900000000000006</v>
      </c>
      <c r="E104" s="301">
        <v>47.8</v>
      </c>
      <c r="F104" s="301">
        <v>89.4</v>
      </c>
      <c r="G104" s="301">
        <v>104.4</v>
      </c>
    </row>
    <row r="105" spans="1:7" x14ac:dyDescent="0.25">
      <c r="A105" s="442">
        <v>6</v>
      </c>
      <c r="B105" s="301">
        <v>17.3</v>
      </c>
      <c r="C105" s="301">
        <v>51.2</v>
      </c>
      <c r="D105" s="301">
        <v>75.2</v>
      </c>
      <c r="E105" s="301">
        <v>52.9</v>
      </c>
      <c r="F105" s="301">
        <v>88.3</v>
      </c>
      <c r="G105" s="301">
        <v>100.4</v>
      </c>
    </row>
    <row r="106" spans="1:7" x14ac:dyDescent="0.25">
      <c r="A106" s="442">
        <v>7</v>
      </c>
      <c r="B106" s="301">
        <v>18</v>
      </c>
      <c r="C106" s="301">
        <v>52.3</v>
      </c>
      <c r="D106" s="301">
        <v>84.4</v>
      </c>
      <c r="E106" s="301">
        <v>36.5</v>
      </c>
      <c r="F106" s="301">
        <v>86</v>
      </c>
      <c r="G106" s="301">
        <v>100.2</v>
      </c>
    </row>
    <row r="107" spans="1:7" x14ac:dyDescent="0.25">
      <c r="A107" s="442">
        <v>8</v>
      </c>
      <c r="B107" s="301">
        <v>16.100000000000001</v>
      </c>
      <c r="C107" s="301">
        <v>49.6</v>
      </c>
      <c r="D107" s="301">
        <v>77.3</v>
      </c>
      <c r="E107" s="301">
        <v>41</v>
      </c>
      <c r="F107" s="301">
        <v>83.1</v>
      </c>
      <c r="G107" s="301">
        <v>91.8</v>
      </c>
    </row>
    <row r="108" spans="1:7" x14ac:dyDescent="0.25">
      <c r="A108" s="442">
        <v>9</v>
      </c>
      <c r="B108" s="301">
        <v>22.6</v>
      </c>
      <c r="C108" s="301">
        <v>47.8</v>
      </c>
      <c r="D108" s="301">
        <v>76</v>
      </c>
      <c r="E108" s="301">
        <v>30.1</v>
      </c>
      <c r="F108" s="301">
        <v>81.900000000000006</v>
      </c>
      <c r="G108" s="301">
        <v>102.6</v>
      </c>
    </row>
    <row r="109" spans="1:7" x14ac:dyDescent="0.25">
      <c r="A109" s="442">
        <v>10</v>
      </c>
      <c r="B109" s="301">
        <v>26.4</v>
      </c>
      <c r="C109" s="301">
        <v>48.6</v>
      </c>
      <c r="D109" s="301">
        <v>80.3</v>
      </c>
      <c r="E109" s="301">
        <v>32.6</v>
      </c>
      <c r="F109" s="301">
        <v>86.7</v>
      </c>
      <c r="G109" s="301">
        <v>91.3</v>
      </c>
    </row>
    <row r="110" spans="1:7" x14ac:dyDescent="0.25">
      <c r="A110" s="442">
        <v>11</v>
      </c>
      <c r="B110" s="301"/>
      <c r="C110" s="301">
        <v>46.4</v>
      </c>
      <c r="D110" s="301">
        <v>75.7</v>
      </c>
      <c r="E110" s="301">
        <v>30.7</v>
      </c>
      <c r="F110" s="301">
        <v>89.3</v>
      </c>
      <c r="G110" s="301">
        <v>103.4</v>
      </c>
    </row>
    <row r="111" spans="1:7" x14ac:dyDescent="0.25">
      <c r="A111" s="442">
        <v>12</v>
      </c>
      <c r="B111" s="301"/>
      <c r="C111" s="301">
        <v>53.7</v>
      </c>
      <c r="D111" s="301"/>
      <c r="E111" s="301">
        <v>59.9</v>
      </c>
      <c r="F111" s="301">
        <v>85.7</v>
      </c>
      <c r="G111" s="301">
        <v>97</v>
      </c>
    </row>
    <row r="112" spans="1:7" x14ac:dyDescent="0.25">
      <c r="A112" s="442">
        <v>13</v>
      </c>
      <c r="B112" s="301"/>
      <c r="C112" s="301">
        <v>46.9</v>
      </c>
      <c r="D112" s="301"/>
      <c r="E112" s="301">
        <v>38.6</v>
      </c>
      <c r="F112" s="301">
        <v>86.7</v>
      </c>
      <c r="G112" s="301">
        <v>109.2</v>
      </c>
    </row>
    <row r="113" spans="1:7" x14ac:dyDescent="0.25">
      <c r="A113" s="442">
        <v>14</v>
      </c>
      <c r="B113" s="301"/>
      <c r="C113" s="301"/>
      <c r="D113" s="301"/>
      <c r="E113" s="301">
        <v>57.9</v>
      </c>
      <c r="F113" s="301">
        <v>83</v>
      </c>
      <c r="G113" s="301">
        <v>102.4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82.2</v>
      </c>
      <c r="G114" s="301">
        <v>91.3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82.4</v>
      </c>
      <c r="G115" s="301">
        <v>92.5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88.3</v>
      </c>
      <c r="G116" s="301">
        <v>103.3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88.9</v>
      </c>
      <c r="G117" s="301">
        <v>90.1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85.7</v>
      </c>
      <c r="G118" s="301">
        <v>98.2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88.8</v>
      </c>
      <c r="G119" s="301">
        <v>101.7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81.3</v>
      </c>
      <c r="G120" s="301">
        <v>109.2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81.099999999999994</v>
      </c>
      <c r="G121" s="301">
        <v>104.4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21.5</v>
      </c>
      <c r="C125" s="301">
        <v>54.7</v>
      </c>
      <c r="D125" s="301">
        <v>76.8</v>
      </c>
      <c r="E125" s="301">
        <v>25.4</v>
      </c>
      <c r="F125" s="301">
        <v>81.7</v>
      </c>
      <c r="G125" s="301">
        <v>102.9</v>
      </c>
    </row>
    <row r="126" spans="1:7" x14ac:dyDescent="0.25">
      <c r="A126" s="442">
        <v>2</v>
      </c>
      <c r="B126" s="301">
        <v>19.5</v>
      </c>
      <c r="C126" s="301">
        <v>47.1</v>
      </c>
      <c r="D126" s="301">
        <v>80.3</v>
      </c>
      <c r="E126" s="301">
        <v>28.5</v>
      </c>
      <c r="F126" s="301">
        <v>83.3</v>
      </c>
      <c r="G126" s="301">
        <v>109.4</v>
      </c>
    </row>
    <row r="127" spans="1:7" x14ac:dyDescent="0.25">
      <c r="A127" s="442">
        <v>3</v>
      </c>
      <c r="B127" s="301">
        <v>18.8</v>
      </c>
      <c r="C127" s="301">
        <v>50.1</v>
      </c>
      <c r="D127" s="301">
        <v>79.2</v>
      </c>
      <c r="E127" s="301">
        <v>36.700000000000003</v>
      </c>
      <c r="F127" s="301">
        <v>84</v>
      </c>
      <c r="G127" s="301">
        <v>100.2</v>
      </c>
    </row>
    <row r="128" spans="1:7" x14ac:dyDescent="0.25">
      <c r="A128" s="442">
        <v>4</v>
      </c>
      <c r="B128" s="301">
        <v>21.2</v>
      </c>
      <c r="C128" s="301">
        <v>53.5</v>
      </c>
      <c r="D128" s="301">
        <v>80.7</v>
      </c>
      <c r="E128" s="301">
        <v>31.7</v>
      </c>
      <c r="F128" s="301">
        <v>87.1</v>
      </c>
      <c r="G128" s="301">
        <v>105.8</v>
      </c>
    </row>
    <row r="129" spans="1:7" x14ac:dyDescent="0.25">
      <c r="A129" s="442">
        <v>5</v>
      </c>
      <c r="B129" s="301">
        <v>25.3</v>
      </c>
      <c r="C129" s="301">
        <v>45.6</v>
      </c>
      <c r="D129" s="301">
        <v>79.900000000000006</v>
      </c>
      <c r="E129" s="301">
        <v>49.4</v>
      </c>
      <c r="F129" s="301">
        <v>86.5</v>
      </c>
      <c r="G129" s="301">
        <v>101.5</v>
      </c>
    </row>
    <row r="130" spans="1:7" x14ac:dyDescent="0.25">
      <c r="A130" s="442">
        <v>6</v>
      </c>
      <c r="B130" s="301">
        <v>29.6</v>
      </c>
      <c r="C130" s="301">
        <v>49</v>
      </c>
      <c r="D130" s="301">
        <v>79.8</v>
      </c>
      <c r="E130" s="301">
        <v>28.5</v>
      </c>
      <c r="F130" s="301">
        <v>88.2</v>
      </c>
      <c r="G130" s="301">
        <v>94</v>
      </c>
    </row>
    <row r="131" spans="1:7" x14ac:dyDescent="0.25">
      <c r="A131" s="442">
        <v>7</v>
      </c>
      <c r="B131" s="301">
        <v>26</v>
      </c>
      <c r="C131" s="301">
        <v>49.7</v>
      </c>
      <c r="D131" s="301">
        <v>84.4</v>
      </c>
      <c r="E131" s="301">
        <v>32.4</v>
      </c>
      <c r="F131" s="301">
        <v>87.3</v>
      </c>
      <c r="G131" s="301">
        <v>99.3</v>
      </c>
    </row>
    <row r="132" spans="1:7" x14ac:dyDescent="0.25">
      <c r="A132" s="442">
        <v>8</v>
      </c>
      <c r="B132" s="301">
        <v>20.3</v>
      </c>
      <c r="C132" s="301">
        <v>49.4</v>
      </c>
      <c r="D132" s="301">
        <v>84.7</v>
      </c>
      <c r="E132" s="301">
        <v>31.9</v>
      </c>
      <c r="F132" s="301">
        <v>85.2</v>
      </c>
      <c r="G132" s="301">
        <v>102.1</v>
      </c>
    </row>
    <row r="133" spans="1:7" x14ac:dyDescent="0.25">
      <c r="A133" s="442">
        <v>9</v>
      </c>
      <c r="B133" s="301">
        <v>26.5</v>
      </c>
      <c r="C133" s="301">
        <v>48.9</v>
      </c>
      <c r="D133" s="301">
        <v>76.599999999999994</v>
      </c>
      <c r="E133" s="301">
        <v>43.8</v>
      </c>
      <c r="F133" s="301">
        <v>88.2</v>
      </c>
      <c r="G133" s="301">
        <v>107.2</v>
      </c>
    </row>
    <row r="134" spans="1:7" x14ac:dyDescent="0.25">
      <c r="A134" s="442">
        <v>10</v>
      </c>
      <c r="B134" s="301">
        <v>27.3</v>
      </c>
      <c r="C134" s="301">
        <v>47.3</v>
      </c>
      <c r="D134" s="301">
        <v>80.900000000000006</v>
      </c>
      <c r="E134" s="301">
        <v>55.3</v>
      </c>
      <c r="F134" s="301">
        <v>87.8</v>
      </c>
      <c r="G134" s="301">
        <v>91.9</v>
      </c>
    </row>
    <row r="135" spans="1:7" x14ac:dyDescent="0.25">
      <c r="A135" s="442">
        <v>11</v>
      </c>
      <c r="B135" s="301"/>
      <c r="C135" s="301">
        <v>50.6</v>
      </c>
      <c r="D135" s="301">
        <v>81</v>
      </c>
      <c r="E135" s="301">
        <v>26.3</v>
      </c>
      <c r="F135" s="301">
        <v>87.8</v>
      </c>
      <c r="G135" s="301">
        <v>100.2</v>
      </c>
    </row>
    <row r="136" spans="1:7" x14ac:dyDescent="0.25">
      <c r="A136" s="442">
        <v>12</v>
      </c>
      <c r="B136" s="301"/>
      <c r="C136" s="301">
        <v>49.6</v>
      </c>
      <c r="D136" s="301">
        <v>83.3</v>
      </c>
      <c r="E136" s="301">
        <v>41.4</v>
      </c>
      <c r="F136" s="301">
        <v>88.8</v>
      </c>
      <c r="G136" s="301">
        <v>91.1</v>
      </c>
    </row>
    <row r="137" spans="1:7" x14ac:dyDescent="0.25">
      <c r="A137" s="442">
        <v>13</v>
      </c>
      <c r="B137" s="301"/>
      <c r="C137" s="301"/>
      <c r="D137" s="301"/>
      <c r="E137" s="301">
        <v>45.4</v>
      </c>
      <c r="F137" s="301">
        <v>84.6</v>
      </c>
      <c r="G137" s="301">
        <v>95.8</v>
      </c>
    </row>
    <row r="138" spans="1:7" x14ac:dyDescent="0.25">
      <c r="A138" s="442">
        <v>14</v>
      </c>
      <c r="B138" s="301"/>
      <c r="C138" s="301"/>
      <c r="D138" s="301"/>
      <c r="E138" s="301">
        <v>28.7</v>
      </c>
      <c r="F138" s="301">
        <v>89.7</v>
      </c>
      <c r="G138" s="301">
        <v>100.9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82.6</v>
      </c>
      <c r="G139" s="301">
        <v>109.7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89.1</v>
      </c>
      <c r="G140" s="301">
        <v>93.1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85.1</v>
      </c>
      <c r="G141" s="301">
        <v>93.7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85.2</v>
      </c>
      <c r="G142" s="301">
        <v>105.8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80.5</v>
      </c>
      <c r="G143" s="301">
        <v>102.7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110.2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104.4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101.1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108.9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ROUNDDOWN(AVERAGE(B6:D19),1)</f>
        <v>51.4</v>
      </c>
      <c r="C151" s="301">
        <f>ROUNDDOWN(AVERAGE(E6:G34),1)</f>
        <v>83.1</v>
      </c>
      <c r="D151" s="353">
        <v>28044</v>
      </c>
      <c r="E151" s="362">
        <v>46823</v>
      </c>
      <c r="F151" s="353">
        <f>B151*D151</f>
        <v>1441461.5999999999</v>
      </c>
      <c r="G151" s="353">
        <f>C151*E151</f>
        <v>3890991.3</v>
      </c>
    </row>
    <row r="152" spans="1:7" x14ac:dyDescent="0.25">
      <c r="A152" s="298" t="s">
        <v>370</v>
      </c>
      <c r="B152" s="301">
        <f>ROUNDDOWN(AVERAGE(B39:D44),1)</f>
        <v>49</v>
      </c>
      <c r="C152" s="301">
        <f>ROUNDDOWN(AVERAGE(E39:G48),1)</f>
        <v>82.1</v>
      </c>
      <c r="D152" s="353">
        <v>10608</v>
      </c>
      <c r="E152" s="362">
        <v>17271</v>
      </c>
      <c r="F152" s="353">
        <f t="shared" ref="F152:G159" si="0">B152*D152</f>
        <v>519792</v>
      </c>
      <c r="G152" s="353">
        <f t="shared" si="0"/>
        <v>1417949.0999999999</v>
      </c>
    </row>
    <row r="153" spans="1:7" x14ac:dyDescent="0.25">
      <c r="A153" s="298" t="s">
        <v>371</v>
      </c>
      <c r="B153" s="301">
        <f>ROUNDDOWN(AVERAGE(B53:D57),1)</f>
        <v>53.5</v>
      </c>
      <c r="C153" s="301">
        <f>ROUNDDOWN(AVERAGE(E53:G61),1)</f>
        <v>80.2</v>
      </c>
      <c r="D153" s="353">
        <v>8465</v>
      </c>
      <c r="E153" s="362">
        <v>14893</v>
      </c>
      <c r="F153" s="353">
        <f t="shared" si="0"/>
        <v>452877.5</v>
      </c>
      <c r="G153" s="353">
        <f t="shared" si="0"/>
        <v>1194418.6000000001</v>
      </c>
    </row>
    <row r="154" spans="1:7" x14ac:dyDescent="0.25">
      <c r="A154" s="298" t="s">
        <v>372</v>
      </c>
      <c r="B154" s="301">
        <f>ROUNDDOWN(AVERAGE(B66:D69),1)</f>
        <v>52.8</v>
      </c>
      <c r="C154" s="301">
        <f>ROUNDDOWN(AVERAGE(E66:G70),1)</f>
        <v>78</v>
      </c>
      <c r="D154" s="353">
        <v>6339</v>
      </c>
      <c r="E154" s="362">
        <v>10507</v>
      </c>
      <c r="F154" s="353">
        <f t="shared" si="0"/>
        <v>334699.19999999995</v>
      </c>
      <c r="G154" s="353">
        <f t="shared" si="0"/>
        <v>819546</v>
      </c>
    </row>
    <row r="155" spans="1:7" x14ac:dyDescent="0.25">
      <c r="A155" s="298" t="s">
        <v>373</v>
      </c>
      <c r="B155" s="301">
        <f>ROUNDDOWN(AVERAGE(B76:D77),1)</f>
        <v>50.2</v>
      </c>
      <c r="C155" s="301">
        <f>ROUNDDOWN(AVERAGE(E76:G79),1)</f>
        <v>80.2</v>
      </c>
      <c r="D155" s="353">
        <v>3699</v>
      </c>
      <c r="E155" s="362">
        <v>6495</v>
      </c>
      <c r="F155" s="353">
        <f t="shared" si="0"/>
        <v>185689.80000000002</v>
      </c>
      <c r="G155" s="353">
        <f t="shared" si="0"/>
        <v>520899</v>
      </c>
    </row>
    <row r="156" spans="1:7" x14ac:dyDescent="0.25">
      <c r="A156" s="298" t="s">
        <v>374</v>
      </c>
      <c r="B156" s="301">
        <f>ROUNDDOWN(AVERAGE(B83:D85),1)</f>
        <v>49.1</v>
      </c>
      <c r="C156" s="301">
        <f>ROUNDDOWN(AVERAGE(E83:G88),1)</f>
        <v>83.8</v>
      </c>
      <c r="D156" s="353">
        <v>5340</v>
      </c>
      <c r="E156" s="362">
        <v>9356</v>
      </c>
      <c r="F156" s="353">
        <f t="shared" si="0"/>
        <v>262194</v>
      </c>
      <c r="G156" s="353">
        <f t="shared" si="0"/>
        <v>784032.79999999993</v>
      </c>
    </row>
    <row r="157" spans="1:7" x14ac:dyDescent="0.25">
      <c r="A157" s="298" t="s">
        <v>375</v>
      </c>
      <c r="B157" s="301">
        <f>ROUNDDOWN(AVERAGE(B93:D94),1)</f>
        <v>55.4</v>
      </c>
      <c r="C157" s="301">
        <f>ROUNDDOWN(AVERAGE(E93:G96),1)</f>
        <v>75.099999999999994</v>
      </c>
      <c r="D157" s="353">
        <v>3613</v>
      </c>
      <c r="E157" s="362">
        <v>5790</v>
      </c>
      <c r="F157" s="353">
        <f t="shared" si="0"/>
        <v>200160.19999999998</v>
      </c>
      <c r="G157" s="353">
        <f t="shared" si="0"/>
        <v>434828.99999999994</v>
      </c>
    </row>
    <row r="158" spans="1:7" x14ac:dyDescent="0.25">
      <c r="A158" s="298" t="s">
        <v>365</v>
      </c>
      <c r="B158" s="301">
        <f>ROUNDDOWN(AVERAGE(B100:D112),1)</f>
        <v>50.9</v>
      </c>
      <c r="C158" s="301">
        <f>ROUNDDOWN(AVERAGE(E100:G121),1)</f>
        <v>79.7</v>
      </c>
      <c r="D158" s="353">
        <v>23194</v>
      </c>
      <c r="E158" s="362">
        <v>40124</v>
      </c>
      <c r="F158" s="353">
        <f t="shared" si="0"/>
        <v>1180574.5999999999</v>
      </c>
      <c r="G158" s="353">
        <f t="shared" si="0"/>
        <v>3197882.8000000003</v>
      </c>
    </row>
    <row r="159" spans="1:7" x14ac:dyDescent="0.25">
      <c r="A159" s="298" t="s">
        <v>366</v>
      </c>
      <c r="B159" s="301">
        <f>ROUNDDOWN(AVERAGE(B125:D136),1)</f>
        <v>52.9</v>
      </c>
      <c r="C159" s="301">
        <f>ROUNDDOWN(AVERAGE(E125:G147),1)</f>
        <v>79.8</v>
      </c>
      <c r="D159" s="353">
        <v>22794</v>
      </c>
      <c r="E159" s="362">
        <v>40394</v>
      </c>
      <c r="F159" s="353">
        <f t="shared" si="0"/>
        <v>1205802.5999999999</v>
      </c>
      <c r="G159" s="353">
        <f t="shared" si="0"/>
        <v>3223441.1999999997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191653</v>
      </c>
      <c r="F160" s="353">
        <f>SUM(F151:F159)</f>
        <v>5783251.4999999991</v>
      </c>
      <c r="G160" s="353">
        <f>SUM(G151:G159)</f>
        <v>15483989.800000001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51.5</v>
      </c>
      <c r="D165" s="280">
        <f>ROUNDDOWN(G160/E160,1)</f>
        <v>80.7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ACD4-D427-41CF-93C1-9B2B233A37AE}">
  <dimension ref="A1:G165"/>
  <sheetViews>
    <sheetView topLeftCell="A3" zoomScale="120" zoomScaleNormal="120" workbookViewId="0">
      <selection activeCell="F20" sqref="F20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404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20.3</v>
      </c>
      <c r="C6" s="301">
        <v>53.5</v>
      </c>
      <c r="D6" s="301">
        <v>76.099999999999994</v>
      </c>
      <c r="E6" s="301">
        <v>42</v>
      </c>
      <c r="F6" s="301">
        <v>84.7</v>
      </c>
      <c r="G6" s="301">
        <v>101.3</v>
      </c>
    </row>
    <row r="7" spans="1:7" x14ac:dyDescent="0.25">
      <c r="A7" s="442">
        <v>2</v>
      </c>
      <c r="B7" s="301">
        <v>26.7</v>
      </c>
      <c r="C7" s="301">
        <v>47.6</v>
      </c>
      <c r="D7" s="301">
        <v>78.2</v>
      </c>
      <c r="E7" s="301">
        <v>55.8</v>
      </c>
      <c r="F7" s="301">
        <v>89.1</v>
      </c>
      <c r="G7" s="301">
        <v>109.9</v>
      </c>
    </row>
    <row r="8" spans="1:7" x14ac:dyDescent="0.25">
      <c r="A8" s="442">
        <v>3</v>
      </c>
      <c r="B8" s="301">
        <v>19.8</v>
      </c>
      <c r="C8" s="301">
        <v>50.3</v>
      </c>
      <c r="D8" s="301">
        <v>84.9</v>
      </c>
      <c r="E8" s="301">
        <v>50.1</v>
      </c>
      <c r="F8" s="301">
        <v>82.7</v>
      </c>
      <c r="G8" s="301">
        <v>105.5</v>
      </c>
    </row>
    <row r="9" spans="1:7" x14ac:dyDescent="0.25">
      <c r="A9" s="442">
        <v>4</v>
      </c>
      <c r="B9" s="301">
        <v>22.2</v>
      </c>
      <c r="C9" s="301">
        <v>53.1</v>
      </c>
      <c r="D9" s="301">
        <v>76.5</v>
      </c>
      <c r="E9" s="301">
        <v>38.200000000000003</v>
      </c>
      <c r="F9" s="301">
        <v>87.4</v>
      </c>
      <c r="G9" s="301">
        <v>96.3</v>
      </c>
    </row>
    <row r="10" spans="1:7" x14ac:dyDescent="0.25">
      <c r="A10" s="442">
        <v>5</v>
      </c>
      <c r="B10" s="301">
        <v>16.5</v>
      </c>
      <c r="C10" s="301">
        <v>55</v>
      </c>
      <c r="D10" s="301">
        <v>83.7</v>
      </c>
      <c r="E10" s="301">
        <v>53.1</v>
      </c>
      <c r="F10" s="301">
        <v>86.7</v>
      </c>
      <c r="G10" s="301">
        <v>92.1</v>
      </c>
    </row>
    <row r="11" spans="1:7" x14ac:dyDescent="0.25">
      <c r="A11" s="442">
        <v>6</v>
      </c>
      <c r="B11" s="301">
        <v>17.899999999999999</v>
      </c>
      <c r="C11" s="301">
        <v>54.2</v>
      </c>
      <c r="D11" s="301">
        <v>82.2</v>
      </c>
      <c r="E11" s="301">
        <v>31.5</v>
      </c>
      <c r="F11" s="301">
        <v>84.5</v>
      </c>
      <c r="G11" s="301">
        <v>109.8</v>
      </c>
    </row>
    <row r="12" spans="1:7" x14ac:dyDescent="0.25">
      <c r="A12" s="442">
        <v>7</v>
      </c>
      <c r="B12" s="301">
        <v>18.899999999999999</v>
      </c>
      <c r="C12" s="301">
        <v>46.5</v>
      </c>
      <c r="D12" s="301">
        <v>82.8</v>
      </c>
      <c r="E12" s="301">
        <v>58.9</v>
      </c>
      <c r="F12" s="301">
        <v>87.1</v>
      </c>
      <c r="G12" s="301">
        <v>105.3</v>
      </c>
    </row>
    <row r="13" spans="1:7" x14ac:dyDescent="0.25">
      <c r="A13" s="442">
        <v>8</v>
      </c>
      <c r="B13" s="301">
        <v>16.3</v>
      </c>
      <c r="C13" s="301">
        <v>50.6</v>
      </c>
      <c r="D13" s="301">
        <v>81.2</v>
      </c>
      <c r="E13" s="301">
        <v>56.6</v>
      </c>
      <c r="F13" s="301">
        <v>80.2</v>
      </c>
      <c r="G13" s="301">
        <v>94.3</v>
      </c>
    </row>
    <row r="14" spans="1:7" x14ac:dyDescent="0.25">
      <c r="A14" s="442">
        <v>9</v>
      </c>
      <c r="B14" s="301">
        <v>25</v>
      </c>
      <c r="C14" s="301">
        <v>48.7</v>
      </c>
      <c r="D14" s="301">
        <v>77.400000000000006</v>
      </c>
      <c r="E14" s="301">
        <v>39</v>
      </c>
      <c r="F14" s="301">
        <v>84.5</v>
      </c>
      <c r="G14" s="301">
        <v>110.6</v>
      </c>
    </row>
    <row r="15" spans="1:7" x14ac:dyDescent="0.25">
      <c r="A15" s="442">
        <v>10</v>
      </c>
      <c r="B15" s="301">
        <v>22.4</v>
      </c>
      <c r="C15" s="301">
        <v>49.8</v>
      </c>
      <c r="D15" s="301">
        <v>75.7</v>
      </c>
      <c r="E15" s="301">
        <v>40.799999999999997</v>
      </c>
      <c r="F15" s="301">
        <v>83.9</v>
      </c>
      <c r="G15" s="301">
        <v>93.6</v>
      </c>
    </row>
    <row r="16" spans="1:7" x14ac:dyDescent="0.25">
      <c r="A16" s="442">
        <v>11</v>
      </c>
      <c r="B16" s="301">
        <v>27.1</v>
      </c>
      <c r="C16" s="301">
        <v>46.2</v>
      </c>
      <c r="D16" s="301">
        <v>79.099999999999994</v>
      </c>
      <c r="E16" s="301">
        <v>52.9</v>
      </c>
      <c r="F16" s="301">
        <v>87.6</v>
      </c>
      <c r="G16" s="301">
        <v>98.9</v>
      </c>
    </row>
    <row r="17" spans="1:7" x14ac:dyDescent="0.25">
      <c r="A17" s="442">
        <v>12</v>
      </c>
      <c r="B17" s="301">
        <v>21.1</v>
      </c>
      <c r="C17" s="301">
        <v>48</v>
      </c>
      <c r="D17" s="301">
        <v>83.5</v>
      </c>
      <c r="E17" s="301">
        <v>28.5</v>
      </c>
      <c r="F17" s="301">
        <v>80</v>
      </c>
      <c r="G17" s="301">
        <v>109.3</v>
      </c>
    </row>
    <row r="18" spans="1:7" x14ac:dyDescent="0.25">
      <c r="A18" s="442">
        <v>13</v>
      </c>
      <c r="B18" s="301">
        <v>27.1</v>
      </c>
      <c r="C18" s="301">
        <v>45.1</v>
      </c>
      <c r="D18" s="301">
        <v>76.900000000000006</v>
      </c>
      <c r="E18" s="301">
        <v>30.9</v>
      </c>
      <c r="F18" s="301">
        <v>84.9</v>
      </c>
      <c r="G18" s="301">
        <v>109.8</v>
      </c>
    </row>
    <row r="19" spans="1:7" x14ac:dyDescent="0.25">
      <c r="A19" s="442">
        <v>14</v>
      </c>
      <c r="B19" s="301"/>
      <c r="C19" s="301"/>
      <c r="D19" s="301">
        <v>78.400000000000006</v>
      </c>
      <c r="E19" s="301">
        <v>27</v>
      </c>
      <c r="F19" s="301">
        <v>80.3</v>
      </c>
      <c r="G19" s="301">
        <v>99.9</v>
      </c>
    </row>
    <row r="20" spans="1:7" x14ac:dyDescent="0.25">
      <c r="A20" s="442">
        <v>15</v>
      </c>
      <c r="B20" s="301"/>
      <c r="C20" s="301"/>
      <c r="D20" s="301"/>
      <c r="E20" s="301">
        <v>36</v>
      </c>
      <c r="F20" s="301">
        <v>85.1</v>
      </c>
      <c r="G20" s="301">
        <v>93.5</v>
      </c>
    </row>
    <row r="21" spans="1:7" x14ac:dyDescent="0.25">
      <c r="A21" s="442">
        <v>16</v>
      </c>
      <c r="B21" s="301"/>
      <c r="C21" s="301"/>
      <c r="D21" s="301"/>
      <c r="E21" s="301">
        <v>51.7</v>
      </c>
      <c r="F21" s="301">
        <v>81.400000000000006</v>
      </c>
      <c r="G21" s="301">
        <v>107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83.9</v>
      </c>
      <c r="G22" s="301">
        <v>107.4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86.9</v>
      </c>
      <c r="G23" s="301">
        <v>93.7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87.7</v>
      </c>
      <c r="G24" s="301">
        <v>99.8</v>
      </c>
    </row>
    <row r="25" spans="1:7" x14ac:dyDescent="0.25">
      <c r="A25" s="442">
        <v>20</v>
      </c>
      <c r="B25" s="301"/>
      <c r="C25" s="301"/>
      <c r="D25" s="301"/>
      <c r="E25" s="301"/>
      <c r="F25" s="301">
        <v>90</v>
      </c>
      <c r="G25" s="301">
        <v>100.6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86.4</v>
      </c>
      <c r="G26" s="301">
        <v>101.5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88.8</v>
      </c>
      <c r="G27" s="301">
        <v>102.6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86.2</v>
      </c>
      <c r="G28" s="301">
        <v>94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89.5</v>
      </c>
      <c r="G29" s="301">
        <v>90.7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103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106.7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101.5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101.4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110.6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18.5</v>
      </c>
      <c r="C39" s="301">
        <v>50.6</v>
      </c>
      <c r="D39" s="301">
        <v>81.599999999999994</v>
      </c>
      <c r="E39" s="301">
        <v>55</v>
      </c>
      <c r="F39" s="301">
        <v>83.5</v>
      </c>
      <c r="G39" s="301">
        <v>101.4</v>
      </c>
    </row>
    <row r="40" spans="1:7" x14ac:dyDescent="0.25">
      <c r="A40" s="442">
        <v>2</v>
      </c>
      <c r="B40" s="301">
        <v>20</v>
      </c>
      <c r="C40" s="301">
        <v>45.1</v>
      </c>
      <c r="D40" s="301">
        <v>75.7</v>
      </c>
      <c r="E40" s="301">
        <v>31.2</v>
      </c>
      <c r="F40" s="301">
        <v>81.099999999999994</v>
      </c>
      <c r="G40" s="301">
        <v>108.1</v>
      </c>
    </row>
    <row r="41" spans="1:7" x14ac:dyDescent="0.25">
      <c r="A41" s="442">
        <v>3</v>
      </c>
      <c r="B41" s="301">
        <v>26.2</v>
      </c>
      <c r="C41" s="301">
        <v>54.2</v>
      </c>
      <c r="D41" s="301">
        <v>81.2</v>
      </c>
      <c r="E41" s="301">
        <v>39.6</v>
      </c>
      <c r="F41" s="301">
        <v>82.7</v>
      </c>
      <c r="G41" s="301">
        <v>90.5</v>
      </c>
    </row>
    <row r="42" spans="1:7" x14ac:dyDescent="0.25">
      <c r="A42" s="442">
        <v>4</v>
      </c>
      <c r="B42" s="301">
        <v>20.399999999999999</v>
      </c>
      <c r="C42" s="301">
        <v>46</v>
      </c>
      <c r="D42" s="301">
        <v>77.2</v>
      </c>
      <c r="E42" s="301">
        <v>30.4</v>
      </c>
      <c r="F42" s="301">
        <v>80</v>
      </c>
      <c r="G42" s="301">
        <v>103.7</v>
      </c>
    </row>
    <row r="43" spans="1:7" x14ac:dyDescent="0.25">
      <c r="A43" s="442">
        <v>5</v>
      </c>
      <c r="B43" s="301">
        <v>21.3</v>
      </c>
      <c r="C43" s="301">
        <v>48</v>
      </c>
      <c r="D43" s="301">
        <v>81.900000000000006</v>
      </c>
      <c r="E43" s="301">
        <v>51.4</v>
      </c>
      <c r="F43" s="301">
        <v>88.5</v>
      </c>
      <c r="G43" s="301">
        <v>99.3</v>
      </c>
    </row>
    <row r="44" spans="1:7" x14ac:dyDescent="0.25">
      <c r="A44" s="442">
        <v>6</v>
      </c>
      <c r="B44" s="301"/>
      <c r="C44" s="301">
        <v>53</v>
      </c>
      <c r="D44" s="301"/>
      <c r="E44" s="301">
        <v>40.799999999999997</v>
      </c>
      <c r="F44" s="301">
        <v>82.4</v>
      </c>
      <c r="G44" s="301">
        <v>100.2</v>
      </c>
    </row>
    <row r="45" spans="1:7" x14ac:dyDescent="0.25">
      <c r="A45" s="442">
        <v>7</v>
      </c>
      <c r="B45" s="301"/>
      <c r="C45" s="301"/>
      <c r="D45" s="301"/>
      <c r="E45" s="301"/>
      <c r="F45" s="301">
        <v>84.7</v>
      </c>
      <c r="G45" s="301">
        <v>94.6</v>
      </c>
    </row>
    <row r="46" spans="1:7" x14ac:dyDescent="0.25">
      <c r="A46" s="442">
        <v>8</v>
      </c>
      <c r="B46" s="301"/>
      <c r="C46" s="301"/>
      <c r="D46" s="301"/>
      <c r="E46" s="301"/>
      <c r="F46" s="301">
        <v>82.7</v>
      </c>
      <c r="G46" s="301">
        <v>91.2</v>
      </c>
    </row>
    <row r="47" spans="1:7" x14ac:dyDescent="0.25">
      <c r="A47" s="442">
        <v>9</v>
      </c>
      <c r="B47" s="301"/>
      <c r="C47" s="301"/>
      <c r="D47" s="301"/>
      <c r="E47" s="301"/>
      <c r="F47" s="301">
        <v>80.5</v>
      </c>
      <c r="G47" s="301">
        <v>103.2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81.5</v>
      </c>
      <c r="G48" s="301">
        <v>101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27.3</v>
      </c>
      <c r="C53" s="301">
        <v>48.4</v>
      </c>
      <c r="D53" s="301">
        <v>84.4</v>
      </c>
      <c r="E53" s="301">
        <v>51.6</v>
      </c>
      <c r="F53" s="301">
        <v>81.400000000000006</v>
      </c>
      <c r="G53" s="301">
        <v>90.8</v>
      </c>
    </row>
    <row r="54" spans="1:7" x14ac:dyDescent="0.25">
      <c r="A54" s="442">
        <v>2</v>
      </c>
      <c r="B54" s="301">
        <v>12.8</v>
      </c>
      <c r="C54" s="301">
        <v>53</v>
      </c>
      <c r="D54" s="301">
        <v>80.900000000000006</v>
      </c>
      <c r="E54" s="301">
        <v>49.9</v>
      </c>
      <c r="F54" s="301">
        <v>89.8</v>
      </c>
      <c r="G54" s="301">
        <v>101.8</v>
      </c>
    </row>
    <row r="55" spans="1:7" x14ac:dyDescent="0.25">
      <c r="A55" s="442">
        <v>3</v>
      </c>
      <c r="B55" s="301">
        <v>19</v>
      </c>
      <c r="C55" s="301">
        <v>47.6</v>
      </c>
      <c r="D55" s="301">
        <v>79.2</v>
      </c>
      <c r="E55" s="301">
        <v>33.799999999999997</v>
      </c>
      <c r="F55" s="301">
        <v>81.099999999999994</v>
      </c>
      <c r="G55" s="301">
        <v>90.1</v>
      </c>
    </row>
    <row r="56" spans="1:7" x14ac:dyDescent="0.25">
      <c r="A56" s="442">
        <v>4</v>
      </c>
      <c r="B56" s="301">
        <v>28.4</v>
      </c>
      <c r="C56" s="301">
        <v>47.5</v>
      </c>
      <c r="D56" s="301">
        <v>79.900000000000006</v>
      </c>
      <c r="E56" s="301">
        <v>57.8</v>
      </c>
      <c r="F56" s="301">
        <v>87.9</v>
      </c>
      <c r="G56" s="301">
        <v>108.9</v>
      </c>
    </row>
    <row r="57" spans="1:7" x14ac:dyDescent="0.25">
      <c r="A57" s="442">
        <v>5</v>
      </c>
      <c r="B57" s="301"/>
      <c r="C57" s="301">
        <v>53.6</v>
      </c>
      <c r="D57" s="301">
        <v>81.099999999999994</v>
      </c>
      <c r="E57" s="301">
        <v>55.5</v>
      </c>
      <c r="F57" s="301">
        <v>81.5</v>
      </c>
      <c r="G57" s="301">
        <v>105.1</v>
      </c>
    </row>
    <row r="58" spans="1:7" x14ac:dyDescent="0.25">
      <c r="A58" s="442">
        <v>6</v>
      </c>
      <c r="B58" s="301"/>
      <c r="C58" s="301"/>
      <c r="D58" s="301"/>
      <c r="E58" s="301"/>
      <c r="F58" s="301">
        <v>89.2</v>
      </c>
      <c r="G58" s="301">
        <v>103.2</v>
      </c>
    </row>
    <row r="59" spans="1:7" x14ac:dyDescent="0.25">
      <c r="A59" s="442">
        <v>7</v>
      </c>
      <c r="B59" s="301"/>
      <c r="C59" s="301"/>
      <c r="D59" s="301"/>
      <c r="E59" s="301"/>
      <c r="F59" s="301">
        <v>86.1</v>
      </c>
      <c r="G59" s="301">
        <v>106</v>
      </c>
    </row>
    <row r="60" spans="1:7" x14ac:dyDescent="0.25">
      <c r="A60" s="442">
        <v>8</v>
      </c>
      <c r="B60" s="301"/>
      <c r="C60" s="301"/>
      <c r="D60" s="301"/>
      <c r="E60" s="301"/>
      <c r="F60" s="301">
        <v>90</v>
      </c>
      <c r="G60" s="301">
        <v>103.4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106.9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25</v>
      </c>
      <c r="C66" s="301">
        <v>46.5</v>
      </c>
      <c r="D66" s="301">
        <v>81.2</v>
      </c>
      <c r="E66" s="301">
        <v>36.5</v>
      </c>
      <c r="F66" s="301">
        <v>85.4</v>
      </c>
      <c r="G66" s="301">
        <v>101</v>
      </c>
    </row>
    <row r="67" spans="1:7" x14ac:dyDescent="0.25">
      <c r="A67" s="442">
        <v>2</v>
      </c>
      <c r="B67" s="301">
        <v>29.9</v>
      </c>
      <c r="C67" s="301">
        <v>47.9</v>
      </c>
      <c r="D67" s="301">
        <v>85</v>
      </c>
      <c r="E67" s="301">
        <v>55</v>
      </c>
      <c r="F67" s="301">
        <v>88.5</v>
      </c>
      <c r="G67" s="301">
        <v>93.6</v>
      </c>
    </row>
    <row r="68" spans="1:7" x14ac:dyDescent="0.25">
      <c r="A68" s="442">
        <v>3</v>
      </c>
      <c r="B68" s="301">
        <v>23.8</v>
      </c>
      <c r="C68" s="301">
        <v>45.5</v>
      </c>
      <c r="D68" s="301">
        <v>78.599999999999994</v>
      </c>
      <c r="E68" s="301">
        <v>26.4</v>
      </c>
      <c r="F68" s="301">
        <v>89</v>
      </c>
      <c r="G68" s="301">
        <v>102.4</v>
      </c>
    </row>
    <row r="69" spans="1:7" x14ac:dyDescent="0.25">
      <c r="A69" s="442">
        <v>4</v>
      </c>
      <c r="B69" s="301"/>
      <c r="C69" s="301"/>
      <c r="D69" s="301">
        <v>76.8</v>
      </c>
      <c r="E69" s="301">
        <v>42.9</v>
      </c>
      <c r="F69" s="301">
        <v>88.8</v>
      </c>
      <c r="G69" s="301">
        <v>90.3</v>
      </c>
    </row>
    <row r="70" spans="1:7" x14ac:dyDescent="0.25">
      <c r="A70" s="442">
        <v>5</v>
      </c>
      <c r="B70" s="301"/>
      <c r="C70" s="301"/>
      <c r="D70" s="301"/>
      <c r="E70" s="301"/>
      <c r="F70" s="301">
        <v>82.2</v>
      </c>
      <c r="G70" s="301">
        <v>109.2</v>
      </c>
    </row>
    <row r="71" spans="1:7" x14ac:dyDescent="0.25">
      <c r="A71" s="442">
        <v>6</v>
      </c>
      <c r="B71" s="301"/>
      <c r="C71" s="301"/>
      <c r="D71" s="301"/>
      <c r="E71" s="301"/>
      <c r="F71" s="301">
        <v>81.5</v>
      </c>
      <c r="G71" s="301">
        <v>106.4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90.6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27.2</v>
      </c>
      <c r="C76" s="301">
        <v>52.9</v>
      </c>
      <c r="D76" s="301">
        <v>80.599999999999994</v>
      </c>
      <c r="E76" s="301">
        <v>45.3</v>
      </c>
      <c r="F76" s="301">
        <v>86.5</v>
      </c>
      <c r="G76" s="301">
        <v>97.2</v>
      </c>
    </row>
    <row r="77" spans="1:7" x14ac:dyDescent="0.25">
      <c r="A77" s="442">
        <v>2</v>
      </c>
      <c r="B77" s="301">
        <v>12.9</v>
      </c>
      <c r="C77" s="301">
        <v>54.9</v>
      </c>
      <c r="D77" s="301">
        <v>75.3</v>
      </c>
      <c r="E77" s="301">
        <v>31.6</v>
      </c>
      <c r="F77" s="301">
        <v>81.5</v>
      </c>
      <c r="G77" s="301">
        <v>104.6</v>
      </c>
    </row>
    <row r="78" spans="1:7" x14ac:dyDescent="0.25">
      <c r="A78" s="442">
        <v>3</v>
      </c>
      <c r="B78" s="301"/>
      <c r="C78" s="301"/>
      <c r="D78" s="301"/>
      <c r="E78" s="301">
        <v>39</v>
      </c>
      <c r="F78" s="301">
        <v>88</v>
      </c>
      <c r="G78" s="301">
        <v>96.6</v>
      </c>
    </row>
    <row r="79" spans="1:7" x14ac:dyDescent="0.25">
      <c r="A79" s="442">
        <v>4</v>
      </c>
      <c r="B79" s="301"/>
      <c r="C79" s="301"/>
      <c r="D79" s="301"/>
      <c r="E79" s="301"/>
      <c r="F79" s="301">
        <v>89.8</v>
      </c>
      <c r="G79" s="301">
        <v>104.5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14</v>
      </c>
      <c r="C83" s="301">
        <v>53.4</v>
      </c>
      <c r="D83" s="301">
        <v>76.2</v>
      </c>
      <c r="E83" s="301">
        <v>42.4</v>
      </c>
      <c r="F83" s="301">
        <v>85.4</v>
      </c>
      <c r="G83" s="301">
        <v>94.4</v>
      </c>
    </row>
    <row r="84" spans="1:7" x14ac:dyDescent="0.25">
      <c r="A84" s="442">
        <v>2</v>
      </c>
      <c r="B84" s="301">
        <v>18.2</v>
      </c>
      <c r="C84" s="301">
        <v>52.1</v>
      </c>
      <c r="D84" s="301">
        <v>84.6</v>
      </c>
      <c r="E84" s="301">
        <v>37.5</v>
      </c>
      <c r="F84" s="301">
        <v>81.5</v>
      </c>
      <c r="G84" s="301">
        <v>95.5</v>
      </c>
    </row>
    <row r="85" spans="1:7" x14ac:dyDescent="0.25">
      <c r="A85" s="442">
        <v>3</v>
      </c>
      <c r="B85" s="301">
        <v>29.4</v>
      </c>
      <c r="C85" s="301">
        <v>47</v>
      </c>
      <c r="D85" s="301">
        <v>84.7</v>
      </c>
      <c r="E85" s="301">
        <v>47.4</v>
      </c>
      <c r="F85" s="301">
        <v>83.7</v>
      </c>
      <c r="G85" s="301">
        <v>98.9</v>
      </c>
    </row>
    <row r="86" spans="1:7" x14ac:dyDescent="0.25">
      <c r="A86" s="442">
        <v>4</v>
      </c>
      <c r="B86" s="301"/>
      <c r="C86" s="301"/>
      <c r="D86" s="301"/>
      <c r="E86" s="301">
        <v>56.1</v>
      </c>
      <c r="F86" s="301">
        <v>85.8</v>
      </c>
      <c r="G86" s="301">
        <v>110.3</v>
      </c>
    </row>
    <row r="87" spans="1:7" x14ac:dyDescent="0.25">
      <c r="A87" s="442">
        <v>5</v>
      </c>
      <c r="B87" s="301"/>
      <c r="C87" s="301"/>
      <c r="D87" s="301"/>
      <c r="E87" s="301"/>
      <c r="F87" s="301">
        <v>82.7</v>
      </c>
      <c r="G87" s="301">
        <v>103.1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108.9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22.1</v>
      </c>
      <c r="C93" s="301">
        <v>47.7</v>
      </c>
      <c r="D93" s="301">
        <v>77.900000000000006</v>
      </c>
      <c r="E93" s="301">
        <v>56.6</v>
      </c>
      <c r="F93" s="301">
        <v>88.8</v>
      </c>
      <c r="G93" s="301">
        <v>94.5</v>
      </c>
    </row>
    <row r="94" spans="1:7" x14ac:dyDescent="0.25">
      <c r="A94" s="442">
        <v>2</v>
      </c>
      <c r="B94" s="301">
        <v>13.8</v>
      </c>
      <c r="C94" s="301">
        <v>54.7</v>
      </c>
      <c r="D94" s="301">
        <v>76.599999999999994</v>
      </c>
      <c r="E94" s="301">
        <v>32.5</v>
      </c>
      <c r="F94" s="301">
        <v>82.9</v>
      </c>
      <c r="G94" s="301">
        <v>98.8</v>
      </c>
    </row>
    <row r="95" spans="1:7" x14ac:dyDescent="0.25">
      <c r="A95" s="442">
        <v>3</v>
      </c>
      <c r="B95" s="301"/>
      <c r="C95" s="301"/>
      <c r="D95" s="301"/>
      <c r="E95" s="301">
        <v>53.1</v>
      </c>
      <c r="F95" s="301">
        <v>88.4</v>
      </c>
      <c r="G95" s="301">
        <v>96.7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109.2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19.7</v>
      </c>
      <c r="C100" s="301">
        <v>53.5</v>
      </c>
      <c r="D100" s="301">
        <v>85</v>
      </c>
      <c r="E100" s="301">
        <v>27.9</v>
      </c>
      <c r="F100" s="301">
        <v>89.4</v>
      </c>
      <c r="G100" s="301">
        <v>99.9</v>
      </c>
    </row>
    <row r="101" spans="1:7" x14ac:dyDescent="0.25">
      <c r="A101" s="442">
        <v>2</v>
      </c>
      <c r="B101" s="301">
        <v>29.1</v>
      </c>
      <c r="C101" s="301">
        <v>52.4</v>
      </c>
      <c r="D101" s="301">
        <v>84</v>
      </c>
      <c r="E101" s="301">
        <v>41.3</v>
      </c>
      <c r="F101" s="301">
        <v>82.2</v>
      </c>
      <c r="G101" s="301">
        <v>110</v>
      </c>
    </row>
    <row r="102" spans="1:7" x14ac:dyDescent="0.25">
      <c r="A102" s="442">
        <v>3</v>
      </c>
      <c r="B102" s="301">
        <v>11.2</v>
      </c>
      <c r="C102" s="301">
        <v>49.8</v>
      </c>
      <c r="D102" s="301">
        <v>84.3</v>
      </c>
      <c r="E102" s="301">
        <v>58.2</v>
      </c>
      <c r="F102" s="301">
        <v>88.7</v>
      </c>
      <c r="G102" s="301">
        <v>90.2</v>
      </c>
    </row>
    <row r="103" spans="1:7" x14ac:dyDescent="0.25">
      <c r="A103" s="442">
        <v>4</v>
      </c>
      <c r="B103" s="301">
        <v>29.1</v>
      </c>
      <c r="C103" s="301">
        <v>52.3</v>
      </c>
      <c r="D103" s="301">
        <v>79.7</v>
      </c>
      <c r="E103" s="301">
        <v>53.5</v>
      </c>
      <c r="F103" s="301">
        <v>80.5</v>
      </c>
      <c r="G103" s="301">
        <v>90.4</v>
      </c>
    </row>
    <row r="104" spans="1:7" x14ac:dyDescent="0.25">
      <c r="A104" s="442">
        <v>5</v>
      </c>
      <c r="B104" s="301">
        <v>23.7</v>
      </c>
      <c r="C104" s="301">
        <v>51.2</v>
      </c>
      <c r="D104" s="301">
        <v>78.3</v>
      </c>
      <c r="E104" s="301">
        <v>53.3</v>
      </c>
      <c r="F104" s="301">
        <v>81.3</v>
      </c>
      <c r="G104" s="301">
        <v>110.2</v>
      </c>
    </row>
    <row r="105" spans="1:7" x14ac:dyDescent="0.25">
      <c r="A105" s="442">
        <v>6</v>
      </c>
      <c r="B105" s="301">
        <v>11.3</v>
      </c>
      <c r="C105" s="301">
        <v>50.9</v>
      </c>
      <c r="D105" s="301">
        <v>76.7</v>
      </c>
      <c r="E105" s="301">
        <v>44.4</v>
      </c>
      <c r="F105" s="301">
        <v>82.8</v>
      </c>
      <c r="G105" s="301">
        <v>109.9</v>
      </c>
    </row>
    <row r="106" spans="1:7" x14ac:dyDescent="0.25">
      <c r="A106" s="442">
        <v>7</v>
      </c>
      <c r="B106" s="301">
        <v>23.1</v>
      </c>
      <c r="C106" s="301">
        <v>51</v>
      </c>
      <c r="D106" s="301">
        <v>84.7</v>
      </c>
      <c r="E106" s="301">
        <v>37.4</v>
      </c>
      <c r="F106" s="301">
        <v>83.7</v>
      </c>
      <c r="G106" s="301">
        <v>106.1</v>
      </c>
    </row>
    <row r="107" spans="1:7" x14ac:dyDescent="0.25">
      <c r="A107" s="442">
        <v>8</v>
      </c>
      <c r="B107" s="301">
        <v>19.2</v>
      </c>
      <c r="C107" s="301">
        <v>54.4</v>
      </c>
      <c r="D107" s="301">
        <v>82.9</v>
      </c>
      <c r="E107" s="301">
        <v>43.1</v>
      </c>
      <c r="F107" s="301">
        <v>84.1</v>
      </c>
      <c r="G107" s="301">
        <v>95.1</v>
      </c>
    </row>
    <row r="108" spans="1:7" x14ac:dyDescent="0.25">
      <c r="A108" s="442">
        <v>9</v>
      </c>
      <c r="B108" s="301">
        <v>13.4</v>
      </c>
      <c r="C108" s="301">
        <v>54.3</v>
      </c>
      <c r="D108" s="301">
        <v>78.599999999999994</v>
      </c>
      <c r="E108" s="301">
        <v>43.4</v>
      </c>
      <c r="F108" s="301">
        <v>85.5</v>
      </c>
      <c r="G108" s="301">
        <v>102</v>
      </c>
    </row>
    <row r="109" spans="1:7" x14ac:dyDescent="0.25">
      <c r="A109" s="442">
        <v>10</v>
      </c>
      <c r="B109" s="301">
        <v>11.8</v>
      </c>
      <c r="C109" s="301">
        <v>45.6</v>
      </c>
      <c r="D109" s="301">
        <v>75.099999999999994</v>
      </c>
      <c r="E109" s="301">
        <v>26.3</v>
      </c>
      <c r="F109" s="301">
        <v>80.5</v>
      </c>
      <c r="G109" s="301">
        <v>98.7</v>
      </c>
    </row>
    <row r="110" spans="1:7" x14ac:dyDescent="0.25">
      <c r="A110" s="442">
        <v>11</v>
      </c>
      <c r="B110" s="301"/>
      <c r="C110" s="301">
        <v>45.5</v>
      </c>
      <c r="D110" s="301">
        <v>80.3</v>
      </c>
      <c r="E110" s="301">
        <v>28.9</v>
      </c>
      <c r="F110" s="301">
        <v>80.599999999999994</v>
      </c>
      <c r="G110" s="301">
        <v>96.3</v>
      </c>
    </row>
    <row r="111" spans="1:7" x14ac:dyDescent="0.25">
      <c r="A111" s="442">
        <v>12</v>
      </c>
      <c r="B111" s="301"/>
      <c r="C111" s="301">
        <v>45.6</v>
      </c>
      <c r="D111" s="301"/>
      <c r="E111" s="301">
        <v>38.799999999999997</v>
      </c>
      <c r="F111" s="301">
        <v>85.2</v>
      </c>
      <c r="G111" s="301">
        <v>105.4</v>
      </c>
    </row>
    <row r="112" spans="1:7" x14ac:dyDescent="0.25">
      <c r="A112" s="442">
        <v>13</v>
      </c>
      <c r="B112" s="301"/>
      <c r="C112" s="301">
        <v>51.9</v>
      </c>
      <c r="D112" s="301"/>
      <c r="E112" s="301">
        <v>47.7</v>
      </c>
      <c r="F112" s="301">
        <v>80.400000000000006</v>
      </c>
      <c r="G112" s="301">
        <v>94.4</v>
      </c>
    </row>
    <row r="113" spans="1:7" x14ac:dyDescent="0.25">
      <c r="A113" s="442">
        <v>14</v>
      </c>
      <c r="B113" s="301"/>
      <c r="C113" s="301"/>
      <c r="D113" s="301"/>
      <c r="E113" s="301">
        <v>46.9</v>
      </c>
      <c r="F113" s="301">
        <v>87.7</v>
      </c>
      <c r="G113" s="301">
        <v>101.1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87.2</v>
      </c>
      <c r="G114" s="301">
        <v>108.3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86.7</v>
      </c>
      <c r="G115" s="301">
        <v>106.2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82.3</v>
      </c>
      <c r="G116" s="301">
        <v>98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81.2</v>
      </c>
      <c r="G117" s="301">
        <v>91.6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81</v>
      </c>
      <c r="G118" s="301">
        <v>100.2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82</v>
      </c>
      <c r="G119" s="301">
        <v>100.1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84.8</v>
      </c>
      <c r="G120" s="301">
        <v>96.6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81.3</v>
      </c>
      <c r="G121" s="301">
        <v>90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25.5</v>
      </c>
      <c r="C125" s="301">
        <v>47.4</v>
      </c>
      <c r="D125" s="301">
        <v>78.3</v>
      </c>
      <c r="E125" s="301">
        <v>30.1</v>
      </c>
      <c r="F125" s="301">
        <v>88.1</v>
      </c>
      <c r="G125" s="301">
        <v>109.1</v>
      </c>
    </row>
    <row r="126" spans="1:7" x14ac:dyDescent="0.25">
      <c r="A126" s="442">
        <v>2</v>
      </c>
      <c r="B126" s="301">
        <v>24.1</v>
      </c>
      <c r="C126" s="301">
        <v>48.6</v>
      </c>
      <c r="D126" s="301">
        <v>81.5</v>
      </c>
      <c r="E126" s="301">
        <v>29.3</v>
      </c>
      <c r="F126" s="301">
        <v>81.7</v>
      </c>
      <c r="G126" s="301">
        <v>101.7</v>
      </c>
    </row>
    <row r="127" spans="1:7" x14ac:dyDescent="0.25">
      <c r="A127" s="442">
        <v>3</v>
      </c>
      <c r="B127" s="301">
        <v>27.7</v>
      </c>
      <c r="C127" s="301">
        <v>48</v>
      </c>
      <c r="D127" s="301">
        <v>78.3</v>
      </c>
      <c r="E127" s="301">
        <v>27.6</v>
      </c>
      <c r="F127" s="301">
        <v>85.5</v>
      </c>
      <c r="G127" s="301">
        <v>94.3</v>
      </c>
    </row>
    <row r="128" spans="1:7" x14ac:dyDescent="0.25">
      <c r="A128" s="442">
        <v>4</v>
      </c>
      <c r="B128" s="301">
        <v>11.7</v>
      </c>
      <c r="C128" s="301">
        <v>52.2</v>
      </c>
      <c r="D128" s="301">
        <v>78.900000000000006</v>
      </c>
      <c r="E128" s="301">
        <v>34.5</v>
      </c>
      <c r="F128" s="301">
        <v>87.6</v>
      </c>
      <c r="G128" s="301">
        <v>99.6</v>
      </c>
    </row>
    <row r="129" spans="1:7" x14ac:dyDescent="0.25">
      <c r="A129" s="442">
        <v>5</v>
      </c>
      <c r="B129" s="301">
        <v>25.4</v>
      </c>
      <c r="C129" s="301">
        <v>50.1</v>
      </c>
      <c r="D129" s="301">
        <v>77</v>
      </c>
      <c r="E129" s="301">
        <v>53.3</v>
      </c>
      <c r="F129" s="301">
        <v>80.099999999999994</v>
      </c>
      <c r="G129" s="301">
        <v>99.3</v>
      </c>
    </row>
    <row r="130" spans="1:7" x14ac:dyDescent="0.25">
      <c r="A130" s="442">
        <v>6</v>
      </c>
      <c r="B130" s="301">
        <v>20.399999999999999</v>
      </c>
      <c r="C130" s="301">
        <v>50.3</v>
      </c>
      <c r="D130" s="301">
        <v>80.3</v>
      </c>
      <c r="E130" s="301">
        <v>39</v>
      </c>
      <c r="F130" s="301">
        <v>81.2</v>
      </c>
      <c r="G130" s="301">
        <v>102.8</v>
      </c>
    </row>
    <row r="131" spans="1:7" x14ac:dyDescent="0.25">
      <c r="A131" s="442">
        <v>7</v>
      </c>
      <c r="B131" s="301">
        <v>23.2</v>
      </c>
      <c r="C131" s="301">
        <v>50.8</v>
      </c>
      <c r="D131" s="301">
        <v>80.099999999999994</v>
      </c>
      <c r="E131" s="301">
        <v>54.4</v>
      </c>
      <c r="F131" s="301">
        <v>87.5</v>
      </c>
      <c r="G131" s="301">
        <v>93</v>
      </c>
    </row>
    <row r="132" spans="1:7" x14ac:dyDescent="0.25">
      <c r="A132" s="442">
        <v>8</v>
      </c>
      <c r="B132" s="301">
        <v>16.5</v>
      </c>
      <c r="C132" s="301">
        <v>53.8</v>
      </c>
      <c r="D132" s="301">
        <v>80.3</v>
      </c>
      <c r="E132" s="301">
        <v>42.4</v>
      </c>
      <c r="F132" s="301">
        <v>87.6</v>
      </c>
      <c r="G132" s="301">
        <v>93.1</v>
      </c>
    </row>
    <row r="133" spans="1:7" x14ac:dyDescent="0.25">
      <c r="A133" s="442">
        <v>9</v>
      </c>
      <c r="B133" s="301">
        <v>19.100000000000001</v>
      </c>
      <c r="C133" s="301">
        <v>49.2</v>
      </c>
      <c r="D133" s="301">
        <v>78.7</v>
      </c>
      <c r="E133" s="301">
        <v>57.6</v>
      </c>
      <c r="F133" s="301">
        <v>84.7</v>
      </c>
      <c r="G133" s="301">
        <v>105</v>
      </c>
    </row>
    <row r="134" spans="1:7" x14ac:dyDescent="0.25">
      <c r="A134" s="442">
        <v>10</v>
      </c>
      <c r="B134" s="301">
        <v>22.4</v>
      </c>
      <c r="C134" s="301">
        <v>53.1</v>
      </c>
      <c r="D134" s="301">
        <v>78.099999999999994</v>
      </c>
      <c r="E134" s="301">
        <v>58</v>
      </c>
      <c r="F134" s="301">
        <v>86.4</v>
      </c>
      <c r="G134" s="301">
        <v>110.3</v>
      </c>
    </row>
    <row r="135" spans="1:7" x14ac:dyDescent="0.25">
      <c r="A135" s="442">
        <v>11</v>
      </c>
      <c r="B135" s="301"/>
      <c r="C135" s="301">
        <v>51.9</v>
      </c>
      <c r="D135" s="301">
        <v>76.5</v>
      </c>
      <c r="E135" s="301">
        <v>58</v>
      </c>
      <c r="F135" s="301">
        <v>81.900000000000006</v>
      </c>
      <c r="G135" s="301">
        <v>90.8</v>
      </c>
    </row>
    <row r="136" spans="1:7" x14ac:dyDescent="0.25">
      <c r="A136" s="442">
        <v>12</v>
      </c>
      <c r="B136" s="301"/>
      <c r="C136" s="301">
        <v>50.7</v>
      </c>
      <c r="D136" s="301">
        <v>83.3</v>
      </c>
      <c r="E136" s="301">
        <v>47.2</v>
      </c>
      <c r="F136" s="301">
        <v>80.099999999999994</v>
      </c>
      <c r="G136" s="301">
        <v>97.2</v>
      </c>
    </row>
    <row r="137" spans="1:7" x14ac:dyDescent="0.25">
      <c r="A137" s="442">
        <v>13</v>
      </c>
      <c r="B137" s="301"/>
      <c r="C137" s="301"/>
      <c r="D137" s="301"/>
      <c r="E137" s="301">
        <v>29.4</v>
      </c>
      <c r="F137" s="301">
        <v>87.7</v>
      </c>
      <c r="G137" s="301">
        <v>108.3</v>
      </c>
    </row>
    <row r="138" spans="1:7" x14ac:dyDescent="0.25">
      <c r="A138" s="442">
        <v>14</v>
      </c>
      <c r="B138" s="301"/>
      <c r="C138" s="301"/>
      <c r="D138" s="301"/>
      <c r="E138" s="301">
        <v>56.2</v>
      </c>
      <c r="F138" s="301">
        <v>80.8</v>
      </c>
      <c r="G138" s="301">
        <v>94.1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87.3</v>
      </c>
      <c r="G139" s="301">
        <v>92.4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80</v>
      </c>
      <c r="G140" s="301">
        <v>101.1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86.2</v>
      </c>
      <c r="G141" s="301">
        <v>91.6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84.7</v>
      </c>
      <c r="G142" s="301">
        <v>93.1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84.4</v>
      </c>
      <c r="G143" s="301">
        <v>96.1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93.2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106.4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92.4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99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ROUNDDOWN(AVERAGE(B6:D20),1)</f>
        <v>51.1</v>
      </c>
      <c r="C151" s="301">
        <f>ROUNDDOWN(AVERAGE(E6:G34),1)</f>
        <v>82.5</v>
      </c>
      <c r="D151" s="353">
        <v>28044</v>
      </c>
      <c r="E151" s="362">
        <v>46989</v>
      </c>
      <c r="F151" s="353">
        <f>B151*D151</f>
        <v>1433048.4000000001</v>
      </c>
      <c r="G151" s="353">
        <f>C151*E151</f>
        <v>3876592.5</v>
      </c>
    </row>
    <row r="152" spans="1:7" x14ac:dyDescent="0.25">
      <c r="A152" s="298" t="s">
        <v>370</v>
      </c>
      <c r="B152" s="301">
        <f>ROUNDDOWN(AVERAGE(B39:D44),1)</f>
        <v>50</v>
      </c>
      <c r="C152" s="301">
        <f>ROUNDDOWN(AVERAGE(E39:G48),1)</f>
        <v>79.5</v>
      </c>
      <c r="D152" s="353">
        <v>10608</v>
      </c>
      <c r="E152" s="362">
        <v>17196</v>
      </c>
      <c r="F152" s="353">
        <f t="shared" ref="F152:G159" si="0">B152*D152</f>
        <v>530400</v>
      </c>
      <c r="G152" s="353">
        <f t="shared" si="0"/>
        <v>1367082</v>
      </c>
    </row>
    <row r="153" spans="1:7" x14ac:dyDescent="0.25">
      <c r="A153" s="298" t="s">
        <v>371</v>
      </c>
      <c r="B153" s="301">
        <f>ROUNDDOWN(AVERAGE(B53:D57),1)</f>
        <v>53</v>
      </c>
      <c r="C153" s="301">
        <f>ROUNDDOWN(AVERAGE(E53:G61),1)</f>
        <v>84.1</v>
      </c>
      <c r="D153" s="353">
        <v>8465</v>
      </c>
      <c r="E153" s="362">
        <v>14808</v>
      </c>
      <c r="F153" s="353">
        <f t="shared" si="0"/>
        <v>448645</v>
      </c>
      <c r="G153" s="353">
        <f t="shared" si="0"/>
        <v>1245352.7999999998</v>
      </c>
    </row>
    <row r="154" spans="1:7" x14ac:dyDescent="0.25">
      <c r="A154" s="298" t="s">
        <v>372</v>
      </c>
      <c r="B154" s="301">
        <f>ROUNDDOWN(AVERAGE(B66:D69),1)</f>
        <v>54</v>
      </c>
      <c r="C154" s="301">
        <f>ROUNDDOWN(AVERAGE(E66:G72),1)</f>
        <v>80.5</v>
      </c>
      <c r="D154" s="353">
        <v>6339</v>
      </c>
      <c r="E154" s="362">
        <v>10521</v>
      </c>
      <c r="F154" s="353">
        <f t="shared" si="0"/>
        <v>342306</v>
      </c>
      <c r="G154" s="353">
        <f t="shared" si="0"/>
        <v>846940.5</v>
      </c>
    </row>
    <row r="155" spans="1:7" x14ac:dyDescent="0.25">
      <c r="A155" s="298" t="s">
        <v>373</v>
      </c>
      <c r="B155" s="301">
        <f>ROUNDDOWN(AVERAGE(B76:D77),1)</f>
        <v>50.6</v>
      </c>
      <c r="C155" s="301">
        <f>ROUNDDOWN(AVERAGE(E76:G79),1)</f>
        <v>78.599999999999994</v>
      </c>
      <c r="D155" s="353">
        <v>3699</v>
      </c>
      <c r="E155" s="362">
        <v>6534</v>
      </c>
      <c r="F155" s="353">
        <f t="shared" si="0"/>
        <v>187169.4</v>
      </c>
      <c r="G155" s="353">
        <f t="shared" si="0"/>
        <v>513572.39999999997</v>
      </c>
    </row>
    <row r="156" spans="1:7" x14ac:dyDescent="0.25">
      <c r="A156" s="298" t="s">
        <v>374</v>
      </c>
      <c r="B156" s="301">
        <f>ROUNDDOWN(AVERAGE(B83:D85),1)</f>
        <v>51</v>
      </c>
      <c r="C156" s="301">
        <f>ROUNDDOWN(AVERAGE(E83:G88),1)</f>
        <v>80.900000000000006</v>
      </c>
      <c r="D156" s="353">
        <v>5340</v>
      </c>
      <c r="E156" s="362">
        <v>9373</v>
      </c>
      <c r="F156" s="353">
        <f t="shared" si="0"/>
        <v>272340</v>
      </c>
      <c r="G156" s="353">
        <f t="shared" si="0"/>
        <v>758275.70000000007</v>
      </c>
    </row>
    <row r="157" spans="1:7" x14ac:dyDescent="0.25">
      <c r="A157" s="298" t="s">
        <v>375</v>
      </c>
      <c r="B157" s="301">
        <f>ROUNDDOWN(AVERAGE(B93:D94),1)</f>
        <v>48.8</v>
      </c>
      <c r="C157" s="301">
        <f>ROUNDDOWN(AVERAGE(E93:G96),1)</f>
        <v>80.099999999999994</v>
      </c>
      <c r="D157" s="353">
        <v>3613</v>
      </c>
      <c r="E157" s="362">
        <v>5819</v>
      </c>
      <c r="F157" s="353">
        <f t="shared" si="0"/>
        <v>176314.4</v>
      </c>
      <c r="G157" s="353">
        <f t="shared" si="0"/>
        <v>466101.89999999997</v>
      </c>
    </row>
    <row r="158" spans="1:7" x14ac:dyDescent="0.25">
      <c r="A158" s="298" t="s">
        <v>365</v>
      </c>
      <c r="B158" s="301">
        <f>ROUNDDOWN(AVERAGE(B100:D112),1)</f>
        <v>51.1</v>
      </c>
      <c r="C158" s="301">
        <f>ROUNDDOWN(AVERAGE(E100:G121),1)</f>
        <v>79.8</v>
      </c>
      <c r="D158" s="353">
        <v>23194</v>
      </c>
      <c r="E158" s="362">
        <v>40205</v>
      </c>
      <c r="F158" s="353">
        <f t="shared" si="0"/>
        <v>1185213.4000000001</v>
      </c>
      <c r="G158" s="353">
        <f t="shared" si="0"/>
        <v>3208359</v>
      </c>
    </row>
    <row r="159" spans="1:7" x14ac:dyDescent="0.25">
      <c r="A159" s="298" t="s">
        <v>366</v>
      </c>
      <c r="B159" s="301">
        <f>ROUNDDOWN(AVERAGE(B125:D136),1)</f>
        <v>52.1</v>
      </c>
      <c r="C159" s="301">
        <f>ROUNDDOWN(AVERAGE(E125:G147),1)</f>
        <v>80</v>
      </c>
      <c r="D159" s="353">
        <v>22794</v>
      </c>
      <c r="E159" s="362">
        <v>40338</v>
      </c>
      <c r="F159" s="353">
        <f t="shared" si="0"/>
        <v>1187567.4000000001</v>
      </c>
      <c r="G159" s="353">
        <f t="shared" si="0"/>
        <v>3227040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191783</v>
      </c>
      <c r="F160" s="353">
        <f>SUM(F151:F159)</f>
        <v>5763004.0000000009</v>
      </c>
      <c r="G160" s="353">
        <f>SUM(G151:G159)</f>
        <v>15509316.800000001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51.4</v>
      </c>
      <c r="D165" s="280">
        <f>ROUNDDOWN(G160/E160,1)</f>
        <v>80.8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C435-30C8-4EB8-A311-206D02FD0155}">
  <dimension ref="A1:G165"/>
  <sheetViews>
    <sheetView zoomScale="120" zoomScaleNormal="120" workbookViewId="0">
      <selection activeCell="G21" sqref="G21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405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15.1</v>
      </c>
      <c r="C6" s="301">
        <v>48.5</v>
      </c>
      <c r="D6" s="301">
        <v>79.7</v>
      </c>
      <c r="E6" s="301">
        <v>40.799999999999997</v>
      </c>
      <c r="F6" s="301">
        <v>81.7</v>
      </c>
      <c r="G6" s="301">
        <v>96.3</v>
      </c>
    </row>
    <row r="7" spans="1:7" x14ac:dyDescent="0.25">
      <c r="A7" s="442">
        <v>2</v>
      </c>
      <c r="B7" s="301">
        <v>18.399999999999999</v>
      </c>
      <c r="C7" s="301">
        <v>45.3</v>
      </c>
      <c r="D7" s="301">
        <v>80</v>
      </c>
      <c r="E7" s="301">
        <v>43</v>
      </c>
      <c r="F7" s="301">
        <v>83.1</v>
      </c>
      <c r="G7" s="301">
        <v>93</v>
      </c>
    </row>
    <row r="8" spans="1:7" x14ac:dyDescent="0.25">
      <c r="A8" s="442">
        <v>3</v>
      </c>
      <c r="B8" s="301">
        <v>29.9</v>
      </c>
      <c r="C8" s="301">
        <v>48.9</v>
      </c>
      <c r="D8" s="301">
        <v>75.400000000000006</v>
      </c>
      <c r="E8" s="301">
        <v>48.3</v>
      </c>
      <c r="F8" s="301">
        <v>83.1</v>
      </c>
      <c r="G8" s="301">
        <v>103.3</v>
      </c>
    </row>
    <row r="9" spans="1:7" x14ac:dyDescent="0.25">
      <c r="A9" s="442">
        <v>4</v>
      </c>
      <c r="B9" s="301">
        <v>28.1</v>
      </c>
      <c r="C9" s="301">
        <v>49.8</v>
      </c>
      <c r="D9" s="301">
        <v>82.3</v>
      </c>
      <c r="E9" s="301">
        <v>51.1</v>
      </c>
      <c r="F9" s="301">
        <v>87.6</v>
      </c>
      <c r="G9" s="301">
        <v>100</v>
      </c>
    </row>
    <row r="10" spans="1:7" x14ac:dyDescent="0.25">
      <c r="A10" s="442">
        <v>5</v>
      </c>
      <c r="B10" s="301">
        <v>22.6</v>
      </c>
      <c r="C10" s="301">
        <v>48.8</v>
      </c>
      <c r="D10" s="301">
        <v>79.3</v>
      </c>
      <c r="E10" s="301">
        <v>32.299999999999997</v>
      </c>
      <c r="F10" s="301">
        <v>84.3</v>
      </c>
      <c r="G10" s="301">
        <v>108.9</v>
      </c>
    </row>
    <row r="11" spans="1:7" x14ac:dyDescent="0.25">
      <c r="A11" s="442">
        <v>6</v>
      </c>
      <c r="B11" s="301">
        <v>20.399999999999999</v>
      </c>
      <c r="C11" s="301">
        <v>45.8</v>
      </c>
      <c r="D11" s="301">
        <v>81.8</v>
      </c>
      <c r="E11" s="301">
        <v>52.3</v>
      </c>
      <c r="F11" s="301">
        <v>87.9</v>
      </c>
      <c r="G11" s="301">
        <v>98.6</v>
      </c>
    </row>
    <row r="12" spans="1:7" x14ac:dyDescent="0.25">
      <c r="A12" s="442">
        <v>7</v>
      </c>
      <c r="B12" s="301">
        <v>21.4</v>
      </c>
      <c r="C12" s="301">
        <v>50.6</v>
      </c>
      <c r="D12" s="301">
        <v>75.5</v>
      </c>
      <c r="E12" s="301">
        <v>29</v>
      </c>
      <c r="F12" s="301">
        <v>85</v>
      </c>
      <c r="G12" s="301">
        <v>95</v>
      </c>
    </row>
    <row r="13" spans="1:7" x14ac:dyDescent="0.25">
      <c r="A13" s="442">
        <v>8</v>
      </c>
      <c r="B13" s="301">
        <v>21.3</v>
      </c>
      <c r="C13" s="301">
        <v>50.3</v>
      </c>
      <c r="D13" s="301">
        <v>75.2</v>
      </c>
      <c r="E13" s="301">
        <v>51.2</v>
      </c>
      <c r="F13" s="301">
        <v>81.400000000000006</v>
      </c>
      <c r="G13" s="301">
        <v>92.2</v>
      </c>
    </row>
    <row r="14" spans="1:7" x14ac:dyDescent="0.25">
      <c r="A14" s="442">
        <v>9</v>
      </c>
      <c r="B14" s="301">
        <v>14.4</v>
      </c>
      <c r="C14" s="301">
        <v>48.9</v>
      </c>
      <c r="D14" s="301">
        <v>79.3</v>
      </c>
      <c r="E14" s="301">
        <v>45.3</v>
      </c>
      <c r="F14" s="301">
        <v>82.8</v>
      </c>
      <c r="G14" s="301">
        <v>105.9</v>
      </c>
    </row>
    <row r="15" spans="1:7" x14ac:dyDescent="0.25">
      <c r="A15" s="442">
        <v>10</v>
      </c>
      <c r="B15" s="301">
        <v>11.3</v>
      </c>
      <c r="C15" s="301">
        <v>49.7</v>
      </c>
      <c r="D15" s="301">
        <v>80.900000000000006</v>
      </c>
      <c r="E15" s="301">
        <v>44.6</v>
      </c>
      <c r="F15" s="301">
        <v>83.2</v>
      </c>
      <c r="G15" s="301">
        <v>96</v>
      </c>
    </row>
    <row r="16" spans="1:7" x14ac:dyDescent="0.25">
      <c r="A16" s="442">
        <v>11</v>
      </c>
      <c r="B16" s="301">
        <v>27.4</v>
      </c>
      <c r="C16" s="301">
        <v>54</v>
      </c>
      <c r="D16" s="301">
        <v>84.1</v>
      </c>
      <c r="E16" s="301">
        <v>36</v>
      </c>
      <c r="F16" s="301">
        <v>82</v>
      </c>
      <c r="G16" s="301">
        <v>108.9</v>
      </c>
    </row>
    <row r="17" spans="1:7" x14ac:dyDescent="0.25">
      <c r="A17" s="442">
        <v>12</v>
      </c>
      <c r="B17" s="301">
        <v>25.3</v>
      </c>
      <c r="C17" s="301">
        <v>48.3</v>
      </c>
      <c r="D17" s="301">
        <v>82.1</v>
      </c>
      <c r="E17" s="301">
        <v>28.4</v>
      </c>
      <c r="F17" s="301">
        <v>80.599999999999994</v>
      </c>
      <c r="G17" s="301">
        <v>95.8</v>
      </c>
    </row>
    <row r="18" spans="1:7" x14ac:dyDescent="0.25">
      <c r="A18" s="442">
        <v>13</v>
      </c>
      <c r="B18" s="301">
        <v>20.8</v>
      </c>
      <c r="C18" s="301">
        <v>53.9</v>
      </c>
      <c r="D18" s="301">
        <v>77</v>
      </c>
      <c r="E18" s="301">
        <v>38.700000000000003</v>
      </c>
      <c r="F18" s="301">
        <v>85.2</v>
      </c>
      <c r="G18" s="301">
        <v>100.1</v>
      </c>
    </row>
    <row r="19" spans="1:7" x14ac:dyDescent="0.25">
      <c r="A19" s="442">
        <v>14</v>
      </c>
      <c r="B19" s="301"/>
      <c r="C19" s="301"/>
      <c r="D19" s="301">
        <v>81.099999999999994</v>
      </c>
      <c r="E19" s="301">
        <v>45.7</v>
      </c>
      <c r="F19" s="301">
        <v>81.400000000000006</v>
      </c>
      <c r="G19" s="301">
        <v>100.1</v>
      </c>
    </row>
    <row r="20" spans="1:7" x14ac:dyDescent="0.25">
      <c r="A20" s="442">
        <v>15</v>
      </c>
      <c r="B20" s="301"/>
      <c r="C20" s="301"/>
      <c r="D20" s="301"/>
      <c r="E20" s="301">
        <v>51.9</v>
      </c>
      <c r="F20" s="301">
        <v>89.9</v>
      </c>
      <c r="G20" s="301">
        <v>92.9</v>
      </c>
    </row>
    <row r="21" spans="1:7" x14ac:dyDescent="0.25">
      <c r="A21" s="442">
        <v>16</v>
      </c>
      <c r="B21" s="301"/>
      <c r="C21" s="301"/>
      <c r="D21" s="301"/>
      <c r="E21" s="301">
        <v>29.8</v>
      </c>
      <c r="F21" s="301">
        <v>87.4</v>
      </c>
      <c r="G21" s="301">
        <v>108.1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85.1</v>
      </c>
      <c r="G22" s="301">
        <v>98.3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86.6</v>
      </c>
      <c r="G23" s="301">
        <v>91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86.1</v>
      </c>
      <c r="G24" s="301">
        <v>94.7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80.8</v>
      </c>
      <c r="G25" s="301">
        <v>101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83.4</v>
      </c>
      <c r="G26" s="301">
        <v>97.4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81.8</v>
      </c>
      <c r="G27" s="301">
        <v>109.8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86.7</v>
      </c>
      <c r="G28" s="301">
        <v>103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83.4</v>
      </c>
      <c r="G29" s="301">
        <v>104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92.2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101.7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93.2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95.2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91.8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25.4</v>
      </c>
      <c r="C39" s="301">
        <v>49</v>
      </c>
      <c r="D39" s="301">
        <v>83.6</v>
      </c>
      <c r="E39" s="301">
        <v>28.2</v>
      </c>
      <c r="F39" s="301">
        <v>81.5</v>
      </c>
      <c r="G39" s="301">
        <v>105.4</v>
      </c>
    </row>
    <row r="40" spans="1:7" x14ac:dyDescent="0.25">
      <c r="A40" s="442">
        <v>2</v>
      </c>
      <c r="B40" s="301">
        <v>17.2</v>
      </c>
      <c r="C40" s="301">
        <v>46.2</v>
      </c>
      <c r="D40" s="301">
        <v>77</v>
      </c>
      <c r="E40" s="301">
        <v>40</v>
      </c>
      <c r="F40" s="301">
        <v>87.4</v>
      </c>
      <c r="G40" s="301">
        <v>90</v>
      </c>
    </row>
    <row r="41" spans="1:7" x14ac:dyDescent="0.25">
      <c r="A41" s="442">
        <v>3</v>
      </c>
      <c r="B41" s="301">
        <v>27.5</v>
      </c>
      <c r="C41" s="301">
        <v>48.8</v>
      </c>
      <c r="D41" s="301">
        <v>79</v>
      </c>
      <c r="E41" s="301">
        <v>37.6</v>
      </c>
      <c r="F41" s="301">
        <v>82.6</v>
      </c>
      <c r="G41" s="301">
        <v>90.9</v>
      </c>
    </row>
    <row r="42" spans="1:7" x14ac:dyDescent="0.25">
      <c r="A42" s="442">
        <v>4</v>
      </c>
      <c r="B42" s="301">
        <v>12.8</v>
      </c>
      <c r="C42" s="301">
        <v>47</v>
      </c>
      <c r="D42" s="301">
        <v>81.2</v>
      </c>
      <c r="E42" s="301">
        <v>46.8</v>
      </c>
      <c r="F42" s="301">
        <v>85.3</v>
      </c>
      <c r="G42" s="301">
        <v>98.7</v>
      </c>
    </row>
    <row r="43" spans="1:7" x14ac:dyDescent="0.25">
      <c r="A43" s="442">
        <v>5</v>
      </c>
      <c r="B43" s="301">
        <v>12.9</v>
      </c>
      <c r="C43" s="301">
        <v>52.6</v>
      </c>
      <c r="D43" s="301">
        <v>75.5</v>
      </c>
      <c r="E43" s="301">
        <v>25.2</v>
      </c>
      <c r="F43" s="301">
        <v>84.4</v>
      </c>
      <c r="G43" s="301">
        <v>106.4</v>
      </c>
    </row>
    <row r="44" spans="1:7" x14ac:dyDescent="0.25">
      <c r="A44" s="442">
        <v>6</v>
      </c>
      <c r="B44" s="301"/>
      <c r="C44" s="301">
        <v>48.2</v>
      </c>
      <c r="D44" s="301"/>
      <c r="E44" s="301">
        <v>27.2</v>
      </c>
      <c r="F44" s="301">
        <v>83.5</v>
      </c>
      <c r="G44" s="301">
        <v>96.5</v>
      </c>
    </row>
    <row r="45" spans="1:7" x14ac:dyDescent="0.25">
      <c r="A45" s="442">
        <v>7</v>
      </c>
      <c r="B45" s="301"/>
      <c r="C45" s="301"/>
      <c r="D45" s="301"/>
      <c r="E45" s="301"/>
      <c r="F45" s="301">
        <v>80</v>
      </c>
      <c r="G45" s="301">
        <v>108.9</v>
      </c>
    </row>
    <row r="46" spans="1:7" x14ac:dyDescent="0.25">
      <c r="A46" s="442">
        <v>8</v>
      </c>
      <c r="B46" s="301"/>
      <c r="C46" s="301"/>
      <c r="D46" s="301"/>
      <c r="E46" s="301"/>
      <c r="F46" s="301">
        <v>89.9</v>
      </c>
      <c r="G46" s="301">
        <v>98.1</v>
      </c>
    </row>
    <row r="47" spans="1:7" x14ac:dyDescent="0.25">
      <c r="A47" s="442">
        <v>9</v>
      </c>
      <c r="B47" s="301"/>
      <c r="C47" s="301"/>
      <c r="D47" s="301"/>
      <c r="E47" s="301"/>
      <c r="F47" s="301">
        <v>83.7</v>
      </c>
      <c r="G47" s="301">
        <v>101.9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85.6</v>
      </c>
      <c r="G48" s="301">
        <v>91.7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17.5</v>
      </c>
      <c r="C53" s="301">
        <v>49.6</v>
      </c>
      <c r="D53" s="301">
        <v>80.2</v>
      </c>
      <c r="E53" s="301">
        <v>51.5</v>
      </c>
      <c r="F53" s="301">
        <v>80.2</v>
      </c>
      <c r="G53" s="301">
        <v>108.1</v>
      </c>
    </row>
    <row r="54" spans="1:7" x14ac:dyDescent="0.25">
      <c r="A54" s="442">
        <v>2</v>
      </c>
      <c r="B54" s="301">
        <v>25.8</v>
      </c>
      <c r="C54" s="301">
        <v>49.4</v>
      </c>
      <c r="D54" s="301">
        <v>80.5</v>
      </c>
      <c r="E54" s="301">
        <v>30.4</v>
      </c>
      <c r="F54" s="301">
        <v>87.7</v>
      </c>
      <c r="G54" s="301">
        <v>102</v>
      </c>
    </row>
    <row r="55" spans="1:7" x14ac:dyDescent="0.25">
      <c r="A55" s="442">
        <v>3</v>
      </c>
      <c r="B55" s="301">
        <v>10.199999999999999</v>
      </c>
      <c r="C55" s="301">
        <v>49.2</v>
      </c>
      <c r="D55" s="301">
        <v>77.2</v>
      </c>
      <c r="E55" s="301">
        <v>44.1</v>
      </c>
      <c r="F55" s="301">
        <v>81.400000000000006</v>
      </c>
      <c r="G55" s="301">
        <v>106.8</v>
      </c>
    </row>
    <row r="56" spans="1:7" x14ac:dyDescent="0.25">
      <c r="A56" s="442">
        <v>4</v>
      </c>
      <c r="B56" s="301">
        <v>23.8</v>
      </c>
      <c r="C56" s="301">
        <v>47.6</v>
      </c>
      <c r="D56" s="301">
        <v>85</v>
      </c>
      <c r="E56" s="301">
        <v>56.4</v>
      </c>
      <c r="F56" s="301">
        <v>80.599999999999994</v>
      </c>
      <c r="G56" s="301">
        <v>107.4</v>
      </c>
    </row>
    <row r="57" spans="1:7" x14ac:dyDescent="0.25">
      <c r="A57" s="442">
        <v>5</v>
      </c>
      <c r="B57" s="301"/>
      <c r="C57" s="301">
        <v>47.4</v>
      </c>
      <c r="D57" s="301">
        <v>80.900000000000006</v>
      </c>
      <c r="E57" s="301">
        <v>33.799999999999997</v>
      </c>
      <c r="F57" s="301">
        <v>80.5</v>
      </c>
      <c r="G57" s="301">
        <v>99</v>
      </c>
    </row>
    <row r="58" spans="1:7" x14ac:dyDescent="0.25">
      <c r="A58" s="442">
        <v>6</v>
      </c>
      <c r="B58" s="301"/>
      <c r="C58" s="301"/>
      <c r="D58" s="301"/>
      <c r="E58" s="301"/>
      <c r="F58" s="301">
        <v>89.4</v>
      </c>
      <c r="G58" s="301">
        <v>109.8</v>
      </c>
    </row>
    <row r="59" spans="1:7" x14ac:dyDescent="0.25">
      <c r="A59" s="442">
        <v>7</v>
      </c>
      <c r="B59" s="301"/>
      <c r="C59" s="301"/>
      <c r="D59" s="301"/>
      <c r="E59" s="301"/>
      <c r="F59" s="301">
        <v>87.6</v>
      </c>
      <c r="G59" s="301">
        <v>93</v>
      </c>
    </row>
    <row r="60" spans="1:7" x14ac:dyDescent="0.25">
      <c r="A60" s="442">
        <v>8</v>
      </c>
      <c r="B60" s="301"/>
      <c r="C60" s="301"/>
      <c r="D60" s="301"/>
      <c r="E60" s="301"/>
      <c r="F60" s="301">
        <v>85.4</v>
      </c>
      <c r="G60" s="301">
        <v>100.3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110.8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12</v>
      </c>
      <c r="C66" s="301">
        <v>53.9</v>
      </c>
      <c r="D66" s="301">
        <v>75.599999999999994</v>
      </c>
      <c r="E66" s="301">
        <v>27.7</v>
      </c>
      <c r="F66" s="301">
        <v>89</v>
      </c>
      <c r="G66" s="301">
        <v>92.8</v>
      </c>
    </row>
    <row r="67" spans="1:7" x14ac:dyDescent="0.25">
      <c r="A67" s="442">
        <v>2</v>
      </c>
      <c r="B67" s="301">
        <v>10.1</v>
      </c>
      <c r="C67" s="301">
        <v>50.9</v>
      </c>
      <c r="D67" s="301">
        <v>76.2</v>
      </c>
      <c r="E67" s="301">
        <v>27.8</v>
      </c>
      <c r="F67" s="301">
        <v>82.1</v>
      </c>
      <c r="G67" s="301">
        <v>102.4</v>
      </c>
    </row>
    <row r="68" spans="1:7" x14ac:dyDescent="0.25">
      <c r="A68" s="442">
        <v>3</v>
      </c>
      <c r="B68" s="301">
        <v>26.1</v>
      </c>
      <c r="C68" s="301">
        <v>53.3</v>
      </c>
      <c r="D68" s="301">
        <v>84.3</v>
      </c>
      <c r="E68" s="301">
        <v>27</v>
      </c>
      <c r="F68" s="301">
        <v>81.400000000000006</v>
      </c>
      <c r="G68" s="301">
        <v>106.6</v>
      </c>
    </row>
    <row r="69" spans="1:7" x14ac:dyDescent="0.25">
      <c r="A69" s="442">
        <v>4</v>
      </c>
      <c r="B69" s="301"/>
      <c r="C69" s="301"/>
      <c r="D69" s="301">
        <v>83.4</v>
      </c>
      <c r="E69" s="301">
        <v>52.1</v>
      </c>
      <c r="F69" s="301">
        <v>84.9</v>
      </c>
      <c r="G69" s="301">
        <v>97.4</v>
      </c>
    </row>
    <row r="70" spans="1:7" x14ac:dyDescent="0.25">
      <c r="A70" s="442">
        <v>5</v>
      </c>
      <c r="B70" s="301"/>
      <c r="C70" s="301"/>
      <c r="D70" s="301"/>
      <c r="E70" s="301"/>
      <c r="F70" s="301">
        <v>88.6</v>
      </c>
      <c r="G70" s="301">
        <v>107.8</v>
      </c>
    </row>
    <row r="71" spans="1:7" x14ac:dyDescent="0.25">
      <c r="A71" s="442">
        <v>6</v>
      </c>
      <c r="B71" s="301"/>
      <c r="C71" s="301"/>
      <c r="D71" s="301"/>
      <c r="E71" s="301"/>
      <c r="F71" s="301">
        <v>83.7</v>
      </c>
      <c r="G71" s="301">
        <v>110.4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95.2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20.5</v>
      </c>
      <c r="C76" s="301">
        <v>52.8</v>
      </c>
      <c r="D76" s="301">
        <v>80.900000000000006</v>
      </c>
      <c r="E76" s="301">
        <v>31.9</v>
      </c>
      <c r="F76" s="301">
        <v>90</v>
      </c>
      <c r="G76" s="301">
        <v>92.4</v>
      </c>
    </row>
    <row r="77" spans="1:7" x14ac:dyDescent="0.25">
      <c r="A77" s="442">
        <v>2</v>
      </c>
      <c r="B77" s="301">
        <v>26.2</v>
      </c>
      <c r="C77" s="301">
        <v>46.4</v>
      </c>
      <c r="D77" s="301">
        <v>76.3</v>
      </c>
      <c r="E77" s="301">
        <v>29.1</v>
      </c>
      <c r="F77" s="301">
        <v>83.4</v>
      </c>
      <c r="G77" s="301">
        <v>90.3</v>
      </c>
    </row>
    <row r="78" spans="1:7" x14ac:dyDescent="0.25">
      <c r="A78" s="442">
        <v>3</v>
      </c>
      <c r="B78" s="301"/>
      <c r="C78" s="301"/>
      <c r="D78" s="301"/>
      <c r="E78" s="301">
        <v>52.1</v>
      </c>
      <c r="F78" s="301">
        <v>84.9</v>
      </c>
      <c r="G78" s="301">
        <v>93</v>
      </c>
    </row>
    <row r="79" spans="1:7" x14ac:dyDescent="0.25">
      <c r="A79" s="442">
        <v>4</v>
      </c>
      <c r="B79" s="301"/>
      <c r="C79" s="301"/>
      <c r="D79" s="301"/>
      <c r="E79" s="301"/>
      <c r="F79" s="301">
        <v>85.4</v>
      </c>
      <c r="G79" s="301">
        <v>100.9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14.3</v>
      </c>
      <c r="C83" s="301">
        <v>51.2</v>
      </c>
      <c r="D83" s="301">
        <v>84.6</v>
      </c>
      <c r="E83" s="301">
        <v>36.799999999999997</v>
      </c>
      <c r="F83" s="301">
        <v>83.8</v>
      </c>
      <c r="G83" s="301">
        <v>99.6</v>
      </c>
    </row>
    <row r="84" spans="1:7" x14ac:dyDescent="0.25">
      <c r="A84" s="442">
        <v>2</v>
      </c>
      <c r="B84" s="301">
        <v>21.2</v>
      </c>
      <c r="C84" s="301">
        <v>54.9</v>
      </c>
      <c r="D84" s="301">
        <v>81.5</v>
      </c>
      <c r="E84" s="301">
        <v>56.9</v>
      </c>
      <c r="F84" s="301">
        <v>85.9</v>
      </c>
      <c r="G84" s="301">
        <v>92.7</v>
      </c>
    </row>
    <row r="85" spans="1:7" x14ac:dyDescent="0.25">
      <c r="A85" s="442">
        <v>3</v>
      </c>
      <c r="B85" s="301">
        <v>29.6</v>
      </c>
      <c r="C85" s="301">
        <v>54.2</v>
      </c>
      <c r="D85" s="301">
        <v>82.5</v>
      </c>
      <c r="E85" s="301">
        <v>33.200000000000003</v>
      </c>
      <c r="F85" s="301">
        <v>81.7</v>
      </c>
      <c r="G85" s="301">
        <v>94.4</v>
      </c>
    </row>
    <row r="86" spans="1:7" x14ac:dyDescent="0.25">
      <c r="A86" s="442">
        <v>4</v>
      </c>
      <c r="B86" s="301"/>
      <c r="C86" s="301"/>
      <c r="D86" s="301"/>
      <c r="E86" s="301">
        <v>38.200000000000003</v>
      </c>
      <c r="F86" s="301">
        <v>84.1</v>
      </c>
      <c r="G86" s="301">
        <v>100</v>
      </c>
    </row>
    <row r="87" spans="1:7" x14ac:dyDescent="0.25">
      <c r="A87" s="442">
        <v>5</v>
      </c>
      <c r="B87" s="301"/>
      <c r="C87" s="301"/>
      <c r="D87" s="301"/>
      <c r="E87" s="301"/>
      <c r="F87" s="301">
        <v>84.8</v>
      </c>
      <c r="G87" s="301">
        <v>109.7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94.3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24.8</v>
      </c>
      <c r="C93" s="301">
        <v>52.1</v>
      </c>
      <c r="D93" s="301">
        <v>76.8</v>
      </c>
      <c r="E93" s="301">
        <v>43</v>
      </c>
      <c r="F93" s="301">
        <v>82.4</v>
      </c>
      <c r="G93" s="301">
        <v>106.3</v>
      </c>
    </row>
    <row r="94" spans="1:7" x14ac:dyDescent="0.25">
      <c r="A94" s="442">
        <v>2</v>
      </c>
      <c r="B94" s="301">
        <v>27.7</v>
      </c>
      <c r="C94" s="301">
        <v>45.8</v>
      </c>
      <c r="D94" s="301">
        <v>84.6</v>
      </c>
      <c r="E94" s="301">
        <v>40.700000000000003</v>
      </c>
      <c r="F94" s="301">
        <v>88.2</v>
      </c>
      <c r="G94" s="301">
        <v>90.5</v>
      </c>
    </row>
    <row r="95" spans="1:7" x14ac:dyDescent="0.25">
      <c r="A95" s="442">
        <v>3</v>
      </c>
      <c r="B95" s="301"/>
      <c r="C95" s="301"/>
      <c r="D95" s="301"/>
      <c r="E95" s="301">
        <v>52.3</v>
      </c>
      <c r="F95" s="301">
        <v>80.8</v>
      </c>
      <c r="G95" s="301">
        <v>94.7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94.8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27.7</v>
      </c>
      <c r="C100" s="301">
        <v>45</v>
      </c>
      <c r="D100" s="301">
        <v>75.7</v>
      </c>
      <c r="E100" s="301">
        <v>32.200000000000003</v>
      </c>
      <c r="F100" s="301">
        <v>81</v>
      </c>
      <c r="G100" s="301">
        <v>95.3</v>
      </c>
    </row>
    <row r="101" spans="1:7" x14ac:dyDescent="0.25">
      <c r="A101" s="442">
        <v>2</v>
      </c>
      <c r="B101" s="301">
        <v>19.600000000000001</v>
      </c>
      <c r="C101" s="301">
        <v>49.4</v>
      </c>
      <c r="D101" s="301">
        <v>84.1</v>
      </c>
      <c r="E101" s="301">
        <v>31.6</v>
      </c>
      <c r="F101" s="301">
        <v>88.6</v>
      </c>
      <c r="G101" s="301">
        <v>101.8</v>
      </c>
    </row>
    <row r="102" spans="1:7" x14ac:dyDescent="0.25">
      <c r="A102" s="442">
        <v>3</v>
      </c>
      <c r="B102" s="301">
        <v>11.1</v>
      </c>
      <c r="C102" s="301">
        <v>50.6</v>
      </c>
      <c r="D102" s="301">
        <v>78.5</v>
      </c>
      <c r="E102" s="301">
        <v>25.2</v>
      </c>
      <c r="F102" s="301">
        <v>86.6</v>
      </c>
      <c r="G102" s="301">
        <v>109</v>
      </c>
    </row>
    <row r="103" spans="1:7" x14ac:dyDescent="0.25">
      <c r="A103" s="442">
        <v>4</v>
      </c>
      <c r="B103" s="301">
        <v>26.2</v>
      </c>
      <c r="C103" s="301">
        <v>49.8</v>
      </c>
      <c r="D103" s="301">
        <v>80.2</v>
      </c>
      <c r="E103" s="301">
        <v>48.2</v>
      </c>
      <c r="F103" s="301">
        <v>80.2</v>
      </c>
      <c r="G103" s="301">
        <v>96.8</v>
      </c>
    </row>
    <row r="104" spans="1:7" x14ac:dyDescent="0.25">
      <c r="A104" s="442">
        <v>5</v>
      </c>
      <c r="B104" s="301">
        <v>10.199999999999999</v>
      </c>
      <c r="C104" s="301">
        <v>51.4</v>
      </c>
      <c r="D104" s="301">
        <v>79</v>
      </c>
      <c r="E104" s="301">
        <v>56.5</v>
      </c>
      <c r="F104" s="301">
        <v>82.9</v>
      </c>
      <c r="G104" s="301">
        <v>93.8</v>
      </c>
    </row>
    <row r="105" spans="1:7" x14ac:dyDescent="0.25">
      <c r="A105" s="442">
        <v>6</v>
      </c>
      <c r="B105" s="301">
        <v>19.399999999999999</v>
      </c>
      <c r="C105" s="301">
        <v>50.7</v>
      </c>
      <c r="D105" s="301">
        <v>79</v>
      </c>
      <c r="E105" s="301">
        <v>42.2</v>
      </c>
      <c r="F105" s="301">
        <v>89.9</v>
      </c>
      <c r="G105" s="301">
        <v>109</v>
      </c>
    </row>
    <row r="106" spans="1:7" x14ac:dyDescent="0.25">
      <c r="A106" s="442">
        <v>7</v>
      </c>
      <c r="B106" s="301">
        <v>20.100000000000001</v>
      </c>
      <c r="C106" s="301">
        <v>52.3</v>
      </c>
      <c r="D106" s="301">
        <v>78.900000000000006</v>
      </c>
      <c r="E106" s="301">
        <v>31</v>
      </c>
      <c r="F106" s="301">
        <v>83.5</v>
      </c>
      <c r="G106" s="301">
        <v>105.9</v>
      </c>
    </row>
    <row r="107" spans="1:7" x14ac:dyDescent="0.25">
      <c r="A107" s="442">
        <v>8</v>
      </c>
      <c r="B107" s="301">
        <v>17.399999999999999</v>
      </c>
      <c r="C107" s="301">
        <v>46</v>
      </c>
      <c r="D107" s="301">
        <v>83.1</v>
      </c>
      <c r="E107" s="301">
        <v>52</v>
      </c>
      <c r="F107" s="301">
        <v>89.8</v>
      </c>
      <c r="G107" s="301">
        <v>97.1</v>
      </c>
    </row>
    <row r="108" spans="1:7" x14ac:dyDescent="0.25">
      <c r="A108" s="442">
        <v>9</v>
      </c>
      <c r="B108" s="301">
        <v>11.1</v>
      </c>
      <c r="C108" s="301">
        <v>54.7</v>
      </c>
      <c r="D108" s="301">
        <v>82.3</v>
      </c>
      <c r="E108" s="301">
        <v>34.200000000000003</v>
      </c>
      <c r="F108" s="301">
        <v>85</v>
      </c>
      <c r="G108" s="301">
        <v>101.2</v>
      </c>
    </row>
    <row r="109" spans="1:7" x14ac:dyDescent="0.25">
      <c r="A109" s="442">
        <v>10</v>
      </c>
      <c r="B109" s="301">
        <v>13.1</v>
      </c>
      <c r="C109" s="301">
        <v>50.6</v>
      </c>
      <c r="D109" s="301">
        <v>77.900000000000006</v>
      </c>
      <c r="E109" s="301">
        <v>45.2</v>
      </c>
      <c r="F109" s="301">
        <v>83.7</v>
      </c>
      <c r="G109" s="301">
        <v>102.6</v>
      </c>
    </row>
    <row r="110" spans="1:7" x14ac:dyDescent="0.25">
      <c r="A110" s="442">
        <v>11</v>
      </c>
      <c r="B110" s="301"/>
      <c r="C110" s="301">
        <v>50.3</v>
      </c>
      <c r="D110" s="301">
        <v>81.400000000000006</v>
      </c>
      <c r="E110" s="301">
        <v>44.8</v>
      </c>
      <c r="F110" s="301">
        <v>81.7</v>
      </c>
      <c r="G110" s="301">
        <v>100.4</v>
      </c>
    </row>
    <row r="111" spans="1:7" x14ac:dyDescent="0.25">
      <c r="A111" s="442">
        <v>12</v>
      </c>
      <c r="B111" s="301"/>
      <c r="C111" s="301">
        <v>47.7</v>
      </c>
      <c r="D111" s="301"/>
      <c r="E111" s="301">
        <v>43.1</v>
      </c>
      <c r="F111" s="301">
        <v>88.1</v>
      </c>
      <c r="G111" s="301">
        <v>100.6</v>
      </c>
    </row>
    <row r="112" spans="1:7" x14ac:dyDescent="0.25">
      <c r="A112" s="442">
        <v>13</v>
      </c>
      <c r="B112" s="301"/>
      <c r="C112" s="301">
        <v>54</v>
      </c>
      <c r="D112" s="301"/>
      <c r="E112" s="301">
        <v>39.299999999999997</v>
      </c>
      <c r="F112" s="301">
        <v>83.6</v>
      </c>
      <c r="G112" s="301">
        <v>109.7</v>
      </c>
    </row>
    <row r="113" spans="1:7" x14ac:dyDescent="0.25">
      <c r="A113" s="442">
        <v>14</v>
      </c>
      <c r="B113" s="301"/>
      <c r="C113" s="301"/>
      <c r="D113" s="301"/>
      <c r="E113" s="301">
        <v>41.9</v>
      </c>
      <c r="F113" s="301">
        <v>88.5</v>
      </c>
      <c r="G113" s="301">
        <v>109.4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81.3</v>
      </c>
      <c r="G114" s="301">
        <v>96.6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85</v>
      </c>
      <c r="G115" s="301">
        <v>95.2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86.9</v>
      </c>
      <c r="G116" s="301">
        <v>110.3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80.599999999999994</v>
      </c>
      <c r="G117" s="301">
        <v>110.6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87.8</v>
      </c>
      <c r="G118" s="301">
        <v>95.2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82.6</v>
      </c>
      <c r="G119" s="301">
        <v>97.1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82.7</v>
      </c>
      <c r="G120" s="301">
        <v>95.9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89.6</v>
      </c>
      <c r="G121" s="301">
        <v>99.6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24.4</v>
      </c>
      <c r="C125" s="301">
        <v>52.6</v>
      </c>
      <c r="D125" s="301">
        <v>81.599999999999994</v>
      </c>
      <c r="E125" s="301">
        <v>37.200000000000003</v>
      </c>
      <c r="F125" s="301">
        <v>88.7</v>
      </c>
      <c r="G125" s="301">
        <v>108.9</v>
      </c>
    </row>
    <row r="126" spans="1:7" x14ac:dyDescent="0.25">
      <c r="A126" s="442">
        <v>2</v>
      </c>
      <c r="B126" s="301">
        <v>30</v>
      </c>
      <c r="C126" s="301">
        <v>54.6</v>
      </c>
      <c r="D126" s="301">
        <v>84.4</v>
      </c>
      <c r="E126" s="301">
        <v>31.4</v>
      </c>
      <c r="F126" s="301">
        <v>82.5</v>
      </c>
      <c r="G126" s="301">
        <v>97</v>
      </c>
    </row>
    <row r="127" spans="1:7" x14ac:dyDescent="0.25">
      <c r="A127" s="442">
        <v>3</v>
      </c>
      <c r="B127" s="301">
        <v>14.5</v>
      </c>
      <c r="C127" s="301">
        <v>46.5</v>
      </c>
      <c r="D127" s="301">
        <v>80.900000000000006</v>
      </c>
      <c r="E127" s="301">
        <v>32.700000000000003</v>
      </c>
      <c r="F127" s="301">
        <v>81.099999999999994</v>
      </c>
      <c r="G127" s="301">
        <v>109</v>
      </c>
    </row>
    <row r="128" spans="1:7" x14ac:dyDescent="0.25">
      <c r="A128" s="442">
        <v>4</v>
      </c>
      <c r="B128" s="301">
        <v>19.899999999999999</v>
      </c>
      <c r="C128" s="301">
        <v>46.8</v>
      </c>
      <c r="D128" s="301">
        <v>81.400000000000006</v>
      </c>
      <c r="E128" s="301">
        <v>57.3</v>
      </c>
      <c r="F128" s="301">
        <v>85</v>
      </c>
      <c r="G128" s="301">
        <v>106.1</v>
      </c>
    </row>
    <row r="129" spans="1:7" x14ac:dyDescent="0.25">
      <c r="A129" s="442">
        <v>5</v>
      </c>
      <c r="B129" s="301">
        <v>22.9</v>
      </c>
      <c r="C129" s="301">
        <v>46.1</v>
      </c>
      <c r="D129" s="301">
        <v>83.3</v>
      </c>
      <c r="E129" s="301">
        <v>59.1</v>
      </c>
      <c r="F129" s="301">
        <v>82.7</v>
      </c>
      <c r="G129" s="301">
        <v>97.8</v>
      </c>
    </row>
    <row r="130" spans="1:7" x14ac:dyDescent="0.25">
      <c r="A130" s="442">
        <v>6</v>
      </c>
      <c r="B130" s="301">
        <v>15.2</v>
      </c>
      <c r="C130" s="301">
        <v>47.6</v>
      </c>
      <c r="D130" s="301">
        <v>75.400000000000006</v>
      </c>
      <c r="E130" s="301">
        <v>53.5</v>
      </c>
      <c r="F130" s="301">
        <v>88</v>
      </c>
      <c r="G130" s="301">
        <v>105.8</v>
      </c>
    </row>
    <row r="131" spans="1:7" x14ac:dyDescent="0.25">
      <c r="A131" s="442">
        <v>7</v>
      </c>
      <c r="B131" s="301">
        <v>25.7</v>
      </c>
      <c r="C131" s="301">
        <v>52.3</v>
      </c>
      <c r="D131" s="301">
        <v>82.9</v>
      </c>
      <c r="E131" s="301">
        <v>49.3</v>
      </c>
      <c r="F131" s="301">
        <v>83</v>
      </c>
      <c r="G131" s="301">
        <v>110.5</v>
      </c>
    </row>
    <row r="132" spans="1:7" x14ac:dyDescent="0.25">
      <c r="A132" s="442">
        <v>8</v>
      </c>
      <c r="B132" s="301">
        <v>24.7</v>
      </c>
      <c r="C132" s="301">
        <v>45</v>
      </c>
      <c r="D132" s="301">
        <v>82.5</v>
      </c>
      <c r="E132" s="301">
        <v>28.6</v>
      </c>
      <c r="F132" s="301">
        <v>80</v>
      </c>
      <c r="G132" s="301">
        <v>100.5</v>
      </c>
    </row>
    <row r="133" spans="1:7" x14ac:dyDescent="0.25">
      <c r="A133" s="442">
        <v>9</v>
      </c>
      <c r="B133" s="301">
        <v>18.399999999999999</v>
      </c>
      <c r="C133" s="301">
        <v>47.8</v>
      </c>
      <c r="D133" s="301">
        <v>75</v>
      </c>
      <c r="E133" s="301">
        <v>56.6</v>
      </c>
      <c r="F133" s="301">
        <v>82.9</v>
      </c>
      <c r="G133" s="301">
        <v>110.1</v>
      </c>
    </row>
    <row r="134" spans="1:7" x14ac:dyDescent="0.25">
      <c r="A134" s="442">
        <v>10</v>
      </c>
      <c r="B134" s="301">
        <v>23.9</v>
      </c>
      <c r="C134" s="301">
        <v>46.6</v>
      </c>
      <c r="D134" s="301">
        <v>82.5</v>
      </c>
      <c r="E134" s="301">
        <v>55.1</v>
      </c>
      <c r="F134" s="301">
        <v>83.3</v>
      </c>
      <c r="G134" s="301">
        <v>90.8</v>
      </c>
    </row>
    <row r="135" spans="1:7" x14ac:dyDescent="0.25">
      <c r="A135" s="442">
        <v>11</v>
      </c>
      <c r="B135" s="301"/>
      <c r="C135" s="301">
        <v>46.4</v>
      </c>
      <c r="D135" s="301">
        <v>82.8</v>
      </c>
      <c r="E135" s="301">
        <v>25.8</v>
      </c>
      <c r="F135" s="301">
        <v>88.4</v>
      </c>
      <c r="G135" s="301">
        <v>105.2</v>
      </c>
    </row>
    <row r="136" spans="1:7" x14ac:dyDescent="0.25">
      <c r="A136" s="442">
        <v>12</v>
      </c>
      <c r="B136" s="301"/>
      <c r="C136" s="301">
        <v>51.3</v>
      </c>
      <c r="D136" s="301">
        <v>78.2</v>
      </c>
      <c r="E136" s="301">
        <v>40.5</v>
      </c>
      <c r="F136" s="301">
        <v>80.400000000000006</v>
      </c>
      <c r="G136" s="301">
        <v>98.3</v>
      </c>
    </row>
    <row r="137" spans="1:7" x14ac:dyDescent="0.25">
      <c r="A137" s="442">
        <v>13</v>
      </c>
      <c r="B137" s="301"/>
      <c r="C137" s="301"/>
      <c r="D137" s="301"/>
      <c r="E137" s="301">
        <v>44.9</v>
      </c>
      <c r="F137" s="301">
        <v>80.3</v>
      </c>
      <c r="G137" s="301">
        <v>97.5</v>
      </c>
    </row>
    <row r="138" spans="1:7" x14ac:dyDescent="0.25">
      <c r="A138" s="442">
        <v>14</v>
      </c>
      <c r="B138" s="301"/>
      <c r="C138" s="301"/>
      <c r="D138" s="301"/>
      <c r="E138" s="301">
        <v>56.9</v>
      </c>
      <c r="F138" s="301">
        <v>87.2</v>
      </c>
      <c r="G138" s="301">
        <v>93.8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88.8</v>
      </c>
      <c r="G139" s="301">
        <v>101.4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82</v>
      </c>
      <c r="G140" s="301">
        <v>103.8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85.2</v>
      </c>
      <c r="G141" s="301">
        <v>90.9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80.3</v>
      </c>
      <c r="G142" s="301">
        <v>104.5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80.7</v>
      </c>
      <c r="G143" s="301">
        <v>106.4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97.8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106.6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100.6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93.3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ROUNDDOWN(AVERAGE(B6:D19),1)</f>
        <v>50.8</v>
      </c>
      <c r="C151" s="301">
        <f>ROUNDDOWN(AVERAGE(E6:G34),1)</f>
        <v>80.5</v>
      </c>
      <c r="D151" s="353">
        <v>28044</v>
      </c>
      <c r="E151" s="362">
        <v>46794</v>
      </c>
      <c r="F151" s="353">
        <f>B151*D151</f>
        <v>1424635.2</v>
      </c>
      <c r="G151" s="353">
        <f>C151*E151</f>
        <v>3766917</v>
      </c>
    </row>
    <row r="152" spans="1:7" x14ac:dyDescent="0.25">
      <c r="A152" s="298" t="s">
        <v>370</v>
      </c>
      <c r="B152" s="301">
        <f>ROUNDDOWN(AVERAGE(B39:D44),1)</f>
        <v>48.9</v>
      </c>
      <c r="C152" s="301">
        <f>ROUNDDOWN(AVERAGE(E39:G48),1)</f>
        <v>78.3</v>
      </c>
      <c r="D152" s="353">
        <v>10608</v>
      </c>
      <c r="E152" s="362">
        <v>17256</v>
      </c>
      <c r="F152" s="353">
        <f t="shared" ref="F152:G159" si="0">B152*D152</f>
        <v>518731.2</v>
      </c>
      <c r="G152" s="353">
        <f t="shared" si="0"/>
        <v>1351144.8</v>
      </c>
    </row>
    <row r="153" spans="1:7" x14ac:dyDescent="0.25">
      <c r="A153" s="298" t="s">
        <v>371</v>
      </c>
      <c r="B153" s="301">
        <f>ROUNDDOWN(AVERAGE(B53:D57),1)</f>
        <v>51.7</v>
      </c>
      <c r="C153" s="301">
        <f>ROUNDDOWN(AVERAGE(E53:G61),1)</f>
        <v>83</v>
      </c>
      <c r="D153" s="353">
        <v>8465</v>
      </c>
      <c r="E153" s="362">
        <v>14818</v>
      </c>
      <c r="F153" s="353">
        <f t="shared" si="0"/>
        <v>437640.5</v>
      </c>
      <c r="G153" s="353">
        <f t="shared" si="0"/>
        <v>1229894</v>
      </c>
    </row>
    <row r="154" spans="1:7" x14ac:dyDescent="0.25">
      <c r="A154" s="298" t="s">
        <v>372</v>
      </c>
      <c r="B154" s="301">
        <f>ROUNDDOWN(AVERAGE(B66:D69),1)</f>
        <v>52.5</v>
      </c>
      <c r="C154" s="301">
        <f>ROUNDDOWN(AVERAGE(E66:G72),1)</f>
        <v>79.8</v>
      </c>
      <c r="D154" s="353">
        <v>6339</v>
      </c>
      <c r="E154" s="362">
        <v>10448</v>
      </c>
      <c r="F154" s="353">
        <f t="shared" si="0"/>
        <v>332797.5</v>
      </c>
      <c r="G154" s="353">
        <f t="shared" si="0"/>
        <v>833750.4</v>
      </c>
    </row>
    <row r="155" spans="1:7" x14ac:dyDescent="0.25">
      <c r="A155" s="298" t="s">
        <v>373</v>
      </c>
      <c r="B155" s="301">
        <f>ROUNDDOWN(AVERAGE(B76:D77),1)</f>
        <v>50.5</v>
      </c>
      <c r="C155" s="301">
        <f>ROUNDDOWN(AVERAGE(E76:G79),1)</f>
        <v>75.7</v>
      </c>
      <c r="D155" s="353">
        <v>3699</v>
      </c>
      <c r="E155" s="362">
        <v>6496</v>
      </c>
      <c r="F155" s="353">
        <f t="shared" si="0"/>
        <v>186799.5</v>
      </c>
      <c r="G155" s="353">
        <f t="shared" si="0"/>
        <v>491747.2</v>
      </c>
    </row>
    <row r="156" spans="1:7" x14ac:dyDescent="0.25">
      <c r="A156" s="298" t="s">
        <v>374</v>
      </c>
      <c r="B156" s="301">
        <f>ROUNDDOWN(AVERAGE(B83:D85),1)</f>
        <v>52.6</v>
      </c>
      <c r="C156" s="301">
        <f>ROUNDDOWN(AVERAGE(E83:G88),1)</f>
        <v>78.400000000000006</v>
      </c>
      <c r="D156" s="353">
        <v>5340</v>
      </c>
      <c r="E156" s="362">
        <v>9341</v>
      </c>
      <c r="F156" s="353">
        <f t="shared" si="0"/>
        <v>280884</v>
      </c>
      <c r="G156" s="353">
        <f t="shared" si="0"/>
        <v>732334.4</v>
      </c>
    </row>
    <row r="157" spans="1:7" x14ac:dyDescent="0.25">
      <c r="A157" s="298" t="s">
        <v>375</v>
      </c>
      <c r="B157" s="301">
        <f>ROUNDDOWN(AVERAGE(B93:D94),1)</f>
        <v>51.9</v>
      </c>
      <c r="C157" s="301">
        <f>ROUNDDOWN(AVERAGE(E93:G96),1)</f>
        <v>77.3</v>
      </c>
      <c r="D157" s="353">
        <v>3613</v>
      </c>
      <c r="E157" s="362">
        <v>5802</v>
      </c>
      <c r="F157" s="353">
        <f t="shared" si="0"/>
        <v>187514.69999999998</v>
      </c>
      <c r="G157" s="353">
        <f t="shared" si="0"/>
        <v>448494.6</v>
      </c>
    </row>
    <row r="158" spans="1:7" x14ac:dyDescent="0.25">
      <c r="A158" s="298" t="s">
        <v>365</v>
      </c>
      <c r="B158" s="301">
        <f>ROUNDDOWN(AVERAGE(B100:D112),1)</f>
        <v>50.2</v>
      </c>
      <c r="C158" s="301">
        <f>ROUNDDOWN(AVERAGE(E100:G121),1)</f>
        <v>80.5</v>
      </c>
      <c r="D158" s="353">
        <v>23194</v>
      </c>
      <c r="E158" s="362">
        <v>40235</v>
      </c>
      <c r="F158" s="353">
        <f t="shared" si="0"/>
        <v>1164338.8</v>
      </c>
      <c r="G158" s="353">
        <f t="shared" si="0"/>
        <v>3238917.5</v>
      </c>
    </row>
    <row r="159" spans="1:7" x14ac:dyDescent="0.25">
      <c r="A159" s="298" t="s">
        <v>366</v>
      </c>
      <c r="B159" s="301">
        <f>ROUNDDOWN(AVERAGE(B125:D136),1)</f>
        <v>52.1</v>
      </c>
      <c r="C159" s="301">
        <f>ROUNDDOWN(AVERAGE(E125:G147),1)</f>
        <v>81.3</v>
      </c>
      <c r="D159" s="353">
        <v>22794</v>
      </c>
      <c r="E159" s="362">
        <v>40492</v>
      </c>
      <c r="F159" s="353">
        <f t="shared" si="0"/>
        <v>1187567.4000000001</v>
      </c>
      <c r="G159" s="353">
        <f t="shared" si="0"/>
        <v>3291999.6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191682</v>
      </c>
      <c r="F160" s="353">
        <f>SUM(F151:F159)</f>
        <v>5720908.8000000007</v>
      </c>
      <c r="G160" s="353">
        <f>SUM(G151:G159)</f>
        <v>15385199.5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</v>
      </c>
      <c r="D165" s="280">
        <f>ROUNDDOWN(G160/E160,1)</f>
        <v>80.2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AEEEE-063C-40CD-A078-AF6833719603}">
  <dimension ref="A1:G165"/>
  <sheetViews>
    <sheetView zoomScale="120" zoomScaleNormal="120" workbookViewId="0">
      <selection activeCell="F28" sqref="F28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406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22.2</v>
      </c>
      <c r="C6" s="301">
        <v>54.3</v>
      </c>
      <c r="D6" s="301">
        <v>82.2</v>
      </c>
      <c r="E6" s="301">
        <v>50.3</v>
      </c>
      <c r="F6" s="301">
        <v>86.7</v>
      </c>
      <c r="G6" s="301">
        <v>109.1</v>
      </c>
    </row>
    <row r="7" spans="1:7" x14ac:dyDescent="0.25">
      <c r="A7" s="442">
        <v>2</v>
      </c>
      <c r="B7" s="301">
        <v>20.399999999999999</v>
      </c>
      <c r="C7" s="301">
        <v>51.6</v>
      </c>
      <c r="D7" s="301">
        <v>76</v>
      </c>
      <c r="E7" s="301">
        <v>31.1</v>
      </c>
      <c r="F7" s="301">
        <v>87.7</v>
      </c>
      <c r="G7" s="301">
        <v>109.6</v>
      </c>
    </row>
    <row r="8" spans="1:7" x14ac:dyDescent="0.25">
      <c r="A8" s="442">
        <v>3</v>
      </c>
      <c r="B8" s="301">
        <v>24.7</v>
      </c>
      <c r="C8" s="301">
        <v>54.3</v>
      </c>
      <c r="D8" s="301">
        <v>84.9</v>
      </c>
      <c r="E8" s="301">
        <v>30.3</v>
      </c>
      <c r="F8" s="301">
        <v>88.4</v>
      </c>
      <c r="G8" s="301">
        <v>100.6</v>
      </c>
    </row>
    <row r="9" spans="1:7" x14ac:dyDescent="0.25">
      <c r="A9" s="442">
        <v>4</v>
      </c>
      <c r="B9" s="301">
        <v>23.2</v>
      </c>
      <c r="C9" s="301">
        <v>46.7</v>
      </c>
      <c r="D9" s="301">
        <v>75.5</v>
      </c>
      <c r="E9" s="301">
        <v>49.4</v>
      </c>
      <c r="F9" s="301">
        <v>89.1</v>
      </c>
      <c r="G9" s="301">
        <v>103.6</v>
      </c>
    </row>
    <row r="10" spans="1:7" x14ac:dyDescent="0.25">
      <c r="A10" s="442">
        <v>5</v>
      </c>
      <c r="B10" s="301">
        <v>19.899999999999999</v>
      </c>
      <c r="C10" s="301">
        <v>49.6</v>
      </c>
      <c r="D10" s="301">
        <v>81.900000000000006</v>
      </c>
      <c r="E10" s="301">
        <v>43.8</v>
      </c>
      <c r="F10" s="301">
        <v>88.7</v>
      </c>
      <c r="G10" s="301">
        <v>107.2</v>
      </c>
    </row>
    <row r="11" spans="1:7" x14ac:dyDescent="0.25">
      <c r="A11" s="442">
        <v>6</v>
      </c>
      <c r="B11" s="301">
        <v>16.600000000000001</v>
      </c>
      <c r="C11" s="301">
        <v>49.1</v>
      </c>
      <c r="D11" s="301">
        <v>84</v>
      </c>
      <c r="E11" s="301">
        <v>49.8</v>
      </c>
      <c r="F11" s="301">
        <v>89.6</v>
      </c>
      <c r="G11" s="301">
        <v>93.9</v>
      </c>
    </row>
    <row r="12" spans="1:7" x14ac:dyDescent="0.25">
      <c r="A12" s="442">
        <v>7</v>
      </c>
      <c r="B12" s="301">
        <v>20.3</v>
      </c>
      <c r="C12" s="301">
        <v>49.8</v>
      </c>
      <c r="D12" s="301">
        <v>78.5</v>
      </c>
      <c r="E12" s="301">
        <v>55.3</v>
      </c>
      <c r="F12" s="301">
        <v>83.4</v>
      </c>
      <c r="G12" s="301">
        <v>110.1</v>
      </c>
    </row>
    <row r="13" spans="1:7" x14ac:dyDescent="0.25">
      <c r="A13" s="442">
        <v>8</v>
      </c>
      <c r="B13" s="301">
        <v>18.7</v>
      </c>
      <c r="C13" s="301">
        <v>50.3</v>
      </c>
      <c r="D13" s="301">
        <v>75.400000000000006</v>
      </c>
      <c r="E13" s="301">
        <v>57</v>
      </c>
      <c r="F13" s="301">
        <v>83.6</v>
      </c>
      <c r="G13" s="301">
        <v>109.8</v>
      </c>
    </row>
    <row r="14" spans="1:7" x14ac:dyDescent="0.25">
      <c r="A14" s="442">
        <v>9</v>
      </c>
      <c r="B14" s="301">
        <v>11.4</v>
      </c>
      <c r="C14" s="301">
        <v>48.1</v>
      </c>
      <c r="D14" s="301">
        <v>78.599999999999994</v>
      </c>
      <c r="E14" s="301">
        <v>56.3</v>
      </c>
      <c r="F14" s="301">
        <v>84.7</v>
      </c>
      <c r="G14" s="301">
        <v>96</v>
      </c>
    </row>
    <row r="15" spans="1:7" x14ac:dyDescent="0.25">
      <c r="A15" s="442">
        <v>10</v>
      </c>
      <c r="B15" s="301">
        <v>22.9</v>
      </c>
      <c r="C15" s="301">
        <v>52.6</v>
      </c>
      <c r="D15" s="301">
        <v>81.7</v>
      </c>
      <c r="E15" s="301">
        <v>49.7</v>
      </c>
      <c r="F15" s="301">
        <v>88.8</v>
      </c>
      <c r="G15" s="301">
        <v>107.9</v>
      </c>
    </row>
    <row r="16" spans="1:7" x14ac:dyDescent="0.25">
      <c r="A16" s="442">
        <v>11</v>
      </c>
      <c r="B16" s="301">
        <v>10.1</v>
      </c>
      <c r="C16" s="301">
        <v>54.5</v>
      </c>
      <c r="D16" s="301">
        <v>82.4</v>
      </c>
      <c r="E16" s="301">
        <v>27.5</v>
      </c>
      <c r="F16" s="301">
        <v>83.5</v>
      </c>
      <c r="G16" s="301">
        <v>94.9</v>
      </c>
    </row>
    <row r="17" spans="1:7" x14ac:dyDescent="0.25">
      <c r="A17" s="442">
        <v>12</v>
      </c>
      <c r="B17" s="301">
        <v>12</v>
      </c>
      <c r="C17" s="301">
        <v>48.4</v>
      </c>
      <c r="D17" s="301">
        <v>82.6</v>
      </c>
      <c r="E17" s="301">
        <v>54.7</v>
      </c>
      <c r="F17" s="301">
        <v>83.1</v>
      </c>
      <c r="G17" s="301">
        <v>93.1</v>
      </c>
    </row>
    <row r="18" spans="1:7" x14ac:dyDescent="0.25">
      <c r="A18" s="442">
        <v>13</v>
      </c>
      <c r="B18" s="301">
        <v>25.1</v>
      </c>
      <c r="C18" s="301">
        <v>54.9</v>
      </c>
      <c r="D18" s="301">
        <v>79</v>
      </c>
      <c r="E18" s="301">
        <v>44.8</v>
      </c>
      <c r="F18" s="301">
        <v>87.8</v>
      </c>
      <c r="G18" s="301">
        <v>96.4</v>
      </c>
    </row>
    <row r="19" spans="1:7" x14ac:dyDescent="0.25">
      <c r="A19" s="442">
        <v>14</v>
      </c>
      <c r="B19" s="301"/>
      <c r="C19" s="301"/>
      <c r="D19" s="301">
        <v>75.3</v>
      </c>
      <c r="E19" s="301">
        <v>29.2</v>
      </c>
      <c r="F19" s="301">
        <v>83.9</v>
      </c>
      <c r="G19" s="301">
        <v>90.1</v>
      </c>
    </row>
    <row r="20" spans="1:7" x14ac:dyDescent="0.25">
      <c r="A20" s="442">
        <v>15</v>
      </c>
      <c r="B20" s="301"/>
      <c r="C20" s="301"/>
      <c r="D20" s="301"/>
      <c r="E20" s="301">
        <v>48.7</v>
      </c>
      <c r="F20" s="301">
        <v>82.9</v>
      </c>
      <c r="G20" s="301">
        <v>111</v>
      </c>
    </row>
    <row r="21" spans="1:7" x14ac:dyDescent="0.25">
      <c r="A21" s="442">
        <v>16</v>
      </c>
      <c r="B21" s="301"/>
      <c r="C21" s="301"/>
      <c r="D21" s="301"/>
      <c r="E21" s="301">
        <v>45.5</v>
      </c>
      <c r="F21" s="301">
        <v>83.3</v>
      </c>
      <c r="G21" s="301">
        <v>110.7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86.5</v>
      </c>
      <c r="G22" s="301">
        <v>92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84.8</v>
      </c>
      <c r="G23" s="301">
        <v>94.4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82.9</v>
      </c>
      <c r="G24" s="301">
        <v>98.7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89.1</v>
      </c>
      <c r="G25" s="301">
        <v>110.7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89</v>
      </c>
      <c r="G26" s="301">
        <v>101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86.3</v>
      </c>
      <c r="G27" s="301">
        <v>92.4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83</v>
      </c>
      <c r="G28" s="301">
        <v>97.1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82.4</v>
      </c>
      <c r="G29" s="301">
        <v>92.6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110.5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106.7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100.2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104.8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98.4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19.2</v>
      </c>
      <c r="C39" s="301">
        <v>52.7</v>
      </c>
      <c r="D39" s="301">
        <v>83.8</v>
      </c>
      <c r="E39" s="301">
        <v>30.6</v>
      </c>
      <c r="F39" s="301">
        <v>88.9</v>
      </c>
      <c r="G39" s="301">
        <v>109.8</v>
      </c>
    </row>
    <row r="40" spans="1:7" x14ac:dyDescent="0.25">
      <c r="A40" s="442">
        <v>2</v>
      </c>
      <c r="B40" s="301">
        <v>24.2</v>
      </c>
      <c r="C40" s="301">
        <v>49.4</v>
      </c>
      <c r="D40" s="301">
        <v>75.400000000000006</v>
      </c>
      <c r="E40" s="301">
        <v>52.5</v>
      </c>
      <c r="F40" s="301">
        <v>85.9</v>
      </c>
      <c r="G40" s="301">
        <v>110.7</v>
      </c>
    </row>
    <row r="41" spans="1:7" x14ac:dyDescent="0.25">
      <c r="A41" s="442">
        <v>3</v>
      </c>
      <c r="B41" s="301">
        <v>12.5</v>
      </c>
      <c r="C41" s="301">
        <v>45.8</v>
      </c>
      <c r="D41" s="301">
        <v>78.400000000000006</v>
      </c>
      <c r="E41" s="301">
        <v>31.7</v>
      </c>
      <c r="F41" s="301">
        <v>85.9</v>
      </c>
      <c r="G41" s="301">
        <v>107.9</v>
      </c>
    </row>
    <row r="42" spans="1:7" x14ac:dyDescent="0.25">
      <c r="A42" s="442">
        <v>4</v>
      </c>
      <c r="B42" s="301">
        <v>11.3</v>
      </c>
      <c r="C42" s="301">
        <v>52.6</v>
      </c>
      <c r="D42" s="301">
        <v>79.900000000000006</v>
      </c>
      <c r="E42" s="301">
        <v>36.5</v>
      </c>
      <c r="F42" s="301">
        <v>85</v>
      </c>
      <c r="G42" s="301">
        <v>107.5</v>
      </c>
    </row>
    <row r="43" spans="1:7" x14ac:dyDescent="0.25">
      <c r="A43" s="442">
        <v>5</v>
      </c>
      <c r="B43" s="301">
        <v>23.5</v>
      </c>
      <c r="C43" s="301">
        <v>47.4</v>
      </c>
      <c r="D43" s="301">
        <v>81.5</v>
      </c>
      <c r="E43" s="301">
        <v>30.5</v>
      </c>
      <c r="F43" s="301">
        <v>82.1</v>
      </c>
      <c r="G43" s="301">
        <v>100.6</v>
      </c>
    </row>
    <row r="44" spans="1:7" x14ac:dyDescent="0.25">
      <c r="A44" s="442">
        <v>6</v>
      </c>
      <c r="B44" s="301"/>
      <c r="C44" s="301">
        <v>45.2</v>
      </c>
      <c r="D44" s="301"/>
      <c r="E44" s="301">
        <v>34.200000000000003</v>
      </c>
      <c r="F44" s="301">
        <v>82.8</v>
      </c>
      <c r="G44" s="301">
        <v>107.6</v>
      </c>
    </row>
    <row r="45" spans="1:7" x14ac:dyDescent="0.25">
      <c r="A45" s="442">
        <v>7</v>
      </c>
      <c r="B45" s="301"/>
      <c r="C45" s="301"/>
      <c r="D45" s="301"/>
      <c r="E45" s="301"/>
      <c r="F45" s="301">
        <v>88.1</v>
      </c>
      <c r="G45" s="301">
        <v>90.6</v>
      </c>
    </row>
    <row r="46" spans="1:7" x14ac:dyDescent="0.25">
      <c r="A46" s="442">
        <v>8</v>
      </c>
      <c r="B46" s="301"/>
      <c r="C46" s="301"/>
      <c r="D46" s="301"/>
      <c r="E46" s="301"/>
      <c r="F46" s="301">
        <v>88.6</v>
      </c>
      <c r="G46" s="301">
        <v>106.5</v>
      </c>
    </row>
    <row r="47" spans="1:7" x14ac:dyDescent="0.25">
      <c r="A47" s="442">
        <v>9</v>
      </c>
      <c r="B47" s="301"/>
      <c r="C47" s="301"/>
      <c r="D47" s="301"/>
      <c r="E47" s="301"/>
      <c r="F47" s="301">
        <v>90</v>
      </c>
      <c r="G47" s="301">
        <v>99.2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83.9</v>
      </c>
      <c r="G48" s="301">
        <v>102.5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28.9</v>
      </c>
      <c r="C53" s="301">
        <v>46.3</v>
      </c>
      <c r="D53" s="301">
        <v>77.7</v>
      </c>
      <c r="E53" s="301">
        <v>41.1</v>
      </c>
      <c r="F53" s="301">
        <v>81.599999999999994</v>
      </c>
      <c r="G53" s="301">
        <v>100.6</v>
      </c>
    </row>
    <row r="54" spans="1:7" x14ac:dyDescent="0.25">
      <c r="A54" s="442">
        <v>2</v>
      </c>
      <c r="B54" s="301">
        <v>20</v>
      </c>
      <c r="C54" s="301">
        <v>47.9</v>
      </c>
      <c r="D54" s="301">
        <v>80.8</v>
      </c>
      <c r="E54" s="301">
        <v>40.4</v>
      </c>
      <c r="F54" s="301">
        <v>89.9</v>
      </c>
      <c r="G54" s="301">
        <v>93.3</v>
      </c>
    </row>
    <row r="55" spans="1:7" x14ac:dyDescent="0.25">
      <c r="A55" s="442">
        <v>3</v>
      </c>
      <c r="B55" s="301">
        <v>10.4</v>
      </c>
      <c r="C55" s="301">
        <v>51.3</v>
      </c>
      <c r="D55" s="301">
        <v>79.3</v>
      </c>
      <c r="E55" s="301">
        <v>57.8</v>
      </c>
      <c r="F55" s="301">
        <v>86.4</v>
      </c>
      <c r="G55" s="301">
        <v>96.7</v>
      </c>
    </row>
    <row r="56" spans="1:7" x14ac:dyDescent="0.25">
      <c r="A56" s="442">
        <v>4</v>
      </c>
      <c r="B56" s="301">
        <v>22</v>
      </c>
      <c r="C56" s="301">
        <v>49.1</v>
      </c>
      <c r="D56" s="301">
        <v>83.6</v>
      </c>
      <c r="E56" s="301">
        <v>32.9</v>
      </c>
      <c r="F56" s="301">
        <v>84.6</v>
      </c>
      <c r="G56" s="301">
        <v>96</v>
      </c>
    </row>
    <row r="57" spans="1:7" x14ac:dyDescent="0.25">
      <c r="A57" s="442">
        <v>5</v>
      </c>
      <c r="B57" s="301"/>
      <c r="C57" s="301">
        <v>49.4</v>
      </c>
      <c r="D57" s="301">
        <v>80.7</v>
      </c>
      <c r="E57" s="301">
        <v>44.7</v>
      </c>
      <c r="F57" s="301">
        <v>85.2</v>
      </c>
      <c r="G57" s="301">
        <v>102.4</v>
      </c>
    </row>
    <row r="58" spans="1:7" x14ac:dyDescent="0.25">
      <c r="A58" s="442">
        <v>6</v>
      </c>
      <c r="B58" s="301"/>
      <c r="C58" s="301"/>
      <c r="D58" s="301"/>
      <c r="E58" s="301"/>
      <c r="F58" s="301">
        <v>83.4</v>
      </c>
      <c r="G58" s="301">
        <v>94</v>
      </c>
    </row>
    <row r="59" spans="1:7" x14ac:dyDescent="0.25">
      <c r="A59" s="442">
        <v>7</v>
      </c>
      <c r="B59" s="301"/>
      <c r="C59" s="301"/>
      <c r="D59" s="301"/>
      <c r="E59" s="301"/>
      <c r="F59" s="301">
        <v>83.2</v>
      </c>
      <c r="G59" s="301">
        <v>95.6</v>
      </c>
    </row>
    <row r="60" spans="1:7" x14ac:dyDescent="0.25">
      <c r="A60" s="442">
        <v>8</v>
      </c>
      <c r="B60" s="301"/>
      <c r="C60" s="301"/>
      <c r="D60" s="301"/>
      <c r="E60" s="301"/>
      <c r="F60" s="301">
        <v>83.5</v>
      </c>
      <c r="G60" s="301">
        <v>103.7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100.3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28.1</v>
      </c>
      <c r="C66" s="301">
        <v>51.6</v>
      </c>
      <c r="D66" s="301">
        <v>80.099999999999994</v>
      </c>
      <c r="E66" s="301">
        <v>33.299999999999997</v>
      </c>
      <c r="F66" s="301">
        <v>82.2</v>
      </c>
      <c r="G66" s="301">
        <v>91.1</v>
      </c>
    </row>
    <row r="67" spans="1:7" x14ac:dyDescent="0.25">
      <c r="A67" s="442">
        <v>2</v>
      </c>
      <c r="B67" s="301">
        <v>29.9</v>
      </c>
      <c r="C67" s="301">
        <v>54.1</v>
      </c>
      <c r="D67" s="301">
        <v>78.8</v>
      </c>
      <c r="E67" s="301">
        <v>54.9</v>
      </c>
      <c r="F67" s="301">
        <v>88.9</v>
      </c>
      <c r="G67" s="301">
        <v>91.7</v>
      </c>
    </row>
    <row r="68" spans="1:7" x14ac:dyDescent="0.25">
      <c r="A68" s="442">
        <v>3</v>
      </c>
      <c r="B68" s="301">
        <v>29.9</v>
      </c>
      <c r="C68" s="301">
        <v>47.9</v>
      </c>
      <c r="D68" s="301">
        <v>84.7</v>
      </c>
      <c r="E68" s="301">
        <v>39.799999999999997</v>
      </c>
      <c r="F68" s="301">
        <v>84</v>
      </c>
      <c r="G68" s="301">
        <v>92.5</v>
      </c>
    </row>
    <row r="69" spans="1:7" x14ac:dyDescent="0.25">
      <c r="A69" s="442">
        <v>4</v>
      </c>
      <c r="B69" s="301"/>
      <c r="C69" s="301"/>
      <c r="D69" s="301">
        <v>83.7</v>
      </c>
      <c r="E69" s="301">
        <v>35.799999999999997</v>
      </c>
      <c r="F69" s="301">
        <v>87.4</v>
      </c>
      <c r="G69" s="301">
        <v>93.6</v>
      </c>
    </row>
    <row r="70" spans="1:7" x14ac:dyDescent="0.25">
      <c r="A70" s="442">
        <v>5</v>
      </c>
      <c r="B70" s="301"/>
      <c r="C70" s="301"/>
      <c r="D70" s="301"/>
      <c r="E70" s="301"/>
      <c r="F70" s="301">
        <v>89.4</v>
      </c>
      <c r="G70" s="301">
        <v>96.1</v>
      </c>
    </row>
    <row r="71" spans="1:7" x14ac:dyDescent="0.25">
      <c r="A71" s="442">
        <v>6</v>
      </c>
      <c r="B71" s="301"/>
      <c r="C71" s="301"/>
      <c r="D71" s="301"/>
      <c r="E71" s="301"/>
      <c r="F71" s="301">
        <v>80.5</v>
      </c>
      <c r="G71" s="301">
        <v>98.2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104.2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27.3</v>
      </c>
      <c r="C76" s="301">
        <v>50.1</v>
      </c>
      <c r="D76" s="301">
        <v>76.8</v>
      </c>
      <c r="E76" s="301">
        <v>58.2</v>
      </c>
      <c r="F76" s="301">
        <v>82.1</v>
      </c>
      <c r="G76" s="301">
        <v>103.3</v>
      </c>
    </row>
    <row r="77" spans="1:7" x14ac:dyDescent="0.25">
      <c r="A77" s="442">
        <v>2</v>
      </c>
      <c r="B77" s="301">
        <v>27</v>
      </c>
      <c r="C77" s="301">
        <v>53.6</v>
      </c>
      <c r="D77" s="301">
        <v>77.5</v>
      </c>
      <c r="E77" s="301">
        <v>48.7</v>
      </c>
      <c r="F77" s="301">
        <v>85.4</v>
      </c>
      <c r="G77" s="301">
        <v>98</v>
      </c>
    </row>
    <row r="78" spans="1:7" x14ac:dyDescent="0.25">
      <c r="A78" s="442">
        <v>3</v>
      </c>
      <c r="B78" s="301"/>
      <c r="C78" s="301"/>
      <c r="D78" s="301"/>
      <c r="E78" s="301">
        <v>40.799999999999997</v>
      </c>
      <c r="F78" s="301">
        <v>80.5</v>
      </c>
      <c r="G78" s="301">
        <v>97.4</v>
      </c>
    </row>
    <row r="79" spans="1:7" x14ac:dyDescent="0.25">
      <c r="A79" s="442">
        <v>4</v>
      </c>
      <c r="B79" s="301"/>
      <c r="C79" s="301"/>
      <c r="D79" s="301"/>
      <c r="E79" s="301"/>
      <c r="F79" s="301">
        <v>80.2</v>
      </c>
      <c r="G79" s="301">
        <v>106.4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28.3</v>
      </c>
      <c r="C83" s="301">
        <v>45.1</v>
      </c>
      <c r="D83" s="301">
        <v>81.599999999999994</v>
      </c>
      <c r="E83" s="301">
        <v>41.9</v>
      </c>
      <c r="F83" s="301">
        <v>84.7</v>
      </c>
      <c r="G83" s="301">
        <v>94.9</v>
      </c>
    </row>
    <row r="84" spans="1:7" x14ac:dyDescent="0.25">
      <c r="A84" s="442">
        <v>2</v>
      </c>
      <c r="B84" s="301">
        <v>16.100000000000001</v>
      </c>
      <c r="C84" s="301">
        <v>47.1</v>
      </c>
      <c r="D84" s="301">
        <v>83.7</v>
      </c>
      <c r="E84" s="301">
        <v>26.2</v>
      </c>
      <c r="F84" s="301">
        <v>80.2</v>
      </c>
      <c r="G84" s="301">
        <v>110.6</v>
      </c>
    </row>
    <row r="85" spans="1:7" x14ac:dyDescent="0.25">
      <c r="A85" s="442">
        <v>3</v>
      </c>
      <c r="B85" s="301">
        <v>15.9</v>
      </c>
      <c r="C85" s="301">
        <v>46.1</v>
      </c>
      <c r="D85" s="301">
        <v>83.8</v>
      </c>
      <c r="E85" s="301">
        <v>40.6</v>
      </c>
      <c r="F85" s="301">
        <v>88.1</v>
      </c>
      <c r="G85" s="301">
        <v>107.4</v>
      </c>
    </row>
    <row r="86" spans="1:7" x14ac:dyDescent="0.25">
      <c r="A86" s="442">
        <v>4</v>
      </c>
      <c r="B86" s="301"/>
      <c r="C86" s="301"/>
      <c r="D86" s="301"/>
      <c r="E86" s="301">
        <v>38.299999999999997</v>
      </c>
      <c r="F86" s="301">
        <v>82.4</v>
      </c>
      <c r="G86" s="301">
        <v>92.2</v>
      </c>
    </row>
    <row r="87" spans="1:7" x14ac:dyDescent="0.25">
      <c r="A87" s="442">
        <v>5</v>
      </c>
      <c r="B87" s="301"/>
      <c r="C87" s="301"/>
      <c r="D87" s="301"/>
      <c r="E87" s="301"/>
      <c r="F87" s="301">
        <v>80</v>
      </c>
      <c r="G87" s="301">
        <v>97.7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108.8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15.4</v>
      </c>
      <c r="C93" s="301">
        <v>53.1</v>
      </c>
      <c r="D93" s="301">
        <v>80.400000000000006</v>
      </c>
      <c r="E93" s="301">
        <v>33.799999999999997</v>
      </c>
      <c r="F93" s="301">
        <v>81.400000000000006</v>
      </c>
      <c r="G93" s="301">
        <v>92.1</v>
      </c>
    </row>
    <row r="94" spans="1:7" x14ac:dyDescent="0.25">
      <c r="A94" s="442">
        <v>2</v>
      </c>
      <c r="B94" s="301">
        <v>13.9</v>
      </c>
      <c r="C94" s="301">
        <v>54.5</v>
      </c>
      <c r="D94" s="301">
        <v>83.1</v>
      </c>
      <c r="E94" s="301">
        <v>30.8</v>
      </c>
      <c r="F94" s="301">
        <v>84.8</v>
      </c>
      <c r="G94" s="301">
        <v>98.6</v>
      </c>
    </row>
    <row r="95" spans="1:7" x14ac:dyDescent="0.25">
      <c r="A95" s="442">
        <v>3</v>
      </c>
      <c r="B95" s="301"/>
      <c r="C95" s="301"/>
      <c r="D95" s="301"/>
      <c r="E95" s="301">
        <v>33.700000000000003</v>
      </c>
      <c r="F95" s="301">
        <v>80.400000000000006</v>
      </c>
      <c r="G95" s="301">
        <v>106.9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104.7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24.4</v>
      </c>
      <c r="C100" s="301">
        <v>46.1</v>
      </c>
      <c r="D100" s="301">
        <v>81.8</v>
      </c>
      <c r="E100" s="301">
        <v>37.6</v>
      </c>
      <c r="F100" s="301">
        <v>88.9</v>
      </c>
      <c r="G100" s="301">
        <v>93.2</v>
      </c>
    </row>
    <row r="101" spans="1:7" x14ac:dyDescent="0.25">
      <c r="A101" s="442">
        <v>2</v>
      </c>
      <c r="B101" s="301">
        <v>15.9</v>
      </c>
      <c r="C101" s="301">
        <v>46.2</v>
      </c>
      <c r="D101" s="301">
        <v>77.900000000000006</v>
      </c>
      <c r="E101" s="301">
        <v>41.2</v>
      </c>
      <c r="F101" s="301">
        <v>82.6</v>
      </c>
      <c r="G101" s="301">
        <v>100.4</v>
      </c>
    </row>
    <row r="102" spans="1:7" x14ac:dyDescent="0.25">
      <c r="A102" s="442">
        <v>3</v>
      </c>
      <c r="B102" s="301">
        <v>21.4</v>
      </c>
      <c r="C102" s="301">
        <v>51.1</v>
      </c>
      <c r="D102" s="301">
        <v>80.400000000000006</v>
      </c>
      <c r="E102" s="301">
        <v>42.8</v>
      </c>
      <c r="F102" s="301">
        <v>85.2</v>
      </c>
      <c r="G102" s="301">
        <v>90.5</v>
      </c>
    </row>
    <row r="103" spans="1:7" x14ac:dyDescent="0.25">
      <c r="A103" s="442">
        <v>4</v>
      </c>
      <c r="B103" s="301">
        <v>19.7</v>
      </c>
      <c r="C103" s="301">
        <v>48.4</v>
      </c>
      <c r="D103" s="301">
        <v>79.5</v>
      </c>
      <c r="E103" s="301">
        <v>58.3</v>
      </c>
      <c r="F103" s="301">
        <v>86.8</v>
      </c>
      <c r="G103" s="301">
        <v>99.6</v>
      </c>
    </row>
    <row r="104" spans="1:7" x14ac:dyDescent="0.25">
      <c r="A104" s="442">
        <v>5</v>
      </c>
      <c r="B104" s="301">
        <v>18.899999999999999</v>
      </c>
      <c r="C104" s="301">
        <v>52.4</v>
      </c>
      <c r="D104" s="301">
        <v>79.8</v>
      </c>
      <c r="E104" s="301">
        <v>54.5</v>
      </c>
      <c r="F104" s="301">
        <v>88.6</v>
      </c>
      <c r="G104" s="301">
        <v>107.1</v>
      </c>
    </row>
    <row r="105" spans="1:7" x14ac:dyDescent="0.25">
      <c r="A105" s="442">
        <v>6</v>
      </c>
      <c r="B105" s="301">
        <v>20.3</v>
      </c>
      <c r="C105" s="301">
        <v>53.5</v>
      </c>
      <c r="D105" s="301">
        <v>82.2</v>
      </c>
      <c r="E105" s="301">
        <v>37.799999999999997</v>
      </c>
      <c r="F105" s="301">
        <v>88.2</v>
      </c>
      <c r="G105" s="301">
        <v>91.9</v>
      </c>
    </row>
    <row r="106" spans="1:7" x14ac:dyDescent="0.25">
      <c r="A106" s="442">
        <v>7</v>
      </c>
      <c r="B106" s="301">
        <v>18.5</v>
      </c>
      <c r="C106" s="301">
        <v>49</v>
      </c>
      <c r="D106" s="301">
        <v>83.6</v>
      </c>
      <c r="E106" s="301">
        <v>29.2</v>
      </c>
      <c r="F106" s="301">
        <v>84.8</v>
      </c>
      <c r="G106" s="301">
        <v>94</v>
      </c>
    </row>
    <row r="107" spans="1:7" x14ac:dyDescent="0.25">
      <c r="A107" s="442">
        <v>8</v>
      </c>
      <c r="B107" s="301">
        <v>19.8</v>
      </c>
      <c r="C107" s="301">
        <v>54.3</v>
      </c>
      <c r="D107" s="301">
        <v>77.5</v>
      </c>
      <c r="E107" s="301">
        <v>48</v>
      </c>
      <c r="F107" s="301">
        <v>81.400000000000006</v>
      </c>
      <c r="G107" s="301">
        <v>95.9</v>
      </c>
    </row>
    <row r="108" spans="1:7" x14ac:dyDescent="0.25">
      <c r="A108" s="442">
        <v>9</v>
      </c>
      <c r="B108" s="301">
        <v>24.1</v>
      </c>
      <c r="C108" s="301">
        <v>53</v>
      </c>
      <c r="D108" s="301">
        <v>80.099999999999994</v>
      </c>
      <c r="E108" s="301">
        <v>36.200000000000003</v>
      </c>
      <c r="F108" s="301">
        <v>85.1</v>
      </c>
      <c r="G108" s="301">
        <v>97</v>
      </c>
    </row>
    <row r="109" spans="1:7" x14ac:dyDescent="0.25">
      <c r="A109" s="442">
        <v>10</v>
      </c>
      <c r="B109" s="301">
        <v>22.9</v>
      </c>
      <c r="C109" s="301">
        <v>45.2</v>
      </c>
      <c r="D109" s="301">
        <v>84.2</v>
      </c>
      <c r="E109" s="301">
        <v>27.3</v>
      </c>
      <c r="F109" s="301">
        <v>85.5</v>
      </c>
      <c r="G109" s="301">
        <v>91.2</v>
      </c>
    </row>
    <row r="110" spans="1:7" x14ac:dyDescent="0.25">
      <c r="A110" s="442">
        <v>11</v>
      </c>
      <c r="B110" s="301"/>
      <c r="C110" s="301">
        <v>50.2</v>
      </c>
      <c r="D110" s="301">
        <v>78.7</v>
      </c>
      <c r="E110" s="301">
        <v>30.7</v>
      </c>
      <c r="F110" s="301">
        <v>80.599999999999994</v>
      </c>
      <c r="G110" s="301">
        <v>108</v>
      </c>
    </row>
    <row r="111" spans="1:7" x14ac:dyDescent="0.25">
      <c r="A111" s="442">
        <v>12</v>
      </c>
      <c r="B111" s="301"/>
      <c r="C111" s="301">
        <v>46.1</v>
      </c>
      <c r="D111" s="301"/>
      <c r="E111" s="301">
        <v>28.2</v>
      </c>
      <c r="F111" s="301">
        <v>84.1</v>
      </c>
      <c r="G111" s="301">
        <v>102.4</v>
      </c>
    </row>
    <row r="112" spans="1:7" x14ac:dyDescent="0.25">
      <c r="A112" s="442">
        <v>13</v>
      </c>
      <c r="B112" s="301"/>
      <c r="C112" s="301">
        <v>46.5</v>
      </c>
      <c r="D112" s="301"/>
      <c r="E112" s="301">
        <v>36.200000000000003</v>
      </c>
      <c r="F112" s="301">
        <v>86.4</v>
      </c>
      <c r="G112" s="301">
        <v>90.8</v>
      </c>
    </row>
    <row r="113" spans="1:7" x14ac:dyDescent="0.25">
      <c r="A113" s="442">
        <v>14</v>
      </c>
      <c r="B113" s="301"/>
      <c r="C113" s="301"/>
      <c r="D113" s="301"/>
      <c r="E113" s="301">
        <v>34.1</v>
      </c>
      <c r="F113" s="301">
        <v>89.3</v>
      </c>
      <c r="G113" s="301">
        <v>101.2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86.8</v>
      </c>
      <c r="G114" s="301">
        <v>105.8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83.1</v>
      </c>
      <c r="G115" s="301">
        <v>91.9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85.4</v>
      </c>
      <c r="G116" s="301">
        <v>109.4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88.7</v>
      </c>
      <c r="G117" s="301">
        <v>93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82.1</v>
      </c>
      <c r="G118" s="301">
        <v>103.7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87.2</v>
      </c>
      <c r="G119" s="301">
        <v>102.8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84.7</v>
      </c>
      <c r="G120" s="301">
        <v>94.7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83.7</v>
      </c>
      <c r="G121" s="301">
        <v>93.5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24.4</v>
      </c>
      <c r="C125" s="301">
        <v>48.2</v>
      </c>
      <c r="D125" s="301">
        <v>81.099999999999994</v>
      </c>
      <c r="E125" s="301">
        <v>32</v>
      </c>
      <c r="F125" s="301">
        <v>87.6</v>
      </c>
      <c r="G125" s="301">
        <v>96.8</v>
      </c>
    </row>
    <row r="126" spans="1:7" x14ac:dyDescent="0.25">
      <c r="A126" s="442">
        <v>2</v>
      </c>
      <c r="B126" s="301">
        <v>16.5</v>
      </c>
      <c r="C126" s="301">
        <v>54.7</v>
      </c>
      <c r="D126" s="301">
        <v>77.3</v>
      </c>
      <c r="E126" s="301">
        <v>53.9</v>
      </c>
      <c r="F126" s="301">
        <v>80.7</v>
      </c>
      <c r="G126" s="301">
        <v>99</v>
      </c>
    </row>
    <row r="127" spans="1:7" x14ac:dyDescent="0.25">
      <c r="A127" s="442">
        <v>3</v>
      </c>
      <c r="B127" s="301">
        <v>29.3</v>
      </c>
      <c r="C127" s="301">
        <v>54.8</v>
      </c>
      <c r="D127" s="301">
        <v>82.5</v>
      </c>
      <c r="E127" s="301">
        <v>54.9</v>
      </c>
      <c r="F127" s="301">
        <v>88.5</v>
      </c>
      <c r="G127" s="301">
        <v>99</v>
      </c>
    </row>
    <row r="128" spans="1:7" x14ac:dyDescent="0.25">
      <c r="A128" s="442">
        <v>4</v>
      </c>
      <c r="B128" s="301">
        <v>21.7</v>
      </c>
      <c r="C128" s="301">
        <v>50.7</v>
      </c>
      <c r="D128" s="301">
        <v>84.6</v>
      </c>
      <c r="E128" s="301">
        <v>56.5</v>
      </c>
      <c r="F128" s="301">
        <v>82</v>
      </c>
      <c r="G128" s="301">
        <v>98.8</v>
      </c>
    </row>
    <row r="129" spans="1:7" x14ac:dyDescent="0.25">
      <c r="A129" s="442">
        <v>5</v>
      </c>
      <c r="B129" s="301">
        <v>23.7</v>
      </c>
      <c r="C129" s="301">
        <v>53.8</v>
      </c>
      <c r="D129" s="301">
        <v>75</v>
      </c>
      <c r="E129" s="301">
        <v>57.6</v>
      </c>
      <c r="F129" s="301">
        <v>86.1</v>
      </c>
      <c r="G129" s="301">
        <v>98.4</v>
      </c>
    </row>
    <row r="130" spans="1:7" x14ac:dyDescent="0.25">
      <c r="A130" s="442">
        <v>6</v>
      </c>
      <c r="B130" s="301">
        <v>17.399999999999999</v>
      </c>
      <c r="C130" s="301">
        <v>50.9</v>
      </c>
      <c r="D130" s="301">
        <v>78.400000000000006</v>
      </c>
      <c r="E130" s="301">
        <v>30.2</v>
      </c>
      <c r="F130" s="301">
        <v>88.9</v>
      </c>
      <c r="G130" s="301">
        <v>98.8</v>
      </c>
    </row>
    <row r="131" spans="1:7" x14ac:dyDescent="0.25">
      <c r="A131" s="442">
        <v>7</v>
      </c>
      <c r="B131" s="301">
        <v>24.2</v>
      </c>
      <c r="C131" s="301">
        <v>47.3</v>
      </c>
      <c r="D131" s="301">
        <v>81.5</v>
      </c>
      <c r="E131" s="301">
        <v>34.1</v>
      </c>
      <c r="F131" s="301">
        <v>83.2</v>
      </c>
      <c r="G131" s="301">
        <v>102.2</v>
      </c>
    </row>
    <row r="132" spans="1:7" x14ac:dyDescent="0.25">
      <c r="A132" s="442">
        <v>8</v>
      </c>
      <c r="B132" s="301">
        <v>23.2</v>
      </c>
      <c r="C132" s="301">
        <v>46.1</v>
      </c>
      <c r="D132" s="301">
        <v>75.900000000000006</v>
      </c>
      <c r="E132" s="301">
        <v>46.8</v>
      </c>
      <c r="F132" s="301">
        <v>87.2</v>
      </c>
      <c r="G132" s="301">
        <v>110.7</v>
      </c>
    </row>
    <row r="133" spans="1:7" x14ac:dyDescent="0.25">
      <c r="A133" s="442">
        <v>9</v>
      </c>
      <c r="B133" s="301">
        <v>26.6</v>
      </c>
      <c r="C133" s="301">
        <v>53.6</v>
      </c>
      <c r="D133" s="301">
        <v>77.900000000000006</v>
      </c>
      <c r="E133" s="301">
        <v>44.7</v>
      </c>
      <c r="F133" s="301">
        <v>83.3</v>
      </c>
      <c r="G133" s="301">
        <v>94.6</v>
      </c>
    </row>
    <row r="134" spans="1:7" x14ac:dyDescent="0.25">
      <c r="A134" s="442">
        <v>10</v>
      </c>
      <c r="B134" s="301">
        <v>11.8</v>
      </c>
      <c r="C134" s="301">
        <v>54.8</v>
      </c>
      <c r="D134" s="301">
        <v>80</v>
      </c>
      <c r="E134" s="301">
        <v>51.6</v>
      </c>
      <c r="F134" s="301">
        <v>83.6</v>
      </c>
      <c r="G134" s="301">
        <v>95.5</v>
      </c>
    </row>
    <row r="135" spans="1:7" x14ac:dyDescent="0.25">
      <c r="A135" s="442">
        <v>11</v>
      </c>
      <c r="B135" s="301"/>
      <c r="C135" s="301">
        <v>54.5</v>
      </c>
      <c r="D135" s="301">
        <v>75.3</v>
      </c>
      <c r="E135" s="301">
        <v>47.3</v>
      </c>
      <c r="F135" s="301">
        <v>89.3</v>
      </c>
      <c r="G135" s="301">
        <v>92</v>
      </c>
    </row>
    <row r="136" spans="1:7" x14ac:dyDescent="0.25">
      <c r="A136" s="442">
        <v>12</v>
      </c>
      <c r="B136" s="301"/>
      <c r="C136" s="301">
        <v>52.7</v>
      </c>
      <c r="D136" s="301">
        <v>76.400000000000006</v>
      </c>
      <c r="E136" s="301">
        <v>55.4</v>
      </c>
      <c r="F136" s="301">
        <v>84.4</v>
      </c>
      <c r="G136" s="301">
        <v>98.3</v>
      </c>
    </row>
    <row r="137" spans="1:7" x14ac:dyDescent="0.25">
      <c r="A137" s="442">
        <v>13</v>
      </c>
      <c r="B137" s="301"/>
      <c r="C137" s="301"/>
      <c r="D137" s="301"/>
      <c r="E137" s="301">
        <v>34.700000000000003</v>
      </c>
      <c r="F137" s="301">
        <v>88.4</v>
      </c>
      <c r="G137" s="301">
        <v>106.9</v>
      </c>
    </row>
    <row r="138" spans="1:7" x14ac:dyDescent="0.25">
      <c r="A138" s="442">
        <v>14</v>
      </c>
      <c r="B138" s="301"/>
      <c r="C138" s="301"/>
      <c r="D138" s="301"/>
      <c r="E138" s="301">
        <v>52</v>
      </c>
      <c r="F138" s="301">
        <v>88.9</v>
      </c>
      <c r="G138" s="301">
        <v>96.8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80.900000000000006</v>
      </c>
      <c r="G139" s="301">
        <v>105.6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83.7</v>
      </c>
      <c r="G140" s="301">
        <v>101.9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86.6</v>
      </c>
      <c r="G141" s="301">
        <v>99.2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81.2</v>
      </c>
      <c r="G142" s="301">
        <v>90.9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88.9</v>
      </c>
      <c r="G143" s="301">
        <v>105.2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91.7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97.8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108.6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109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ROUNDDOWN(AVERAGE(B6:D20),1)</f>
        <v>50.7</v>
      </c>
      <c r="C151" s="301">
        <f>ROUNDDOWN(AVERAGE(E6:G34),1)</f>
        <v>82.9</v>
      </c>
      <c r="D151" s="353">
        <v>28044</v>
      </c>
      <c r="E151" s="362">
        <v>46835</v>
      </c>
      <c r="F151" s="353">
        <f>B151*D151</f>
        <v>1421830.8</v>
      </c>
      <c r="G151" s="353">
        <f>C151*E151</f>
        <v>3882621.5000000005</v>
      </c>
    </row>
    <row r="152" spans="1:7" x14ac:dyDescent="0.25">
      <c r="A152" s="298" t="s">
        <v>370</v>
      </c>
      <c r="B152" s="301">
        <f>ROUNDDOWN(AVERAGE(B39:D44),1)</f>
        <v>48.9</v>
      </c>
      <c r="C152" s="301">
        <f>ROUNDDOWN(AVERAGE(E39:G48),1)</f>
        <v>81.5</v>
      </c>
      <c r="D152" s="353">
        <v>10608</v>
      </c>
      <c r="E152" s="362">
        <v>17239</v>
      </c>
      <c r="F152" s="353">
        <f t="shared" ref="F152:G159" si="0">B152*D152</f>
        <v>518731.2</v>
      </c>
      <c r="G152" s="353">
        <f t="shared" si="0"/>
        <v>1404978.5</v>
      </c>
    </row>
    <row r="153" spans="1:7" x14ac:dyDescent="0.25">
      <c r="A153" s="298" t="s">
        <v>371</v>
      </c>
      <c r="B153" s="301">
        <f>ROUNDDOWN(AVERAGE(B53:D57),1)</f>
        <v>51.9</v>
      </c>
      <c r="C153" s="301">
        <f>ROUNDDOWN(AVERAGE(E53:G61),1)</f>
        <v>80.7</v>
      </c>
      <c r="D153" s="353">
        <v>8465</v>
      </c>
      <c r="E153" s="362">
        <v>14907</v>
      </c>
      <c r="F153" s="353">
        <f t="shared" si="0"/>
        <v>439333.5</v>
      </c>
      <c r="G153" s="353">
        <f t="shared" si="0"/>
        <v>1202994.9000000001</v>
      </c>
    </row>
    <row r="154" spans="1:7" x14ac:dyDescent="0.25">
      <c r="A154" s="298" t="s">
        <v>372</v>
      </c>
      <c r="B154" s="301">
        <f>ROUNDDOWN(AVERAGE(B66:D69),1)</f>
        <v>56.8</v>
      </c>
      <c r="C154" s="301">
        <f>ROUNDDOWN(AVERAGE(E66:G72),1)</f>
        <v>79</v>
      </c>
      <c r="D154" s="353">
        <v>6339</v>
      </c>
      <c r="E154" s="362">
        <v>10524</v>
      </c>
      <c r="F154" s="353">
        <f t="shared" si="0"/>
        <v>360055.19999999995</v>
      </c>
      <c r="G154" s="353">
        <f t="shared" si="0"/>
        <v>831396</v>
      </c>
    </row>
    <row r="155" spans="1:7" x14ac:dyDescent="0.25">
      <c r="A155" s="298" t="s">
        <v>373</v>
      </c>
      <c r="B155" s="301">
        <f>ROUNDDOWN(AVERAGE(B76:D79),1)</f>
        <v>52</v>
      </c>
      <c r="C155" s="301">
        <f>ROUNDDOWN(AVERAGE(E76:G79),1)</f>
        <v>80</v>
      </c>
      <c r="D155" s="353">
        <v>3699</v>
      </c>
      <c r="E155" s="362">
        <v>6513</v>
      </c>
      <c r="F155" s="353">
        <f t="shared" si="0"/>
        <v>192348</v>
      </c>
      <c r="G155" s="353">
        <f t="shared" si="0"/>
        <v>521040</v>
      </c>
    </row>
    <row r="156" spans="1:7" x14ac:dyDescent="0.25">
      <c r="A156" s="298" t="s">
        <v>374</v>
      </c>
      <c r="B156" s="301">
        <f>ROUNDDOWN(AVERAGE(B83:D85),1)</f>
        <v>49.7</v>
      </c>
      <c r="C156" s="301">
        <f>ROUNDDOWN(AVERAGE(E83:G88),1)</f>
        <v>78.2</v>
      </c>
      <c r="D156" s="353">
        <v>5340</v>
      </c>
      <c r="E156" s="362">
        <v>9318</v>
      </c>
      <c r="F156" s="353">
        <f t="shared" si="0"/>
        <v>265398</v>
      </c>
      <c r="G156" s="353">
        <f t="shared" si="0"/>
        <v>728667.6</v>
      </c>
    </row>
    <row r="157" spans="1:7" x14ac:dyDescent="0.25">
      <c r="A157" s="298" t="s">
        <v>375</v>
      </c>
      <c r="B157" s="301">
        <f>ROUNDDOWN(AVERAGE(B93:D94),1)</f>
        <v>50</v>
      </c>
      <c r="C157" s="301">
        <f>ROUNDDOWN(AVERAGE(E93:G96),1)</f>
        <v>74.7</v>
      </c>
      <c r="D157" s="353">
        <v>3613</v>
      </c>
      <c r="E157" s="362">
        <v>5818</v>
      </c>
      <c r="F157" s="353">
        <f t="shared" si="0"/>
        <v>180650</v>
      </c>
      <c r="G157" s="353">
        <f t="shared" si="0"/>
        <v>434604.60000000003</v>
      </c>
    </row>
    <row r="158" spans="1:7" x14ac:dyDescent="0.25">
      <c r="A158" s="298" t="s">
        <v>365</v>
      </c>
      <c r="B158" s="301">
        <f>ROUNDDOWN(AVERAGE(B100:D112),1)</f>
        <v>50.9</v>
      </c>
      <c r="C158" s="301">
        <f>ROUNDDOWN(AVERAGE(E100:G121),1)</f>
        <v>78.900000000000006</v>
      </c>
      <c r="D158" s="353">
        <v>23194</v>
      </c>
      <c r="E158" s="362">
        <v>40341</v>
      </c>
      <c r="F158" s="353">
        <f t="shared" si="0"/>
        <v>1180574.5999999999</v>
      </c>
      <c r="G158" s="353">
        <f t="shared" si="0"/>
        <v>3182904.9000000004</v>
      </c>
    </row>
    <row r="159" spans="1:7" x14ac:dyDescent="0.25">
      <c r="A159" s="298" t="s">
        <v>366</v>
      </c>
      <c r="B159" s="301">
        <f>ROUNDDOWN(AVERAGE(B125:D136),1)</f>
        <v>52.5</v>
      </c>
      <c r="C159" s="301">
        <f>ROUNDDOWN(AVERAGE(E125:G147),1)</f>
        <v>81.599999999999994</v>
      </c>
      <c r="D159" s="353">
        <v>22794</v>
      </c>
      <c r="E159" s="362">
        <v>40554</v>
      </c>
      <c r="F159" s="353">
        <f t="shared" si="0"/>
        <v>1196685</v>
      </c>
      <c r="G159" s="353">
        <f t="shared" si="0"/>
        <v>3309206.4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192049</v>
      </c>
      <c r="F160" s="353">
        <f>SUM(F151:F159)</f>
        <v>5755606.2999999998</v>
      </c>
      <c r="G160" s="353">
        <f>SUM(G151:G159)</f>
        <v>15498414.4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51.3</v>
      </c>
      <c r="D165" s="280">
        <f>ROUNDDOWN(G160/E160,1)</f>
        <v>80.7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E69A-AC45-4296-9497-3123019E6F8B}">
  <dimension ref="A1:G165"/>
  <sheetViews>
    <sheetView zoomScale="110" zoomScaleNormal="110" workbookViewId="0">
      <selection activeCell="G20" sqref="G20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407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24.6</v>
      </c>
      <c r="C6" s="301">
        <v>46.5</v>
      </c>
      <c r="D6" s="301">
        <v>82.4</v>
      </c>
      <c r="E6" s="301">
        <v>28.7</v>
      </c>
      <c r="F6" s="301">
        <v>83.2</v>
      </c>
      <c r="G6" s="301">
        <v>109</v>
      </c>
    </row>
    <row r="7" spans="1:7" x14ac:dyDescent="0.25">
      <c r="A7" s="442">
        <v>2</v>
      </c>
      <c r="B7" s="301">
        <v>11</v>
      </c>
      <c r="C7" s="301">
        <v>48.3</v>
      </c>
      <c r="D7" s="301">
        <v>80.599999999999994</v>
      </c>
      <c r="E7" s="301">
        <v>47.6</v>
      </c>
      <c r="F7" s="301">
        <v>85.6</v>
      </c>
      <c r="G7" s="301">
        <v>90.4</v>
      </c>
    </row>
    <row r="8" spans="1:7" x14ac:dyDescent="0.25">
      <c r="A8" s="442">
        <v>3</v>
      </c>
      <c r="B8" s="301">
        <v>22.2</v>
      </c>
      <c r="C8" s="301">
        <v>47.9</v>
      </c>
      <c r="D8" s="301">
        <v>83.1</v>
      </c>
      <c r="E8" s="301">
        <v>39.299999999999997</v>
      </c>
      <c r="F8" s="301">
        <v>83.5</v>
      </c>
      <c r="G8" s="301">
        <v>108.5</v>
      </c>
    </row>
    <row r="9" spans="1:7" x14ac:dyDescent="0.25">
      <c r="A9" s="442">
        <v>4</v>
      </c>
      <c r="B9" s="301">
        <v>20.3</v>
      </c>
      <c r="C9" s="301">
        <v>48</v>
      </c>
      <c r="D9" s="301">
        <v>79.599999999999994</v>
      </c>
      <c r="E9" s="301">
        <v>30.2</v>
      </c>
      <c r="F9" s="301">
        <v>89.7</v>
      </c>
      <c r="G9" s="301">
        <v>101.8</v>
      </c>
    </row>
    <row r="10" spans="1:7" x14ac:dyDescent="0.25">
      <c r="A10" s="442">
        <v>5</v>
      </c>
      <c r="B10" s="301">
        <v>25.5</v>
      </c>
      <c r="C10" s="301">
        <v>52.8</v>
      </c>
      <c r="D10" s="301">
        <v>84.3</v>
      </c>
      <c r="E10" s="301">
        <v>35</v>
      </c>
      <c r="F10" s="301">
        <v>83</v>
      </c>
      <c r="G10" s="301">
        <v>99.1</v>
      </c>
    </row>
    <row r="11" spans="1:7" x14ac:dyDescent="0.25">
      <c r="A11" s="442">
        <v>6</v>
      </c>
      <c r="B11" s="301">
        <v>10.5</v>
      </c>
      <c r="C11" s="301">
        <v>54.4</v>
      </c>
      <c r="D11" s="301">
        <v>82.1</v>
      </c>
      <c r="E11" s="301">
        <v>27.6</v>
      </c>
      <c r="F11" s="301">
        <v>85.7</v>
      </c>
      <c r="G11" s="301">
        <v>91.4</v>
      </c>
    </row>
    <row r="12" spans="1:7" x14ac:dyDescent="0.25">
      <c r="A12" s="442">
        <v>7</v>
      </c>
      <c r="B12" s="301">
        <v>14.6</v>
      </c>
      <c r="C12" s="301">
        <v>50.8</v>
      </c>
      <c r="D12" s="301">
        <v>83.3</v>
      </c>
      <c r="E12" s="301">
        <v>56.7</v>
      </c>
      <c r="F12" s="301">
        <v>88.2</v>
      </c>
      <c r="G12" s="301">
        <v>92.7</v>
      </c>
    </row>
    <row r="13" spans="1:7" x14ac:dyDescent="0.25">
      <c r="A13" s="442">
        <v>8</v>
      </c>
      <c r="B13" s="301">
        <v>19.600000000000001</v>
      </c>
      <c r="C13" s="301">
        <v>46.2</v>
      </c>
      <c r="D13" s="301">
        <v>80.099999999999994</v>
      </c>
      <c r="E13" s="301">
        <v>32.700000000000003</v>
      </c>
      <c r="F13" s="301">
        <v>81.400000000000006</v>
      </c>
      <c r="G13" s="301">
        <v>109.9</v>
      </c>
    </row>
    <row r="14" spans="1:7" x14ac:dyDescent="0.25">
      <c r="A14" s="442">
        <v>9</v>
      </c>
      <c r="B14" s="301">
        <v>22.4</v>
      </c>
      <c r="C14" s="301">
        <v>47</v>
      </c>
      <c r="D14" s="301">
        <v>75.3</v>
      </c>
      <c r="E14" s="301">
        <v>54.5</v>
      </c>
      <c r="F14" s="301">
        <v>88.2</v>
      </c>
      <c r="G14" s="301">
        <v>97.5</v>
      </c>
    </row>
    <row r="15" spans="1:7" x14ac:dyDescent="0.25">
      <c r="A15" s="442">
        <v>10</v>
      </c>
      <c r="B15" s="301">
        <v>18</v>
      </c>
      <c r="C15" s="301">
        <v>50.3</v>
      </c>
      <c r="D15" s="301">
        <v>80.8</v>
      </c>
      <c r="E15" s="301">
        <v>44.4</v>
      </c>
      <c r="F15" s="301">
        <v>80.7</v>
      </c>
      <c r="G15" s="301">
        <v>101.6</v>
      </c>
    </row>
    <row r="16" spans="1:7" x14ac:dyDescent="0.25">
      <c r="A16" s="442">
        <v>11</v>
      </c>
      <c r="B16" s="301">
        <v>15.7</v>
      </c>
      <c r="C16" s="301">
        <v>54.5</v>
      </c>
      <c r="D16" s="301">
        <v>79</v>
      </c>
      <c r="E16" s="301">
        <v>53.2</v>
      </c>
      <c r="F16" s="301">
        <v>81.099999999999994</v>
      </c>
      <c r="G16" s="301">
        <v>100.2</v>
      </c>
    </row>
    <row r="17" spans="1:7" x14ac:dyDescent="0.25">
      <c r="A17" s="442">
        <v>12</v>
      </c>
      <c r="B17" s="301">
        <v>10.8</v>
      </c>
      <c r="C17" s="301">
        <v>53.6</v>
      </c>
      <c r="D17" s="301">
        <v>83.1</v>
      </c>
      <c r="E17" s="301">
        <v>28.7</v>
      </c>
      <c r="F17" s="301">
        <v>80.5</v>
      </c>
      <c r="G17" s="301">
        <v>93</v>
      </c>
    </row>
    <row r="18" spans="1:7" x14ac:dyDescent="0.25">
      <c r="A18" s="442">
        <v>13</v>
      </c>
      <c r="B18" s="301">
        <v>24.8</v>
      </c>
      <c r="C18" s="301">
        <v>53.7</v>
      </c>
      <c r="D18" s="301">
        <v>75.3</v>
      </c>
      <c r="E18" s="301">
        <v>53</v>
      </c>
      <c r="F18" s="301">
        <v>89.3</v>
      </c>
      <c r="G18" s="301">
        <v>98.8</v>
      </c>
    </row>
    <row r="19" spans="1:7" x14ac:dyDescent="0.25">
      <c r="A19" s="442">
        <v>14</v>
      </c>
      <c r="B19" s="301"/>
      <c r="C19" s="301"/>
      <c r="D19" s="301">
        <v>75.3</v>
      </c>
      <c r="E19" s="301">
        <v>25.2</v>
      </c>
      <c r="F19" s="301">
        <v>83.5</v>
      </c>
      <c r="G19" s="301">
        <v>106</v>
      </c>
    </row>
    <row r="20" spans="1:7" x14ac:dyDescent="0.25">
      <c r="A20" s="442">
        <v>15</v>
      </c>
      <c r="B20" s="301"/>
      <c r="C20" s="301"/>
      <c r="D20" s="301"/>
      <c r="E20" s="301">
        <v>28.8</v>
      </c>
      <c r="F20" s="301">
        <v>86.3</v>
      </c>
      <c r="G20" s="301">
        <v>106.6</v>
      </c>
    </row>
    <row r="21" spans="1:7" x14ac:dyDescent="0.25">
      <c r="A21" s="442">
        <v>16</v>
      </c>
      <c r="B21" s="301"/>
      <c r="C21" s="301"/>
      <c r="D21" s="301"/>
      <c r="E21" s="301">
        <v>41.1</v>
      </c>
      <c r="F21" s="301">
        <v>89.6</v>
      </c>
      <c r="G21" s="301">
        <v>106.3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81.599999999999994</v>
      </c>
      <c r="G22" s="301">
        <v>111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81.5</v>
      </c>
      <c r="G23" s="301">
        <v>108.4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82.4</v>
      </c>
      <c r="G24" s="301">
        <v>104.2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85.4</v>
      </c>
      <c r="G25" s="301">
        <v>107</v>
      </c>
    </row>
    <row r="26" spans="1:7" x14ac:dyDescent="0.25">
      <c r="A26" s="442">
        <v>21</v>
      </c>
      <c r="B26" s="301"/>
      <c r="C26" s="301"/>
      <c r="D26" s="301"/>
      <c r="E26" s="301"/>
      <c r="F26" s="301">
        <v>90</v>
      </c>
      <c r="G26" s="301">
        <v>94.9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80.7</v>
      </c>
      <c r="G27" s="301">
        <v>109.6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84</v>
      </c>
      <c r="G28" s="301">
        <v>108.9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81.599999999999994</v>
      </c>
      <c r="G29" s="301">
        <v>92.3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106.8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106.7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103.5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90.9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90.2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25.2</v>
      </c>
      <c r="C39" s="301">
        <v>47.5</v>
      </c>
      <c r="D39" s="301">
        <v>76.400000000000006</v>
      </c>
      <c r="E39" s="301">
        <v>34.799999999999997</v>
      </c>
      <c r="F39" s="301">
        <v>82.5</v>
      </c>
      <c r="G39" s="301">
        <v>96.3</v>
      </c>
    </row>
    <row r="40" spans="1:7" x14ac:dyDescent="0.25">
      <c r="A40" s="442">
        <v>2</v>
      </c>
      <c r="B40" s="301">
        <v>16.600000000000001</v>
      </c>
      <c r="C40" s="301">
        <v>46.1</v>
      </c>
      <c r="D40" s="301">
        <v>77.7</v>
      </c>
      <c r="E40" s="301">
        <v>43.9</v>
      </c>
      <c r="F40" s="301">
        <v>80.099999999999994</v>
      </c>
      <c r="G40" s="301">
        <v>101.1</v>
      </c>
    </row>
    <row r="41" spans="1:7" x14ac:dyDescent="0.25">
      <c r="A41" s="442">
        <v>3</v>
      </c>
      <c r="B41" s="301">
        <v>15</v>
      </c>
      <c r="C41" s="301">
        <v>48.3</v>
      </c>
      <c r="D41" s="301">
        <v>80.2</v>
      </c>
      <c r="E41" s="301">
        <v>36.9</v>
      </c>
      <c r="F41" s="301">
        <v>80.099999999999994</v>
      </c>
      <c r="G41" s="301">
        <v>105.6</v>
      </c>
    </row>
    <row r="42" spans="1:7" x14ac:dyDescent="0.25">
      <c r="A42" s="442">
        <v>4</v>
      </c>
      <c r="B42" s="301">
        <v>13.9</v>
      </c>
      <c r="C42" s="301">
        <v>52.8</v>
      </c>
      <c r="D42" s="301">
        <v>78.3</v>
      </c>
      <c r="E42" s="301">
        <v>37.700000000000003</v>
      </c>
      <c r="F42" s="301">
        <v>86.4</v>
      </c>
      <c r="G42" s="301">
        <v>106.8</v>
      </c>
    </row>
    <row r="43" spans="1:7" x14ac:dyDescent="0.25">
      <c r="A43" s="442">
        <v>5</v>
      </c>
      <c r="B43" s="301">
        <v>17.3</v>
      </c>
      <c r="C43" s="301">
        <v>52.7</v>
      </c>
      <c r="D43" s="301">
        <v>80.099999999999994</v>
      </c>
      <c r="E43" s="301">
        <v>59.2</v>
      </c>
      <c r="F43" s="301">
        <v>89.5</v>
      </c>
      <c r="G43" s="301">
        <v>109.4</v>
      </c>
    </row>
    <row r="44" spans="1:7" x14ac:dyDescent="0.25">
      <c r="A44" s="442">
        <v>6</v>
      </c>
      <c r="B44" s="301"/>
      <c r="C44" s="301">
        <v>53.6</v>
      </c>
      <c r="D44" s="301"/>
      <c r="E44" s="301">
        <v>25.3</v>
      </c>
      <c r="F44" s="301">
        <v>81.5</v>
      </c>
      <c r="G44" s="301">
        <v>106.9</v>
      </c>
    </row>
    <row r="45" spans="1:7" x14ac:dyDescent="0.25">
      <c r="A45" s="442">
        <v>7</v>
      </c>
      <c r="B45" s="301"/>
      <c r="C45" s="301"/>
      <c r="D45" s="301"/>
      <c r="E45" s="301"/>
      <c r="F45" s="301">
        <v>84.2</v>
      </c>
      <c r="G45" s="301">
        <v>104.4</v>
      </c>
    </row>
    <row r="46" spans="1:7" x14ac:dyDescent="0.25">
      <c r="A46" s="442">
        <v>8</v>
      </c>
      <c r="B46" s="301"/>
      <c r="C46" s="301"/>
      <c r="D46" s="301"/>
      <c r="E46" s="301"/>
      <c r="F46" s="301">
        <v>80.3</v>
      </c>
      <c r="G46" s="301">
        <v>95.3</v>
      </c>
    </row>
    <row r="47" spans="1:7" x14ac:dyDescent="0.25">
      <c r="A47" s="442">
        <v>9</v>
      </c>
      <c r="B47" s="301"/>
      <c r="C47" s="301"/>
      <c r="D47" s="301"/>
      <c r="E47" s="301"/>
      <c r="F47" s="301">
        <v>89.9</v>
      </c>
      <c r="G47" s="301">
        <v>92.1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84.7</v>
      </c>
      <c r="G48" s="301">
        <v>93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12.3</v>
      </c>
      <c r="C53" s="301">
        <v>46.1</v>
      </c>
      <c r="D53" s="301">
        <v>80.599999999999994</v>
      </c>
      <c r="E53" s="301">
        <v>27.6</v>
      </c>
      <c r="F53" s="301">
        <v>84.1</v>
      </c>
      <c r="G53" s="301">
        <v>96.7</v>
      </c>
    </row>
    <row r="54" spans="1:7" x14ac:dyDescent="0.25">
      <c r="A54" s="442">
        <v>2</v>
      </c>
      <c r="B54" s="301">
        <v>27.2</v>
      </c>
      <c r="C54" s="301">
        <v>53.3</v>
      </c>
      <c r="D54" s="301">
        <v>81</v>
      </c>
      <c r="E54" s="301">
        <v>31.6</v>
      </c>
      <c r="F54" s="301">
        <v>85.9</v>
      </c>
      <c r="G54" s="301">
        <v>106.3</v>
      </c>
    </row>
    <row r="55" spans="1:7" x14ac:dyDescent="0.25">
      <c r="A55" s="442">
        <v>3</v>
      </c>
      <c r="B55" s="301">
        <v>30</v>
      </c>
      <c r="C55" s="301">
        <v>45.1</v>
      </c>
      <c r="D55" s="301">
        <v>77.400000000000006</v>
      </c>
      <c r="E55" s="301">
        <v>55.2</v>
      </c>
      <c r="F55" s="301">
        <v>87.3</v>
      </c>
      <c r="G55" s="301">
        <v>97.7</v>
      </c>
    </row>
    <row r="56" spans="1:7" x14ac:dyDescent="0.25">
      <c r="A56" s="442">
        <v>4</v>
      </c>
      <c r="B56" s="301">
        <v>23.1</v>
      </c>
      <c r="C56" s="301">
        <v>48.2</v>
      </c>
      <c r="D56" s="301">
        <v>83.9</v>
      </c>
      <c r="E56" s="301">
        <v>53.2</v>
      </c>
      <c r="F56" s="301">
        <v>81.3</v>
      </c>
      <c r="G56" s="301">
        <v>92.6</v>
      </c>
    </row>
    <row r="57" spans="1:7" x14ac:dyDescent="0.25">
      <c r="A57" s="442">
        <v>5</v>
      </c>
      <c r="B57" s="301"/>
      <c r="C57" s="301">
        <v>54.8</v>
      </c>
      <c r="D57" s="301">
        <v>82.5</v>
      </c>
      <c r="E57" s="301">
        <v>27.6</v>
      </c>
      <c r="F57" s="301">
        <v>87.1</v>
      </c>
      <c r="G57" s="301">
        <v>95.4</v>
      </c>
    </row>
    <row r="58" spans="1:7" x14ac:dyDescent="0.25">
      <c r="A58" s="442">
        <v>6</v>
      </c>
      <c r="B58" s="301"/>
      <c r="C58" s="301"/>
      <c r="D58" s="301"/>
      <c r="E58" s="301"/>
      <c r="F58" s="301">
        <v>87.5</v>
      </c>
      <c r="G58" s="301">
        <v>106.5</v>
      </c>
    </row>
    <row r="59" spans="1:7" x14ac:dyDescent="0.25">
      <c r="A59" s="442">
        <v>7</v>
      </c>
      <c r="B59" s="301"/>
      <c r="C59" s="301"/>
      <c r="D59" s="301"/>
      <c r="E59" s="301"/>
      <c r="F59" s="301">
        <v>88.3</v>
      </c>
      <c r="G59" s="301">
        <v>107.3</v>
      </c>
    </row>
    <row r="60" spans="1:7" x14ac:dyDescent="0.25">
      <c r="A60" s="442">
        <v>8</v>
      </c>
      <c r="B60" s="301"/>
      <c r="C60" s="301"/>
      <c r="D60" s="301"/>
      <c r="E60" s="301"/>
      <c r="F60" s="301">
        <v>87.5</v>
      </c>
      <c r="G60" s="301">
        <v>100.8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92.3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23.7</v>
      </c>
      <c r="C66" s="301">
        <v>54</v>
      </c>
      <c r="D66" s="301">
        <v>77.7</v>
      </c>
      <c r="E66" s="301">
        <v>54.2</v>
      </c>
      <c r="F66" s="301">
        <v>89.8</v>
      </c>
      <c r="G66" s="301">
        <v>96.4</v>
      </c>
    </row>
    <row r="67" spans="1:7" x14ac:dyDescent="0.25">
      <c r="A67" s="442">
        <v>2</v>
      </c>
      <c r="B67" s="301">
        <v>13.3</v>
      </c>
      <c r="C67" s="301">
        <v>53.3</v>
      </c>
      <c r="D67" s="301">
        <v>84.2</v>
      </c>
      <c r="E67" s="301">
        <v>26.7</v>
      </c>
      <c r="F67" s="301">
        <v>81.5</v>
      </c>
      <c r="G67" s="301">
        <v>103.9</v>
      </c>
    </row>
    <row r="68" spans="1:7" x14ac:dyDescent="0.25">
      <c r="A68" s="442">
        <v>3</v>
      </c>
      <c r="B68" s="301">
        <v>23.7</v>
      </c>
      <c r="C68" s="301">
        <v>54.7</v>
      </c>
      <c r="D68" s="301">
        <v>79.099999999999994</v>
      </c>
      <c r="E68" s="301">
        <v>51.8</v>
      </c>
      <c r="F68" s="301">
        <v>82.5</v>
      </c>
      <c r="G68" s="301">
        <v>93.2</v>
      </c>
    </row>
    <row r="69" spans="1:7" x14ac:dyDescent="0.25">
      <c r="A69" s="442">
        <v>4</v>
      </c>
      <c r="B69" s="301"/>
      <c r="C69" s="301"/>
      <c r="D69" s="301">
        <v>76.099999999999994</v>
      </c>
      <c r="E69" s="301">
        <v>60</v>
      </c>
      <c r="F69" s="301">
        <v>89.7</v>
      </c>
      <c r="G69" s="301">
        <v>103.3</v>
      </c>
    </row>
    <row r="70" spans="1:7" x14ac:dyDescent="0.25">
      <c r="A70" s="442">
        <v>5</v>
      </c>
      <c r="B70" s="301"/>
      <c r="C70" s="301"/>
      <c r="D70" s="301"/>
      <c r="E70" s="301"/>
      <c r="F70" s="301">
        <v>80.400000000000006</v>
      </c>
      <c r="G70" s="301">
        <v>91</v>
      </c>
    </row>
    <row r="71" spans="1:7" x14ac:dyDescent="0.25">
      <c r="A71" s="442">
        <v>6</v>
      </c>
      <c r="B71" s="301"/>
      <c r="C71" s="301"/>
      <c r="D71" s="301"/>
      <c r="E71" s="301"/>
      <c r="F71" s="301">
        <v>86</v>
      </c>
      <c r="G71" s="301">
        <v>105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94.7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29.8</v>
      </c>
      <c r="C76" s="301">
        <v>46.3</v>
      </c>
      <c r="D76" s="301">
        <v>84</v>
      </c>
      <c r="E76" s="301">
        <v>41.1</v>
      </c>
      <c r="F76" s="301">
        <v>86</v>
      </c>
      <c r="G76" s="301">
        <v>106.4</v>
      </c>
    </row>
    <row r="77" spans="1:7" x14ac:dyDescent="0.25">
      <c r="A77" s="442">
        <v>2</v>
      </c>
      <c r="B77" s="301">
        <v>26</v>
      </c>
      <c r="C77" s="301">
        <v>46.7</v>
      </c>
      <c r="D77" s="301">
        <v>83.5</v>
      </c>
      <c r="E77" s="301">
        <v>46.7</v>
      </c>
      <c r="F77" s="301">
        <v>83.3</v>
      </c>
      <c r="G77" s="301">
        <v>93.8</v>
      </c>
    </row>
    <row r="78" spans="1:7" x14ac:dyDescent="0.25">
      <c r="A78" s="442">
        <v>3</v>
      </c>
      <c r="B78" s="301"/>
      <c r="C78" s="301"/>
      <c r="D78" s="301"/>
      <c r="E78" s="301">
        <v>35.5</v>
      </c>
      <c r="F78" s="301">
        <v>88.1</v>
      </c>
      <c r="G78" s="301">
        <v>101.2</v>
      </c>
    </row>
    <row r="79" spans="1:7" x14ac:dyDescent="0.25">
      <c r="A79" s="442">
        <v>4</v>
      </c>
      <c r="B79" s="301"/>
      <c r="C79" s="301"/>
      <c r="D79" s="301"/>
      <c r="E79" s="301"/>
      <c r="F79" s="301">
        <v>82.9</v>
      </c>
      <c r="G79" s="301">
        <v>102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27.4</v>
      </c>
      <c r="C83" s="301">
        <v>53.3</v>
      </c>
      <c r="D83" s="301">
        <v>75.400000000000006</v>
      </c>
      <c r="E83" s="301">
        <v>26.4</v>
      </c>
      <c r="F83" s="301">
        <v>87.6</v>
      </c>
      <c r="G83" s="301">
        <v>93.9</v>
      </c>
    </row>
    <row r="84" spans="1:7" x14ac:dyDescent="0.25">
      <c r="A84" s="442">
        <v>2</v>
      </c>
      <c r="B84" s="301">
        <v>11.1</v>
      </c>
      <c r="C84" s="301">
        <v>49.9</v>
      </c>
      <c r="D84" s="301">
        <v>83.1</v>
      </c>
      <c r="E84" s="301">
        <v>41.8</v>
      </c>
      <c r="F84" s="301">
        <v>86.9</v>
      </c>
      <c r="G84" s="301">
        <v>99.2</v>
      </c>
    </row>
    <row r="85" spans="1:7" x14ac:dyDescent="0.25">
      <c r="A85" s="442">
        <v>3</v>
      </c>
      <c r="B85" s="301">
        <v>26.4</v>
      </c>
      <c r="C85" s="301">
        <v>46</v>
      </c>
      <c r="D85" s="301">
        <v>84.2</v>
      </c>
      <c r="E85" s="301">
        <v>56.8</v>
      </c>
      <c r="F85" s="301">
        <v>89.7</v>
      </c>
      <c r="G85" s="301">
        <v>99.7</v>
      </c>
    </row>
    <row r="86" spans="1:7" x14ac:dyDescent="0.25">
      <c r="A86" s="442">
        <v>4</v>
      </c>
      <c r="B86" s="301"/>
      <c r="C86" s="301"/>
      <c r="D86" s="301"/>
      <c r="E86" s="301">
        <v>50.2</v>
      </c>
      <c r="F86" s="301">
        <v>89.7</v>
      </c>
      <c r="G86" s="301">
        <v>99.4</v>
      </c>
    </row>
    <row r="87" spans="1:7" x14ac:dyDescent="0.25">
      <c r="A87" s="442">
        <v>5</v>
      </c>
      <c r="B87" s="301"/>
      <c r="C87" s="301"/>
      <c r="D87" s="301"/>
      <c r="E87" s="301"/>
      <c r="F87" s="301">
        <v>81.400000000000006</v>
      </c>
      <c r="G87" s="301">
        <v>107.1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108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26.2</v>
      </c>
      <c r="C93" s="301">
        <v>53.6</v>
      </c>
      <c r="D93" s="301">
        <v>77.8</v>
      </c>
      <c r="E93" s="301">
        <v>42.4</v>
      </c>
      <c r="F93" s="301">
        <v>85.6</v>
      </c>
      <c r="G93" s="301">
        <v>98.8</v>
      </c>
    </row>
    <row r="94" spans="1:7" x14ac:dyDescent="0.25">
      <c r="A94" s="442">
        <v>2</v>
      </c>
      <c r="B94" s="301">
        <v>28.9</v>
      </c>
      <c r="C94" s="301">
        <v>54.4</v>
      </c>
      <c r="D94" s="301">
        <v>77.2</v>
      </c>
      <c r="E94" s="301">
        <v>40.200000000000003</v>
      </c>
      <c r="F94" s="301">
        <v>88.6</v>
      </c>
      <c r="G94" s="301">
        <v>93</v>
      </c>
    </row>
    <row r="95" spans="1:7" x14ac:dyDescent="0.25">
      <c r="A95" s="442">
        <v>3</v>
      </c>
      <c r="B95" s="301"/>
      <c r="C95" s="301"/>
      <c r="D95" s="301"/>
      <c r="E95" s="301">
        <v>38.5</v>
      </c>
      <c r="F95" s="301">
        <v>84.2</v>
      </c>
      <c r="G95" s="301">
        <v>96.3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106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17</v>
      </c>
      <c r="C100" s="301">
        <v>48.6</v>
      </c>
      <c r="D100" s="301">
        <v>82.8</v>
      </c>
      <c r="E100" s="301">
        <v>27.1</v>
      </c>
      <c r="F100" s="301">
        <v>88.3</v>
      </c>
      <c r="G100" s="301">
        <v>93.9</v>
      </c>
    </row>
    <row r="101" spans="1:7" x14ac:dyDescent="0.25">
      <c r="A101" s="442">
        <v>2</v>
      </c>
      <c r="B101" s="301">
        <v>17.100000000000001</v>
      </c>
      <c r="C101" s="301">
        <v>49.8</v>
      </c>
      <c r="D101" s="301">
        <v>83.2</v>
      </c>
      <c r="E101" s="301">
        <v>50.3</v>
      </c>
      <c r="F101" s="301">
        <v>87.2</v>
      </c>
      <c r="G101" s="301">
        <v>95.8</v>
      </c>
    </row>
    <row r="102" spans="1:7" x14ac:dyDescent="0.25">
      <c r="A102" s="442">
        <v>3</v>
      </c>
      <c r="B102" s="301">
        <v>21.4</v>
      </c>
      <c r="C102" s="301">
        <v>51.9</v>
      </c>
      <c r="D102" s="301">
        <v>84.8</v>
      </c>
      <c r="E102" s="301">
        <v>49.7</v>
      </c>
      <c r="F102" s="301">
        <v>88.2</v>
      </c>
      <c r="G102" s="301">
        <v>102.5</v>
      </c>
    </row>
    <row r="103" spans="1:7" x14ac:dyDescent="0.25">
      <c r="A103" s="442">
        <v>4</v>
      </c>
      <c r="B103" s="301">
        <v>16.600000000000001</v>
      </c>
      <c r="C103" s="301">
        <v>51.2</v>
      </c>
      <c r="D103" s="301">
        <v>77.2</v>
      </c>
      <c r="E103" s="301">
        <v>46.5</v>
      </c>
      <c r="F103" s="301">
        <v>83.3</v>
      </c>
      <c r="G103" s="301">
        <v>108.1</v>
      </c>
    </row>
    <row r="104" spans="1:7" x14ac:dyDescent="0.25">
      <c r="A104" s="442">
        <v>5</v>
      </c>
      <c r="B104" s="301">
        <v>12.4</v>
      </c>
      <c r="C104" s="301">
        <v>48.2</v>
      </c>
      <c r="D104" s="301">
        <v>80.8</v>
      </c>
      <c r="E104" s="301">
        <v>58.7</v>
      </c>
      <c r="F104" s="301">
        <v>87.5</v>
      </c>
      <c r="G104" s="301">
        <v>101</v>
      </c>
    </row>
    <row r="105" spans="1:7" x14ac:dyDescent="0.25">
      <c r="A105" s="442">
        <v>6</v>
      </c>
      <c r="B105" s="301">
        <v>11.1</v>
      </c>
      <c r="C105" s="301">
        <v>49</v>
      </c>
      <c r="D105" s="301">
        <v>75.3</v>
      </c>
      <c r="E105" s="301">
        <v>40.9</v>
      </c>
      <c r="F105" s="301">
        <v>86</v>
      </c>
      <c r="G105" s="301">
        <v>109.2</v>
      </c>
    </row>
    <row r="106" spans="1:7" x14ac:dyDescent="0.25">
      <c r="A106" s="442">
        <v>7</v>
      </c>
      <c r="B106" s="301">
        <v>15.9</v>
      </c>
      <c r="C106" s="301">
        <v>47.3</v>
      </c>
      <c r="D106" s="301">
        <v>79.900000000000006</v>
      </c>
      <c r="E106" s="301">
        <v>49.5</v>
      </c>
      <c r="F106" s="301">
        <v>81.8</v>
      </c>
      <c r="G106" s="301">
        <v>93.3</v>
      </c>
    </row>
    <row r="107" spans="1:7" x14ac:dyDescent="0.25">
      <c r="A107" s="442">
        <v>8</v>
      </c>
      <c r="B107" s="301">
        <v>13.2</v>
      </c>
      <c r="C107" s="301">
        <v>45.1</v>
      </c>
      <c r="D107" s="301">
        <v>81.3</v>
      </c>
      <c r="E107" s="301">
        <v>26.2</v>
      </c>
      <c r="F107" s="301">
        <v>86.2</v>
      </c>
      <c r="G107" s="301">
        <v>90.8</v>
      </c>
    </row>
    <row r="108" spans="1:7" x14ac:dyDescent="0.25">
      <c r="A108" s="442">
        <v>9</v>
      </c>
      <c r="B108" s="301">
        <v>15.2</v>
      </c>
      <c r="C108" s="301">
        <v>46.5</v>
      </c>
      <c r="D108" s="301">
        <v>80.900000000000006</v>
      </c>
      <c r="E108" s="301">
        <v>42</v>
      </c>
      <c r="F108" s="301">
        <v>85.1</v>
      </c>
      <c r="G108" s="301">
        <v>97.4</v>
      </c>
    </row>
    <row r="109" spans="1:7" x14ac:dyDescent="0.25">
      <c r="A109" s="442">
        <v>10</v>
      </c>
      <c r="B109" s="301">
        <v>22</v>
      </c>
      <c r="C109" s="301">
        <v>46.9</v>
      </c>
      <c r="D109" s="301">
        <v>78.8</v>
      </c>
      <c r="E109" s="301">
        <v>43.3</v>
      </c>
      <c r="F109" s="301">
        <v>84.4</v>
      </c>
      <c r="G109" s="301">
        <v>98.4</v>
      </c>
    </row>
    <row r="110" spans="1:7" x14ac:dyDescent="0.25">
      <c r="A110" s="442">
        <v>11</v>
      </c>
      <c r="B110" s="301"/>
      <c r="C110" s="301">
        <v>47.4</v>
      </c>
      <c r="D110" s="301">
        <v>84.8</v>
      </c>
      <c r="E110" s="301">
        <v>34.1</v>
      </c>
      <c r="F110" s="301">
        <v>84.2</v>
      </c>
      <c r="G110" s="301">
        <v>103.4</v>
      </c>
    </row>
    <row r="111" spans="1:7" x14ac:dyDescent="0.25">
      <c r="A111" s="442">
        <v>12</v>
      </c>
      <c r="B111" s="301"/>
      <c r="C111" s="301">
        <v>49.2</v>
      </c>
      <c r="D111" s="301"/>
      <c r="E111" s="301">
        <v>27.6</v>
      </c>
      <c r="F111" s="301">
        <v>89.9</v>
      </c>
      <c r="G111" s="301">
        <v>104.8</v>
      </c>
    </row>
    <row r="112" spans="1:7" x14ac:dyDescent="0.25">
      <c r="A112" s="442">
        <v>13</v>
      </c>
      <c r="B112" s="301"/>
      <c r="C112" s="301">
        <v>54.7</v>
      </c>
      <c r="D112" s="301"/>
      <c r="E112" s="301">
        <v>32</v>
      </c>
      <c r="F112" s="301">
        <v>83.1</v>
      </c>
      <c r="G112" s="301">
        <v>108.8</v>
      </c>
    </row>
    <row r="113" spans="1:7" x14ac:dyDescent="0.25">
      <c r="A113" s="442">
        <v>14</v>
      </c>
      <c r="B113" s="301"/>
      <c r="C113" s="301"/>
      <c r="D113" s="301"/>
      <c r="E113" s="301">
        <v>43.1</v>
      </c>
      <c r="F113" s="301">
        <v>87.8</v>
      </c>
      <c r="G113" s="301">
        <v>103.8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81.599999999999994</v>
      </c>
      <c r="G114" s="301">
        <v>98.4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84.2</v>
      </c>
      <c r="G115" s="301">
        <v>102.8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80.599999999999994</v>
      </c>
      <c r="G116" s="301">
        <v>101.8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84.1</v>
      </c>
      <c r="G117" s="301">
        <v>101.4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82.4</v>
      </c>
      <c r="G118" s="301">
        <v>104.7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86.1</v>
      </c>
      <c r="G119" s="301">
        <v>91.2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88.9</v>
      </c>
      <c r="G120" s="301">
        <v>100.4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82.7</v>
      </c>
      <c r="G121" s="301">
        <v>110.4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21.1</v>
      </c>
      <c r="C125" s="301">
        <v>54.5</v>
      </c>
      <c r="D125" s="301">
        <v>80.099999999999994</v>
      </c>
      <c r="E125" s="301">
        <v>29.5</v>
      </c>
      <c r="F125" s="301">
        <v>87.8</v>
      </c>
      <c r="G125" s="301">
        <v>107.2</v>
      </c>
    </row>
    <row r="126" spans="1:7" x14ac:dyDescent="0.25">
      <c r="A126" s="442">
        <v>2</v>
      </c>
      <c r="B126" s="301">
        <v>14</v>
      </c>
      <c r="C126" s="301">
        <v>45.9</v>
      </c>
      <c r="D126" s="301">
        <v>78</v>
      </c>
      <c r="E126" s="301">
        <v>41.5</v>
      </c>
      <c r="F126" s="301">
        <v>82.9</v>
      </c>
      <c r="G126" s="301">
        <v>90.2</v>
      </c>
    </row>
    <row r="127" spans="1:7" x14ac:dyDescent="0.25">
      <c r="A127" s="442">
        <v>3</v>
      </c>
      <c r="B127" s="301">
        <v>25.1</v>
      </c>
      <c r="C127" s="301">
        <v>45.3</v>
      </c>
      <c r="D127" s="301">
        <v>77.7</v>
      </c>
      <c r="E127" s="301">
        <v>57.9</v>
      </c>
      <c r="F127" s="301">
        <v>85.6</v>
      </c>
      <c r="G127" s="301">
        <v>104</v>
      </c>
    </row>
    <row r="128" spans="1:7" x14ac:dyDescent="0.25">
      <c r="A128" s="442">
        <v>4</v>
      </c>
      <c r="B128" s="301">
        <v>28.3</v>
      </c>
      <c r="C128" s="301">
        <v>46.3</v>
      </c>
      <c r="D128" s="301">
        <v>81.599999999999994</v>
      </c>
      <c r="E128" s="301">
        <v>34.799999999999997</v>
      </c>
      <c r="F128" s="301">
        <v>80.599999999999994</v>
      </c>
      <c r="G128" s="301">
        <v>108.2</v>
      </c>
    </row>
    <row r="129" spans="1:7" x14ac:dyDescent="0.25">
      <c r="A129" s="442">
        <v>5</v>
      </c>
      <c r="B129" s="301">
        <v>27.6</v>
      </c>
      <c r="C129" s="301">
        <v>51.1</v>
      </c>
      <c r="D129" s="301">
        <v>83.3</v>
      </c>
      <c r="E129" s="301">
        <v>42.4</v>
      </c>
      <c r="F129" s="301">
        <v>82.3</v>
      </c>
      <c r="G129" s="301">
        <v>101.1</v>
      </c>
    </row>
    <row r="130" spans="1:7" x14ac:dyDescent="0.25">
      <c r="A130" s="442">
        <v>6</v>
      </c>
      <c r="B130" s="301">
        <v>26.1</v>
      </c>
      <c r="C130" s="301">
        <v>45.4</v>
      </c>
      <c r="D130" s="301">
        <v>84</v>
      </c>
      <c r="E130" s="301">
        <v>52.2</v>
      </c>
      <c r="F130" s="301">
        <v>89.4</v>
      </c>
      <c r="G130" s="301">
        <v>94</v>
      </c>
    </row>
    <row r="131" spans="1:7" x14ac:dyDescent="0.25">
      <c r="A131" s="442">
        <v>7</v>
      </c>
      <c r="B131" s="301">
        <v>23.7</v>
      </c>
      <c r="C131" s="301">
        <v>47.8</v>
      </c>
      <c r="D131" s="301">
        <v>77.8</v>
      </c>
      <c r="E131" s="301">
        <v>31</v>
      </c>
      <c r="F131" s="301">
        <v>83.3</v>
      </c>
      <c r="G131" s="301">
        <v>90.3</v>
      </c>
    </row>
    <row r="132" spans="1:7" x14ac:dyDescent="0.25">
      <c r="A132" s="442">
        <v>8</v>
      </c>
      <c r="B132" s="301">
        <v>29.7</v>
      </c>
      <c r="C132" s="301">
        <v>54.1</v>
      </c>
      <c r="D132" s="301">
        <v>83.7</v>
      </c>
      <c r="E132" s="301">
        <v>53.2</v>
      </c>
      <c r="F132" s="301">
        <v>84.9</v>
      </c>
      <c r="G132" s="301">
        <v>98.8</v>
      </c>
    </row>
    <row r="133" spans="1:7" x14ac:dyDescent="0.25">
      <c r="A133" s="442">
        <v>9</v>
      </c>
      <c r="B133" s="301">
        <v>16.399999999999999</v>
      </c>
      <c r="C133" s="301">
        <v>53</v>
      </c>
      <c r="D133" s="301">
        <v>75</v>
      </c>
      <c r="E133" s="301">
        <v>44.5</v>
      </c>
      <c r="F133" s="301">
        <v>80.400000000000006</v>
      </c>
      <c r="G133" s="301">
        <v>108.8</v>
      </c>
    </row>
    <row r="134" spans="1:7" x14ac:dyDescent="0.25">
      <c r="A134" s="442">
        <v>10</v>
      </c>
      <c r="B134" s="301">
        <v>21.6</v>
      </c>
      <c r="C134" s="301">
        <v>53.6</v>
      </c>
      <c r="D134" s="301">
        <v>80.400000000000006</v>
      </c>
      <c r="E134" s="301">
        <v>59.7</v>
      </c>
      <c r="F134" s="301">
        <v>85</v>
      </c>
      <c r="G134" s="301">
        <v>96.2</v>
      </c>
    </row>
    <row r="135" spans="1:7" x14ac:dyDescent="0.25">
      <c r="A135" s="442">
        <v>11</v>
      </c>
      <c r="B135" s="301"/>
      <c r="C135" s="301">
        <v>52.5</v>
      </c>
      <c r="D135" s="301">
        <v>77</v>
      </c>
      <c r="E135" s="301">
        <v>46.8</v>
      </c>
      <c r="F135" s="301">
        <v>80.900000000000006</v>
      </c>
      <c r="G135" s="301">
        <v>90.5</v>
      </c>
    </row>
    <row r="136" spans="1:7" x14ac:dyDescent="0.25">
      <c r="A136" s="442">
        <v>12</v>
      </c>
      <c r="B136" s="301"/>
      <c r="C136" s="301">
        <v>46.8</v>
      </c>
      <c r="D136" s="301">
        <v>84.9</v>
      </c>
      <c r="E136" s="301">
        <v>29.9</v>
      </c>
      <c r="F136" s="301">
        <v>83.8</v>
      </c>
      <c r="G136" s="301">
        <v>106.5</v>
      </c>
    </row>
    <row r="137" spans="1:7" x14ac:dyDescent="0.25">
      <c r="A137" s="442">
        <v>13</v>
      </c>
      <c r="B137" s="301"/>
      <c r="C137" s="301"/>
      <c r="D137" s="301"/>
      <c r="E137" s="301">
        <v>47.3</v>
      </c>
      <c r="F137" s="301">
        <v>80.5</v>
      </c>
      <c r="G137" s="301">
        <v>101.9</v>
      </c>
    </row>
    <row r="138" spans="1:7" x14ac:dyDescent="0.25">
      <c r="A138" s="442">
        <v>14</v>
      </c>
      <c r="B138" s="301"/>
      <c r="C138" s="301"/>
      <c r="D138" s="301"/>
      <c r="E138" s="301">
        <v>27.1</v>
      </c>
      <c r="F138" s="301">
        <v>88.2</v>
      </c>
      <c r="G138" s="301">
        <v>96.3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84.7</v>
      </c>
      <c r="G139" s="301">
        <v>106.3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81.3</v>
      </c>
      <c r="G140" s="301">
        <v>100.2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83.5</v>
      </c>
      <c r="G141" s="301">
        <v>107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87.5</v>
      </c>
      <c r="G142" s="301">
        <v>98.2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80</v>
      </c>
      <c r="G143" s="301">
        <v>92.1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102.3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106.2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108.1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100.8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ROUNDDOWN(AVERAGE(B6:D19),1)</f>
        <v>50.4</v>
      </c>
      <c r="C151" s="301">
        <f>ROUNDDOWN(AVERAGE(E6:G34),1)</f>
        <v>81.099999999999994</v>
      </c>
      <c r="D151" s="353">
        <v>28044</v>
      </c>
      <c r="E151" s="362">
        <v>46911</v>
      </c>
      <c r="F151" s="353">
        <f>B151*D151</f>
        <v>1413417.5999999999</v>
      </c>
      <c r="G151" s="353">
        <f>C151*E151</f>
        <v>3804482.0999999996</v>
      </c>
    </row>
    <row r="152" spans="1:7" x14ac:dyDescent="0.25">
      <c r="A152" s="298" t="s">
        <v>370</v>
      </c>
      <c r="B152" s="301">
        <f>ROUNDDOWN(AVERAGE(B39:D44),1)</f>
        <v>48.8</v>
      </c>
      <c r="C152" s="301">
        <f>ROUNDDOWN(AVERAGE(E39:G48),1)</f>
        <v>80.3</v>
      </c>
      <c r="D152" s="353">
        <v>10608</v>
      </c>
      <c r="E152" s="362">
        <v>17152</v>
      </c>
      <c r="F152" s="353">
        <f t="shared" ref="F152:G159" si="0">B152*D152</f>
        <v>517670.39999999997</v>
      </c>
      <c r="G152" s="353">
        <f t="shared" si="0"/>
        <v>1377305.5999999999</v>
      </c>
    </row>
    <row r="153" spans="1:7" x14ac:dyDescent="0.25">
      <c r="A153" s="298" t="s">
        <v>371</v>
      </c>
      <c r="B153" s="301">
        <f>ROUNDDOWN(AVERAGE(B53:D57),1)</f>
        <v>53.2</v>
      </c>
      <c r="C153" s="301">
        <f>ROUNDDOWN(AVERAGE(E53:G61),1)</f>
        <v>80.900000000000006</v>
      </c>
      <c r="D153" s="353">
        <v>8465</v>
      </c>
      <c r="E153" s="362">
        <v>14815</v>
      </c>
      <c r="F153" s="353">
        <f t="shared" si="0"/>
        <v>450338</v>
      </c>
      <c r="G153" s="353">
        <f t="shared" si="0"/>
        <v>1198533.5</v>
      </c>
    </row>
    <row r="154" spans="1:7" x14ac:dyDescent="0.25">
      <c r="A154" s="298" t="s">
        <v>372</v>
      </c>
      <c r="B154" s="301">
        <f>ROUNDDOWN(AVERAGE(B66:D69),1)</f>
        <v>53.9</v>
      </c>
      <c r="C154" s="301">
        <f>ROUNDDOWN(AVERAGE(E66:G72),1)</f>
        <v>81.7</v>
      </c>
      <c r="D154" s="353">
        <v>6339</v>
      </c>
      <c r="E154" s="362">
        <v>10498</v>
      </c>
      <c r="F154" s="353">
        <f t="shared" si="0"/>
        <v>341672.1</v>
      </c>
      <c r="G154" s="353">
        <f t="shared" si="0"/>
        <v>857686.6</v>
      </c>
    </row>
    <row r="155" spans="1:7" x14ac:dyDescent="0.25">
      <c r="A155" s="298" t="s">
        <v>373</v>
      </c>
      <c r="B155" s="301">
        <f>ROUNDDOWN(AVERAGE(B76:D77),1)</f>
        <v>52.7</v>
      </c>
      <c r="C155" s="301">
        <f>ROUNDDOWN(AVERAGE(E76:G79),1)</f>
        <v>78.8</v>
      </c>
      <c r="D155" s="353">
        <v>3699</v>
      </c>
      <c r="E155" s="362">
        <v>6538</v>
      </c>
      <c r="F155" s="353">
        <f t="shared" si="0"/>
        <v>194937.30000000002</v>
      </c>
      <c r="G155" s="353">
        <f t="shared" si="0"/>
        <v>515194.39999999997</v>
      </c>
    </row>
    <row r="156" spans="1:7" x14ac:dyDescent="0.25">
      <c r="A156" s="298" t="s">
        <v>374</v>
      </c>
      <c r="B156" s="301">
        <f>ROUNDDOWN(AVERAGE(B83:D85),1)</f>
        <v>50.7</v>
      </c>
      <c r="C156" s="301">
        <f>ROUNDDOWN(AVERAGE(E83:G88),1)</f>
        <v>81.099999999999994</v>
      </c>
      <c r="D156" s="353">
        <v>5340</v>
      </c>
      <c r="E156" s="362">
        <v>9336</v>
      </c>
      <c r="F156" s="353">
        <f t="shared" si="0"/>
        <v>270738</v>
      </c>
      <c r="G156" s="353">
        <f t="shared" si="0"/>
        <v>757149.6</v>
      </c>
    </row>
    <row r="157" spans="1:7" x14ac:dyDescent="0.25">
      <c r="A157" s="298" t="s">
        <v>375</v>
      </c>
      <c r="B157" s="301">
        <f>ROUNDDOWN(AVERAGE(B93:D94),1)</f>
        <v>53</v>
      </c>
      <c r="C157" s="301">
        <f>ROUNDDOWN(AVERAGE(E93:G96),1)</f>
        <v>77.3</v>
      </c>
      <c r="D157" s="353">
        <v>3613</v>
      </c>
      <c r="E157" s="362">
        <v>5803</v>
      </c>
      <c r="F157" s="353">
        <f t="shared" si="0"/>
        <v>191489</v>
      </c>
      <c r="G157" s="353">
        <f t="shared" si="0"/>
        <v>448571.89999999997</v>
      </c>
    </row>
    <row r="158" spans="1:7" x14ac:dyDescent="0.25">
      <c r="A158" s="298" t="s">
        <v>365</v>
      </c>
      <c r="B158" s="301">
        <f>ROUNDDOWN(AVERAGE(B100:D112),1)</f>
        <v>49.6</v>
      </c>
      <c r="C158" s="301">
        <f>ROUNDDOWN(AVERAGE(E100:G121),1)</f>
        <v>80.400000000000006</v>
      </c>
      <c r="D158" s="353">
        <v>23194</v>
      </c>
      <c r="E158" s="362">
        <v>40099</v>
      </c>
      <c r="F158" s="353">
        <f t="shared" si="0"/>
        <v>1150422.4000000001</v>
      </c>
      <c r="G158" s="353">
        <f t="shared" si="0"/>
        <v>3223959.6</v>
      </c>
    </row>
    <row r="159" spans="1:7" x14ac:dyDescent="0.25">
      <c r="A159" s="298" t="s">
        <v>366</v>
      </c>
      <c r="B159" s="301">
        <f>ROUNDDOWN(AVERAGE(B125:D136),1)</f>
        <v>52.7</v>
      </c>
      <c r="C159" s="301">
        <f>ROUNDDOWN(AVERAGE(E125:G147),1)</f>
        <v>80.400000000000006</v>
      </c>
      <c r="D159" s="353">
        <v>22794</v>
      </c>
      <c r="E159" s="362">
        <v>40353</v>
      </c>
      <c r="F159" s="353">
        <f t="shared" si="0"/>
        <v>1201243.8</v>
      </c>
      <c r="G159" s="353">
        <f t="shared" si="0"/>
        <v>3244381.2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191505</v>
      </c>
      <c r="F160" s="353">
        <f>SUM(F151:F159)</f>
        <v>5731928.5999999996</v>
      </c>
      <c r="G160" s="353">
        <f>SUM(G151:G159)</f>
        <v>15427264.5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51.1</v>
      </c>
      <c r="D165" s="280">
        <f>ROUNDDOWN(G160/E160,1)</f>
        <v>80.5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0278-70AA-4D41-A54D-01F3DAC31820}">
  <dimension ref="A1:G165"/>
  <sheetViews>
    <sheetView zoomScale="110" zoomScaleNormal="110" workbookViewId="0">
      <selection activeCell="G17" sqref="G17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408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16.5</v>
      </c>
      <c r="C6" s="301">
        <v>47.3</v>
      </c>
      <c r="D6" s="301">
        <v>82.2</v>
      </c>
      <c r="E6" s="301">
        <v>51</v>
      </c>
      <c r="F6" s="301">
        <v>82.3</v>
      </c>
      <c r="G6" s="301">
        <v>105.5</v>
      </c>
    </row>
    <row r="7" spans="1:7" x14ac:dyDescent="0.25">
      <c r="A7" s="442">
        <v>2</v>
      </c>
      <c r="B7" s="301">
        <v>11.2</v>
      </c>
      <c r="C7" s="301">
        <v>51.6</v>
      </c>
      <c r="D7" s="301">
        <v>76.7</v>
      </c>
      <c r="E7" s="301">
        <v>47.6</v>
      </c>
      <c r="F7" s="301">
        <v>88.7</v>
      </c>
      <c r="G7" s="301">
        <v>91.8</v>
      </c>
    </row>
    <row r="8" spans="1:7" x14ac:dyDescent="0.25">
      <c r="A8" s="442">
        <v>3</v>
      </c>
      <c r="B8" s="301">
        <v>15.4</v>
      </c>
      <c r="C8" s="301">
        <v>49.1</v>
      </c>
      <c r="D8" s="301">
        <v>83.4</v>
      </c>
      <c r="E8" s="301">
        <v>52.9</v>
      </c>
      <c r="F8" s="301">
        <v>88</v>
      </c>
      <c r="G8" s="301">
        <v>103.2</v>
      </c>
    </row>
    <row r="9" spans="1:7" x14ac:dyDescent="0.25">
      <c r="A9" s="442">
        <v>4</v>
      </c>
      <c r="B9" s="301">
        <v>10.8</v>
      </c>
      <c r="C9" s="301">
        <v>46.3</v>
      </c>
      <c r="D9" s="301">
        <v>83.4</v>
      </c>
      <c r="E9" s="301">
        <v>40.700000000000003</v>
      </c>
      <c r="F9" s="301">
        <v>82</v>
      </c>
      <c r="G9" s="301">
        <v>103.2</v>
      </c>
    </row>
    <row r="10" spans="1:7" x14ac:dyDescent="0.25">
      <c r="A10" s="442">
        <v>5</v>
      </c>
      <c r="B10" s="301">
        <v>24.7</v>
      </c>
      <c r="C10" s="301">
        <v>45.5</v>
      </c>
      <c r="D10" s="301">
        <v>80.900000000000006</v>
      </c>
      <c r="E10" s="301">
        <v>45.6</v>
      </c>
      <c r="F10" s="301">
        <v>89.8</v>
      </c>
      <c r="G10" s="301">
        <v>95.3</v>
      </c>
    </row>
    <row r="11" spans="1:7" x14ac:dyDescent="0.25">
      <c r="A11" s="442">
        <v>6</v>
      </c>
      <c r="B11" s="301">
        <v>28.4</v>
      </c>
      <c r="C11" s="301">
        <v>48.3</v>
      </c>
      <c r="D11" s="301">
        <v>80.5</v>
      </c>
      <c r="E11" s="301">
        <v>29.4</v>
      </c>
      <c r="F11" s="301">
        <v>86.4</v>
      </c>
      <c r="G11" s="301">
        <v>91.3</v>
      </c>
    </row>
    <row r="12" spans="1:7" x14ac:dyDescent="0.25">
      <c r="A12" s="442">
        <v>7</v>
      </c>
      <c r="B12" s="301">
        <v>13.6</v>
      </c>
      <c r="C12" s="301">
        <v>50.1</v>
      </c>
      <c r="D12" s="301">
        <v>80.3</v>
      </c>
      <c r="E12" s="301">
        <v>49.6</v>
      </c>
      <c r="F12" s="301">
        <v>88.9</v>
      </c>
      <c r="G12" s="301">
        <v>107.5</v>
      </c>
    </row>
    <row r="13" spans="1:7" x14ac:dyDescent="0.25">
      <c r="A13" s="442">
        <v>8</v>
      </c>
      <c r="B13" s="301">
        <v>23.9</v>
      </c>
      <c r="C13" s="301">
        <v>49.6</v>
      </c>
      <c r="D13" s="301">
        <v>83.7</v>
      </c>
      <c r="E13" s="301">
        <v>52.7</v>
      </c>
      <c r="F13" s="301">
        <v>83.4</v>
      </c>
      <c r="G13" s="301">
        <v>98.3</v>
      </c>
    </row>
    <row r="14" spans="1:7" x14ac:dyDescent="0.25">
      <c r="A14" s="442">
        <v>9</v>
      </c>
      <c r="B14" s="301">
        <v>10.7</v>
      </c>
      <c r="C14" s="301">
        <v>54.1</v>
      </c>
      <c r="D14" s="301">
        <v>81.400000000000006</v>
      </c>
      <c r="E14" s="301">
        <v>52.8</v>
      </c>
      <c r="F14" s="301">
        <v>84.2</v>
      </c>
      <c r="G14" s="301">
        <v>94.7</v>
      </c>
    </row>
    <row r="15" spans="1:7" x14ac:dyDescent="0.25">
      <c r="A15" s="442">
        <v>10</v>
      </c>
      <c r="B15" s="301">
        <v>18.2</v>
      </c>
      <c r="C15" s="301">
        <v>47.7</v>
      </c>
      <c r="D15" s="301">
        <v>83.7</v>
      </c>
      <c r="E15" s="301">
        <v>34.5</v>
      </c>
      <c r="F15" s="301">
        <v>85</v>
      </c>
      <c r="G15" s="301">
        <v>90</v>
      </c>
    </row>
    <row r="16" spans="1:7" x14ac:dyDescent="0.25">
      <c r="A16" s="442">
        <v>11</v>
      </c>
      <c r="B16" s="301">
        <v>28.4</v>
      </c>
      <c r="C16" s="301">
        <v>53.8</v>
      </c>
      <c r="D16" s="301">
        <v>81.8</v>
      </c>
      <c r="E16" s="301">
        <v>46.9</v>
      </c>
      <c r="F16" s="301">
        <v>83</v>
      </c>
      <c r="G16" s="301">
        <v>95</v>
      </c>
    </row>
    <row r="17" spans="1:7" x14ac:dyDescent="0.25">
      <c r="A17" s="442">
        <v>12</v>
      </c>
      <c r="B17" s="301">
        <v>23.8</v>
      </c>
      <c r="C17" s="301">
        <v>45.2</v>
      </c>
      <c r="D17" s="301">
        <v>79</v>
      </c>
      <c r="E17" s="301">
        <v>28.6</v>
      </c>
      <c r="F17" s="301">
        <v>87.2</v>
      </c>
      <c r="G17" s="301">
        <v>90</v>
      </c>
    </row>
    <row r="18" spans="1:7" x14ac:dyDescent="0.25">
      <c r="A18" s="442">
        <v>13</v>
      </c>
      <c r="B18" s="301">
        <v>22.9</v>
      </c>
      <c r="C18" s="301">
        <v>50.5</v>
      </c>
      <c r="D18" s="301">
        <v>77.5</v>
      </c>
      <c r="E18" s="301">
        <v>57</v>
      </c>
      <c r="F18" s="301">
        <v>89.2</v>
      </c>
      <c r="G18" s="301">
        <v>105.5</v>
      </c>
    </row>
    <row r="19" spans="1:7" x14ac:dyDescent="0.25">
      <c r="A19" s="442">
        <v>14</v>
      </c>
      <c r="B19" s="301"/>
      <c r="C19" s="301"/>
      <c r="D19" s="301">
        <v>79.900000000000006</v>
      </c>
      <c r="E19" s="301">
        <v>37.9</v>
      </c>
      <c r="F19" s="301">
        <v>90</v>
      </c>
      <c r="G19" s="301">
        <v>106.5</v>
      </c>
    </row>
    <row r="20" spans="1:7" x14ac:dyDescent="0.25">
      <c r="A20" s="442">
        <v>15</v>
      </c>
      <c r="B20" s="301"/>
      <c r="C20" s="301"/>
      <c r="D20" s="301"/>
      <c r="E20" s="301">
        <v>41.4</v>
      </c>
      <c r="F20" s="301">
        <v>89.6</v>
      </c>
      <c r="G20" s="301">
        <v>108.8</v>
      </c>
    </row>
    <row r="21" spans="1:7" x14ac:dyDescent="0.25">
      <c r="A21" s="442">
        <v>16</v>
      </c>
      <c r="B21" s="301"/>
      <c r="C21" s="301"/>
      <c r="D21" s="301"/>
      <c r="E21" s="301">
        <v>34.6</v>
      </c>
      <c r="F21" s="301">
        <v>85.7</v>
      </c>
      <c r="G21" s="301">
        <v>106.4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87.3</v>
      </c>
      <c r="G22" s="301">
        <v>92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84.4</v>
      </c>
      <c r="G23" s="301">
        <v>107.5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84</v>
      </c>
      <c r="G24" s="301">
        <v>109.7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84.3</v>
      </c>
      <c r="G25" s="301">
        <v>90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82.4</v>
      </c>
      <c r="G26" s="301">
        <v>111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83.8</v>
      </c>
      <c r="G27" s="301">
        <v>102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83</v>
      </c>
      <c r="G28" s="301">
        <v>99.4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86.2</v>
      </c>
      <c r="G29" s="301">
        <v>104.5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93.4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97.6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110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104.9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94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20.9</v>
      </c>
      <c r="C39" s="301">
        <v>49.7</v>
      </c>
      <c r="D39" s="301">
        <v>80.3</v>
      </c>
      <c r="E39" s="301">
        <v>47.7</v>
      </c>
      <c r="F39" s="301">
        <v>83.5</v>
      </c>
      <c r="G39" s="301">
        <v>106.8</v>
      </c>
    </row>
    <row r="40" spans="1:7" x14ac:dyDescent="0.25">
      <c r="A40" s="442">
        <v>2</v>
      </c>
      <c r="B40" s="301">
        <v>29.4</v>
      </c>
      <c r="C40" s="301">
        <v>51.1</v>
      </c>
      <c r="D40" s="301">
        <v>80.5</v>
      </c>
      <c r="E40" s="301">
        <v>43.8</v>
      </c>
      <c r="F40" s="301">
        <v>82.7</v>
      </c>
      <c r="G40" s="301">
        <v>97.1</v>
      </c>
    </row>
    <row r="41" spans="1:7" x14ac:dyDescent="0.25">
      <c r="A41" s="442">
        <v>3</v>
      </c>
      <c r="B41" s="301">
        <v>26.1</v>
      </c>
      <c r="C41" s="301">
        <v>49.5</v>
      </c>
      <c r="D41" s="301">
        <v>81</v>
      </c>
      <c r="E41" s="301">
        <v>53.1</v>
      </c>
      <c r="F41" s="301">
        <v>87.6</v>
      </c>
      <c r="G41" s="301">
        <v>90.1</v>
      </c>
    </row>
    <row r="42" spans="1:7" x14ac:dyDescent="0.25">
      <c r="A42" s="442">
        <v>4</v>
      </c>
      <c r="B42" s="301">
        <v>27</v>
      </c>
      <c r="C42" s="301">
        <v>47.6</v>
      </c>
      <c r="D42" s="301">
        <v>81.400000000000006</v>
      </c>
      <c r="E42" s="301">
        <v>37.1</v>
      </c>
      <c r="F42" s="301">
        <v>84</v>
      </c>
      <c r="G42" s="301">
        <v>103.1</v>
      </c>
    </row>
    <row r="43" spans="1:7" x14ac:dyDescent="0.25">
      <c r="A43" s="442">
        <v>5</v>
      </c>
      <c r="B43" s="301">
        <v>20.3</v>
      </c>
      <c r="C43" s="301">
        <v>48.1</v>
      </c>
      <c r="D43" s="301">
        <v>82.4</v>
      </c>
      <c r="E43" s="301">
        <v>37.200000000000003</v>
      </c>
      <c r="F43" s="301">
        <v>86.8</v>
      </c>
      <c r="G43" s="301">
        <v>103.5</v>
      </c>
    </row>
    <row r="44" spans="1:7" x14ac:dyDescent="0.25">
      <c r="A44" s="442">
        <v>6</v>
      </c>
      <c r="B44" s="301"/>
      <c r="C44" s="301">
        <v>48.7</v>
      </c>
      <c r="D44" s="301"/>
      <c r="E44" s="301">
        <v>34.700000000000003</v>
      </c>
      <c r="F44" s="301">
        <v>85.3</v>
      </c>
      <c r="G44" s="301">
        <v>110.1</v>
      </c>
    </row>
    <row r="45" spans="1:7" x14ac:dyDescent="0.25">
      <c r="A45" s="442">
        <v>7</v>
      </c>
      <c r="B45" s="301"/>
      <c r="C45" s="301"/>
      <c r="D45" s="301"/>
      <c r="E45" s="301"/>
      <c r="F45" s="301">
        <v>89.1</v>
      </c>
      <c r="G45" s="301">
        <v>107.9</v>
      </c>
    </row>
    <row r="46" spans="1:7" x14ac:dyDescent="0.25">
      <c r="A46" s="442">
        <v>8</v>
      </c>
      <c r="B46" s="301"/>
      <c r="C46" s="301"/>
      <c r="D46" s="301"/>
      <c r="E46" s="301"/>
      <c r="F46" s="301">
        <v>82.8</v>
      </c>
      <c r="G46" s="301">
        <v>94</v>
      </c>
    </row>
    <row r="47" spans="1:7" x14ac:dyDescent="0.25">
      <c r="A47" s="442">
        <v>9</v>
      </c>
      <c r="B47" s="301"/>
      <c r="C47" s="301"/>
      <c r="D47" s="301"/>
      <c r="E47" s="301"/>
      <c r="F47" s="301">
        <v>81.2</v>
      </c>
      <c r="G47" s="301">
        <v>92.4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82.7</v>
      </c>
      <c r="G48" s="301">
        <v>103.1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18.2</v>
      </c>
      <c r="C53" s="301">
        <v>51.2</v>
      </c>
      <c r="D53" s="301">
        <v>83.3</v>
      </c>
      <c r="E53" s="301">
        <v>43.1</v>
      </c>
      <c r="F53" s="301">
        <v>81.400000000000006</v>
      </c>
      <c r="G53" s="301">
        <v>93.9</v>
      </c>
    </row>
    <row r="54" spans="1:7" x14ac:dyDescent="0.25">
      <c r="A54" s="442">
        <v>2</v>
      </c>
      <c r="B54" s="301">
        <v>22.7</v>
      </c>
      <c r="C54" s="301">
        <v>49.3</v>
      </c>
      <c r="D54" s="301">
        <v>79.8</v>
      </c>
      <c r="E54" s="301">
        <v>40.1</v>
      </c>
      <c r="F54" s="301">
        <v>87.4</v>
      </c>
      <c r="G54" s="301">
        <v>99.9</v>
      </c>
    </row>
    <row r="55" spans="1:7" x14ac:dyDescent="0.25">
      <c r="A55" s="442">
        <v>3</v>
      </c>
      <c r="B55" s="301">
        <v>25.2</v>
      </c>
      <c r="C55" s="301">
        <v>49</v>
      </c>
      <c r="D55" s="301">
        <v>81.7</v>
      </c>
      <c r="E55" s="301">
        <v>55.7</v>
      </c>
      <c r="F55" s="301">
        <v>81.8</v>
      </c>
      <c r="G55" s="301">
        <v>104</v>
      </c>
    </row>
    <row r="56" spans="1:7" x14ac:dyDescent="0.25">
      <c r="A56" s="442">
        <v>4</v>
      </c>
      <c r="B56" s="301">
        <v>23.5</v>
      </c>
      <c r="C56" s="301">
        <v>54.4</v>
      </c>
      <c r="D56" s="301">
        <v>79.900000000000006</v>
      </c>
      <c r="E56" s="301">
        <v>58.7</v>
      </c>
      <c r="F56" s="301">
        <v>89.6</v>
      </c>
      <c r="G56" s="301">
        <v>92.7</v>
      </c>
    </row>
    <row r="57" spans="1:7" x14ac:dyDescent="0.25">
      <c r="A57" s="442">
        <v>5</v>
      </c>
      <c r="B57" s="301"/>
      <c r="C57" s="301">
        <v>54.5</v>
      </c>
      <c r="D57" s="301">
        <v>75.599999999999994</v>
      </c>
      <c r="E57" s="301">
        <v>28.4</v>
      </c>
      <c r="F57" s="301">
        <v>88.3</v>
      </c>
      <c r="G57" s="301">
        <v>98.1</v>
      </c>
    </row>
    <row r="58" spans="1:7" x14ac:dyDescent="0.25">
      <c r="A58" s="442">
        <v>6</v>
      </c>
      <c r="B58" s="301"/>
      <c r="C58" s="301"/>
      <c r="D58" s="301"/>
      <c r="E58" s="301"/>
      <c r="F58" s="301">
        <v>85.1</v>
      </c>
      <c r="G58" s="301">
        <v>107.8</v>
      </c>
    </row>
    <row r="59" spans="1:7" x14ac:dyDescent="0.25">
      <c r="A59" s="442">
        <v>7</v>
      </c>
      <c r="B59" s="301"/>
      <c r="C59" s="301"/>
      <c r="D59" s="301"/>
      <c r="E59" s="301"/>
      <c r="F59" s="301">
        <v>87.4</v>
      </c>
      <c r="G59" s="301">
        <v>99.4</v>
      </c>
    </row>
    <row r="60" spans="1:7" x14ac:dyDescent="0.25">
      <c r="A60" s="442">
        <v>8</v>
      </c>
      <c r="B60" s="301"/>
      <c r="C60" s="301"/>
      <c r="D60" s="301"/>
      <c r="E60" s="301"/>
      <c r="F60" s="301">
        <v>82.1</v>
      </c>
      <c r="G60" s="301">
        <v>105.1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103.8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21.9</v>
      </c>
      <c r="C66" s="301">
        <v>49.7</v>
      </c>
      <c r="D66" s="301">
        <v>75.400000000000006</v>
      </c>
      <c r="E66" s="301">
        <v>30.3</v>
      </c>
      <c r="F66" s="301">
        <v>81</v>
      </c>
      <c r="G66" s="301">
        <v>103.4</v>
      </c>
    </row>
    <row r="67" spans="1:7" x14ac:dyDescent="0.25">
      <c r="A67" s="442">
        <v>2</v>
      </c>
      <c r="B67" s="301">
        <v>16.3</v>
      </c>
      <c r="C67" s="301">
        <v>48.9</v>
      </c>
      <c r="D67" s="301">
        <v>75.400000000000006</v>
      </c>
      <c r="E67" s="301">
        <v>34.5</v>
      </c>
      <c r="F67" s="301">
        <v>88.5</v>
      </c>
      <c r="G67" s="301">
        <v>103.6</v>
      </c>
    </row>
    <row r="68" spans="1:7" x14ac:dyDescent="0.25">
      <c r="A68" s="442">
        <v>3</v>
      </c>
      <c r="B68" s="301">
        <v>18.600000000000001</v>
      </c>
      <c r="C68" s="301">
        <v>52.8</v>
      </c>
      <c r="D68" s="301">
        <v>77.099999999999994</v>
      </c>
      <c r="E68" s="301">
        <v>54.2</v>
      </c>
      <c r="F68" s="301">
        <v>89.8</v>
      </c>
      <c r="G68" s="301">
        <v>98.7</v>
      </c>
    </row>
    <row r="69" spans="1:7" x14ac:dyDescent="0.25">
      <c r="A69" s="442">
        <v>4</v>
      </c>
      <c r="B69" s="301"/>
      <c r="C69" s="301"/>
      <c r="D69" s="301">
        <v>75.5</v>
      </c>
      <c r="E69" s="301">
        <v>57.1</v>
      </c>
      <c r="F69" s="301">
        <v>84.4</v>
      </c>
      <c r="G69" s="301">
        <v>94.5</v>
      </c>
    </row>
    <row r="70" spans="1:7" x14ac:dyDescent="0.25">
      <c r="A70" s="442">
        <v>5</v>
      </c>
      <c r="B70" s="301"/>
      <c r="C70" s="301"/>
      <c r="D70" s="301"/>
      <c r="E70" s="301"/>
      <c r="F70" s="301">
        <v>84.3</v>
      </c>
      <c r="G70" s="301">
        <v>92.9</v>
      </c>
    </row>
    <row r="71" spans="1:7" x14ac:dyDescent="0.25">
      <c r="A71" s="442">
        <v>6</v>
      </c>
      <c r="B71" s="301"/>
      <c r="C71" s="301"/>
      <c r="D71" s="301"/>
      <c r="E71" s="301"/>
      <c r="F71" s="301">
        <v>84.7</v>
      </c>
      <c r="G71" s="301">
        <v>95.1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110.2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19.8</v>
      </c>
      <c r="C76" s="301">
        <v>54.2</v>
      </c>
      <c r="D76" s="301">
        <v>84.8</v>
      </c>
      <c r="E76" s="301">
        <v>48.5</v>
      </c>
      <c r="F76" s="301">
        <v>81.599999999999994</v>
      </c>
      <c r="G76" s="301">
        <v>105.3</v>
      </c>
    </row>
    <row r="77" spans="1:7" x14ac:dyDescent="0.25">
      <c r="A77" s="442">
        <v>2</v>
      </c>
      <c r="B77" s="301">
        <v>24.1</v>
      </c>
      <c r="C77" s="301">
        <v>54.1</v>
      </c>
      <c r="D77" s="301">
        <v>76.599999999999994</v>
      </c>
      <c r="E77" s="301">
        <v>39.799999999999997</v>
      </c>
      <c r="F77" s="301">
        <v>83.1</v>
      </c>
      <c r="G77" s="301">
        <v>92.2</v>
      </c>
    </row>
    <row r="78" spans="1:7" x14ac:dyDescent="0.25">
      <c r="A78" s="442">
        <v>3</v>
      </c>
      <c r="B78" s="301"/>
      <c r="C78" s="301"/>
      <c r="D78" s="301"/>
      <c r="E78" s="301">
        <v>43.7</v>
      </c>
      <c r="F78" s="301">
        <v>80.400000000000006</v>
      </c>
      <c r="G78" s="301">
        <v>98.5</v>
      </c>
    </row>
    <row r="79" spans="1:7" x14ac:dyDescent="0.25">
      <c r="A79" s="442">
        <v>4</v>
      </c>
      <c r="B79" s="301"/>
      <c r="C79" s="301"/>
      <c r="D79" s="301"/>
      <c r="E79" s="301"/>
      <c r="F79" s="301">
        <v>84.2</v>
      </c>
      <c r="G79" s="301">
        <v>105.4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24.3</v>
      </c>
      <c r="C83" s="301">
        <v>48.9</v>
      </c>
      <c r="D83" s="301">
        <v>75.599999999999994</v>
      </c>
      <c r="E83" s="301">
        <v>56.5</v>
      </c>
      <c r="F83" s="301">
        <v>86.7</v>
      </c>
      <c r="G83" s="301">
        <v>107</v>
      </c>
    </row>
    <row r="84" spans="1:7" x14ac:dyDescent="0.25">
      <c r="A84" s="442">
        <v>2</v>
      </c>
      <c r="B84" s="301">
        <v>20.7</v>
      </c>
      <c r="C84" s="301">
        <v>46.4</v>
      </c>
      <c r="D84" s="301">
        <v>79.2</v>
      </c>
      <c r="E84" s="301">
        <v>50.5</v>
      </c>
      <c r="F84" s="301">
        <v>82.8</v>
      </c>
      <c r="G84" s="301">
        <v>93.8</v>
      </c>
    </row>
    <row r="85" spans="1:7" x14ac:dyDescent="0.25">
      <c r="A85" s="442">
        <v>3</v>
      </c>
      <c r="B85" s="301">
        <v>10.4</v>
      </c>
      <c r="C85" s="301">
        <v>46.8</v>
      </c>
      <c r="D85" s="301">
        <v>84.8</v>
      </c>
      <c r="E85" s="301">
        <v>36.799999999999997</v>
      </c>
      <c r="F85" s="301">
        <v>87.5</v>
      </c>
      <c r="G85" s="301">
        <v>96.5</v>
      </c>
    </row>
    <row r="86" spans="1:7" x14ac:dyDescent="0.25">
      <c r="A86" s="442">
        <v>4</v>
      </c>
      <c r="B86" s="301"/>
      <c r="C86" s="301"/>
      <c r="D86" s="301"/>
      <c r="E86" s="301">
        <v>27.6</v>
      </c>
      <c r="F86" s="301">
        <v>80.8</v>
      </c>
      <c r="G86" s="301">
        <v>102</v>
      </c>
    </row>
    <row r="87" spans="1:7" x14ac:dyDescent="0.25">
      <c r="A87" s="442">
        <v>5</v>
      </c>
      <c r="B87" s="301"/>
      <c r="C87" s="301"/>
      <c r="D87" s="301"/>
      <c r="E87" s="301"/>
      <c r="F87" s="301">
        <v>87.4</v>
      </c>
      <c r="G87" s="301">
        <v>99.6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108.4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26.1</v>
      </c>
      <c r="C93" s="301">
        <v>47.1</v>
      </c>
      <c r="D93" s="301">
        <v>75.7</v>
      </c>
      <c r="E93" s="301">
        <v>30.4</v>
      </c>
      <c r="F93" s="301">
        <v>82.5</v>
      </c>
      <c r="G93" s="301">
        <v>90.9</v>
      </c>
    </row>
    <row r="94" spans="1:7" x14ac:dyDescent="0.25">
      <c r="A94" s="442">
        <v>2</v>
      </c>
      <c r="B94" s="301">
        <v>10.8</v>
      </c>
      <c r="C94" s="301">
        <v>46.2</v>
      </c>
      <c r="D94" s="301">
        <v>81</v>
      </c>
      <c r="E94" s="301">
        <v>36.200000000000003</v>
      </c>
      <c r="F94" s="301">
        <v>87.6</v>
      </c>
      <c r="G94" s="301">
        <v>107.6</v>
      </c>
    </row>
    <row r="95" spans="1:7" x14ac:dyDescent="0.25">
      <c r="A95" s="442">
        <v>3</v>
      </c>
      <c r="B95" s="301"/>
      <c r="C95" s="301"/>
      <c r="D95" s="301"/>
      <c r="E95" s="301">
        <v>34.799999999999997</v>
      </c>
      <c r="F95" s="301">
        <v>83.9</v>
      </c>
      <c r="G95" s="301">
        <v>104.4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101.6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29.5</v>
      </c>
      <c r="C100" s="301">
        <v>55</v>
      </c>
      <c r="D100" s="301">
        <v>79.7</v>
      </c>
      <c r="E100" s="301">
        <v>30.6</v>
      </c>
      <c r="F100" s="301">
        <v>89.4</v>
      </c>
      <c r="G100" s="301">
        <v>106.6</v>
      </c>
    </row>
    <row r="101" spans="1:7" x14ac:dyDescent="0.25">
      <c r="A101" s="442">
        <v>2</v>
      </c>
      <c r="B101" s="301">
        <v>18.899999999999999</v>
      </c>
      <c r="C101" s="301">
        <v>53.1</v>
      </c>
      <c r="D101" s="301">
        <v>77.599999999999994</v>
      </c>
      <c r="E101" s="301">
        <v>43.1</v>
      </c>
      <c r="F101" s="301">
        <v>80.7</v>
      </c>
      <c r="G101" s="301">
        <v>103</v>
      </c>
    </row>
    <row r="102" spans="1:7" x14ac:dyDescent="0.25">
      <c r="A102" s="442">
        <v>3</v>
      </c>
      <c r="B102" s="301">
        <v>23</v>
      </c>
      <c r="C102" s="301">
        <v>50</v>
      </c>
      <c r="D102" s="301">
        <v>81.7</v>
      </c>
      <c r="E102" s="301">
        <v>53.4</v>
      </c>
      <c r="F102" s="301">
        <v>84.6</v>
      </c>
      <c r="G102" s="301">
        <v>94.4</v>
      </c>
    </row>
    <row r="103" spans="1:7" x14ac:dyDescent="0.25">
      <c r="A103" s="442">
        <v>4</v>
      </c>
      <c r="B103" s="301">
        <v>10.3</v>
      </c>
      <c r="C103" s="301">
        <v>45.1</v>
      </c>
      <c r="D103" s="301">
        <v>83.9</v>
      </c>
      <c r="E103" s="301">
        <v>59.4</v>
      </c>
      <c r="F103" s="301">
        <v>89.7</v>
      </c>
      <c r="G103" s="301">
        <v>97.1</v>
      </c>
    </row>
    <row r="104" spans="1:7" x14ac:dyDescent="0.25">
      <c r="A104" s="442">
        <v>5</v>
      </c>
      <c r="B104" s="301">
        <v>24.1</v>
      </c>
      <c r="C104" s="301">
        <v>52.9</v>
      </c>
      <c r="D104" s="301">
        <v>81.900000000000006</v>
      </c>
      <c r="E104" s="301">
        <v>40.799999999999997</v>
      </c>
      <c r="F104" s="301">
        <v>82.6</v>
      </c>
      <c r="G104" s="301">
        <v>94.9</v>
      </c>
    </row>
    <row r="105" spans="1:7" x14ac:dyDescent="0.25">
      <c r="A105" s="442">
        <v>6</v>
      </c>
      <c r="B105" s="301">
        <v>17.600000000000001</v>
      </c>
      <c r="C105" s="301">
        <v>54.3</v>
      </c>
      <c r="D105" s="301">
        <v>77.3</v>
      </c>
      <c r="E105" s="301">
        <v>52</v>
      </c>
      <c r="F105" s="301">
        <v>80</v>
      </c>
      <c r="G105" s="301">
        <v>110.5</v>
      </c>
    </row>
    <row r="106" spans="1:7" x14ac:dyDescent="0.25">
      <c r="A106" s="442">
        <v>7</v>
      </c>
      <c r="B106" s="301">
        <v>17.399999999999999</v>
      </c>
      <c r="C106" s="301">
        <v>46</v>
      </c>
      <c r="D106" s="301">
        <v>78.8</v>
      </c>
      <c r="E106" s="301">
        <v>33.5</v>
      </c>
      <c r="F106" s="301">
        <v>87.9</v>
      </c>
      <c r="G106" s="301">
        <v>103.9</v>
      </c>
    </row>
    <row r="107" spans="1:7" x14ac:dyDescent="0.25">
      <c r="A107" s="442">
        <v>8</v>
      </c>
      <c r="B107" s="301">
        <v>18.7</v>
      </c>
      <c r="C107" s="301">
        <v>54.5</v>
      </c>
      <c r="D107" s="301">
        <v>75.3</v>
      </c>
      <c r="E107" s="301">
        <v>26.9</v>
      </c>
      <c r="F107" s="301">
        <v>80</v>
      </c>
      <c r="G107" s="301">
        <v>99.5</v>
      </c>
    </row>
    <row r="108" spans="1:7" x14ac:dyDescent="0.25">
      <c r="A108" s="442">
        <v>9</v>
      </c>
      <c r="B108" s="301">
        <v>15.2</v>
      </c>
      <c r="C108" s="301">
        <v>53.8</v>
      </c>
      <c r="D108" s="301">
        <v>77.5</v>
      </c>
      <c r="E108" s="301">
        <v>53.2</v>
      </c>
      <c r="F108" s="301">
        <v>87.2</v>
      </c>
      <c r="G108" s="301">
        <v>105.3</v>
      </c>
    </row>
    <row r="109" spans="1:7" x14ac:dyDescent="0.25">
      <c r="A109" s="442">
        <v>10</v>
      </c>
      <c r="B109" s="301">
        <v>30</v>
      </c>
      <c r="C109" s="301">
        <v>54.8</v>
      </c>
      <c r="D109" s="301">
        <v>81.099999999999994</v>
      </c>
      <c r="E109" s="301">
        <v>31.6</v>
      </c>
      <c r="F109" s="301">
        <v>83.2</v>
      </c>
      <c r="G109" s="301">
        <v>99.9</v>
      </c>
    </row>
    <row r="110" spans="1:7" x14ac:dyDescent="0.25">
      <c r="A110" s="442">
        <v>11</v>
      </c>
      <c r="B110" s="301"/>
      <c r="C110" s="301">
        <v>45.3</v>
      </c>
      <c r="D110" s="301">
        <v>81.3</v>
      </c>
      <c r="E110" s="301">
        <v>58.1</v>
      </c>
      <c r="F110" s="301">
        <v>81.5</v>
      </c>
      <c r="G110" s="301">
        <v>90.7</v>
      </c>
    </row>
    <row r="111" spans="1:7" x14ac:dyDescent="0.25">
      <c r="A111" s="442">
        <v>12</v>
      </c>
      <c r="B111" s="301"/>
      <c r="C111" s="301">
        <v>53.1</v>
      </c>
      <c r="D111" s="301"/>
      <c r="E111" s="301">
        <v>54.9</v>
      </c>
      <c r="F111" s="301">
        <v>80.2</v>
      </c>
      <c r="G111" s="301">
        <v>95</v>
      </c>
    </row>
    <row r="112" spans="1:7" x14ac:dyDescent="0.25">
      <c r="A112" s="442">
        <v>13</v>
      </c>
      <c r="B112" s="301"/>
      <c r="C112" s="301">
        <v>49.9</v>
      </c>
      <c r="D112" s="301"/>
      <c r="E112" s="301">
        <v>43.4</v>
      </c>
      <c r="F112" s="301">
        <v>88.6</v>
      </c>
      <c r="G112" s="301">
        <v>104.1</v>
      </c>
    </row>
    <row r="113" spans="1:7" x14ac:dyDescent="0.25">
      <c r="A113" s="442">
        <v>14</v>
      </c>
      <c r="B113" s="301"/>
      <c r="C113" s="301"/>
      <c r="D113" s="301"/>
      <c r="E113" s="301">
        <v>54.7</v>
      </c>
      <c r="F113" s="301">
        <v>82.7</v>
      </c>
      <c r="G113" s="301">
        <v>106.9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86.7</v>
      </c>
      <c r="G114" s="301">
        <v>91.1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86.2</v>
      </c>
      <c r="G115" s="301">
        <v>104.7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82.5</v>
      </c>
      <c r="G116" s="301">
        <v>100.5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82.9</v>
      </c>
      <c r="G117" s="301">
        <v>103.8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85.5</v>
      </c>
      <c r="G118" s="301">
        <v>106.1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84.1</v>
      </c>
      <c r="G119" s="301">
        <v>99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84.4</v>
      </c>
      <c r="G120" s="301">
        <v>97.9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86</v>
      </c>
      <c r="G121" s="301">
        <v>102.4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19</v>
      </c>
      <c r="C125" s="301">
        <v>45.6</v>
      </c>
      <c r="D125" s="301">
        <v>76</v>
      </c>
      <c r="E125" s="301">
        <v>55.5</v>
      </c>
      <c r="F125" s="301">
        <v>82.8</v>
      </c>
      <c r="G125" s="301">
        <v>100.6</v>
      </c>
    </row>
    <row r="126" spans="1:7" x14ac:dyDescent="0.25">
      <c r="A126" s="442">
        <v>2</v>
      </c>
      <c r="B126" s="301">
        <v>20.100000000000001</v>
      </c>
      <c r="C126" s="301">
        <v>49.2</v>
      </c>
      <c r="D126" s="301">
        <v>78.400000000000006</v>
      </c>
      <c r="E126" s="301">
        <v>56.1</v>
      </c>
      <c r="F126" s="301">
        <v>82.5</v>
      </c>
      <c r="G126" s="301">
        <v>95</v>
      </c>
    </row>
    <row r="127" spans="1:7" x14ac:dyDescent="0.25">
      <c r="A127" s="442">
        <v>3</v>
      </c>
      <c r="B127" s="301">
        <v>19.100000000000001</v>
      </c>
      <c r="C127" s="301">
        <v>50.5</v>
      </c>
      <c r="D127" s="301">
        <v>76.400000000000006</v>
      </c>
      <c r="E127" s="301">
        <v>54.9</v>
      </c>
      <c r="F127" s="301">
        <v>84.8</v>
      </c>
      <c r="G127" s="301">
        <v>111</v>
      </c>
    </row>
    <row r="128" spans="1:7" x14ac:dyDescent="0.25">
      <c r="A128" s="442">
        <v>4</v>
      </c>
      <c r="B128" s="301">
        <v>25.7</v>
      </c>
      <c r="C128" s="301">
        <v>47.7</v>
      </c>
      <c r="D128" s="301">
        <v>75</v>
      </c>
      <c r="E128" s="301">
        <v>44.6</v>
      </c>
      <c r="F128" s="301">
        <v>80.3</v>
      </c>
      <c r="G128" s="301">
        <v>102.4</v>
      </c>
    </row>
    <row r="129" spans="1:7" x14ac:dyDescent="0.25">
      <c r="A129" s="442">
        <v>5</v>
      </c>
      <c r="B129" s="301">
        <v>16.399999999999999</v>
      </c>
      <c r="C129" s="301">
        <v>46.3</v>
      </c>
      <c r="D129" s="301">
        <v>83</v>
      </c>
      <c r="E129" s="301">
        <v>41.5</v>
      </c>
      <c r="F129" s="301">
        <v>82.3</v>
      </c>
      <c r="G129" s="301">
        <v>108.8</v>
      </c>
    </row>
    <row r="130" spans="1:7" x14ac:dyDescent="0.25">
      <c r="A130" s="442">
        <v>6</v>
      </c>
      <c r="B130" s="301">
        <v>13.3</v>
      </c>
      <c r="C130" s="301">
        <v>45.1</v>
      </c>
      <c r="D130" s="301">
        <v>84.8</v>
      </c>
      <c r="E130" s="301">
        <v>57.9</v>
      </c>
      <c r="F130" s="301">
        <v>88.9</v>
      </c>
      <c r="G130" s="301">
        <v>90.1</v>
      </c>
    </row>
    <row r="131" spans="1:7" x14ac:dyDescent="0.25">
      <c r="A131" s="442">
        <v>7</v>
      </c>
      <c r="B131" s="301">
        <v>15</v>
      </c>
      <c r="C131" s="301">
        <v>52</v>
      </c>
      <c r="D131" s="301">
        <v>76.400000000000006</v>
      </c>
      <c r="E131" s="301">
        <v>40.700000000000003</v>
      </c>
      <c r="F131" s="301">
        <v>80.599999999999994</v>
      </c>
      <c r="G131" s="301">
        <v>99.2</v>
      </c>
    </row>
    <row r="132" spans="1:7" x14ac:dyDescent="0.25">
      <c r="A132" s="442">
        <v>8</v>
      </c>
      <c r="B132" s="301">
        <v>22.2</v>
      </c>
      <c r="C132" s="301">
        <v>49.7</v>
      </c>
      <c r="D132" s="301">
        <v>83.4</v>
      </c>
      <c r="E132" s="301">
        <v>59.9</v>
      </c>
      <c r="F132" s="301">
        <v>81.599999999999994</v>
      </c>
      <c r="G132" s="301">
        <v>90.8</v>
      </c>
    </row>
    <row r="133" spans="1:7" x14ac:dyDescent="0.25">
      <c r="A133" s="442">
        <v>9</v>
      </c>
      <c r="B133" s="301">
        <v>27.2</v>
      </c>
      <c r="C133" s="301">
        <v>51.1</v>
      </c>
      <c r="D133" s="301">
        <v>75.5</v>
      </c>
      <c r="E133" s="301">
        <v>34.200000000000003</v>
      </c>
      <c r="F133" s="301">
        <v>83.8</v>
      </c>
      <c r="G133" s="301">
        <v>99.6</v>
      </c>
    </row>
    <row r="134" spans="1:7" x14ac:dyDescent="0.25">
      <c r="A134" s="442">
        <v>10</v>
      </c>
      <c r="B134" s="301">
        <v>12</v>
      </c>
      <c r="C134" s="301">
        <v>51.9</v>
      </c>
      <c r="D134" s="301">
        <v>75.2</v>
      </c>
      <c r="E134" s="301">
        <v>28.8</v>
      </c>
      <c r="F134" s="301">
        <v>85.4</v>
      </c>
      <c r="G134" s="301">
        <v>95.4</v>
      </c>
    </row>
    <row r="135" spans="1:7" x14ac:dyDescent="0.25">
      <c r="A135" s="442">
        <v>11</v>
      </c>
      <c r="B135" s="301"/>
      <c r="C135" s="301">
        <v>53.1</v>
      </c>
      <c r="D135" s="301">
        <v>85</v>
      </c>
      <c r="E135" s="301">
        <v>25</v>
      </c>
      <c r="F135" s="301">
        <v>85.6</v>
      </c>
      <c r="G135" s="301">
        <v>92.1</v>
      </c>
    </row>
    <row r="136" spans="1:7" x14ac:dyDescent="0.25">
      <c r="A136" s="442">
        <v>12</v>
      </c>
      <c r="B136" s="301"/>
      <c r="C136" s="301">
        <v>48.6</v>
      </c>
      <c r="D136" s="301">
        <v>79</v>
      </c>
      <c r="E136" s="301">
        <v>59.5</v>
      </c>
      <c r="F136" s="301">
        <v>80.3</v>
      </c>
      <c r="G136" s="301">
        <v>101</v>
      </c>
    </row>
    <row r="137" spans="1:7" x14ac:dyDescent="0.25">
      <c r="A137" s="442">
        <v>13</v>
      </c>
      <c r="B137" s="301"/>
      <c r="C137" s="301"/>
      <c r="D137" s="301"/>
      <c r="E137" s="301">
        <v>55.2</v>
      </c>
      <c r="F137" s="301">
        <v>89.8</v>
      </c>
      <c r="G137" s="301">
        <v>108.1</v>
      </c>
    </row>
    <row r="138" spans="1:7" x14ac:dyDescent="0.25">
      <c r="A138" s="442">
        <v>14</v>
      </c>
      <c r="B138" s="301"/>
      <c r="C138" s="301"/>
      <c r="D138" s="301"/>
      <c r="E138" s="301">
        <v>46.6</v>
      </c>
      <c r="F138" s="301">
        <v>84.2</v>
      </c>
      <c r="G138" s="301">
        <v>92.2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81.599999999999994</v>
      </c>
      <c r="G139" s="301">
        <v>109.3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88.7</v>
      </c>
      <c r="G140" s="301">
        <v>107.6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87.4</v>
      </c>
      <c r="G141" s="301">
        <v>91.3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88.8</v>
      </c>
      <c r="G142" s="301">
        <v>96.6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82.5</v>
      </c>
      <c r="G143" s="301">
        <v>103.2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94.1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90.3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109.1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94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ROUNDDOWN(AVERAGE(B6:D20),1)</f>
        <v>50.5</v>
      </c>
      <c r="C151" s="301">
        <f>ROUNDDOWN(AVERAGE(E6:G34),1)</f>
        <v>82.1</v>
      </c>
      <c r="D151" s="353">
        <v>28044</v>
      </c>
      <c r="E151" s="362">
        <v>46876</v>
      </c>
      <c r="F151" s="353">
        <f>B151*D151</f>
        <v>1416222</v>
      </c>
      <c r="G151" s="353">
        <f>C151*E151</f>
        <v>3848519.5999999996</v>
      </c>
    </row>
    <row r="152" spans="1:7" x14ac:dyDescent="0.25">
      <c r="A152" s="298" t="s">
        <v>370</v>
      </c>
      <c r="B152" s="301">
        <f>ROUNDDOWN(AVERAGE(B39:D44),1)</f>
        <v>51.5</v>
      </c>
      <c r="C152" s="301">
        <f>ROUNDDOWN(AVERAGE(E39:G48),1)</f>
        <v>81</v>
      </c>
      <c r="D152" s="353">
        <v>10608</v>
      </c>
      <c r="E152" s="362">
        <v>17161</v>
      </c>
      <c r="F152" s="353">
        <f t="shared" ref="F152:G159" si="0">B152*D152</f>
        <v>546312</v>
      </c>
      <c r="G152" s="353">
        <f t="shared" si="0"/>
        <v>1390041</v>
      </c>
    </row>
    <row r="153" spans="1:7" x14ac:dyDescent="0.25">
      <c r="A153" s="298" t="s">
        <v>371</v>
      </c>
      <c r="B153" s="301">
        <f>ROUNDDOWN(AVERAGE(B53:D57),1)</f>
        <v>53.4</v>
      </c>
      <c r="C153" s="301">
        <f>ROUNDDOWN(AVERAGE(E53:G61),1)</f>
        <v>82.4</v>
      </c>
      <c r="D153" s="353">
        <v>8465</v>
      </c>
      <c r="E153" s="362">
        <v>14862</v>
      </c>
      <c r="F153" s="353">
        <f t="shared" si="0"/>
        <v>452031</v>
      </c>
      <c r="G153" s="353">
        <f t="shared" si="0"/>
        <v>1224628.8</v>
      </c>
    </row>
    <row r="154" spans="1:7" x14ac:dyDescent="0.25">
      <c r="A154" s="298" t="s">
        <v>372</v>
      </c>
      <c r="B154" s="301">
        <f>ROUNDDOWN(AVERAGE(B66:D69),1)</f>
        <v>51.1</v>
      </c>
      <c r="C154" s="301">
        <f>ROUNDDOWN(AVERAGE(E66:G72),1)</f>
        <v>81.599999999999994</v>
      </c>
      <c r="D154" s="353">
        <v>6339</v>
      </c>
      <c r="E154" s="362">
        <v>10499</v>
      </c>
      <c r="F154" s="353">
        <f t="shared" si="0"/>
        <v>323922.90000000002</v>
      </c>
      <c r="G154" s="353">
        <f t="shared" si="0"/>
        <v>856718.39999999991</v>
      </c>
    </row>
    <row r="155" spans="1:7" x14ac:dyDescent="0.25">
      <c r="A155" s="298" t="s">
        <v>373</v>
      </c>
      <c r="B155" s="301">
        <f>ROUNDDOWN(AVERAGE(B76:D77),1)</f>
        <v>52.2</v>
      </c>
      <c r="C155" s="301">
        <f>ROUNDDOWN(AVERAGE(E76:G79),1)</f>
        <v>78.400000000000006</v>
      </c>
      <c r="D155" s="353">
        <v>3699</v>
      </c>
      <c r="E155" s="362">
        <v>6495</v>
      </c>
      <c r="F155" s="353">
        <f t="shared" si="0"/>
        <v>193087.80000000002</v>
      </c>
      <c r="G155" s="353">
        <f t="shared" si="0"/>
        <v>509208.00000000006</v>
      </c>
    </row>
    <row r="156" spans="1:7" x14ac:dyDescent="0.25">
      <c r="A156" s="298" t="s">
        <v>374</v>
      </c>
      <c r="B156" s="301">
        <f>ROUNDDOWN(AVERAGE(B83:D85),1)</f>
        <v>48.5</v>
      </c>
      <c r="C156" s="301">
        <f>ROUNDDOWN(AVERAGE(E83:G88),1)</f>
        <v>80.2</v>
      </c>
      <c r="D156" s="353">
        <v>5340</v>
      </c>
      <c r="E156" s="362">
        <v>9362</v>
      </c>
      <c r="F156" s="353">
        <f t="shared" si="0"/>
        <v>258990</v>
      </c>
      <c r="G156" s="353">
        <f t="shared" si="0"/>
        <v>750832.4</v>
      </c>
    </row>
    <row r="157" spans="1:7" x14ac:dyDescent="0.25">
      <c r="A157" s="298" t="s">
        <v>375</v>
      </c>
      <c r="B157" s="301">
        <f>ROUNDDOWN(AVERAGE(B93:D94),1)</f>
        <v>47.8</v>
      </c>
      <c r="C157" s="301">
        <f>ROUNDDOWN(AVERAGE(E93:G96),1)</f>
        <v>75.900000000000006</v>
      </c>
      <c r="D157" s="353">
        <v>3613</v>
      </c>
      <c r="E157" s="362">
        <v>5824</v>
      </c>
      <c r="F157" s="353">
        <f t="shared" si="0"/>
        <v>172701.4</v>
      </c>
      <c r="G157" s="353">
        <f t="shared" si="0"/>
        <v>442041.60000000003</v>
      </c>
    </row>
    <row r="158" spans="1:7" x14ac:dyDescent="0.25">
      <c r="A158" s="298" t="s">
        <v>365</v>
      </c>
      <c r="B158" s="301">
        <f>ROUNDDOWN(AVERAGE(B100:D112),1)</f>
        <v>51.4</v>
      </c>
      <c r="C158" s="301">
        <f>ROUNDDOWN(AVERAGE(E100:G121),1)</f>
        <v>81.099999999999994</v>
      </c>
      <c r="D158" s="353">
        <v>23194</v>
      </c>
      <c r="E158" s="362">
        <v>40070</v>
      </c>
      <c r="F158" s="353">
        <f t="shared" si="0"/>
        <v>1192171.5999999999</v>
      </c>
      <c r="G158" s="353">
        <f t="shared" si="0"/>
        <v>3249677</v>
      </c>
    </row>
    <row r="159" spans="1:7" x14ac:dyDescent="0.25">
      <c r="A159" s="298" t="s">
        <v>366</v>
      </c>
      <c r="B159" s="301">
        <f>ROUNDDOWN(AVERAGE(B125:D136),1)</f>
        <v>50.8</v>
      </c>
      <c r="C159" s="301">
        <f>ROUNDDOWN(AVERAGE(E125:G147),1)</f>
        <v>81.099999999999994</v>
      </c>
      <c r="D159" s="353">
        <v>22794</v>
      </c>
      <c r="E159" s="362">
        <v>40318</v>
      </c>
      <c r="F159" s="353">
        <f t="shared" si="0"/>
        <v>1157935.2</v>
      </c>
      <c r="G159" s="353">
        <f t="shared" si="0"/>
        <v>3269789.8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191467</v>
      </c>
      <c r="F160" s="353">
        <f>SUM(F151:F159)</f>
        <v>5713373.8999999994</v>
      </c>
      <c r="G160" s="353">
        <f>SUM(G151:G159)</f>
        <v>15541456.599999998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50.9</v>
      </c>
      <c r="D165" s="280">
        <f>ROUNDDOWN(G160/E160,1)</f>
        <v>81.099999999999994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9"/>
  <sheetViews>
    <sheetView zoomScale="85" zoomScaleNormal="85" workbookViewId="0">
      <selection activeCell="C42" sqref="C42"/>
    </sheetView>
  </sheetViews>
  <sheetFormatPr defaultColWidth="8.77734375" defaultRowHeight="13.8" x14ac:dyDescent="0.25"/>
  <cols>
    <col min="1" max="2" width="8.77734375" style="16"/>
    <col min="3" max="3" width="28.33203125" style="16" customWidth="1"/>
    <col min="4" max="4" width="69.109375" style="16" bestFit="1" customWidth="1"/>
    <col min="5" max="5" width="23.88671875" style="16" customWidth="1"/>
    <col min="6" max="6" width="18.77734375" style="16" customWidth="1"/>
    <col min="7" max="7" width="14.77734375" style="16" customWidth="1"/>
    <col min="8" max="8" width="8.77734375" style="16"/>
    <col min="9" max="9" width="10.6640625" style="16" bestFit="1" customWidth="1"/>
    <col min="10" max="16384" width="8.77734375" style="16"/>
  </cols>
  <sheetData>
    <row r="3" spans="2:6" x14ac:dyDescent="0.25">
      <c r="B3" s="460" t="s">
        <v>134</v>
      </c>
      <c r="C3" s="17" t="s">
        <v>118</v>
      </c>
      <c r="D3" s="17" t="s">
        <v>419</v>
      </c>
    </row>
    <row r="4" spans="2:6" x14ac:dyDescent="0.25">
      <c r="B4" s="461"/>
      <c r="C4" s="18" t="s">
        <v>152</v>
      </c>
      <c r="D4" s="18">
        <v>35300.249000000003</v>
      </c>
      <c r="F4" s="19"/>
    </row>
    <row r="5" spans="2:6" x14ac:dyDescent="0.25">
      <c r="B5" s="461"/>
      <c r="C5" s="18" t="s">
        <v>356</v>
      </c>
      <c r="D5" s="18">
        <v>17481.814999999999</v>
      </c>
      <c r="F5" s="19"/>
    </row>
    <row r="6" spans="2:6" x14ac:dyDescent="0.25">
      <c r="B6" s="462"/>
      <c r="C6" s="18" t="s">
        <v>391</v>
      </c>
      <c r="D6" s="18">
        <v>52782.063999999998</v>
      </c>
    </row>
    <row r="9" spans="2:6" x14ac:dyDescent="0.25">
      <c r="B9" s="460" t="s">
        <v>119</v>
      </c>
      <c r="C9" s="17" t="s">
        <v>118</v>
      </c>
      <c r="D9" s="17" t="s">
        <v>135</v>
      </c>
    </row>
    <row r="10" spans="2:6" ht="14.4" x14ac:dyDescent="0.25">
      <c r="B10" s="461"/>
      <c r="C10" s="18" t="str">
        <f>C4</f>
        <v>01/01/2021-31/12/2021</v>
      </c>
      <c r="D10" s="20" t="s">
        <v>388</v>
      </c>
    </row>
    <row r="11" spans="2:6" x14ac:dyDescent="0.25">
      <c r="B11" s="461"/>
      <c r="C11" s="18" t="str">
        <f>C5</f>
        <v>01/01/2022-30/06/2022</v>
      </c>
      <c r="D11" s="20" t="str">
        <f>D10</f>
        <v>18 full time jobs created，including 9 females and 9 males</v>
      </c>
    </row>
    <row r="12" spans="2:6" x14ac:dyDescent="0.25">
      <c r="B12" s="462"/>
      <c r="C12" s="18" t="s">
        <v>390</v>
      </c>
      <c r="D12" s="20" t="str">
        <f>D10</f>
        <v>18 full time jobs created，including 9 females and 9 males</v>
      </c>
    </row>
    <row r="16" spans="2:6" ht="38.549999999999997" customHeight="1" x14ac:dyDescent="0.25">
      <c r="B16" s="460" t="s">
        <v>120</v>
      </c>
      <c r="C16" s="17" t="s">
        <v>118</v>
      </c>
      <c r="D16" s="26" t="s">
        <v>340</v>
      </c>
    </row>
    <row r="17" spans="2:9" x14ac:dyDescent="0.25">
      <c r="B17" s="461"/>
      <c r="C17" s="18" t="str">
        <f>C10</f>
        <v>01/01/2021-31/12/2021</v>
      </c>
      <c r="D17" s="21">
        <f>'Emission Reduction'!H5</f>
        <v>196945</v>
      </c>
    </row>
    <row r="18" spans="2:9" x14ac:dyDescent="0.25">
      <c r="B18" s="461"/>
      <c r="C18" s="18" t="str">
        <f>C11</f>
        <v>01/01/2022-30/06/2022</v>
      </c>
      <c r="D18" s="21">
        <f>'Emission Reduction'!H6</f>
        <v>97724</v>
      </c>
    </row>
    <row r="19" spans="2:9" x14ac:dyDescent="0.25">
      <c r="B19" s="462"/>
      <c r="C19" s="18" t="str">
        <f>C12</f>
        <v>01/01/2021-30/06/2022</v>
      </c>
      <c r="D19" s="21">
        <f>'Emission Reduction'!H7</f>
        <v>294669</v>
      </c>
    </row>
    <row r="21" spans="2:9" x14ac:dyDescent="0.25">
      <c r="I21" s="22"/>
    </row>
    <row r="24" spans="2:9" x14ac:dyDescent="0.25">
      <c r="I24" s="23"/>
    </row>
    <row r="25" spans="2:9" x14ac:dyDescent="0.25">
      <c r="I25" s="24"/>
    </row>
    <row r="28" spans="2:9" x14ac:dyDescent="0.25">
      <c r="F28" s="23"/>
    </row>
    <row r="29" spans="2:9" x14ac:dyDescent="0.25">
      <c r="G29" s="25"/>
    </row>
  </sheetData>
  <mergeCells count="3">
    <mergeCell ref="B3:B6"/>
    <mergeCell ref="B9:B12"/>
    <mergeCell ref="B16:B19"/>
  </mergeCells>
  <phoneticPr fontId="9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3200-E13D-454E-A4B4-F3F099D7D5C8}">
  <dimension ref="A1:G165"/>
  <sheetViews>
    <sheetView zoomScale="120" zoomScaleNormal="120" workbookViewId="0">
      <selection activeCell="F16" sqref="F16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409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10.1</v>
      </c>
      <c r="C6" s="301">
        <v>47.2</v>
      </c>
      <c r="D6" s="301">
        <v>82</v>
      </c>
      <c r="E6" s="301">
        <v>42.7</v>
      </c>
      <c r="F6" s="301">
        <v>89.8</v>
      </c>
      <c r="G6" s="301">
        <v>96.6</v>
      </c>
    </row>
    <row r="7" spans="1:7" x14ac:dyDescent="0.25">
      <c r="A7" s="442">
        <v>2</v>
      </c>
      <c r="B7" s="301">
        <v>22</v>
      </c>
      <c r="C7" s="301">
        <v>54.9</v>
      </c>
      <c r="D7" s="301">
        <v>82.9</v>
      </c>
      <c r="E7" s="301">
        <v>26.4</v>
      </c>
      <c r="F7" s="301">
        <v>86.3</v>
      </c>
      <c r="G7" s="301">
        <v>93.9</v>
      </c>
    </row>
    <row r="8" spans="1:7" x14ac:dyDescent="0.25">
      <c r="A8" s="442">
        <v>3</v>
      </c>
      <c r="B8" s="301">
        <v>20.6</v>
      </c>
      <c r="C8" s="301">
        <v>46.9</v>
      </c>
      <c r="D8" s="301">
        <v>80.099999999999994</v>
      </c>
      <c r="E8" s="301">
        <v>46.4</v>
      </c>
      <c r="F8" s="301">
        <v>84.9</v>
      </c>
      <c r="G8" s="301">
        <v>104.6</v>
      </c>
    </row>
    <row r="9" spans="1:7" x14ac:dyDescent="0.25">
      <c r="A9" s="442">
        <v>4</v>
      </c>
      <c r="B9" s="301">
        <v>15.6</v>
      </c>
      <c r="C9" s="301">
        <v>55</v>
      </c>
      <c r="D9" s="301">
        <v>77.2</v>
      </c>
      <c r="E9" s="301">
        <v>44.3</v>
      </c>
      <c r="F9" s="301">
        <v>83.3</v>
      </c>
      <c r="G9" s="301">
        <v>105.9</v>
      </c>
    </row>
    <row r="10" spans="1:7" x14ac:dyDescent="0.25">
      <c r="A10" s="442">
        <v>5</v>
      </c>
      <c r="B10" s="301">
        <v>20.100000000000001</v>
      </c>
      <c r="C10" s="301">
        <v>45.9</v>
      </c>
      <c r="D10" s="301">
        <v>84.4</v>
      </c>
      <c r="E10" s="301">
        <v>45.3</v>
      </c>
      <c r="F10" s="301">
        <v>86.8</v>
      </c>
      <c r="G10" s="301">
        <v>92.8</v>
      </c>
    </row>
    <row r="11" spans="1:7" x14ac:dyDescent="0.25">
      <c r="A11" s="442">
        <v>6</v>
      </c>
      <c r="B11" s="301">
        <v>18.600000000000001</v>
      </c>
      <c r="C11" s="301">
        <v>49.4</v>
      </c>
      <c r="D11" s="301">
        <v>75</v>
      </c>
      <c r="E11" s="301">
        <v>56.6</v>
      </c>
      <c r="F11" s="301">
        <v>80.8</v>
      </c>
      <c r="G11" s="301">
        <v>91.2</v>
      </c>
    </row>
    <row r="12" spans="1:7" x14ac:dyDescent="0.25">
      <c r="A12" s="442">
        <v>7</v>
      </c>
      <c r="B12" s="301">
        <v>11</v>
      </c>
      <c r="C12" s="301">
        <v>53.1</v>
      </c>
      <c r="D12" s="301">
        <v>77.7</v>
      </c>
      <c r="E12" s="301">
        <v>33.4</v>
      </c>
      <c r="F12" s="301">
        <v>87.2</v>
      </c>
      <c r="G12" s="301">
        <v>107</v>
      </c>
    </row>
    <row r="13" spans="1:7" x14ac:dyDescent="0.25">
      <c r="A13" s="442">
        <v>8</v>
      </c>
      <c r="B13" s="301">
        <v>24.5</v>
      </c>
      <c r="C13" s="301">
        <v>50.9</v>
      </c>
      <c r="D13" s="301">
        <v>83</v>
      </c>
      <c r="E13" s="301">
        <v>32.200000000000003</v>
      </c>
      <c r="F13" s="301">
        <v>89.7</v>
      </c>
      <c r="G13" s="301">
        <v>109.5</v>
      </c>
    </row>
    <row r="14" spans="1:7" x14ac:dyDescent="0.25">
      <c r="A14" s="442">
        <v>9</v>
      </c>
      <c r="B14" s="301">
        <v>23.4</v>
      </c>
      <c r="C14" s="301">
        <v>47.2</v>
      </c>
      <c r="D14" s="301">
        <v>81.900000000000006</v>
      </c>
      <c r="E14" s="301">
        <v>47</v>
      </c>
      <c r="F14" s="301">
        <v>86.5</v>
      </c>
      <c r="G14" s="301">
        <v>93.6</v>
      </c>
    </row>
    <row r="15" spans="1:7" x14ac:dyDescent="0.25">
      <c r="A15" s="442">
        <v>10</v>
      </c>
      <c r="B15" s="301">
        <v>12.9</v>
      </c>
      <c r="C15" s="301">
        <v>50.5</v>
      </c>
      <c r="D15" s="301">
        <v>79.099999999999994</v>
      </c>
      <c r="E15" s="301">
        <v>35.299999999999997</v>
      </c>
      <c r="F15" s="301">
        <v>86.9</v>
      </c>
      <c r="G15" s="301">
        <v>110.6</v>
      </c>
    </row>
    <row r="16" spans="1:7" x14ac:dyDescent="0.25">
      <c r="A16" s="442">
        <v>11</v>
      </c>
      <c r="B16" s="301">
        <v>27.6</v>
      </c>
      <c r="C16" s="301">
        <v>46.8</v>
      </c>
      <c r="D16" s="301">
        <v>84.2</v>
      </c>
      <c r="E16" s="301">
        <v>57</v>
      </c>
      <c r="F16" s="301">
        <v>82</v>
      </c>
      <c r="G16" s="301">
        <v>97.1</v>
      </c>
    </row>
    <row r="17" spans="1:7" x14ac:dyDescent="0.25">
      <c r="A17" s="442">
        <v>12</v>
      </c>
      <c r="B17" s="301">
        <v>20.6</v>
      </c>
      <c r="C17" s="301">
        <v>54.8</v>
      </c>
      <c r="D17" s="301">
        <v>81.099999999999994</v>
      </c>
      <c r="E17" s="301">
        <v>53.8</v>
      </c>
      <c r="F17" s="301">
        <v>80.7</v>
      </c>
      <c r="G17" s="301">
        <v>102.3</v>
      </c>
    </row>
    <row r="18" spans="1:7" x14ac:dyDescent="0.25">
      <c r="A18" s="442">
        <v>13</v>
      </c>
      <c r="B18" s="301">
        <v>15.3</v>
      </c>
      <c r="C18" s="301">
        <v>52</v>
      </c>
      <c r="D18" s="301">
        <v>80.099999999999994</v>
      </c>
      <c r="E18" s="301">
        <v>57.5</v>
      </c>
      <c r="F18" s="301">
        <v>86.5</v>
      </c>
      <c r="G18" s="301">
        <v>95</v>
      </c>
    </row>
    <row r="19" spans="1:7" x14ac:dyDescent="0.25">
      <c r="A19" s="442">
        <v>14</v>
      </c>
      <c r="B19" s="301"/>
      <c r="C19" s="301"/>
      <c r="D19" s="301">
        <v>81.7</v>
      </c>
      <c r="E19" s="301">
        <v>57.6</v>
      </c>
      <c r="F19" s="301">
        <v>84.9</v>
      </c>
      <c r="G19" s="301">
        <v>106.2</v>
      </c>
    </row>
    <row r="20" spans="1:7" x14ac:dyDescent="0.25">
      <c r="A20" s="442">
        <v>15</v>
      </c>
      <c r="B20" s="301"/>
      <c r="C20" s="301"/>
      <c r="D20" s="301"/>
      <c r="E20" s="301">
        <v>51.3</v>
      </c>
      <c r="F20" s="301">
        <v>82</v>
      </c>
      <c r="G20" s="301">
        <v>97.5</v>
      </c>
    </row>
    <row r="21" spans="1:7" x14ac:dyDescent="0.25">
      <c r="A21" s="442">
        <v>16</v>
      </c>
      <c r="B21" s="301"/>
      <c r="C21" s="301"/>
      <c r="D21" s="301"/>
      <c r="E21" s="301">
        <v>26</v>
      </c>
      <c r="F21" s="301">
        <v>81.400000000000006</v>
      </c>
      <c r="G21" s="301">
        <v>105.7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83</v>
      </c>
      <c r="G22" s="301">
        <v>99.2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86.4</v>
      </c>
      <c r="G23" s="301">
        <v>96.6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82.4</v>
      </c>
      <c r="G24" s="301">
        <v>97.4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86.5</v>
      </c>
      <c r="G25" s="301">
        <v>93.8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85.9</v>
      </c>
      <c r="G26" s="301">
        <v>91.3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86.5</v>
      </c>
      <c r="G27" s="301">
        <v>91.7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86.2</v>
      </c>
      <c r="G28" s="301">
        <v>103.2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88.9</v>
      </c>
      <c r="G29" s="301">
        <v>102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108.2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96.3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92.6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97.4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100.7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14.4</v>
      </c>
      <c r="C39" s="301">
        <v>53.2</v>
      </c>
      <c r="D39" s="301">
        <v>77.2</v>
      </c>
      <c r="E39" s="301">
        <v>38.799999999999997</v>
      </c>
      <c r="F39" s="301">
        <v>84.9</v>
      </c>
      <c r="G39" s="301">
        <v>109.7</v>
      </c>
    </row>
    <row r="40" spans="1:7" x14ac:dyDescent="0.25">
      <c r="A40" s="442">
        <v>2</v>
      </c>
      <c r="B40" s="301">
        <v>15.1</v>
      </c>
      <c r="C40" s="301">
        <v>49.9</v>
      </c>
      <c r="D40" s="301">
        <v>80.599999999999994</v>
      </c>
      <c r="E40" s="301">
        <v>25.8</v>
      </c>
      <c r="F40" s="301">
        <v>87.9</v>
      </c>
      <c r="G40" s="301">
        <v>110.8</v>
      </c>
    </row>
    <row r="41" spans="1:7" x14ac:dyDescent="0.25">
      <c r="A41" s="442">
        <v>3</v>
      </c>
      <c r="B41" s="301">
        <v>16.2</v>
      </c>
      <c r="C41" s="301">
        <v>50.7</v>
      </c>
      <c r="D41" s="301">
        <v>75.099999999999994</v>
      </c>
      <c r="E41" s="301">
        <v>52.9</v>
      </c>
      <c r="F41" s="301">
        <v>88.1</v>
      </c>
      <c r="G41" s="301">
        <v>91.6</v>
      </c>
    </row>
    <row r="42" spans="1:7" x14ac:dyDescent="0.25">
      <c r="A42" s="442">
        <v>4</v>
      </c>
      <c r="B42" s="301">
        <v>28.7</v>
      </c>
      <c r="C42" s="301">
        <v>45.7</v>
      </c>
      <c r="D42" s="301">
        <v>79.5</v>
      </c>
      <c r="E42" s="301">
        <v>49.9</v>
      </c>
      <c r="F42" s="301">
        <v>86.7</v>
      </c>
      <c r="G42" s="301">
        <v>108.7</v>
      </c>
    </row>
    <row r="43" spans="1:7" x14ac:dyDescent="0.25">
      <c r="A43" s="442">
        <v>5</v>
      </c>
      <c r="B43" s="301">
        <v>20.8</v>
      </c>
      <c r="C43" s="301">
        <v>54.8</v>
      </c>
      <c r="D43" s="301">
        <v>85</v>
      </c>
      <c r="E43" s="301">
        <v>57.8</v>
      </c>
      <c r="F43" s="301">
        <v>83.4</v>
      </c>
      <c r="G43" s="301">
        <v>91.5</v>
      </c>
    </row>
    <row r="44" spans="1:7" x14ac:dyDescent="0.25">
      <c r="A44" s="442">
        <v>6</v>
      </c>
      <c r="B44" s="301"/>
      <c r="C44" s="301">
        <v>51.5</v>
      </c>
      <c r="D44" s="301"/>
      <c r="E44" s="301">
        <v>35.6</v>
      </c>
      <c r="F44" s="301">
        <v>84</v>
      </c>
      <c r="G44" s="301">
        <v>94.6</v>
      </c>
    </row>
    <row r="45" spans="1:7" x14ac:dyDescent="0.25">
      <c r="A45" s="442">
        <v>7</v>
      </c>
      <c r="B45" s="301"/>
      <c r="C45" s="301"/>
      <c r="D45" s="301"/>
      <c r="E45" s="301"/>
      <c r="F45" s="301">
        <v>85.3</v>
      </c>
      <c r="G45" s="301">
        <v>92.8</v>
      </c>
    </row>
    <row r="46" spans="1:7" x14ac:dyDescent="0.25">
      <c r="A46" s="442">
        <v>8</v>
      </c>
      <c r="B46" s="301"/>
      <c r="C46" s="301"/>
      <c r="D46" s="301"/>
      <c r="E46" s="301"/>
      <c r="F46" s="301">
        <v>88.1</v>
      </c>
      <c r="G46" s="301">
        <v>107.2</v>
      </c>
    </row>
    <row r="47" spans="1:7" x14ac:dyDescent="0.25">
      <c r="A47" s="442">
        <v>9</v>
      </c>
      <c r="B47" s="301"/>
      <c r="C47" s="301"/>
      <c r="D47" s="301"/>
      <c r="E47" s="301"/>
      <c r="F47" s="301">
        <v>89.4</v>
      </c>
      <c r="G47" s="301">
        <v>106.1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87.6</v>
      </c>
      <c r="G48" s="301">
        <v>108.9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10.6</v>
      </c>
      <c r="C53" s="301">
        <v>45.9</v>
      </c>
      <c r="D53" s="301">
        <v>81.3</v>
      </c>
      <c r="E53" s="301">
        <v>54.8</v>
      </c>
      <c r="F53" s="301">
        <v>87.8</v>
      </c>
      <c r="G53" s="301">
        <v>97.4</v>
      </c>
    </row>
    <row r="54" spans="1:7" x14ac:dyDescent="0.25">
      <c r="A54" s="442">
        <v>2</v>
      </c>
      <c r="B54" s="301">
        <v>22.5</v>
      </c>
      <c r="C54" s="301">
        <v>46.9</v>
      </c>
      <c r="D54" s="301">
        <v>77.3</v>
      </c>
      <c r="E54" s="301">
        <v>53.4</v>
      </c>
      <c r="F54" s="301">
        <v>84.8</v>
      </c>
      <c r="G54" s="301">
        <v>108.8</v>
      </c>
    </row>
    <row r="55" spans="1:7" x14ac:dyDescent="0.25">
      <c r="A55" s="442">
        <v>3</v>
      </c>
      <c r="B55" s="301">
        <v>24</v>
      </c>
      <c r="C55" s="301">
        <v>47.6</v>
      </c>
      <c r="D55" s="301">
        <v>82.2</v>
      </c>
      <c r="E55" s="301">
        <v>30.8</v>
      </c>
      <c r="F55" s="301">
        <v>83.8</v>
      </c>
      <c r="G55" s="301">
        <v>95.1</v>
      </c>
    </row>
    <row r="56" spans="1:7" x14ac:dyDescent="0.25">
      <c r="A56" s="442">
        <v>4</v>
      </c>
      <c r="B56" s="301">
        <v>14</v>
      </c>
      <c r="C56" s="301">
        <v>51</v>
      </c>
      <c r="D56" s="301">
        <v>82.6</v>
      </c>
      <c r="E56" s="301">
        <v>29.2</v>
      </c>
      <c r="F56" s="301">
        <v>81.3</v>
      </c>
      <c r="G56" s="301">
        <v>91.1</v>
      </c>
    </row>
    <row r="57" spans="1:7" x14ac:dyDescent="0.25">
      <c r="A57" s="442">
        <v>5</v>
      </c>
      <c r="B57" s="301"/>
      <c r="C57" s="301">
        <v>49.8</v>
      </c>
      <c r="D57" s="301">
        <v>83.7</v>
      </c>
      <c r="E57" s="301">
        <v>36.9</v>
      </c>
      <c r="F57" s="301">
        <v>83.1</v>
      </c>
      <c r="G57" s="301">
        <v>106.3</v>
      </c>
    </row>
    <row r="58" spans="1:7" x14ac:dyDescent="0.25">
      <c r="A58" s="442">
        <v>6</v>
      </c>
      <c r="B58" s="301"/>
      <c r="C58" s="301"/>
      <c r="D58" s="301"/>
      <c r="E58" s="301"/>
      <c r="F58" s="301">
        <v>83.8</v>
      </c>
      <c r="G58" s="301">
        <v>92.9</v>
      </c>
    </row>
    <row r="59" spans="1:7" x14ac:dyDescent="0.25">
      <c r="A59" s="442">
        <v>7</v>
      </c>
      <c r="B59" s="301"/>
      <c r="C59" s="301"/>
      <c r="D59" s="301"/>
      <c r="E59" s="301"/>
      <c r="F59" s="301">
        <v>85.1</v>
      </c>
      <c r="G59" s="301">
        <v>100.2</v>
      </c>
    </row>
    <row r="60" spans="1:7" x14ac:dyDescent="0.25">
      <c r="A60" s="442">
        <v>8</v>
      </c>
      <c r="B60" s="301"/>
      <c r="C60" s="301"/>
      <c r="D60" s="301"/>
      <c r="E60" s="301"/>
      <c r="F60" s="301">
        <v>85.3</v>
      </c>
      <c r="G60" s="301">
        <v>102.1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111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16.7</v>
      </c>
      <c r="C66" s="301">
        <v>53.4</v>
      </c>
      <c r="D66" s="301">
        <v>81.5</v>
      </c>
      <c r="E66" s="301">
        <v>25.3</v>
      </c>
      <c r="F66" s="301">
        <v>88.3</v>
      </c>
      <c r="G66" s="301">
        <v>104.6</v>
      </c>
    </row>
    <row r="67" spans="1:7" x14ac:dyDescent="0.25">
      <c r="A67" s="442">
        <v>2</v>
      </c>
      <c r="B67" s="301">
        <v>17.899999999999999</v>
      </c>
      <c r="C67" s="301">
        <v>52.8</v>
      </c>
      <c r="D67" s="301">
        <v>79.8</v>
      </c>
      <c r="E67" s="301">
        <v>59.4</v>
      </c>
      <c r="F67" s="301">
        <v>80.2</v>
      </c>
      <c r="G67" s="301">
        <v>103.3</v>
      </c>
    </row>
    <row r="68" spans="1:7" x14ac:dyDescent="0.25">
      <c r="A68" s="442">
        <v>3</v>
      </c>
      <c r="B68" s="301">
        <v>10.7</v>
      </c>
      <c r="C68" s="301">
        <v>52.6</v>
      </c>
      <c r="D68" s="301">
        <v>75.599999999999994</v>
      </c>
      <c r="E68" s="301">
        <v>49.3</v>
      </c>
      <c r="F68" s="301">
        <v>86.4</v>
      </c>
      <c r="G68" s="301">
        <v>94.3</v>
      </c>
    </row>
    <row r="69" spans="1:7" x14ac:dyDescent="0.25">
      <c r="A69" s="442">
        <v>4</v>
      </c>
      <c r="B69" s="301"/>
      <c r="C69" s="301"/>
      <c r="D69" s="301">
        <v>82.1</v>
      </c>
      <c r="E69" s="301">
        <v>29.1</v>
      </c>
      <c r="F69" s="301">
        <v>89.7</v>
      </c>
      <c r="G69" s="301">
        <v>92.7</v>
      </c>
    </row>
    <row r="70" spans="1:7" x14ac:dyDescent="0.25">
      <c r="A70" s="442">
        <v>5</v>
      </c>
      <c r="B70" s="301"/>
      <c r="C70" s="301"/>
      <c r="D70" s="301"/>
      <c r="E70" s="301"/>
      <c r="F70" s="301">
        <v>82.9</v>
      </c>
      <c r="G70" s="301">
        <v>90.4</v>
      </c>
    </row>
    <row r="71" spans="1:7" x14ac:dyDescent="0.25">
      <c r="A71" s="442">
        <v>6</v>
      </c>
      <c r="B71" s="301"/>
      <c r="C71" s="301"/>
      <c r="D71" s="301"/>
      <c r="E71" s="301"/>
      <c r="F71" s="301">
        <v>84.8</v>
      </c>
      <c r="G71" s="301">
        <v>105.9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95.1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12</v>
      </c>
      <c r="C76" s="301">
        <v>51.7</v>
      </c>
      <c r="D76" s="301">
        <v>75.7</v>
      </c>
      <c r="E76" s="301">
        <v>30.8</v>
      </c>
      <c r="F76" s="301">
        <v>89</v>
      </c>
      <c r="G76" s="301">
        <v>91.7</v>
      </c>
    </row>
    <row r="77" spans="1:7" x14ac:dyDescent="0.25">
      <c r="A77" s="442">
        <v>2</v>
      </c>
      <c r="B77" s="301">
        <v>19.399999999999999</v>
      </c>
      <c r="C77" s="301">
        <v>52.9</v>
      </c>
      <c r="D77" s="301">
        <v>80.099999999999994</v>
      </c>
      <c r="E77" s="301">
        <v>36.799999999999997</v>
      </c>
      <c r="F77" s="301">
        <v>89.7</v>
      </c>
      <c r="G77" s="301">
        <v>94.3</v>
      </c>
    </row>
    <row r="78" spans="1:7" x14ac:dyDescent="0.25">
      <c r="A78" s="442">
        <v>3</v>
      </c>
      <c r="B78" s="301"/>
      <c r="C78" s="301"/>
      <c r="D78" s="301"/>
      <c r="E78" s="301">
        <v>38.299999999999997</v>
      </c>
      <c r="F78" s="301">
        <v>82.9</v>
      </c>
      <c r="G78" s="301">
        <v>96.6</v>
      </c>
    </row>
    <row r="79" spans="1:7" x14ac:dyDescent="0.25">
      <c r="A79" s="442">
        <v>4</v>
      </c>
      <c r="B79" s="301"/>
      <c r="C79" s="301"/>
      <c r="D79" s="301"/>
      <c r="E79" s="301"/>
      <c r="F79" s="301">
        <v>88.4</v>
      </c>
      <c r="G79" s="301">
        <v>106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19.899999999999999</v>
      </c>
      <c r="C83" s="301">
        <v>49.3</v>
      </c>
      <c r="D83" s="301">
        <v>83.2</v>
      </c>
      <c r="E83" s="301">
        <v>34.299999999999997</v>
      </c>
      <c r="F83" s="301">
        <v>86.6</v>
      </c>
      <c r="G83" s="301">
        <v>97.2</v>
      </c>
    </row>
    <row r="84" spans="1:7" x14ac:dyDescent="0.25">
      <c r="A84" s="442">
        <v>2</v>
      </c>
      <c r="B84" s="301">
        <v>24.1</v>
      </c>
      <c r="C84" s="301">
        <v>48.4</v>
      </c>
      <c r="D84" s="301">
        <v>80.400000000000006</v>
      </c>
      <c r="E84" s="301">
        <v>57.2</v>
      </c>
      <c r="F84" s="301">
        <v>86.6</v>
      </c>
      <c r="G84" s="301">
        <v>91.6</v>
      </c>
    </row>
    <row r="85" spans="1:7" x14ac:dyDescent="0.25">
      <c r="A85" s="442">
        <v>3</v>
      </c>
      <c r="B85" s="301">
        <v>24.5</v>
      </c>
      <c r="C85" s="301">
        <v>46.8</v>
      </c>
      <c r="D85" s="301">
        <v>82.1</v>
      </c>
      <c r="E85" s="301">
        <v>53.3</v>
      </c>
      <c r="F85" s="301">
        <v>83.4</v>
      </c>
      <c r="G85" s="301">
        <v>106.4</v>
      </c>
    </row>
    <row r="86" spans="1:7" x14ac:dyDescent="0.25">
      <c r="A86" s="442">
        <v>4</v>
      </c>
      <c r="B86" s="301"/>
      <c r="C86" s="301"/>
      <c r="D86" s="301"/>
      <c r="E86" s="301">
        <v>48</v>
      </c>
      <c r="F86" s="301">
        <v>85.1</v>
      </c>
      <c r="G86" s="301">
        <v>91.1</v>
      </c>
    </row>
    <row r="87" spans="1:7" x14ac:dyDescent="0.25">
      <c r="A87" s="442">
        <v>5</v>
      </c>
      <c r="B87" s="301"/>
      <c r="C87" s="301"/>
      <c r="D87" s="301"/>
      <c r="E87" s="301"/>
      <c r="F87" s="301">
        <v>85.7</v>
      </c>
      <c r="G87" s="301">
        <v>100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93.4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22.2</v>
      </c>
      <c r="C93" s="301">
        <v>54.4</v>
      </c>
      <c r="D93" s="301">
        <v>77.2</v>
      </c>
      <c r="E93" s="301">
        <v>56.7</v>
      </c>
      <c r="F93" s="301">
        <v>85</v>
      </c>
      <c r="G93" s="301">
        <v>105.7</v>
      </c>
    </row>
    <row r="94" spans="1:7" x14ac:dyDescent="0.25">
      <c r="A94" s="442">
        <v>2</v>
      </c>
      <c r="B94" s="301">
        <v>29.3</v>
      </c>
      <c r="C94" s="301">
        <v>52.7</v>
      </c>
      <c r="D94" s="301">
        <v>79.3</v>
      </c>
      <c r="E94" s="301">
        <v>56.7</v>
      </c>
      <c r="F94" s="301">
        <v>80.099999999999994</v>
      </c>
      <c r="G94" s="301">
        <v>106.9</v>
      </c>
    </row>
    <row r="95" spans="1:7" x14ac:dyDescent="0.25">
      <c r="A95" s="442">
        <v>3</v>
      </c>
      <c r="B95" s="301"/>
      <c r="C95" s="301"/>
      <c r="D95" s="301"/>
      <c r="E95" s="301">
        <v>54.7</v>
      </c>
      <c r="F95" s="301">
        <v>82</v>
      </c>
      <c r="G95" s="301">
        <v>111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90.1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16.5</v>
      </c>
      <c r="C100" s="301">
        <v>47</v>
      </c>
      <c r="D100" s="301">
        <v>83.8</v>
      </c>
      <c r="E100" s="301">
        <v>27.2</v>
      </c>
      <c r="F100" s="301">
        <v>84.1</v>
      </c>
      <c r="G100" s="301">
        <v>93.3</v>
      </c>
    </row>
    <row r="101" spans="1:7" x14ac:dyDescent="0.25">
      <c r="A101" s="442">
        <v>2</v>
      </c>
      <c r="B101" s="301">
        <v>23.8</v>
      </c>
      <c r="C101" s="301">
        <v>54.4</v>
      </c>
      <c r="D101" s="301">
        <v>84.8</v>
      </c>
      <c r="E101" s="301">
        <v>33.299999999999997</v>
      </c>
      <c r="F101" s="301">
        <v>88.9</v>
      </c>
      <c r="G101" s="301">
        <v>104.2</v>
      </c>
    </row>
    <row r="102" spans="1:7" x14ac:dyDescent="0.25">
      <c r="A102" s="442">
        <v>3</v>
      </c>
      <c r="B102" s="301">
        <v>11.2</v>
      </c>
      <c r="C102" s="301">
        <v>49.4</v>
      </c>
      <c r="D102" s="301">
        <v>75.900000000000006</v>
      </c>
      <c r="E102" s="301">
        <v>41.2</v>
      </c>
      <c r="F102" s="301">
        <v>87.4</v>
      </c>
      <c r="G102" s="301">
        <v>97.4</v>
      </c>
    </row>
    <row r="103" spans="1:7" x14ac:dyDescent="0.25">
      <c r="A103" s="442">
        <v>4</v>
      </c>
      <c r="B103" s="301">
        <v>14.7</v>
      </c>
      <c r="C103" s="301">
        <v>51.8</v>
      </c>
      <c r="D103" s="301">
        <v>80</v>
      </c>
      <c r="E103" s="301">
        <v>38.4</v>
      </c>
      <c r="F103" s="301">
        <v>81.8</v>
      </c>
      <c r="G103" s="301">
        <v>105.1</v>
      </c>
    </row>
    <row r="104" spans="1:7" x14ac:dyDescent="0.25">
      <c r="A104" s="442">
        <v>5</v>
      </c>
      <c r="B104" s="301">
        <v>17.8</v>
      </c>
      <c r="C104" s="301">
        <v>52.7</v>
      </c>
      <c r="D104" s="301">
        <v>78.099999999999994</v>
      </c>
      <c r="E104" s="301">
        <v>30.5</v>
      </c>
      <c r="F104" s="301">
        <v>87.7</v>
      </c>
      <c r="G104" s="301">
        <v>94.9</v>
      </c>
    </row>
    <row r="105" spans="1:7" x14ac:dyDescent="0.25">
      <c r="A105" s="442">
        <v>6</v>
      </c>
      <c r="B105" s="301">
        <v>20.9</v>
      </c>
      <c r="C105" s="301">
        <v>45.2</v>
      </c>
      <c r="D105" s="301">
        <v>80</v>
      </c>
      <c r="E105" s="301">
        <v>42</v>
      </c>
      <c r="F105" s="301">
        <v>85</v>
      </c>
      <c r="G105" s="301">
        <v>106.6</v>
      </c>
    </row>
    <row r="106" spans="1:7" x14ac:dyDescent="0.25">
      <c r="A106" s="442">
        <v>7</v>
      </c>
      <c r="B106" s="301">
        <v>12.3</v>
      </c>
      <c r="C106" s="301">
        <v>52.4</v>
      </c>
      <c r="D106" s="301">
        <v>82</v>
      </c>
      <c r="E106" s="301">
        <v>29.2</v>
      </c>
      <c r="F106" s="301">
        <v>85.7</v>
      </c>
      <c r="G106" s="301">
        <v>110.2</v>
      </c>
    </row>
    <row r="107" spans="1:7" x14ac:dyDescent="0.25">
      <c r="A107" s="442">
        <v>8</v>
      </c>
      <c r="B107" s="301">
        <v>18.600000000000001</v>
      </c>
      <c r="C107" s="301">
        <v>49.4</v>
      </c>
      <c r="D107" s="301">
        <v>78</v>
      </c>
      <c r="E107" s="301">
        <v>58.2</v>
      </c>
      <c r="F107" s="301">
        <v>83.9</v>
      </c>
      <c r="G107" s="301">
        <v>92.5</v>
      </c>
    </row>
    <row r="108" spans="1:7" x14ac:dyDescent="0.25">
      <c r="A108" s="442">
        <v>9</v>
      </c>
      <c r="B108" s="301">
        <v>26.8</v>
      </c>
      <c r="C108" s="301">
        <v>49.9</v>
      </c>
      <c r="D108" s="301">
        <v>83.9</v>
      </c>
      <c r="E108" s="301">
        <v>41.3</v>
      </c>
      <c r="F108" s="301">
        <v>88.3</v>
      </c>
      <c r="G108" s="301">
        <v>102.6</v>
      </c>
    </row>
    <row r="109" spans="1:7" x14ac:dyDescent="0.25">
      <c r="A109" s="442">
        <v>10</v>
      </c>
      <c r="B109" s="301">
        <v>12.4</v>
      </c>
      <c r="C109" s="301">
        <v>46.2</v>
      </c>
      <c r="D109" s="301">
        <v>80.7</v>
      </c>
      <c r="E109" s="301">
        <v>59.8</v>
      </c>
      <c r="F109" s="301">
        <v>87.4</v>
      </c>
      <c r="G109" s="301">
        <v>100.9</v>
      </c>
    </row>
    <row r="110" spans="1:7" x14ac:dyDescent="0.25">
      <c r="A110" s="442">
        <v>11</v>
      </c>
      <c r="B110" s="301"/>
      <c r="C110" s="301">
        <v>47.3</v>
      </c>
      <c r="D110" s="301">
        <v>75.900000000000006</v>
      </c>
      <c r="E110" s="301">
        <v>51.4</v>
      </c>
      <c r="F110" s="301">
        <v>84.5</v>
      </c>
      <c r="G110" s="301">
        <v>102.7</v>
      </c>
    </row>
    <row r="111" spans="1:7" x14ac:dyDescent="0.25">
      <c r="A111" s="442">
        <v>12</v>
      </c>
      <c r="B111" s="301"/>
      <c r="C111" s="301">
        <v>46.2</v>
      </c>
      <c r="D111" s="301"/>
      <c r="E111" s="301">
        <v>30.8</v>
      </c>
      <c r="F111" s="301">
        <v>86.4</v>
      </c>
      <c r="G111" s="301">
        <v>98.4</v>
      </c>
    </row>
    <row r="112" spans="1:7" x14ac:dyDescent="0.25">
      <c r="A112" s="442">
        <v>13</v>
      </c>
      <c r="B112" s="301"/>
      <c r="C112" s="301">
        <v>47</v>
      </c>
      <c r="D112" s="301"/>
      <c r="E112" s="301">
        <v>26</v>
      </c>
      <c r="F112" s="301">
        <v>87.8</v>
      </c>
      <c r="G112" s="301">
        <v>107.3</v>
      </c>
    </row>
    <row r="113" spans="1:7" x14ac:dyDescent="0.25">
      <c r="A113" s="442">
        <v>14</v>
      </c>
      <c r="B113" s="301"/>
      <c r="C113" s="301"/>
      <c r="D113" s="301"/>
      <c r="E113" s="301">
        <v>39</v>
      </c>
      <c r="F113" s="301">
        <v>85.5</v>
      </c>
      <c r="G113" s="301">
        <v>108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83.5</v>
      </c>
      <c r="G114" s="301">
        <v>99.4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83.4</v>
      </c>
      <c r="G115" s="301">
        <v>109.7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85.4</v>
      </c>
      <c r="G116" s="301">
        <v>103.6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89.4</v>
      </c>
      <c r="G117" s="301">
        <v>91.8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86.7</v>
      </c>
      <c r="G118" s="301">
        <v>104.3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80.8</v>
      </c>
      <c r="G119" s="301">
        <v>96.1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81.8</v>
      </c>
      <c r="G120" s="301">
        <v>95.7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87.9</v>
      </c>
      <c r="G121" s="301">
        <v>90.7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24.8</v>
      </c>
      <c r="C125" s="301">
        <v>50.4</v>
      </c>
      <c r="D125" s="301">
        <v>78</v>
      </c>
      <c r="E125" s="301">
        <v>45.5</v>
      </c>
      <c r="F125" s="301">
        <v>88.7</v>
      </c>
      <c r="G125" s="301">
        <v>94.8</v>
      </c>
    </row>
    <row r="126" spans="1:7" x14ac:dyDescent="0.25">
      <c r="A126" s="442">
        <v>2</v>
      </c>
      <c r="B126" s="301">
        <v>20.9</v>
      </c>
      <c r="C126" s="301">
        <v>50.5</v>
      </c>
      <c r="D126" s="301">
        <v>82.7</v>
      </c>
      <c r="E126" s="301">
        <v>43.7</v>
      </c>
      <c r="F126" s="301">
        <v>85.1</v>
      </c>
      <c r="G126" s="301">
        <v>103.8</v>
      </c>
    </row>
    <row r="127" spans="1:7" x14ac:dyDescent="0.25">
      <c r="A127" s="442">
        <v>3</v>
      </c>
      <c r="B127" s="301">
        <v>21.9</v>
      </c>
      <c r="C127" s="301">
        <v>52.9</v>
      </c>
      <c r="D127" s="301">
        <v>83.3</v>
      </c>
      <c r="E127" s="301">
        <v>50.4</v>
      </c>
      <c r="F127" s="301">
        <v>89</v>
      </c>
      <c r="G127" s="301">
        <v>97.9</v>
      </c>
    </row>
    <row r="128" spans="1:7" x14ac:dyDescent="0.25">
      <c r="A128" s="442">
        <v>4</v>
      </c>
      <c r="B128" s="301">
        <v>29.8</v>
      </c>
      <c r="C128" s="301">
        <v>45.3</v>
      </c>
      <c r="D128" s="301">
        <v>84.1</v>
      </c>
      <c r="E128" s="301">
        <v>54.4</v>
      </c>
      <c r="F128" s="301">
        <v>84.2</v>
      </c>
      <c r="G128" s="301">
        <v>106.3</v>
      </c>
    </row>
    <row r="129" spans="1:7" x14ac:dyDescent="0.25">
      <c r="A129" s="442">
        <v>5</v>
      </c>
      <c r="B129" s="301">
        <v>16</v>
      </c>
      <c r="C129" s="301">
        <v>54.1</v>
      </c>
      <c r="D129" s="301">
        <v>80.400000000000006</v>
      </c>
      <c r="E129" s="301">
        <v>30.6</v>
      </c>
      <c r="F129" s="301">
        <v>85</v>
      </c>
      <c r="G129" s="301">
        <v>93.4</v>
      </c>
    </row>
    <row r="130" spans="1:7" x14ac:dyDescent="0.25">
      <c r="A130" s="442">
        <v>6</v>
      </c>
      <c r="B130" s="301">
        <v>24.8</v>
      </c>
      <c r="C130" s="301">
        <v>52.8</v>
      </c>
      <c r="D130" s="301">
        <v>82.7</v>
      </c>
      <c r="E130" s="301">
        <v>25.3</v>
      </c>
      <c r="F130" s="301">
        <v>82.5</v>
      </c>
      <c r="G130" s="301">
        <v>91.8</v>
      </c>
    </row>
    <row r="131" spans="1:7" x14ac:dyDescent="0.25">
      <c r="A131" s="442">
        <v>7</v>
      </c>
      <c r="B131" s="301">
        <v>11.1</v>
      </c>
      <c r="C131" s="301">
        <v>45.7</v>
      </c>
      <c r="D131" s="301">
        <v>80.400000000000006</v>
      </c>
      <c r="E131" s="301">
        <v>27.1</v>
      </c>
      <c r="F131" s="301">
        <v>80.400000000000006</v>
      </c>
      <c r="G131" s="301">
        <v>110.8</v>
      </c>
    </row>
    <row r="132" spans="1:7" x14ac:dyDescent="0.25">
      <c r="A132" s="442">
        <v>8</v>
      </c>
      <c r="B132" s="301">
        <v>16.5</v>
      </c>
      <c r="C132" s="301">
        <v>45.8</v>
      </c>
      <c r="D132" s="301">
        <v>79.599999999999994</v>
      </c>
      <c r="E132" s="301">
        <v>36.1</v>
      </c>
      <c r="F132" s="301">
        <v>89</v>
      </c>
      <c r="G132" s="301">
        <v>101.2</v>
      </c>
    </row>
    <row r="133" spans="1:7" x14ac:dyDescent="0.25">
      <c r="A133" s="442">
        <v>9</v>
      </c>
      <c r="B133" s="301">
        <v>25.3</v>
      </c>
      <c r="C133" s="301">
        <v>48.8</v>
      </c>
      <c r="D133" s="301">
        <v>83.5</v>
      </c>
      <c r="E133" s="301">
        <v>54.3</v>
      </c>
      <c r="F133" s="301">
        <v>89.9</v>
      </c>
      <c r="G133" s="301">
        <v>110.7</v>
      </c>
    </row>
    <row r="134" spans="1:7" x14ac:dyDescent="0.25">
      <c r="A134" s="442">
        <v>10</v>
      </c>
      <c r="B134" s="301">
        <v>26.4</v>
      </c>
      <c r="C134" s="301">
        <v>49.3</v>
      </c>
      <c r="D134" s="301">
        <v>84.1</v>
      </c>
      <c r="E134" s="301">
        <v>30.5</v>
      </c>
      <c r="F134" s="301">
        <v>81</v>
      </c>
      <c r="G134" s="301">
        <v>104.3</v>
      </c>
    </row>
    <row r="135" spans="1:7" x14ac:dyDescent="0.25">
      <c r="A135" s="442">
        <v>11</v>
      </c>
      <c r="B135" s="301"/>
      <c r="C135" s="301">
        <v>48.5</v>
      </c>
      <c r="D135" s="301">
        <v>82.5</v>
      </c>
      <c r="E135" s="301">
        <v>57.9</v>
      </c>
      <c r="F135" s="301">
        <v>85.2</v>
      </c>
      <c r="G135" s="301">
        <v>109.8</v>
      </c>
    </row>
    <row r="136" spans="1:7" x14ac:dyDescent="0.25">
      <c r="A136" s="442">
        <v>12</v>
      </c>
      <c r="B136" s="301"/>
      <c r="C136" s="301">
        <v>49.5</v>
      </c>
      <c r="D136" s="301">
        <v>76.5</v>
      </c>
      <c r="E136" s="301">
        <v>54</v>
      </c>
      <c r="F136" s="301">
        <v>89.2</v>
      </c>
      <c r="G136" s="301">
        <v>100.8</v>
      </c>
    </row>
    <row r="137" spans="1:7" x14ac:dyDescent="0.25">
      <c r="A137" s="442">
        <v>13</v>
      </c>
      <c r="B137" s="301"/>
      <c r="C137" s="301"/>
      <c r="D137" s="301"/>
      <c r="E137" s="301">
        <v>27.9</v>
      </c>
      <c r="F137" s="301">
        <v>84</v>
      </c>
      <c r="G137" s="301">
        <v>98.9</v>
      </c>
    </row>
    <row r="138" spans="1:7" x14ac:dyDescent="0.25">
      <c r="A138" s="442">
        <v>14</v>
      </c>
      <c r="B138" s="301"/>
      <c r="C138" s="301"/>
      <c r="D138" s="301"/>
      <c r="E138" s="301">
        <v>58.8</v>
      </c>
      <c r="F138" s="301">
        <v>84.9</v>
      </c>
      <c r="G138" s="301">
        <v>91.2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81.8</v>
      </c>
      <c r="G139" s="301">
        <v>97.3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86.9</v>
      </c>
      <c r="G140" s="301">
        <v>98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80.2</v>
      </c>
      <c r="G141" s="301">
        <v>103.4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89.1</v>
      </c>
      <c r="G142" s="301">
        <v>107.5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80.099999999999994</v>
      </c>
      <c r="G143" s="301">
        <v>109.8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110.2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103.9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100.8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100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ROUNDDOWN(AVERAGE(B6:D20),1)</f>
        <v>50.6</v>
      </c>
      <c r="C151" s="301">
        <f>ROUNDDOWN(AVERAGE(E6:G34),1)</f>
        <v>81.7</v>
      </c>
      <c r="D151" s="353">
        <v>28044</v>
      </c>
      <c r="E151" s="362">
        <v>46950</v>
      </c>
      <c r="F151" s="353">
        <f>B151*D151</f>
        <v>1419026.4000000001</v>
      </c>
      <c r="G151" s="353">
        <f>C151*E151</f>
        <v>3835815</v>
      </c>
    </row>
    <row r="152" spans="1:7" x14ac:dyDescent="0.25">
      <c r="A152" s="298" t="s">
        <v>370</v>
      </c>
      <c r="B152" s="301">
        <f>ROUNDDOWN(AVERAGE(B39:D44),1)</f>
        <v>49.9</v>
      </c>
      <c r="C152" s="301">
        <f>ROUNDDOWN(AVERAGE(E39:G48),1)</f>
        <v>82.6</v>
      </c>
      <c r="D152" s="353">
        <v>10608</v>
      </c>
      <c r="E152" s="362">
        <v>17243</v>
      </c>
      <c r="F152" s="353">
        <f t="shared" ref="F152:G159" si="0">B152*D152</f>
        <v>529339.19999999995</v>
      </c>
      <c r="G152" s="353">
        <f t="shared" si="0"/>
        <v>1424271.7999999998</v>
      </c>
    </row>
    <row r="153" spans="1:7" x14ac:dyDescent="0.25">
      <c r="A153" s="298" t="s">
        <v>371</v>
      </c>
      <c r="B153" s="301">
        <f>ROUNDDOWN(AVERAGE(B53:D57),1)</f>
        <v>51.3</v>
      </c>
      <c r="C153" s="301">
        <f>ROUNDDOWN(AVERAGE(E53:G61),1)</f>
        <v>81.099999999999994</v>
      </c>
      <c r="D153" s="353">
        <v>8465</v>
      </c>
      <c r="E153" s="362">
        <v>14892</v>
      </c>
      <c r="F153" s="353">
        <f t="shared" si="0"/>
        <v>434254.5</v>
      </c>
      <c r="G153" s="353">
        <f t="shared" si="0"/>
        <v>1207741.2</v>
      </c>
    </row>
    <row r="154" spans="1:7" x14ac:dyDescent="0.25">
      <c r="A154" s="298" t="s">
        <v>372</v>
      </c>
      <c r="B154" s="301">
        <f>ROUNDDOWN(AVERAGE(B66:D69),1)</f>
        <v>52.3</v>
      </c>
      <c r="C154" s="301">
        <f>ROUNDDOWN(AVERAGE(E66:G72),1)</f>
        <v>80.099999999999994</v>
      </c>
      <c r="D154" s="353">
        <v>6339</v>
      </c>
      <c r="E154" s="362">
        <v>10499</v>
      </c>
      <c r="F154" s="353">
        <f t="shared" si="0"/>
        <v>331529.69999999995</v>
      </c>
      <c r="G154" s="353">
        <f t="shared" si="0"/>
        <v>840969.89999999991</v>
      </c>
    </row>
    <row r="155" spans="1:7" x14ac:dyDescent="0.25">
      <c r="A155" s="298" t="s">
        <v>373</v>
      </c>
      <c r="B155" s="301">
        <f>ROUNDDOWN(AVERAGE(B76:D77),1)</f>
        <v>48.6</v>
      </c>
      <c r="C155" s="301">
        <f>ROUNDDOWN(AVERAGE(E76:G79),1)</f>
        <v>76.7</v>
      </c>
      <c r="D155" s="353">
        <v>3699</v>
      </c>
      <c r="E155" s="362">
        <v>6510</v>
      </c>
      <c r="F155" s="353">
        <f t="shared" si="0"/>
        <v>179771.4</v>
      </c>
      <c r="G155" s="353">
        <f t="shared" si="0"/>
        <v>499317</v>
      </c>
    </row>
    <row r="156" spans="1:7" x14ac:dyDescent="0.25">
      <c r="A156" s="298" t="s">
        <v>374</v>
      </c>
      <c r="B156" s="301">
        <f>ROUNDDOWN(AVERAGE(B83:D85),1)</f>
        <v>50.9</v>
      </c>
      <c r="C156" s="301">
        <f>ROUNDDOWN(AVERAGE(E83:G88),1)</f>
        <v>79.900000000000006</v>
      </c>
      <c r="D156" s="353">
        <v>5340</v>
      </c>
      <c r="E156" s="362">
        <v>9377</v>
      </c>
      <c r="F156" s="353">
        <f t="shared" si="0"/>
        <v>271806</v>
      </c>
      <c r="G156" s="353">
        <f t="shared" si="0"/>
        <v>749222.3</v>
      </c>
    </row>
    <row r="157" spans="1:7" x14ac:dyDescent="0.25">
      <c r="A157" s="298" t="s">
        <v>375</v>
      </c>
      <c r="B157" s="301">
        <f>ROUNDDOWN(AVERAGE(B93:D94),1)</f>
        <v>52.5</v>
      </c>
      <c r="C157" s="301">
        <f>ROUNDDOWN(AVERAGE(E93:G96),1)</f>
        <v>82.8</v>
      </c>
      <c r="D157" s="353">
        <v>3613</v>
      </c>
      <c r="E157" s="362">
        <v>5796</v>
      </c>
      <c r="F157" s="353">
        <f t="shared" si="0"/>
        <v>189682.5</v>
      </c>
      <c r="G157" s="353">
        <f t="shared" si="0"/>
        <v>479908.8</v>
      </c>
    </row>
    <row r="158" spans="1:7" x14ac:dyDescent="0.25">
      <c r="A158" s="298" t="s">
        <v>365</v>
      </c>
      <c r="B158" s="301">
        <f>ROUNDDOWN(AVERAGE(B100:D112),1)</f>
        <v>49.9</v>
      </c>
      <c r="C158" s="301">
        <f>ROUNDDOWN(AVERAGE(E100:G121),1)</f>
        <v>80.099999999999994</v>
      </c>
      <c r="D158" s="353">
        <v>23194</v>
      </c>
      <c r="E158" s="362">
        <v>40271</v>
      </c>
      <c r="F158" s="353">
        <f t="shared" si="0"/>
        <v>1157380.5999999999</v>
      </c>
      <c r="G158" s="353">
        <f t="shared" si="0"/>
        <v>3225707.0999999996</v>
      </c>
    </row>
    <row r="159" spans="1:7" x14ac:dyDescent="0.25">
      <c r="A159" s="298" t="s">
        <v>366</v>
      </c>
      <c r="B159" s="301">
        <f>ROUNDDOWN(AVERAGE(B125:D137),1)</f>
        <v>52.6</v>
      </c>
      <c r="C159" s="301">
        <f>ROUNDDOWN(AVERAGE(E125:G147),1)</f>
        <v>81.400000000000006</v>
      </c>
      <c r="D159" s="353">
        <v>22794</v>
      </c>
      <c r="E159" s="362">
        <v>40339</v>
      </c>
      <c r="F159" s="353">
        <f t="shared" si="0"/>
        <v>1198964.4000000001</v>
      </c>
      <c r="G159" s="353">
        <f t="shared" si="0"/>
        <v>3283594.6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191877</v>
      </c>
      <c r="F160" s="353">
        <f>SUM(F151:F159)</f>
        <v>5711754.7000000002</v>
      </c>
      <c r="G160" s="353">
        <f>SUM(G151:G159)</f>
        <v>15546547.700000001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50.9</v>
      </c>
      <c r="D165" s="280">
        <f>ROUNDDOWN(G160/E160,1)</f>
        <v>81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D403-7C40-43A6-ADA4-F0E56D3B44CF}">
  <dimension ref="A1:G165"/>
  <sheetViews>
    <sheetView zoomScale="110" zoomScaleNormal="110" workbookViewId="0">
      <selection activeCell="B125" sqref="B125:G147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410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23.7</v>
      </c>
      <c r="C6" s="301">
        <v>48.9</v>
      </c>
      <c r="D6" s="301">
        <v>77.3</v>
      </c>
      <c r="E6" s="301">
        <v>29.8</v>
      </c>
      <c r="F6" s="301">
        <v>86.4</v>
      </c>
      <c r="G6" s="301">
        <v>95.9</v>
      </c>
    </row>
    <row r="7" spans="1:7" x14ac:dyDescent="0.25">
      <c r="A7" s="442">
        <v>2</v>
      </c>
      <c r="B7" s="301">
        <v>12.5</v>
      </c>
      <c r="C7" s="301">
        <v>48.5</v>
      </c>
      <c r="D7" s="301">
        <v>83.4</v>
      </c>
      <c r="E7" s="301">
        <v>34.799999999999997</v>
      </c>
      <c r="F7" s="301">
        <v>85.8</v>
      </c>
      <c r="G7" s="301">
        <v>106.3</v>
      </c>
    </row>
    <row r="8" spans="1:7" x14ac:dyDescent="0.25">
      <c r="A8" s="442">
        <v>3</v>
      </c>
      <c r="B8" s="301">
        <v>24.8</v>
      </c>
      <c r="C8" s="301">
        <v>46.7</v>
      </c>
      <c r="D8" s="301">
        <v>76.2</v>
      </c>
      <c r="E8" s="301">
        <v>58.6</v>
      </c>
      <c r="F8" s="301">
        <v>81</v>
      </c>
      <c r="G8" s="301">
        <v>91.5</v>
      </c>
    </row>
    <row r="9" spans="1:7" x14ac:dyDescent="0.25">
      <c r="A9" s="442">
        <v>4</v>
      </c>
      <c r="B9" s="301">
        <v>20.3</v>
      </c>
      <c r="C9" s="301">
        <v>46.4</v>
      </c>
      <c r="D9" s="301">
        <v>75.900000000000006</v>
      </c>
      <c r="E9" s="301">
        <v>30.3</v>
      </c>
      <c r="F9" s="301">
        <v>80</v>
      </c>
      <c r="G9" s="301">
        <v>95.5</v>
      </c>
    </row>
    <row r="10" spans="1:7" x14ac:dyDescent="0.25">
      <c r="A10" s="442">
        <v>5</v>
      </c>
      <c r="B10" s="301">
        <v>11.7</v>
      </c>
      <c r="C10" s="301">
        <v>49.8</v>
      </c>
      <c r="D10" s="301">
        <v>75.5</v>
      </c>
      <c r="E10" s="301">
        <v>26.6</v>
      </c>
      <c r="F10" s="301">
        <v>88.2</v>
      </c>
      <c r="G10" s="301">
        <v>95.2</v>
      </c>
    </row>
    <row r="11" spans="1:7" x14ac:dyDescent="0.25">
      <c r="A11" s="442">
        <v>6</v>
      </c>
      <c r="B11" s="301">
        <v>12.1</v>
      </c>
      <c r="C11" s="301">
        <v>45.9</v>
      </c>
      <c r="D11" s="301">
        <v>79.2</v>
      </c>
      <c r="E11" s="301">
        <v>43.1</v>
      </c>
      <c r="F11" s="301">
        <v>84.4</v>
      </c>
      <c r="G11" s="301">
        <v>106.6</v>
      </c>
    </row>
    <row r="12" spans="1:7" x14ac:dyDescent="0.25">
      <c r="A12" s="442">
        <v>7</v>
      </c>
      <c r="B12" s="301">
        <v>18.7</v>
      </c>
      <c r="C12" s="301">
        <v>50.8</v>
      </c>
      <c r="D12" s="301">
        <v>78.7</v>
      </c>
      <c r="E12" s="301">
        <v>43.4</v>
      </c>
      <c r="F12" s="301">
        <v>83</v>
      </c>
      <c r="G12" s="301">
        <v>111</v>
      </c>
    </row>
    <row r="13" spans="1:7" x14ac:dyDescent="0.25">
      <c r="A13" s="442">
        <v>8</v>
      </c>
      <c r="B13" s="301">
        <v>15.5</v>
      </c>
      <c r="C13" s="301">
        <v>48.8</v>
      </c>
      <c r="D13" s="301">
        <v>75</v>
      </c>
      <c r="E13" s="301">
        <v>51.2</v>
      </c>
      <c r="F13" s="301">
        <v>87.4</v>
      </c>
      <c r="G13" s="301">
        <v>96.6</v>
      </c>
    </row>
    <row r="14" spans="1:7" x14ac:dyDescent="0.25">
      <c r="A14" s="442">
        <v>9</v>
      </c>
      <c r="B14" s="301">
        <v>22.9</v>
      </c>
      <c r="C14" s="301">
        <v>51.8</v>
      </c>
      <c r="D14" s="301">
        <v>80.3</v>
      </c>
      <c r="E14" s="301">
        <v>40.9</v>
      </c>
      <c r="F14" s="301">
        <v>81.7</v>
      </c>
      <c r="G14" s="301">
        <v>98.8</v>
      </c>
    </row>
    <row r="15" spans="1:7" x14ac:dyDescent="0.25">
      <c r="A15" s="442">
        <v>10</v>
      </c>
      <c r="B15" s="301">
        <v>14.1</v>
      </c>
      <c r="C15" s="301">
        <v>47.9</v>
      </c>
      <c r="D15" s="301">
        <v>77.3</v>
      </c>
      <c r="E15" s="301">
        <v>59.3</v>
      </c>
      <c r="F15" s="301">
        <v>88.1</v>
      </c>
      <c r="G15" s="301">
        <v>92.9</v>
      </c>
    </row>
    <row r="16" spans="1:7" x14ac:dyDescent="0.25">
      <c r="A16" s="442">
        <v>11</v>
      </c>
      <c r="B16" s="301">
        <v>10.6</v>
      </c>
      <c r="C16" s="301">
        <v>47.5</v>
      </c>
      <c r="D16" s="301">
        <v>81.900000000000006</v>
      </c>
      <c r="E16" s="301">
        <v>53.8</v>
      </c>
      <c r="F16" s="301">
        <v>86.4</v>
      </c>
      <c r="G16" s="301">
        <v>98.6</v>
      </c>
    </row>
    <row r="17" spans="1:7" x14ac:dyDescent="0.25">
      <c r="A17" s="442">
        <v>12</v>
      </c>
      <c r="B17" s="301">
        <v>19.7</v>
      </c>
      <c r="C17" s="301">
        <v>47.7</v>
      </c>
      <c r="D17" s="301">
        <v>81.3</v>
      </c>
      <c r="E17" s="301">
        <v>32.1</v>
      </c>
      <c r="F17" s="301">
        <v>86.6</v>
      </c>
      <c r="G17" s="301">
        <v>97.7</v>
      </c>
    </row>
    <row r="18" spans="1:7" x14ac:dyDescent="0.25">
      <c r="A18" s="442">
        <v>13</v>
      </c>
      <c r="B18" s="301">
        <v>11.6</v>
      </c>
      <c r="C18" s="301">
        <v>47.2</v>
      </c>
      <c r="D18" s="301">
        <v>79.7</v>
      </c>
      <c r="E18" s="301">
        <v>48.6</v>
      </c>
      <c r="F18" s="301">
        <v>85.8</v>
      </c>
      <c r="G18" s="301">
        <v>107.6</v>
      </c>
    </row>
    <row r="19" spans="1:7" x14ac:dyDescent="0.25">
      <c r="A19" s="442">
        <v>14</v>
      </c>
      <c r="B19" s="301"/>
      <c r="C19" s="301"/>
      <c r="D19" s="301">
        <v>77</v>
      </c>
      <c r="E19" s="301">
        <v>49.5</v>
      </c>
      <c r="F19" s="301">
        <v>85</v>
      </c>
      <c r="G19" s="301">
        <v>105.5</v>
      </c>
    </row>
    <row r="20" spans="1:7" x14ac:dyDescent="0.25">
      <c r="A20" s="442">
        <v>15</v>
      </c>
      <c r="B20" s="301"/>
      <c r="C20" s="301"/>
      <c r="D20" s="301"/>
      <c r="E20" s="301">
        <v>32.5</v>
      </c>
      <c r="F20" s="301">
        <v>85.7</v>
      </c>
      <c r="G20" s="301">
        <v>103.3</v>
      </c>
    </row>
    <row r="21" spans="1:7" x14ac:dyDescent="0.25">
      <c r="A21" s="442">
        <v>16</v>
      </c>
      <c r="B21" s="301"/>
      <c r="C21" s="301"/>
      <c r="D21" s="301"/>
      <c r="E21" s="301">
        <v>34.5</v>
      </c>
      <c r="F21" s="301">
        <v>88.6</v>
      </c>
      <c r="G21" s="301">
        <v>103.5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84</v>
      </c>
      <c r="G22" s="301">
        <v>104.6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82.6</v>
      </c>
      <c r="G23" s="301">
        <v>91.3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89.3</v>
      </c>
      <c r="G24" s="301">
        <v>99.2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89.5</v>
      </c>
      <c r="G25" s="301">
        <v>99.3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82.8</v>
      </c>
      <c r="G26" s="301">
        <v>98.1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81.8</v>
      </c>
      <c r="G27" s="301">
        <v>98.6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88.9</v>
      </c>
      <c r="G28" s="301">
        <v>90.8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80.099999999999994</v>
      </c>
      <c r="G29" s="301">
        <v>93.5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98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97.5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92.2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105.7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100.6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11.6</v>
      </c>
      <c r="C39" s="301">
        <v>52</v>
      </c>
      <c r="D39" s="301">
        <v>82.4</v>
      </c>
      <c r="E39" s="301">
        <v>26.1</v>
      </c>
      <c r="F39" s="301">
        <v>81.099999999999994</v>
      </c>
      <c r="G39" s="301">
        <v>100.1</v>
      </c>
    </row>
    <row r="40" spans="1:7" x14ac:dyDescent="0.25">
      <c r="A40" s="442">
        <v>2</v>
      </c>
      <c r="B40" s="301">
        <v>26.8</v>
      </c>
      <c r="C40" s="301">
        <v>51.2</v>
      </c>
      <c r="D40" s="301">
        <v>83.4</v>
      </c>
      <c r="E40" s="301">
        <v>58.6</v>
      </c>
      <c r="F40" s="301">
        <v>86.9</v>
      </c>
      <c r="G40" s="301">
        <v>97.5</v>
      </c>
    </row>
    <row r="41" spans="1:7" x14ac:dyDescent="0.25">
      <c r="A41" s="442">
        <v>3</v>
      </c>
      <c r="B41" s="301">
        <v>14.8</v>
      </c>
      <c r="C41" s="301">
        <v>47.5</v>
      </c>
      <c r="D41" s="301">
        <v>84.6</v>
      </c>
      <c r="E41" s="301">
        <v>41.4</v>
      </c>
      <c r="F41" s="301">
        <v>82.4</v>
      </c>
      <c r="G41" s="301">
        <v>95.5</v>
      </c>
    </row>
    <row r="42" spans="1:7" x14ac:dyDescent="0.25">
      <c r="A42" s="442">
        <v>4</v>
      </c>
      <c r="B42" s="301">
        <v>14.9</v>
      </c>
      <c r="C42" s="301">
        <v>53.1</v>
      </c>
      <c r="D42" s="301">
        <v>77.8</v>
      </c>
      <c r="E42" s="301">
        <v>43.2</v>
      </c>
      <c r="F42" s="301">
        <v>86.6</v>
      </c>
      <c r="G42" s="301">
        <v>108.1</v>
      </c>
    </row>
    <row r="43" spans="1:7" x14ac:dyDescent="0.25">
      <c r="A43" s="442">
        <v>5</v>
      </c>
      <c r="B43" s="301">
        <v>20.5</v>
      </c>
      <c r="C43" s="301">
        <v>51.6</v>
      </c>
      <c r="D43" s="301">
        <v>78.7</v>
      </c>
      <c r="E43" s="301">
        <v>51.3</v>
      </c>
      <c r="F43" s="301">
        <v>89.7</v>
      </c>
      <c r="G43" s="301">
        <v>93.4</v>
      </c>
    </row>
    <row r="44" spans="1:7" x14ac:dyDescent="0.25">
      <c r="A44" s="442">
        <v>6</v>
      </c>
      <c r="B44" s="301"/>
      <c r="C44" s="301">
        <v>49.8</v>
      </c>
      <c r="D44" s="301"/>
      <c r="E44" s="301">
        <v>41.2</v>
      </c>
      <c r="F44" s="301">
        <v>83.1</v>
      </c>
      <c r="G44" s="301">
        <v>103.1</v>
      </c>
    </row>
    <row r="45" spans="1:7" x14ac:dyDescent="0.25">
      <c r="A45" s="442">
        <v>7</v>
      </c>
      <c r="B45" s="301"/>
      <c r="C45" s="301"/>
      <c r="D45" s="301"/>
      <c r="E45" s="301"/>
      <c r="F45" s="301">
        <v>87</v>
      </c>
      <c r="G45" s="301">
        <v>105.3</v>
      </c>
    </row>
    <row r="46" spans="1:7" x14ac:dyDescent="0.25">
      <c r="A46" s="442">
        <v>8</v>
      </c>
      <c r="B46" s="301"/>
      <c r="C46" s="301"/>
      <c r="D46" s="301"/>
      <c r="E46" s="301"/>
      <c r="F46" s="301">
        <v>85.9</v>
      </c>
      <c r="G46" s="301">
        <v>100.6</v>
      </c>
    </row>
    <row r="47" spans="1:7" x14ac:dyDescent="0.25">
      <c r="A47" s="442">
        <v>9</v>
      </c>
      <c r="B47" s="301"/>
      <c r="C47" s="301"/>
      <c r="D47" s="301"/>
      <c r="E47" s="301"/>
      <c r="F47" s="301">
        <v>84.9</v>
      </c>
      <c r="G47" s="301">
        <v>103.5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88.3</v>
      </c>
      <c r="G48" s="301">
        <v>109.2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21.8</v>
      </c>
      <c r="C53" s="301">
        <v>47.3</v>
      </c>
      <c r="D53" s="301">
        <v>82.4</v>
      </c>
      <c r="E53" s="301">
        <v>39.9</v>
      </c>
      <c r="F53" s="301">
        <v>81.7</v>
      </c>
      <c r="G53" s="301">
        <v>90.9</v>
      </c>
    </row>
    <row r="54" spans="1:7" x14ac:dyDescent="0.25">
      <c r="A54" s="442">
        <v>2</v>
      </c>
      <c r="B54" s="301">
        <v>20.9</v>
      </c>
      <c r="C54" s="301">
        <v>53.5</v>
      </c>
      <c r="D54" s="301">
        <v>77.900000000000006</v>
      </c>
      <c r="E54" s="301">
        <v>58.4</v>
      </c>
      <c r="F54" s="301">
        <v>81</v>
      </c>
      <c r="G54" s="301">
        <v>105.8</v>
      </c>
    </row>
    <row r="55" spans="1:7" x14ac:dyDescent="0.25">
      <c r="A55" s="442">
        <v>3</v>
      </c>
      <c r="B55" s="301">
        <v>21.9</v>
      </c>
      <c r="C55" s="301">
        <v>54</v>
      </c>
      <c r="D55" s="301">
        <v>81.2</v>
      </c>
      <c r="E55" s="301">
        <v>57.1</v>
      </c>
      <c r="F55" s="301">
        <v>87</v>
      </c>
      <c r="G55" s="301">
        <v>109.6</v>
      </c>
    </row>
    <row r="56" spans="1:7" x14ac:dyDescent="0.25">
      <c r="A56" s="442">
        <v>4</v>
      </c>
      <c r="B56" s="301">
        <v>12.4</v>
      </c>
      <c r="C56" s="301">
        <v>51.3</v>
      </c>
      <c r="D56" s="301">
        <v>75.2</v>
      </c>
      <c r="E56" s="301">
        <v>56.7</v>
      </c>
      <c r="F56" s="301">
        <v>86.5</v>
      </c>
      <c r="G56" s="301">
        <v>91.4</v>
      </c>
    </row>
    <row r="57" spans="1:7" x14ac:dyDescent="0.25">
      <c r="A57" s="442">
        <v>5</v>
      </c>
      <c r="B57" s="301"/>
      <c r="C57" s="301">
        <v>45.3</v>
      </c>
      <c r="D57" s="301">
        <v>77.7</v>
      </c>
      <c r="E57" s="301">
        <v>44.8</v>
      </c>
      <c r="F57" s="301">
        <v>84.1</v>
      </c>
      <c r="G57" s="301">
        <v>99.2</v>
      </c>
    </row>
    <row r="58" spans="1:7" x14ac:dyDescent="0.25">
      <c r="A58" s="442">
        <v>6</v>
      </c>
      <c r="B58" s="301"/>
      <c r="C58" s="301"/>
      <c r="D58" s="301"/>
      <c r="E58" s="301"/>
      <c r="F58" s="301">
        <v>89.6</v>
      </c>
      <c r="G58" s="301">
        <v>95.9</v>
      </c>
    </row>
    <row r="59" spans="1:7" x14ac:dyDescent="0.25">
      <c r="A59" s="442">
        <v>7</v>
      </c>
      <c r="B59" s="301"/>
      <c r="C59" s="301"/>
      <c r="D59" s="301"/>
      <c r="E59" s="301"/>
      <c r="F59" s="301">
        <v>88.9</v>
      </c>
      <c r="G59" s="301">
        <v>97</v>
      </c>
    </row>
    <row r="60" spans="1:7" x14ac:dyDescent="0.25">
      <c r="A60" s="442">
        <v>8</v>
      </c>
      <c r="B60" s="301"/>
      <c r="C60" s="301"/>
      <c r="D60" s="301"/>
      <c r="E60" s="301"/>
      <c r="F60" s="301">
        <v>87.8</v>
      </c>
      <c r="G60" s="301">
        <v>94.4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109.7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19</v>
      </c>
      <c r="C66" s="301">
        <v>51.2</v>
      </c>
      <c r="D66" s="301">
        <v>79</v>
      </c>
      <c r="E66" s="301">
        <v>36.4</v>
      </c>
      <c r="F66" s="301">
        <v>80.2</v>
      </c>
      <c r="G66" s="301">
        <v>100.1</v>
      </c>
    </row>
    <row r="67" spans="1:7" x14ac:dyDescent="0.25">
      <c r="A67" s="442">
        <v>2</v>
      </c>
      <c r="B67" s="301">
        <v>23.5</v>
      </c>
      <c r="C67" s="301">
        <v>54.3</v>
      </c>
      <c r="D67" s="301">
        <v>76.599999999999994</v>
      </c>
      <c r="E67" s="301">
        <v>36.4</v>
      </c>
      <c r="F67" s="301">
        <v>85.5</v>
      </c>
      <c r="G67" s="301">
        <v>95.8</v>
      </c>
    </row>
    <row r="68" spans="1:7" x14ac:dyDescent="0.25">
      <c r="A68" s="442">
        <v>3</v>
      </c>
      <c r="B68" s="301">
        <v>18.600000000000001</v>
      </c>
      <c r="C68" s="301">
        <v>50.1</v>
      </c>
      <c r="D68" s="301">
        <v>81.5</v>
      </c>
      <c r="E68" s="301">
        <v>26.1</v>
      </c>
      <c r="F68" s="301">
        <v>80.8</v>
      </c>
      <c r="G68" s="301">
        <v>108.7</v>
      </c>
    </row>
    <row r="69" spans="1:7" x14ac:dyDescent="0.25">
      <c r="A69" s="442">
        <v>4</v>
      </c>
      <c r="B69" s="301"/>
      <c r="C69" s="301"/>
      <c r="D69" s="301">
        <v>76.2</v>
      </c>
      <c r="E69" s="301">
        <v>50.2</v>
      </c>
      <c r="F69" s="301">
        <v>80.5</v>
      </c>
      <c r="G69" s="301">
        <v>96.8</v>
      </c>
    </row>
    <row r="70" spans="1:7" x14ac:dyDescent="0.25">
      <c r="A70" s="442">
        <v>5</v>
      </c>
      <c r="B70" s="301"/>
      <c r="C70" s="301"/>
      <c r="D70" s="301"/>
      <c r="E70" s="301"/>
      <c r="F70" s="301">
        <v>83.2</v>
      </c>
      <c r="G70" s="301">
        <v>107</v>
      </c>
    </row>
    <row r="71" spans="1:7" x14ac:dyDescent="0.25">
      <c r="A71" s="442">
        <v>6</v>
      </c>
      <c r="B71" s="301"/>
      <c r="C71" s="301"/>
      <c r="D71" s="301"/>
      <c r="E71" s="301"/>
      <c r="F71" s="301">
        <v>87.7</v>
      </c>
      <c r="G71" s="301">
        <v>95.4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97.2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25</v>
      </c>
      <c r="C76" s="301">
        <v>46.4</v>
      </c>
      <c r="D76" s="301">
        <v>85</v>
      </c>
      <c r="E76" s="301">
        <v>25.7</v>
      </c>
      <c r="F76" s="301">
        <v>81</v>
      </c>
      <c r="G76" s="301">
        <v>96.3</v>
      </c>
    </row>
    <row r="77" spans="1:7" x14ac:dyDescent="0.25">
      <c r="A77" s="442">
        <v>2</v>
      </c>
      <c r="B77" s="301">
        <v>28.3</v>
      </c>
      <c r="C77" s="301">
        <v>45.6</v>
      </c>
      <c r="D77" s="301">
        <v>76.7</v>
      </c>
      <c r="E77" s="301">
        <v>28.2</v>
      </c>
      <c r="F77" s="301">
        <v>80.7</v>
      </c>
      <c r="G77" s="301">
        <v>98.3</v>
      </c>
    </row>
    <row r="78" spans="1:7" x14ac:dyDescent="0.25">
      <c r="A78" s="442">
        <v>3</v>
      </c>
      <c r="B78" s="301"/>
      <c r="C78" s="301"/>
      <c r="D78" s="301"/>
      <c r="E78" s="301">
        <v>59.1</v>
      </c>
      <c r="F78" s="301">
        <v>84</v>
      </c>
      <c r="G78" s="301">
        <v>104.8</v>
      </c>
    </row>
    <row r="79" spans="1:7" x14ac:dyDescent="0.25">
      <c r="A79" s="442">
        <v>4</v>
      </c>
      <c r="B79" s="301"/>
      <c r="C79" s="301"/>
      <c r="D79" s="301"/>
      <c r="E79" s="301"/>
      <c r="F79" s="301">
        <v>88.9</v>
      </c>
      <c r="G79" s="301">
        <v>91.8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26.2</v>
      </c>
      <c r="C83" s="301">
        <v>46.5</v>
      </c>
      <c r="D83" s="301">
        <v>79.2</v>
      </c>
      <c r="E83" s="301">
        <v>31.2</v>
      </c>
      <c r="F83" s="301">
        <v>83.8</v>
      </c>
      <c r="G83" s="301">
        <v>100</v>
      </c>
    </row>
    <row r="84" spans="1:7" x14ac:dyDescent="0.25">
      <c r="A84" s="442">
        <v>2</v>
      </c>
      <c r="B84" s="301">
        <v>22.6</v>
      </c>
      <c r="C84" s="301">
        <v>54.3</v>
      </c>
      <c r="D84" s="301">
        <v>80.900000000000006</v>
      </c>
      <c r="E84" s="301">
        <v>52.4</v>
      </c>
      <c r="F84" s="301">
        <v>85.6</v>
      </c>
      <c r="G84" s="301">
        <v>99.7</v>
      </c>
    </row>
    <row r="85" spans="1:7" x14ac:dyDescent="0.25">
      <c r="A85" s="442">
        <v>3</v>
      </c>
      <c r="B85" s="301">
        <v>20.8</v>
      </c>
      <c r="C85" s="301">
        <v>52.5</v>
      </c>
      <c r="D85" s="301">
        <v>78.900000000000006</v>
      </c>
      <c r="E85" s="301">
        <v>40</v>
      </c>
      <c r="F85" s="301">
        <v>86</v>
      </c>
      <c r="G85" s="301">
        <v>107.4</v>
      </c>
    </row>
    <row r="86" spans="1:7" x14ac:dyDescent="0.25">
      <c r="A86" s="442">
        <v>4</v>
      </c>
      <c r="B86" s="301"/>
      <c r="C86" s="301"/>
      <c r="D86" s="301"/>
      <c r="E86" s="301">
        <v>43.7</v>
      </c>
      <c r="F86" s="301">
        <v>81.599999999999994</v>
      </c>
      <c r="G86" s="301">
        <v>94.8</v>
      </c>
    </row>
    <row r="87" spans="1:7" x14ac:dyDescent="0.25">
      <c r="A87" s="442">
        <v>5</v>
      </c>
      <c r="B87" s="301"/>
      <c r="C87" s="301"/>
      <c r="D87" s="301"/>
      <c r="E87" s="301"/>
      <c r="F87" s="301">
        <v>86.3</v>
      </c>
      <c r="G87" s="301">
        <v>90.8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98.3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16</v>
      </c>
      <c r="C93" s="301">
        <v>53.5</v>
      </c>
      <c r="D93" s="301">
        <v>82.2</v>
      </c>
      <c r="E93" s="301">
        <v>45.9</v>
      </c>
      <c r="F93" s="301">
        <v>89</v>
      </c>
      <c r="G93" s="301">
        <v>94.2</v>
      </c>
    </row>
    <row r="94" spans="1:7" x14ac:dyDescent="0.25">
      <c r="A94" s="442">
        <v>2</v>
      </c>
      <c r="B94" s="301">
        <v>28.4</v>
      </c>
      <c r="C94" s="301">
        <v>47.3</v>
      </c>
      <c r="D94" s="301">
        <v>75.3</v>
      </c>
      <c r="E94" s="301">
        <v>44.4</v>
      </c>
      <c r="F94" s="301">
        <v>89.4</v>
      </c>
      <c r="G94" s="301">
        <v>103.1</v>
      </c>
    </row>
    <row r="95" spans="1:7" x14ac:dyDescent="0.25">
      <c r="A95" s="442">
        <v>3</v>
      </c>
      <c r="B95" s="301"/>
      <c r="C95" s="301"/>
      <c r="D95" s="301"/>
      <c r="E95" s="301">
        <v>42</v>
      </c>
      <c r="F95" s="301">
        <v>86</v>
      </c>
      <c r="G95" s="301">
        <v>111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105.1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28.9</v>
      </c>
      <c r="C100" s="301">
        <v>54.6</v>
      </c>
      <c r="D100" s="301">
        <v>81.8</v>
      </c>
      <c r="E100" s="301">
        <v>28.3</v>
      </c>
      <c r="F100" s="301">
        <v>88.1</v>
      </c>
      <c r="G100" s="301">
        <v>97.3</v>
      </c>
    </row>
    <row r="101" spans="1:7" x14ac:dyDescent="0.25">
      <c r="A101" s="442">
        <v>2</v>
      </c>
      <c r="B101" s="301">
        <v>17.3</v>
      </c>
      <c r="C101" s="301">
        <v>45.4</v>
      </c>
      <c r="D101" s="301">
        <v>82.6</v>
      </c>
      <c r="E101" s="301">
        <v>40.6</v>
      </c>
      <c r="F101" s="301">
        <v>84.6</v>
      </c>
      <c r="G101" s="301">
        <v>91.4</v>
      </c>
    </row>
    <row r="102" spans="1:7" x14ac:dyDescent="0.25">
      <c r="A102" s="442">
        <v>3</v>
      </c>
      <c r="B102" s="301">
        <v>26.1</v>
      </c>
      <c r="C102" s="301">
        <v>50.7</v>
      </c>
      <c r="D102" s="301">
        <v>76.7</v>
      </c>
      <c r="E102" s="301">
        <v>33.6</v>
      </c>
      <c r="F102" s="301">
        <v>84</v>
      </c>
      <c r="G102" s="301">
        <v>97</v>
      </c>
    </row>
    <row r="103" spans="1:7" x14ac:dyDescent="0.25">
      <c r="A103" s="442">
        <v>4</v>
      </c>
      <c r="B103" s="301">
        <v>18.600000000000001</v>
      </c>
      <c r="C103" s="301">
        <v>49.5</v>
      </c>
      <c r="D103" s="301">
        <v>75.599999999999994</v>
      </c>
      <c r="E103" s="301">
        <v>42.7</v>
      </c>
      <c r="F103" s="301">
        <v>82.6</v>
      </c>
      <c r="G103" s="301">
        <v>93.5</v>
      </c>
    </row>
    <row r="104" spans="1:7" x14ac:dyDescent="0.25">
      <c r="A104" s="442">
        <v>5</v>
      </c>
      <c r="B104" s="301">
        <v>24.5</v>
      </c>
      <c r="C104" s="301">
        <v>53.5</v>
      </c>
      <c r="D104" s="301">
        <v>81.2</v>
      </c>
      <c r="E104" s="301">
        <v>57.5</v>
      </c>
      <c r="F104" s="301">
        <v>83.4</v>
      </c>
      <c r="G104" s="301">
        <v>95.1</v>
      </c>
    </row>
    <row r="105" spans="1:7" x14ac:dyDescent="0.25">
      <c r="A105" s="442">
        <v>6</v>
      </c>
      <c r="B105" s="301">
        <v>13.9</v>
      </c>
      <c r="C105" s="301">
        <v>48</v>
      </c>
      <c r="D105" s="301">
        <v>83.1</v>
      </c>
      <c r="E105" s="301">
        <v>47.1</v>
      </c>
      <c r="F105" s="301">
        <v>88.7</v>
      </c>
      <c r="G105" s="301">
        <v>101.8</v>
      </c>
    </row>
    <row r="106" spans="1:7" x14ac:dyDescent="0.25">
      <c r="A106" s="442">
        <v>7</v>
      </c>
      <c r="B106" s="301">
        <v>22.8</v>
      </c>
      <c r="C106" s="301">
        <v>50</v>
      </c>
      <c r="D106" s="301">
        <v>81.900000000000006</v>
      </c>
      <c r="E106" s="301">
        <v>44</v>
      </c>
      <c r="F106" s="301">
        <v>81.900000000000006</v>
      </c>
      <c r="G106" s="301">
        <v>99.1</v>
      </c>
    </row>
    <row r="107" spans="1:7" x14ac:dyDescent="0.25">
      <c r="A107" s="442">
        <v>8</v>
      </c>
      <c r="B107" s="301">
        <v>15.3</v>
      </c>
      <c r="C107" s="301">
        <v>50.5</v>
      </c>
      <c r="D107" s="301">
        <v>83.9</v>
      </c>
      <c r="E107" s="301">
        <v>34.6</v>
      </c>
      <c r="F107" s="301">
        <v>81</v>
      </c>
      <c r="G107" s="301">
        <v>105.4</v>
      </c>
    </row>
    <row r="108" spans="1:7" x14ac:dyDescent="0.25">
      <c r="A108" s="442">
        <v>9</v>
      </c>
      <c r="B108" s="301">
        <v>13.4</v>
      </c>
      <c r="C108" s="301">
        <v>47.6</v>
      </c>
      <c r="D108" s="301">
        <v>75.099999999999994</v>
      </c>
      <c r="E108" s="301">
        <v>42.2</v>
      </c>
      <c r="F108" s="301">
        <v>86.1</v>
      </c>
      <c r="G108" s="301">
        <v>102.5</v>
      </c>
    </row>
    <row r="109" spans="1:7" x14ac:dyDescent="0.25">
      <c r="A109" s="442">
        <v>10</v>
      </c>
      <c r="B109" s="301">
        <v>17.8</v>
      </c>
      <c r="C109" s="301">
        <v>51.9</v>
      </c>
      <c r="D109" s="301">
        <v>75.7</v>
      </c>
      <c r="E109" s="301">
        <v>36.799999999999997</v>
      </c>
      <c r="F109" s="301">
        <v>89.8</v>
      </c>
      <c r="G109" s="301">
        <v>96.5</v>
      </c>
    </row>
    <row r="110" spans="1:7" x14ac:dyDescent="0.25">
      <c r="A110" s="442">
        <v>11</v>
      </c>
      <c r="B110" s="301"/>
      <c r="C110" s="301">
        <v>47.7</v>
      </c>
      <c r="D110" s="301">
        <v>83.1</v>
      </c>
      <c r="E110" s="301">
        <v>32.799999999999997</v>
      </c>
      <c r="F110" s="301">
        <v>81</v>
      </c>
      <c r="G110" s="301">
        <v>99.6</v>
      </c>
    </row>
    <row r="111" spans="1:7" x14ac:dyDescent="0.25">
      <c r="A111" s="442">
        <v>12</v>
      </c>
      <c r="B111" s="301"/>
      <c r="C111" s="301">
        <v>50.8</v>
      </c>
      <c r="D111" s="301"/>
      <c r="E111" s="301">
        <v>38.1</v>
      </c>
      <c r="F111" s="301">
        <v>87.8</v>
      </c>
      <c r="G111" s="301">
        <v>101</v>
      </c>
    </row>
    <row r="112" spans="1:7" x14ac:dyDescent="0.25">
      <c r="A112" s="442">
        <v>13</v>
      </c>
      <c r="B112" s="301"/>
      <c r="C112" s="301">
        <v>49.8</v>
      </c>
      <c r="D112" s="301"/>
      <c r="E112" s="301">
        <v>38.700000000000003</v>
      </c>
      <c r="F112" s="301">
        <v>85.3</v>
      </c>
      <c r="G112" s="301">
        <v>103.2</v>
      </c>
    </row>
    <row r="113" spans="1:7" x14ac:dyDescent="0.25">
      <c r="A113" s="442">
        <v>14</v>
      </c>
      <c r="B113" s="301"/>
      <c r="C113" s="301"/>
      <c r="D113" s="301"/>
      <c r="E113" s="301">
        <v>57.3</v>
      </c>
      <c r="F113" s="301">
        <v>81.7</v>
      </c>
      <c r="G113" s="301">
        <v>105.5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81</v>
      </c>
      <c r="G114" s="301">
        <v>106.8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82.3</v>
      </c>
      <c r="G115" s="301">
        <v>98.6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87.5</v>
      </c>
      <c r="G116" s="301">
        <v>91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83.7</v>
      </c>
      <c r="G117" s="301">
        <v>96.8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81.400000000000006</v>
      </c>
      <c r="G118" s="301">
        <v>109.6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86.2</v>
      </c>
      <c r="G119" s="301">
        <v>101.4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88.8</v>
      </c>
      <c r="G120" s="301">
        <v>97.6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80.2</v>
      </c>
      <c r="G121" s="301">
        <v>100.1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16.100000000000001</v>
      </c>
      <c r="C125" s="301">
        <v>50</v>
      </c>
      <c r="D125" s="301">
        <v>84.6</v>
      </c>
      <c r="E125" s="301">
        <v>37.1</v>
      </c>
      <c r="F125" s="301">
        <v>82</v>
      </c>
      <c r="G125" s="301">
        <v>104.2</v>
      </c>
    </row>
    <row r="126" spans="1:7" x14ac:dyDescent="0.25">
      <c r="A126" s="442">
        <v>2</v>
      </c>
      <c r="B126" s="301">
        <v>16.399999999999999</v>
      </c>
      <c r="C126" s="301">
        <v>54.6</v>
      </c>
      <c r="D126" s="301">
        <v>75.099999999999994</v>
      </c>
      <c r="E126" s="301">
        <v>36.799999999999997</v>
      </c>
      <c r="F126" s="301">
        <v>80</v>
      </c>
      <c r="G126" s="301">
        <v>101.4</v>
      </c>
    </row>
    <row r="127" spans="1:7" x14ac:dyDescent="0.25">
      <c r="A127" s="442">
        <v>3</v>
      </c>
      <c r="B127" s="301">
        <v>25</v>
      </c>
      <c r="C127" s="301">
        <v>52.7</v>
      </c>
      <c r="D127" s="301">
        <v>76.5</v>
      </c>
      <c r="E127" s="301">
        <v>37.9</v>
      </c>
      <c r="F127" s="301">
        <v>82.8</v>
      </c>
      <c r="G127" s="301">
        <v>96.5</v>
      </c>
    </row>
    <row r="128" spans="1:7" x14ac:dyDescent="0.25">
      <c r="A128" s="442">
        <v>4</v>
      </c>
      <c r="B128" s="301">
        <v>18.8</v>
      </c>
      <c r="C128" s="301">
        <v>51.7</v>
      </c>
      <c r="D128" s="301">
        <v>75.099999999999994</v>
      </c>
      <c r="E128" s="301">
        <v>27</v>
      </c>
      <c r="F128" s="301">
        <v>82</v>
      </c>
      <c r="G128" s="301">
        <v>109.1</v>
      </c>
    </row>
    <row r="129" spans="1:7" x14ac:dyDescent="0.25">
      <c r="A129" s="442">
        <v>5</v>
      </c>
      <c r="B129" s="301">
        <v>13.1</v>
      </c>
      <c r="C129" s="301">
        <v>49.5</v>
      </c>
      <c r="D129" s="301">
        <v>82.4</v>
      </c>
      <c r="E129" s="301">
        <v>55.8</v>
      </c>
      <c r="F129" s="301">
        <v>88.3</v>
      </c>
      <c r="G129" s="301">
        <v>106.8</v>
      </c>
    </row>
    <row r="130" spans="1:7" x14ac:dyDescent="0.25">
      <c r="A130" s="442">
        <v>6</v>
      </c>
      <c r="B130" s="301">
        <v>14</v>
      </c>
      <c r="C130" s="301">
        <v>49.9</v>
      </c>
      <c r="D130" s="301">
        <v>84.1</v>
      </c>
      <c r="E130" s="301">
        <v>39.299999999999997</v>
      </c>
      <c r="F130" s="301">
        <v>81.8</v>
      </c>
      <c r="G130" s="301">
        <v>109.7</v>
      </c>
    </row>
    <row r="131" spans="1:7" x14ac:dyDescent="0.25">
      <c r="A131" s="442">
        <v>7</v>
      </c>
      <c r="B131" s="301">
        <v>16</v>
      </c>
      <c r="C131" s="301">
        <v>45.1</v>
      </c>
      <c r="D131" s="301">
        <v>78.5</v>
      </c>
      <c r="E131" s="301">
        <v>34.200000000000003</v>
      </c>
      <c r="F131" s="301">
        <v>85.5</v>
      </c>
      <c r="G131" s="301">
        <v>90.3</v>
      </c>
    </row>
    <row r="132" spans="1:7" x14ac:dyDescent="0.25">
      <c r="A132" s="442">
        <v>8</v>
      </c>
      <c r="B132" s="301">
        <v>13.5</v>
      </c>
      <c r="C132" s="301">
        <v>48.5</v>
      </c>
      <c r="D132" s="301">
        <v>82.6</v>
      </c>
      <c r="E132" s="301">
        <v>58.1</v>
      </c>
      <c r="F132" s="301">
        <v>85.7</v>
      </c>
      <c r="G132" s="301">
        <v>98.4</v>
      </c>
    </row>
    <row r="133" spans="1:7" x14ac:dyDescent="0.25">
      <c r="A133" s="442">
        <v>9</v>
      </c>
      <c r="B133" s="301">
        <v>20.100000000000001</v>
      </c>
      <c r="C133" s="301">
        <v>51.8</v>
      </c>
      <c r="D133" s="301">
        <v>79.5</v>
      </c>
      <c r="E133" s="301">
        <v>29.8</v>
      </c>
      <c r="F133" s="301">
        <v>81.2</v>
      </c>
      <c r="G133" s="301">
        <v>95.3</v>
      </c>
    </row>
    <row r="134" spans="1:7" x14ac:dyDescent="0.25">
      <c r="A134" s="442">
        <v>10</v>
      </c>
      <c r="B134" s="301">
        <v>26</v>
      </c>
      <c r="C134" s="301">
        <v>54.3</v>
      </c>
      <c r="D134" s="301">
        <v>79.2</v>
      </c>
      <c r="E134" s="301">
        <v>30</v>
      </c>
      <c r="F134" s="301">
        <v>85.8</v>
      </c>
      <c r="G134" s="301">
        <v>106.5</v>
      </c>
    </row>
    <row r="135" spans="1:7" x14ac:dyDescent="0.25">
      <c r="A135" s="442">
        <v>11</v>
      </c>
      <c r="B135" s="301"/>
      <c r="C135" s="301">
        <v>47.8</v>
      </c>
      <c r="D135" s="301">
        <v>76.8</v>
      </c>
      <c r="E135" s="301">
        <v>29</v>
      </c>
      <c r="F135" s="301">
        <v>86</v>
      </c>
      <c r="G135" s="301">
        <v>97.1</v>
      </c>
    </row>
    <row r="136" spans="1:7" x14ac:dyDescent="0.25">
      <c r="A136" s="442">
        <v>12</v>
      </c>
      <c r="B136" s="301"/>
      <c r="C136" s="301">
        <v>53.8</v>
      </c>
      <c r="D136" s="301">
        <v>80</v>
      </c>
      <c r="E136" s="301">
        <v>52.1</v>
      </c>
      <c r="F136" s="301">
        <v>84.8</v>
      </c>
      <c r="G136" s="301">
        <v>94.9</v>
      </c>
    </row>
    <row r="137" spans="1:7" x14ac:dyDescent="0.25">
      <c r="A137" s="442">
        <v>13</v>
      </c>
      <c r="B137" s="301"/>
      <c r="C137" s="301"/>
      <c r="D137" s="301"/>
      <c r="E137" s="301">
        <v>34</v>
      </c>
      <c r="F137" s="301">
        <v>85.3</v>
      </c>
      <c r="G137" s="301">
        <v>107.5</v>
      </c>
    </row>
    <row r="138" spans="1:7" x14ac:dyDescent="0.25">
      <c r="A138" s="442">
        <v>14</v>
      </c>
      <c r="B138" s="301"/>
      <c r="C138" s="301"/>
      <c r="D138" s="301"/>
      <c r="E138" s="301">
        <v>54.9</v>
      </c>
      <c r="F138" s="301">
        <v>88.7</v>
      </c>
      <c r="G138" s="301">
        <v>107.9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86.1</v>
      </c>
      <c r="G139" s="301">
        <v>90.3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87.3</v>
      </c>
      <c r="G140" s="301">
        <v>93.4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81.8</v>
      </c>
      <c r="G141" s="301">
        <v>103.3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86.5</v>
      </c>
      <c r="G142" s="301">
        <v>90.7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84.3</v>
      </c>
      <c r="G143" s="301">
        <v>106.8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107.4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96.3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91.9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99.8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ROUNDDOWN(AVERAGE(B6:D20),1)</f>
        <v>48.6</v>
      </c>
      <c r="C151" s="301">
        <f>ROUNDDOWN(AVERAGE(E6:G34),1)</f>
        <v>80.900000000000006</v>
      </c>
      <c r="D151" s="353">
        <v>28044</v>
      </c>
      <c r="E151" s="362">
        <v>46835</v>
      </c>
      <c r="F151" s="353">
        <f>B151*D151</f>
        <v>1362938.4000000001</v>
      </c>
      <c r="G151" s="353">
        <f>C151*E151</f>
        <v>3788951.5000000005</v>
      </c>
    </row>
    <row r="152" spans="1:7" x14ac:dyDescent="0.25">
      <c r="A152" s="298" t="s">
        <v>370</v>
      </c>
      <c r="B152" s="301">
        <f>ROUNDDOWN(AVERAGE(B39:D44),1)</f>
        <v>50</v>
      </c>
      <c r="C152" s="301">
        <f>ROUNDDOWN(AVERAGE(E39:G48),1)</f>
        <v>82</v>
      </c>
      <c r="D152" s="353">
        <v>10608</v>
      </c>
      <c r="E152" s="362">
        <v>17263</v>
      </c>
      <c r="F152" s="353">
        <f t="shared" ref="F152:G159" si="0">B152*D152</f>
        <v>530400</v>
      </c>
      <c r="G152" s="353">
        <f t="shared" si="0"/>
        <v>1415566</v>
      </c>
    </row>
    <row r="153" spans="1:7" x14ac:dyDescent="0.25">
      <c r="A153" s="298" t="s">
        <v>371</v>
      </c>
      <c r="B153" s="301">
        <f>ROUNDDOWN(AVERAGE(B53:D57),1)</f>
        <v>51.6</v>
      </c>
      <c r="C153" s="301">
        <f>ROUNDDOWN(AVERAGE(E53:G61),1)</f>
        <v>83.5</v>
      </c>
      <c r="D153" s="353">
        <v>8465</v>
      </c>
      <c r="E153" s="362">
        <v>14863</v>
      </c>
      <c r="F153" s="353">
        <f t="shared" si="0"/>
        <v>436794</v>
      </c>
      <c r="G153" s="353">
        <f t="shared" si="0"/>
        <v>1241060.5</v>
      </c>
    </row>
    <row r="154" spans="1:7" x14ac:dyDescent="0.25">
      <c r="A154" s="298" t="s">
        <v>372</v>
      </c>
      <c r="B154" s="301">
        <f>ROUNDDOWN(AVERAGE(B66:D72),1)</f>
        <v>53</v>
      </c>
      <c r="C154" s="301">
        <f>ROUNDDOWN(AVERAGE(E66:G72),1)</f>
        <v>79.2</v>
      </c>
      <c r="D154" s="353">
        <v>6339</v>
      </c>
      <c r="E154" s="362">
        <v>10489</v>
      </c>
      <c r="F154" s="353">
        <f t="shared" si="0"/>
        <v>335967</v>
      </c>
      <c r="G154" s="353">
        <f t="shared" si="0"/>
        <v>830728.8</v>
      </c>
    </row>
    <row r="155" spans="1:7" x14ac:dyDescent="0.25">
      <c r="A155" s="298" t="s">
        <v>373</v>
      </c>
      <c r="B155" s="301">
        <f>ROUNDDOWN(AVERAGE(B76:D77),1)</f>
        <v>51.1</v>
      </c>
      <c r="C155" s="301">
        <f>ROUNDDOWN(AVERAGE(E76:G79),1)</f>
        <v>76.2</v>
      </c>
      <c r="D155" s="353">
        <v>3699</v>
      </c>
      <c r="E155" s="362">
        <v>6517</v>
      </c>
      <c r="F155" s="353">
        <f t="shared" si="0"/>
        <v>189018.9</v>
      </c>
      <c r="G155" s="353">
        <f t="shared" si="0"/>
        <v>496595.4</v>
      </c>
    </row>
    <row r="156" spans="1:7" x14ac:dyDescent="0.25">
      <c r="A156" s="298" t="s">
        <v>374</v>
      </c>
      <c r="B156" s="301">
        <f>ROUNDDOWN(AVERAGE(B83:D89),1)</f>
        <v>51.3</v>
      </c>
      <c r="C156" s="301">
        <f>ROUNDDOWN(AVERAGE(E83:G88),1)</f>
        <v>78.7</v>
      </c>
      <c r="D156" s="353">
        <v>5340</v>
      </c>
      <c r="E156" s="362">
        <v>9371</v>
      </c>
      <c r="F156" s="353">
        <f t="shared" si="0"/>
        <v>273942</v>
      </c>
      <c r="G156" s="353">
        <f t="shared" si="0"/>
        <v>737497.70000000007</v>
      </c>
    </row>
    <row r="157" spans="1:7" x14ac:dyDescent="0.25">
      <c r="A157" s="298" t="s">
        <v>375</v>
      </c>
      <c r="B157" s="301">
        <f>ROUNDDOWN(AVERAGE(B93:D94),1)</f>
        <v>50.4</v>
      </c>
      <c r="C157" s="301">
        <f>ROUNDDOWN(AVERAGE(E93:G96),1)</f>
        <v>81</v>
      </c>
      <c r="D157" s="353">
        <v>3613</v>
      </c>
      <c r="E157" s="362">
        <v>5828</v>
      </c>
      <c r="F157" s="353">
        <f t="shared" si="0"/>
        <v>182095.19999999998</v>
      </c>
      <c r="G157" s="353">
        <f t="shared" si="0"/>
        <v>472068</v>
      </c>
    </row>
    <row r="158" spans="1:7" x14ac:dyDescent="0.25">
      <c r="A158" s="298" t="s">
        <v>365</v>
      </c>
      <c r="B158" s="301">
        <f>ROUNDDOWN(AVERAGE(B100:D112),1)</f>
        <v>50.8</v>
      </c>
      <c r="C158" s="301">
        <f>ROUNDDOWN(AVERAGE(E100:G121),1)</f>
        <v>79.599999999999994</v>
      </c>
      <c r="D158" s="353">
        <v>23194</v>
      </c>
      <c r="E158" s="362">
        <v>40331</v>
      </c>
      <c r="F158" s="353">
        <f t="shared" si="0"/>
        <v>1178255.2</v>
      </c>
      <c r="G158" s="353">
        <f t="shared" si="0"/>
        <v>3210347.5999999996</v>
      </c>
    </row>
    <row r="159" spans="1:7" x14ac:dyDescent="0.25">
      <c r="A159" s="298" t="s">
        <v>366</v>
      </c>
      <c r="B159" s="301">
        <f>ROUNDDOWN(AVERAGE(B125:D136),1)</f>
        <v>51.2</v>
      </c>
      <c r="C159" s="301">
        <f>ROUNDDOWN(AVERAGE(E125:G147),1)</f>
        <v>79.7</v>
      </c>
      <c r="D159" s="353">
        <v>22794</v>
      </c>
      <c r="E159" s="362">
        <v>40536</v>
      </c>
      <c r="F159" s="353">
        <f t="shared" si="0"/>
        <v>1167052.8</v>
      </c>
      <c r="G159" s="353">
        <f t="shared" si="0"/>
        <v>3230719.2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192033</v>
      </c>
      <c r="F160" s="353">
        <f>SUM(F151:F159)</f>
        <v>5656463.5</v>
      </c>
      <c r="G160" s="353">
        <f>SUM(G151:G159)</f>
        <v>15423534.699999999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50.4</v>
      </c>
      <c r="D165" s="280">
        <f>ROUNDDOWN(G160/E160,1)</f>
        <v>80.3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0298-34A5-445D-B3A6-4134BE6AAC1E}">
  <dimension ref="A1:G165"/>
  <sheetViews>
    <sheetView workbookViewId="0">
      <selection activeCell="J129" sqref="J129"/>
    </sheetView>
  </sheetViews>
  <sheetFormatPr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15" x14ac:dyDescent="0.25">
      <c r="A2" s="646" t="s">
        <v>414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ht="13.2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ht="13.2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ht="13.2" x14ac:dyDescent="0.25">
      <c r="A6" s="442">
        <v>1</v>
      </c>
      <c r="B6" s="301">
        <v>12.2</v>
      </c>
      <c r="C6" s="301">
        <v>49.9</v>
      </c>
      <c r="D6" s="301">
        <v>76.7</v>
      </c>
      <c r="E6" s="301">
        <v>58.6</v>
      </c>
      <c r="F6" s="301">
        <v>84</v>
      </c>
      <c r="G6" s="301">
        <v>99.9</v>
      </c>
    </row>
    <row r="7" spans="1:7" ht="13.2" x14ac:dyDescent="0.25">
      <c r="A7" s="442">
        <v>2</v>
      </c>
      <c r="B7" s="301">
        <v>24.4</v>
      </c>
      <c r="C7" s="301">
        <v>45.9</v>
      </c>
      <c r="D7" s="301">
        <v>77.7</v>
      </c>
      <c r="E7" s="301">
        <v>29.7</v>
      </c>
      <c r="F7" s="301">
        <v>89.7</v>
      </c>
      <c r="G7" s="301">
        <v>91.8</v>
      </c>
    </row>
    <row r="8" spans="1:7" ht="13.2" x14ac:dyDescent="0.25">
      <c r="A8" s="442">
        <v>3</v>
      </c>
      <c r="B8" s="301">
        <v>20.2</v>
      </c>
      <c r="C8" s="301">
        <v>54</v>
      </c>
      <c r="D8" s="301">
        <v>75</v>
      </c>
      <c r="E8" s="301">
        <v>51.5</v>
      </c>
      <c r="F8" s="301">
        <v>84.2</v>
      </c>
      <c r="G8" s="301">
        <v>92.8</v>
      </c>
    </row>
    <row r="9" spans="1:7" ht="13.2" x14ac:dyDescent="0.25">
      <c r="A9" s="442">
        <v>4</v>
      </c>
      <c r="B9" s="301">
        <v>26.1</v>
      </c>
      <c r="C9" s="301">
        <v>49.5</v>
      </c>
      <c r="D9" s="301">
        <v>75.7</v>
      </c>
      <c r="E9" s="301">
        <v>31.8</v>
      </c>
      <c r="F9" s="301">
        <v>87.1</v>
      </c>
      <c r="G9" s="301">
        <v>95.7</v>
      </c>
    </row>
    <row r="10" spans="1:7" ht="13.2" x14ac:dyDescent="0.25">
      <c r="A10" s="442">
        <v>5</v>
      </c>
      <c r="B10" s="301">
        <v>14.9</v>
      </c>
      <c r="C10" s="301">
        <v>51.5</v>
      </c>
      <c r="D10" s="301">
        <v>82.5</v>
      </c>
      <c r="E10" s="301">
        <v>58.1</v>
      </c>
      <c r="F10" s="301">
        <v>85.4</v>
      </c>
      <c r="G10" s="301">
        <v>98.3</v>
      </c>
    </row>
    <row r="11" spans="1:7" ht="13.2" x14ac:dyDescent="0.25">
      <c r="A11" s="442">
        <v>6</v>
      </c>
      <c r="B11" s="301">
        <v>20.8</v>
      </c>
      <c r="C11" s="301">
        <v>54.8</v>
      </c>
      <c r="D11" s="301">
        <v>78.099999999999994</v>
      </c>
      <c r="E11" s="301">
        <v>44</v>
      </c>
      <c r="F11" s="301">
        <v>81.7</v>
      </c>
      <c r="G11" s="301">
        <v>101.6</v>
      </c>
    </row>
    <row r="12" spans="1:7" ht="13.2" x14ac:dyDescent="0.25">
      <c r="A12" s="442">
        <v>7</v>
      </c>
      <c r="B12" s="301">
        <v>10.7</v>
      </c>
      <c r="C12" s="301">
        <v>47.8</v>
      </c>
      <c r="D12" s="301">
        <v>84.4</v>
      </c>
      <c r="E12" s="301">
        <v>54.8</v>
      </c>
      <c r="F12" s="301">
        <v>80.400000000000006</v>
      </c>
      <c r="G12" s="301">
        <v>91</v>
      </c>
    </row>
    <row r="13" spans="1:7" ht="13.2" x14ac:dyDescent="0.25">
      <c r="A13" s="442">
        <v>8</v>
      </c>
      <c r="B13" s="301">
        <v>22.1</v>
      </c>
      <c r="C13" s="301">
        <v>51.3</v>
      </c>
      <c r="D13" s="301">
        <v>81.599999999999994</v>
      </c>
      <c r="E13" s="301">
        <v>44.5</v>
      </c>
      <c r="F13" s="301">
        <v>85.5</v>
      </c>
      <c r="G13" s="301">
        <v>107.3</v>
      </c>
    </row>
    <row r="14" spans="1:7" ht="13.2" x14ac:dyDescent="0.25">
      <c r="A14" s="442">
        <v>9</v>
      </c>
      <c r="B14" s="301">
        <v>12.2</v>
      </c>
      <c r="C14" s="301">
        <v>45.4</v>
      </c>
      <c r="D14" s="301">
        <v>83.7</v>
      </c>
      <c r="E14" s="301">
        <v>54</v>
      </c>
      <c r="F14" s="301">
        <v>87.6</v>
      </c>
      <c r="G14" s="301">
        <v>107</v>
      </c>
    </row>
    <row r="15" spans="1:7" ht="13.2" x14ac:dyDescent="0.25">
      <c r="A15" s="442">
        <v>10</v>
      </c>
      <c r="B15" s="301">
        <v>19.5</v>
      </c>
      <c r="C15" s="301">
        <v>50.7</v>
      </c>
      <c r="D15" s="301">
        <v>77.599999999999994</v>
      </c>
      <c r="E15" s="301">
        <v>47.4</v>
      </c>
      <c r="F15" s="301">
        <v>80.900000000000006</v>
      </c>
      <c r="G15" s="301">
        <v>98</v>
      </c>
    </row>
    <row r="16" spans="1:7" ht="13.2" x14ac:dyDescent="0.25">
      <c r="A16" s="442">
        <v>11</v>
      </c>
      <c r="B16" s="301">
        <v>19.2</v>
      </c>
      <c r="C16" s="301">
        <v>45.6</v>
      </c>
      <c r="D16" s="301">
        <v>78.599999999999994</v>
      </c>
      <c r="E16" s="301">
        <v>38.6</v>
      </c>
      <c r="F16" s="301">
        <v>88.6</v>
      </c>
      <c r="G16" s="301">
        <v>90.1</v>
      </c>
    </row>
    <row r="17" spans="1:7" ht="13.2" x14ac:dyDescent="0.25">
      <c r="A17" s="442">
        <v>12</v>
      </c>
      <c r="B17" s="301">
        <v>10.6</v>
      </c>
      <c r="C17" s="301">
        <v>45.5</v>
      </c>
      <c r="D17" s="301">
        <v>85</v>
      </c>
      <c r="E17" s="301">
        <v>25.6</v>
      </c>
      <c r="F17" s="301">
        <v>89.1</v>
      </c>
      <c r="G17" s="301">
        <v>101</v>
      </c>
    </row>
    <row r="18" spans="1:7" ht="13.2" x14ac:dyDescent="0.25">
      <c r="A18" s="442">
        <v>13</v>
      </c>
      <c r="B18" s="301">
        <v>23.4</v>
      </c>
      <c r="C18" s="301">
        <v>48.5</v>
      </c>
      <c r="D18" s="301">
        <v>81.7</v>
      </c>
      <c r="E18" s="301">
        <v>26.6</v>
      </c>
      <c r="F18" s="301">
        <v>82.5</v>
      </c>
      <c r="G18" s="301">
        <v>109.8</v>
      </c>
    </row>
    <row r="19" spans="1:7" ht="13.2" x14ac:dyDescent="0.25">
      <c r="A19" s="442">
        <v>14</v>
      </c>
      <c r="B19" s="301"/>
      <c r="C19" s="301"/>
      <c r="D19" s="301">
        <v>75.900000000000006</v>
      </c>
      <c r="E19" s="301">
        <v>35.6</v>
      </c>
      <c r="F19" s="301">
        <v>82.2</v>
      </c>
      <c r="G19" s="301">
        <v>104.4</v>
      </c>
    </row>
    <row r="20" spans="1:7" ht="13.2" x14ac:dyDescent="0.25">
      <c r="A20" s="442">
        <v>15</v>
      </c>
      <c r="B20" s="301"/>
      <c r="C20" s="301"/>
      <c r="D20" s="301"/>
      <c r="E20" s="301">
        <v>31.7</v>
      </c>
      <c r="F20" s="301">
        <v>83.7</v>
      </c>
      <c r="G20" s="301">
        <v>100.4</v>
      </c>
    </row>
    <row r="21" spans="1:7" ht="13.2" x14ac:dyDescent="0.25">
      <c r="A21" s="442">
        <v>16</v>
      </c>
      <c r="B21" s="301"/>
      <c r="C21" s="301"/>
      <c r="D21" s="301"/>
      <c r="E21" s="301">
        <v>55.9</v>
      </c>
      <c r="F21" s="301">
        <v>87.9</v>
      </c>
      <c r="G21" s="301">
        <v>101.8</v>
      </c>
    </row>
    <row r="22" spans="1:7" ht="13.2" x14ac:dyDescent="0.25">
      <c r="A22" s="442">
        <v>17</v>
      </c>
      <c r="B22" s="301"/>
      <c r="C22" s="301"/>
      <c r="D22" s="301"/>
      <c r="E22" s="301"/>
      <c r="F22" s="301">
        <v>84.8</v>
      </c>
      <c r="G22" s="301">
        <v>94</v>
      </c>
    </row>
    <row r="23" spans="1:7" ht="13.2" x14ac:dyDescent="0.25">
      <c r="A23" s="442">
        <v>18</v>
      </c>
      <c r="B23" s="301"/>
      <c r="C23" s="301"/>
      <c r="D23" s="301"/>
      <c r="E23" s="301"/>
      <c r="F23" s="301">
        <v>81</v>
      </c>
      <c r="G23" s="301">
        <v>92.9</v>
      </c>
    </row>
    <row r="24" spans="1:7" ht="13.2" x14ac:dyDescent="0.25">
      <c r="A24" s="442">
        <v>19</v>
      </c>
      <c r="B24" s="301"/>
      <c r="C24" s="301"/>
      <c r="D24" s="301"/>
      <c r="E24" s="301"/>
      <c r="F24" s="301">
        <v>80.400000000000006</v>
      </c>
      <c r="G24" s="301">
        <v>98</v>
      </c>
    </row>
    <row r="25" spans="1:7" ht="13.2" x14ac:dyDescent="0.25">
      <c r="A25" s="442">
        <v>20</v>
      </c>
      <c r="B25" s="301"/>
      <c r="C25" s="301"/>
      <c r="D25" s="301"/>
      <c r="E25" s="301"/>
      <c r="F25" s="301">
        <v>86.7</v>
      </c>
      <c r="G25" s="301">
        <v>91.8</v>
      </c>
    </row>
    <row r="26" spans="1:7" ht="13.2" x14ac:dyDescent="0.25">
      <c r="A26" s="442">
        <v>21</v>
      </c>
      <c r="B26" s="301"/>
      <c r="C26" s="301"/>
      <c r="D26" s="301"/>
      <c r="E26" s="301"/>
      <c r="F26" s="301">
        <v>82.3</v>
      </c>
      <c r="G26" s="301">
        <v>109.8</v>
      </c>
    </row>
    <row r="27" spans="1:7" ht="13.2" x14ac:dyDescent="0.25">
      <c r="A27" s="442">
        <v>22</v>
      </c>
      <c r="B27" s="301"/>
      <c r="C27" s="301"/>
      <c r="D27" s="301"/>
      <c r="E27" s="301"/>
      <c r="F27" s="301">
        <v>88.9</v>
      </c>
      <c r="G27" s="301">
        <v>102.1</v>
      </c>
    </row>
    <row r="28" spans="1:7" ht="13.2" x14ac:dyDescent="0.25">
      <c r="A28" s="442">
        <v>23</v>
      </c>
      <c r="B28" s="301"/>
      <c r="C28" s="301"/>
      <c r="D28" s="301"/>
      <c r="E28" s="301"/>
      <c r="F28" s="301">
        <v>85.3</v>
      </c>
      <c r="G28" s="301">
        <v>97.8</v>
      </c>
    </row>
    <row r="29" spans="1:7" ht="13.2" x14ac:dyDescent="0.25">
      <c r="A29" s="442">
        <v>24</v>
      </c>
      <c r="B29" s="301"/>
      <c r="C29" s="301"/>
      <c r="D29" s="301"/>
      <c r="E29" s="301"/>
      <c r="F29" s="301">
        <v>84.6</v>
      </c>
      <c r="G29" s="301">
        <v>109.3</v>
      </c>
    </row>
    <row r="30" spans="1:7" ht="13.2" x14ac:dyDescent="0.25">
      <c r="A30" s="442">
        <v>25</v>
      </c>
      <c r="B30" s="301"/>
      <c r="C30" s="301"/>
      <c r="D30" s="301"/>
      <c r="E30" s="301"/>
      <c r="F30" s="301"/>
      <c r="G30" s="301">
        <v>109.8</v>
      </c>
    </row>
    <row r="31" spans="1:7" ht="13.2" x14ac:dyDescent="0.25">
      <c r="A31" s="442">
        <v>26</v>
      </c>
      <c r="B31" s="301"/>
      <c r="C31" s="301"/>
      <c r="D31" s="301"/>
      <c r="E31" s="301"/>
      <c r="F31" s="301"/>
      <c r="G31" s="301">
        <v>104.3</v>
      </c>
    </row>
    <row r="32" spans="1:7" ht="13.2" x14ac:dyDescent="0.25">
      <c r="A32" s="442">
        <v>27</v>
      </c>
      <c r="B32" s="301"/>
      <c r="C32" s="301"/>
      <c r="D32" s="301"/>
      <c r="E32" s="301"/>
      <c r="F32" s="301"/>
      <c r="G32" s="301">
        <v>99.1</v>
      </c>
    </row>
    <row r="33" spans="1:7" ht="13.2" x14ac:dyDescent="0.25">
      <c r="A33" s="442">
        <v>28</v>
      </c>
      <c r="B33" s="301"/>
      <c r="C33" s="301"/>
      <c r="D33" s="301"/>
      <c r="E33" s="301"/>
      <c r="F33" s="301"/>
      <c r="G33" s="301">
        <v>109.5</v>
      </c>
    </row>
    <row r="34" spans="1:7" ht="13.2" x14ac:dyDescent="0.25">
      <c r="A34" s="442">
        <v>29</v>
      </c>
      <c r="B34" s="301"/>
      <c r="C34" s="301"/>
      <c r="D34" s="301"/>
      <c r="E34" s="301"/>
      <c r="F34" s="301"/>
      <c r="G34" s="301">
        <v>96.7</v>
      </c>
    </row>
    <row r="35" spans="1:7" ht="13.2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ht="13.2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ht="13.2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ht="13.2" x14ac:dyDescent="0.25">
      <c r="A39" s="442">
        <v>1</v>
      </c>
      <c r="B39" s="301">
        <v>16.8</v>
      </c>
      <c r="C39" s="301">
        <v>53.3</v>
      </c>
      <c r="D39" s="301">
        <v>75.400000000000006</v>
      </c>
      <c r="E39" s="301">
        <v>47.9</v>
      </c>
      <c r="F39" s="301">
        <v>90</v>
      </c>
      <c r="G39" s="301">
        <v>99</v>
      </c>
    </row>
    <row r="40" spans="1:7" ht="13.2" x14ac:dyDescent="0.25">
      <c r="A40" s="442">
        <v>2</v>
      </c>
      <c r="B40" s="301">
        <v>27.9</v>
      </c>
      <c r="C40" s="301">
        <v>47.7</v>
      </c>
      <c r="D40" s="301">
        <v>80.400000000000006</v>
      </c>
      <c r="E40" s="301">
        <v>58</v>
      </c>
      <c r="F40" s="301">
        <v>87.8</v>
      </c>
      <c r="G40" s="301">
        <v>92.1</v>
      </c>
    </row>
    <row r="41" spans="1:7" ht="13.2" x14ac:dyDescent="0.25">
      <c r="A41" s="442">
        <v>3</v>
      </c>
      <c r="B41" s="301">
        <v>15.7</v>
      </c>
      <c r="C41" s="301">
        <v>46.8</v>
      </c>
      <c r="D41" s="301">
        <v>78.8</v>
      </c>
      <c r="E41" s="301">
        <v>38</v>
      </c>
      <c r="F41" s="301">
        <v>83.1</v>
      </c>
      <c r="G41" s="301">
        <v>107.6</v>
      </c>
    </row>
    <row r="42" spans="1:7" ht="13.2" x14ac:dyDescent="0.25">
      <c r="A42" s="442">
        <v>4</v>
      </c>
      <c r="B42" s="301">
        <v>14</v>
      </c>
      <c r="C42" s="301">
        <v>46.5</v>
      </c>
      <c r="D42" s="301">
        <v>80.400000000000006</v>
      </c>
      <c r="E42" s="301">
        <v>49.1</v>
      </c>
      <c r="F42" s="301">
        <v>89.4</v>
      </c>
      <c r="G42" s="301">
        <v>100.2</v>
      </c>
    </row>
    <row r="43" spans="1:7" ht="13.2" x14ac:dyDescent="0.25">
      <c r="A43" s="442">
        <v>5</v>
      </c>
      <c r="B43" s="301">
        <v>23.9</v>
      </c>
      <c r="C43" s="301">
        <v>48.9</v>
      </c>
      <c r="D43" s="301">
        <v>75.2</v>
      </c>
      <c r="E43" s="301">
        <v>38.4</v>
      </c>
      <c r="F43" s="301">
        <v>82.3</v>
      </c>
      <c r="G43" s="301">
        <v>90</v>
      </c>
    </row>
    <row r="44" spans="1:7" ht="13.2" x14ac:dyDescent="0.25">
      <c r="A44" s="442">
        <v>6</v>
      </c>
      <c r="B44" s="301"/>
      <c r="C44" s="301">
        <v>53.9</v>
      </c>
      <c r="D44" s="301"/>
      <c r="E44" s="301">
        <v>57.2</v>
      </c>
      <c r="F44" s="301">
        <v>80.900000000000006</v>
      </c>
      <c r="G44" s="301">
        <v>95</v>
      </c>
    </row>
    <row r="45" spans="1:7" ht="13.2" x14ac:dyDescent="0.25">
      <c r="A45" s="442">
        <v>7</v>
      </c>
      <c r="B45" s="301"/>
      <c r="C45" s="301"/>
      <c r="D45" s="301"/>
      <c r="E45" s="301"/>
      <c r="F45" s="301">
        <v>85.5</v>
      </c>
      <c r="G45" s="301">
        <v>91.6</v>
      </c>
    </row>
    <row r="46" spans="1:7" ht="13.2" x14ac:dyDescent="0.25">
      <c r="A46" s="442">
        <v>8</v>
      </c>
      <c r="B46" s="301"/>
      <c r="C46" s="301"/>
      <c r="D46" s="301"/>
      <c r="E46" s="301"/>
      <c r="F46" s="301">
        <v>85.5</v>
      </c>
      <c r="G46" s="301">
        <v>109</v>
      </c>
    </row>
    <row r="47" spans="1:7" ht="13.2" x14ac:dyDescent="0.25">
      <c r="A47" s="442">
        <v>9</v>
      </c>
      <c r="B47" s="301"/>
      <c r="C47" s="301"/>
      <c r="D47" s="301"/>
      <c r="E47" s="301"/>
      <c r="F47" s="301">
        <v>80.2</v>
      </c>
      <c r="G47" s="301">
        <v>90.9</v>
      </c>
    </row>
    <row r="48" spans="1:7" ht="13.2" x14ac:dyDescent="0.25">
      <c r="A48" s="442">
        <v>10</v>
      </c>
      <c r="B48" s="301"/>
      <c r="C48" s="301"/>
      <c r="D48" s="301"/>
      <c r="E48" s="301"/>
      <c r="F48" s="301">
        <v>83.1</v>
      </c>
      <c r="G48" s="301">
        <v>91.3</v>
      </c>
    </row>
    <row r="49" spans="1:7" ht="13.2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ht="13.2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ht="13.2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ht="13.2" x14ac:dyDescent="0.25">
      <c r="A53" s="442">
        <v>1</v>
      </c>
      <c r="B53" s="301">
        <v>29.5</v>
      </c>
      <c r="C53" s="301">
        <v>46.9</v>
      </c>
      <c r="D53" s="301">
        <v>76.8</v>
      </c>
      <c r="E53" s="301">
        <v>37</v>
      </c>
      <c r="F53" s="301">
        <v>89.1</v>
      </c>
      <c r="G53" s="301">
        <v>92.9</v>
      </c>
    </row>
    <row r="54" spans="1:7" ht="13.2" x14ac:dyDescent="0.25">
      <c r="A54" s="442">
        <v>2</v>
      </c>
      <c r="B54" s="301">
        <v>18.8</v>
      </c>
      <c r="C54" s="301">
        <v>45.5</v>
      </c>
      <c r="D54" s="301">
        <v>82.6</v>
      </c>
      <c r="E54" s="301">
        <v>38.9</v>
      </c>
      <c r="F54" s="301">
        <v>81.3</v>
      </c>
      <c r="G54" s="301">
        <v>100.6</v>
      </c>
    </row>
    <row r="55" spans="1:7" ht="13.2" x14ac:dyDescent="0.25">
      <c r="A55" s="442">
        <v>3</v>
      </c>
      <c r="B55" s="301">
        <v>15.9</v>
      </c>
      <c r="C55" s="301">
        <v>51.3</v>
      </c>
      <c r="D55" s="301">
        <v>78.7</v>
      </c>
      <c r="E55" s="301">
        <v>42.9</v>
      </c>
      <c r="F55" s="301">
        <v>84.2</v>
      </c>
      <c r="G55" s="301">
        <v>102.5</v>
      </c>
    </row>
    <row r="56" spans="1:7" ht="13.2" x14ac:dyDescent="0.25">
      <c r="A56" s="442">
        <v>4</v>
      </c>
      <c r="B56" s="301">
        <v>14.8</v>
      </c>
      <c r="C56" s="301">
        <v>53.7</v>
      </c>
      <c r="D56" s="301">
        <v>81.8</v>
      </c>
      <c r="E56" s="301">
        <v>43.3</v>
      </c>
      <c r="F56" s="301">
        <v>80</v>
      </c>
      <c r="G56" s="301">
        <v>108.8</v>
      </c>
    </row>
    <row r="57" spans="1:7" ht="13.2" x14ac:dyDescent="0.25">
      <c r="A57" s="442">
        <v>5</v>
      </c>
      <c r="B57" s="301"/>
      <c r="C57" s="301">
        <v>46.5</v>
      </c>
      <c r="D57" s="301">
        <v>81.2</v>
      </c>
      <c r="E57" s="301">
        <v>41.6</v>
      </c>
      <c r="F57" s="301">
        <v>84.4</v>
      </c>
      <c r="G57" s="301">
        <v>97.9</v>
      </c>
    </row>
    <row r="58" spans="1:7" ht="13.2" x14ac:dyDescent="0.25">
      <c r="A58" s="442">
        <v>6</v>
      </c>
      <c r="B58" s="301"/>
      <c r="C58" s="301"/>
      <c r="D58" s="301"/>
      <c r="E58" s="301"/>
      <c r="F58" s="301">
        <v>80.400000000000006</v>
      </c>
      <c r="G58" s="301">
        <v>90</v>
      </c>
    </row>
    <row r="59" spans="1:7" ht="13.2" x14ac:dyDescent="0.25">
      <c r="A59" s="442">
        <v>7</v>
      </c>
      <c r="B59" s="301"/>
      <c r="C59" s="301"/>
      <c r="D59" s="301"/>
      <c r="E59" s="301"/>
      <c r="F59" s="301">
        <v>88.2</v>
      </c>
      <c r="G59" s="301">
        <v>92.9</v>
      </c>
    </row>
    <row r="60" spans="1:7" ht="13.2" x14ac:dyDescent="0.25">
      <c r="A60" s="442">
        <v>8</v>
      </c>
      <c r="B60" s="301"/>
      <c r="C60" s="301"/>
      <c r="D60" s="301"/>
      <c r="E60" s="301"/>
      <c r="F60" s="301">
        <v>81.3</v>
      </c>
      <c r="G60" s="301">
        <v>99.7</v>
      </c>
    </row>
    <row r="61" spans="1:7" ht="13.2" x14ac:dyDescent="0.25">
      <c r="A61" s="442">
        <v>9</v>
      </c>
      <c r="B61" s="301"/>
      <c r="C61" s="301"/>
      <c r="D61" s="301"/>
      <c r="E61" s="301"/>
      <c r="F61" s="301"/>
      <c r="G61" s="301">
        <v>98.3</v>
      </c>
    </row>
    <row r="62" spans="1:7" ht="13.2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ht="13.2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ht="13.2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ht="13.2" x14ac:dyDescent="0.25">
      <c r="A66" s="442">
        <v>1</v>
      </c>
      <c r="B66" s="301">
        <v>13.4</v>
      </c>
      <c r="C66" s="301">
        <v>49.8</v>
      </c>
      <c r="D66" s="301">
        <v>77.8</v>
      </c>
      <c r="E66" s="301">
        <v>38.799999999999997</v>
      </c>
      <c r="F66" s="301">
        <v>89.1</v>
      </c>
      <c r="G66" s="301">
        <v>92.1</v>
      </c>
    </row>
    <row r="67" spans="1:7" ht="13.2" x14ac:dyDescent="0.25">
      <c r="A67" s="442">
        <v>2</v>
      </c>
      <c r="B67" s="301">
        <v>10.9</v>
      </c>
      <c r="C67" s="301">
        <v>53.4</v>
      </c>
      <c r="D67" s="301">
        <v>81.099999999999994</v>
      </c>
      <c r="E67" s="301">
        <v>36.6</v>
      </c>
      <c r="F67" s="301">
        <v>88.9</v>
      </c>
      <c r="G67" s="301">
        <v>96.8</v>
      </c>
    </row>
    <row r="68" spans="1:7" ht="13.2" x14ac:dyDescent="0.25">
      <c r="A68" s="442">
        <v>3</v>
      </c>
      <c r="B68" s="301">
        <v>30</v>
      </c>
      <c r="C68" s="301">
        <v>47.7</v>
      </c>
      <c r="D68" s="301">
        <v>77.900000000000006</v>
      </c>
      <c r="E68" s="301">
        <v>41.7</v>
      </c>
      <c r="F68" s="301">
        <v>86.4</v>
      </c>
      <c r="G68" s="301">
        <v>102.3</v>
      </c>
    </row>
    <row r="69" spans="1:7" ht="13.2" x14ac:dyDescent="0.25">
      <c r="A69" s="442">
        <v>4</v>
      </c>
      <c r="B69" s="301"/>
      <c r="C69" s="301"/>
      <c r="D69" s="301">
        <v>78.8</v>
      </c>
      <c r="E69" s="301">
        <v>36.200000000000003</v>
      </c>
      <c r="F69" s="301">
        <v>81.7</v>
      </c>
      <c r="G69" s="301">
        <v>91.1</v>
      </c>
    </row>
    <row r="70" spans="1:7" ht="13.2" x14ac:dyDescent="0.25">
      <c r="A70" s="442">
        <v>5</v>
      </c>
      <c r="B70" s="301"/>
      <c r="C70" s="301"/>
      <c r="D70" s="301"/>
      <c r="E70" s="301"/>
      <c r="F70" s="301">
        <v>88.9</v>
      </c>
      <c r="G70" s="301">
        <v>91.6</v>
      </c>
    </row>
    <row r="71" spans="1:7" ht="13.2" x14ac:dyDescent="0.25">
      <c r="A71" s="442">
        <v>6</v>
      </c>
      <c r="B71" s="301"/>
      <c r="C71" s="301"/>
      <c r="D71" s="301"/>
      <c r="E71" s="301"/>
      <c r="F71" s="301">
        <v>87.7</v>
      </c>
      <c r="G71" s="301">
        <v>96.4</v>
      </c>
    </row>
    <row r="72" spans="1:7" ht="13.2" x14ac:dyDescent="0.25">
      <c r="A72" s="442">
        <v>7</v>
      </c>
      <c r="B72" s="301"/>
      <c r="C72" s="301"/>
      <c r="D72" s="301"/>
      <c r="E72" s="301"/>
      <c r="F72" s="301"/>
      <c r="G72" s="301">
        <v>98.3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ht="13.2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ht="13.2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ht="13.2" x14ac:dyDescent="0.25">
      <c r="A76" s="442">
        <v>1</v>
      </c>
      <c r="B76" s="301">
        <v>27.3</v>
      </c>
      <c r="C76" s="301">
        <v>45.8</v>
      </c>
      <c r="D76" s="301">
        <v>82.2</v>
      </c>
      <c r="E76" s="301">
        <v>29.1</v>
      </c>
      <c r="F76" s="301">
        <v>80.599999999999994</v>
      </c>
      <c r="G76" s="301">
        <v>91.9</v>
      </c>
    </row>
    <row r="77" spans="1:7" ht="13.2" x14ac:dyDescent="0.25">
      <c r="A77" s="442">
        <v>2</v>
      </c>
      <c r="B77" s="301">
        <v>12.4</v>
      </c>
      <c r="C77" s="301">
        <v>48.3</v>
      </c>
      <c r="D77" s="301">
        <v>79</v>
      </c>
      <c r="E77" s="301">
        <v>55.2</v>
      </c>
      <c r="F77" s="301">
        <v>81.8</v>
      </c>
      <c r="G77" s="301">
        <v>90.2</v>
      </c>
    </row>
    <row r="78" spans="1:7" ht="13.2" x14ac:dyDescent="0.25">
      <c r="A78" s="442">
        <v>3</v>
      </c>
      <c r="B78" s="301"/>
      <c r="C78" s="301"/>
      <c r="D78" s="301"/>
      <c r="E78" s="301">
        <v>46.2</v>
      </c>
      <c r="F78" s="301">
        <v>82.1</v>
      </c>
      <c r="G78" s="301">
        <v>99.7</v>
      </c>
    </row>
    <row r="79" spans="1:7" ht="13.2" x14ac:dyDescent="0.25">
      <c r="A79" s="442">
        <v>4</v>
      </c>
      <c r="B79" s="301"/>
      <c r="C79" s="301"/>
      <c r="D79" s="301"/>
      <c r="E79" s="301"/>
      <c r="F79" s="301">
        <v>81.400000000000006</v>
      </c>
      <c r="G79" s="301">
        <v>108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ht="13.2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ht="13.2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ht="13.2" x14ac:dyDescent="0.25">
      <c r="A83" s="442">
        <v>1</v>
      </c>
      <c r="B83" s="301">
        <v>27.9</v>
      </c>
      <c r="C83" s="301">
        <v>52.1</v>
      </c>
      <c r="D83" s="301">
        <v>80.599999999999994</v>
      </c>
      <c r="E83" s="301">
        <v>38.1</v>
      </c>
      <c r="F83" s="301">
        <v>81.2</v>
      </c>
      <c r="G83" s="301">
        <v>104.5</v>
      </c>
    </row>
    <row r="84" spans="1:7" ht="13.2" x14ac:dyDescent="0.25">
      <c r="A84" s="442">
        <v>2</v>
      </c>
      <c r="B84" s="301">
        <v>26.1</v>
      </c>
      <c r="C84" s="301">
        <v>49</v>
      </c>
      <c r="D84" s="301">
        <v>82.5</v>
      </c>
      <c r="E84" s="301">
        <v>26.7</v>
      </c>
      <c r="F84" s="301">
        <v>83.9</v>
      </c>
      <c r="G84" s="301">
        <v>90.3</v>
      </c>
    </row>
    <row r="85" spans="1:7" ht="13.2" x14ac:dyDescent="0.25">
      <c r="A85" s="442">
        <v>3</v>
      </c>
      <c r="B85" s="301">
        <v>16.2</v>
      </c>
      <c r="C85" s="301">
        <v>53.2</v>
      </c>
      <c r="D85" s="301">
        <v>78.400000000000006</v>
      </c>
      <c r="E85" s="301">
        <v>31.1</v>
      </c>
      <c r="F85" s="301">
        <v>80.599999999999994</v>
      </c>
      <c r="G85" s="301">
        <v>104.1</v>
      </c>
    </row>
    <row r="86" spans="1:7" ht="13.2" x14ac:dyDescent="0.25">
      <c r="A86" s="442">
        <v>4</v>
      </c>
      <c r="B86" s="301"/>
      <c r="C86" s="301"/>
      <c r="D86" s="301"/>
      <c r="E86" s="301">
        <v>57.8</v>
      </c>
      <c r="F86" s="301">
        <v>82</v>
      </c>
      <c r="G86" s="301">
        <v>106.5</v>
      </c>
    </row>
    <row r="87" spans="1:7" ht="13.2" x14ac:dyDescent="0.25">
      <c r="A87" s="442">
        <v>5</v>
      </c>
      <c r="B87" s="301"/>
      <c r="C87" s="301"/>
      <c r="D87" s="301"/>
      <c r="E87" s="301"/>
      <c r="F87" s="301">
        <v>84.7</v>
      </c>
      <c r="G87" s="301">
        <v>108.5</v>
      </c>
    </row>
    <row r="88" spans="1:7" ht="13.2" x14ac:dyDescent="0.25">
      <c r="A88" s="442">
        <v>6</v>
      </c>
      <c r="B88" s="301"/>
      <c r="C88" s="301"/>
      <c r="D88" s="301"/>
      <c r="E88" s="301"/>
      <c r="F88" s="301"/>
      <c r="G88" s="301">
        <v>94.4</v>
      </c>
    </row>
    <row r="89" spans="1:7" ht="13.2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ht="13.2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ht="13.2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ht="13.2" x14ac:dyDescent="0.25">
      <c r="A93" s="442">
        <v>1</v>
      </c>
      <c r="B93" s="301">
        <v>18</v>
      </c>
      <c r="C93" s="301">
        <v>46.4</v>
      </c>
      <c r="D93" s="301">
        <v>78.099999999999994</v>
      </c>
      <c r="E93" s="301">
        <v>56.7</v>
      </c>
      <c r="F93" s="301">
        <v>88.1</v>
      </c>
      <c r="G93" s="301">
        <v>102.4</v>
      </c>
    </row>
    <row r="94" spans="1:7" ht="13.2" x14ac:dyDescent="0.25">
      <c r="A94" s="442">
        <v>2</v>
      </c>
      <c r="B94" s="301">
        <v>25</v>
      </c>
      <c r="C94" s="301">
        <v>48.8</v>
      </c>
      <c r="D94" s="301">
        <v>79.5</v>
      </c>
      <c r="E94" s="301">
        <v>50</v>
      </c>
      <c r="F94" s="301">
        <v>85.8</v>
      </c>
      <c r="G94" s="301">
        <v>110.8</v>
      </c>
    </row>
    <row r="95" spans="1:7" ht="13.2" x14ac:dyDescent="0.25">
      <c r="A95" s="442">
        <v>3</v>
      </c>
      <c r="B95" s="301"/>
      <c r="C95" s="301"/>
      <c r="D95" s="301"/>
      <c r="E95" s="301">
        <v>26.6</v>
      </c>
      <c r="F95" s="301">
        <v>82.9</v>
      </c>
      <c r="G95" s="301">
        <v>95.1</v>
      </c>
    </row>
    <row r="96" spans="1:7" ht="13.2" x14ac:dyDescent="0.25">
      <c r="A96" s="442">
        <v>4</v>
      </c>
      <c r="B96" s="301"/>
      <c r="C96" s="301"/>
      <c r="D96" s="301"/>
      <c r="E96" s="301"/>
      <c r="F96" s="301"/>
      <c r="G96" s="301">
        <v>93.3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ht="13.2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ht="13.2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ht="13.2" x14ac:dyDescent="0.25">
      <c r="A100" s="442">
        <v>1</v>
      </c>
      <c r="B100" s="301">
        <v>29.9</v>
      </c>
      <c r="C100" s="301">
        <v>49.3</v>
      </c>
      <c r="D100" s="301">
        <v>83.1</v>
      </c>
      <c r="E100" s="301">
        <v>60</v>
      </c>
      <c r="F100" s="301">
        <v>80.900000000000006</v>
      </c>
      <c r="G100" s="301">
        <v>105.9</v>
      </c>
    </row>
    <row r="101" spans="1:7" ht="13.2" x14ac:dyDescent="0.25">
      <c r="A101" s="442">
        <v>2</v>
      </c>
      <c r="B101" s="301">
        <v>12.4</v>
      </c>
      <c r="C101" s="301">
        <v>54.8</v>
      </c>
      <c r="D101" s="301">
        <v>76.3</v>
      </c>
      <c r="E101" s="301">
        <v>39.700000000000003</v>
      </c>
      <c r="F101" s="301">
        <v>83.9</v>
      </c>
      <c r="G101" s="301">
        <v>91.4</v>
      </c>
    </row>
    <row r="102" spans="1:7" ht="13.2" x14ac:dyDescent="0.25">
      <c r="A102" s="442">
        <v>3</v>
      </c>
      <c r="B102" s="301">
        <v>21</v>
      </c>
      <c r="C102" s="301">
        <v>51.7</v>
      </c>
      <c r="D102" s="301">
        <v>84</v>
      </c>
      <c r="E102" s="301">
        <v>53.8</v>
      </c>
      <c r="F102" s="301">
        <v>86.9</v>
      </c>
      <c r="G102" s="301">
        <v>104.7</v>
      </c>
    </row>
    <row r="103" spans="1:7" ht="13.2" x14ac:dyDescent="0.25">
      <c r="A103" s="442">
        <v>4</v>
      </c>
      <c r="B103" s="301">
        <v>21.9</v>
      </c>
      <c r="C103" s="301">
        <v>52.4</v>
      </c>
      <c r="D103" s="301">
        <v>81.900000000000006</v>
      </c>
      <c r="E103" s="301">
        <v>46.1</v>
      </c>
      <c r="F103" s="301">
        <v>86.2</v>
      </c>
      <c r="G103" s="301">
        <v>96.1</v>
      </c>
    </row>
    <row r="104" spans="1:7" ht="13.2" x14ac:dyDescent="0.25">
      <c r="A104" s="442">
        <v>5</v>
      </c>
      <c r="B104" s="301">
        <v>23.9</v>
      </c>
      <c r="C104" s="301">
        <v>48.6</v>
      </c>
      <c r="D104" s="301">
        <v>83.4</v>
      </c>
      <c r="E104" s="301">
        <v>26.5</v>
      </c>
      <c r="F104" s="301">
        <v>87.2</v>
      </c>
      <c r="G104" s="301">
        <v>101.1</v>
      </c>
    </row>
    <row r="105" spans="1:7" ht="13.2" x14ac:dyDescent="0.25">
      <c r="A105" s="442">
        <v>6</v>
      </c>
      <c r="B105" s="301">
        <v>27.5</v>
      </c>
      <c r="C105" s="301">
        <v>47.1</v>
      </c>
      <c r="D105" s="301">
        <v>82.6</v>
      </c>
      <c r="E105" s="301">
        <v>45.1</v>
      </c>
      <c r="F105" s="301">
        <v>87.6</v>
      </c>
      <c r="G105" s="301">
        <v>92.7</v>
      </c>
    </row>
    <row r="106" spans="1:7" ht="13.2" x14ac:dyDescent="0.25">
      <c r="A106" s="442">
        <v>7</v>
      </c>
      <c r="B106" s="301">
        <v>21.5</v>
      </c>
      <c r="C106" s="301">
        <v>54.7</v>
      </c>
      <c r="D106" s="301">
        <v>77</v>
      </c>
      <c r="E106" s="301">
        <v>39.200000000000003</v>
      </c>
      <c r="F106" s="301">
        <v>89.3</v>
      </c>
      <c r="G106" s="301">
        <v>97.6</v>
      </c>
    </row>
    <row r="107" spans="1:7" ht="13.2" x14ac:dyDescent="0.25">
      <c r="A107" s="442">
        <v>8</v>
      </c>
      <c r="B107" s="301">
        <v>17</v>
      </c>
      <c r="C107" s="301">
        <v>49.4</v>
      </c>
      <c r="D107" s="301">
        <v>75.400000000000006</v>
      </c>
      <c r="E107" s="301">
        <v>55.1</v>
      </c>
      <c r="F107" s="301">
        <v>85</v>
      </c>
      <c r="G107" s="301">
        <v>90.4</v>
      </c>
    </row>
    <row r="108" spans="1:7" ht="13.2" x14ac:dyDescent="0.25">
      <c r="A108" s="442">
        <v>9</v>
      </c>
      <c r="B108" s="301">
        <v>26.9</v>
      </c>
      <c r="C108" s="301">
        <v>54.9</v>
      </c>
      <c r="D108" s="301">
        <v>77.400000000000006</v>
      </c>
      <c r="E108" s="301">
        <v>50.4</v>
      </c>
      <c r="F108" s="301">
        <v>85.7</v>
      </c>
      <c r="G108" s="301">
        <v>104.8</v>
      </c>
    </row>
    <row r="109" spans="1:7" ht="13.2" x14ac:dyDescent="0.25">
      <c r="A109" s="442">
        <v>10</v>
      </c>
      <c r="B109" s="301">
        <v>24.8</v>
      </c>
      <c r="C109" s="301">
        <v>48.8</v>
      </c>
      <c r="D109" s="301">
        <v>83.6</v>
      </c>
      <c r="E109" s="301">
        <v>52.8</v>
      </c>
      <c r="F109" s="301">
        <v>88.9</v>
      </c>
      <c r="G109" s="301">
        <v>104.6</v>
      </c>
    </row>
    <row r="110" spans="1:7" ht="13.2" x14ac:dyDescent="0.25">
      <c r="A110" s="442">
        <v>11</v>
      </c>
      <c r="B110" s="301"/>
      <c r="C110" s="301">
        <v>53.6</v>
      </c>
      <c r="D110" s="301">
        <v>80</v>
      </c>
      <c r="E110" s="301">
        <v>30.2</v>
      </c>
      <c r="F110" s="301">
        <v>84.8</v>
      </c>
      <c r="G110" s="301">
        <v>90.6</v>
      </c>
    </row>
    <row r="111" spans="1:7" ht="13.2" x14ac:dyDescent="0.25">
      <c r="A111" s="442">
        <v>12</v>
      </c>
      <c r="B111" s="301"/>
      <c r="C111" s="301">
        <v>49.9</v>
      </c>
      <c r="D111" s="301"/>
      <c r="E111" s="301">
        <v>42.5</v>
      </c>
      <c r="F111" s="301">
        <v>89</v>
      </c>
      <c r="G111" s="301">
        <v>111</v>
      </c>
    </row>
    <row r="112" spans="1:7" ht="13.2" x14ac:dyDescent="0.25">
      <c r="A112" s="442">
        <v>13</v>
      </c>
      <c r="B112" s="301"/>
      <c r="C112" s="301">
        <v>49.6</v>
      </c>
      <c r="D112" s="301"/>
      <c r="E112" s="301">
        <v>38.700000000000003</v>
      </c>
      <c r="F112" s="301">
        <v>82.4</v>
      </c>
      <c r="G112" s="301">
        <v>110.3</v>
      </c>
    </row>
    <row r="113" spans="1:7" ht="13.2" x14ac:dyDescent="0.25">
      <c r="A113" s="442">
        <v>14</v>
      </c>
      <c r="B113" s="301"/>
      <c r="C113" s="301"/>
      <c r="D113" s="301"/>
      <c r="E113" s="301">
        <v>29.8</v>
      </c>
      <c r="F113" s="301">
        <v>82</v>
      </c>
      <c r="G113" s="301">
        <v>91.7</v>
      </c>
    </row>
    <row r="114" spans="1:7" ht="13.2" x14ac:dyDescent="0.25">
      <c r="A114" s="442">
        <v>15</v>
      </c>
      <c r="B114" s="301"/>
      <c r="C114" s="301"/>
      <c r="D114" s="301"/>
      <c r="E114" s="301"/>
      <c r="F114" s="301">
        <v>83</v>
      </c>
      <c r="G114" s="301">
        <v>101.5</v>
      </c>
    </row>
    <row r="115" spans="1:7" ht="13.2" x14ac:dyDescent="0.25">
      <c r="A115" s="442">
        <v>16</v>
      </c>
      <c r="B115" s="301"/>
      <c r="C115" s="301"/>
      <c r="D115" s="301"/>
      <c r="E115" s="301"/>
      <c r="F115" s="301">
        <v>87.9</v>
      </c>
      <c r="G115" s="301">
        <v>93</v>
      </c>
    </row>
    <row r="116" spans="1:7" ht="13.2" x14ac:dyDescent="0.25">
      <c r="A116" s="442">
        <v>17</v>
      </c>
      <c r="B116" s="301"/>
      <c r="C116" s="301"/>
      <c r="D116" s="301"/>
      <c r="E116" s="301"/>
      <c r="F116" s="301">
        <v>89.9</v>
      </c>
      <c r="G116" s="301">
        <v>105.2</v>
      </c>
    </row>
    <row r="117" spans="1:7" ht="13.2" x14ac:dyDescent="0.25">
      <c r="A117" s="442">
        <v>18</v>
      </c>
      <c r="B117" s="301"/>
      <c r="C117" s="301"/>
      <c r="D117" s="301"/>
      <c r="E117" s="301"/>
      <c r="F117" s="301">
        <v>84.3</v>
      </c>
      <c r="G117" s="301">
        <v>109.2</v>
      </c>
    </row>
    <row r="118" spans="1:7" ht="13.2" x14ac:dyDescent="0.25">
      <c r="A118" s="442">
        <v>19</v>
      </c>
      <c r="B118" s="301"/>
      <c r="C118" s="301"/>
      <c r="D118" s="301"/>
      <c r="E118" s="301"/>
      <c r="F118" s="301">
        <v>87.3</v>
      </c>
      <c r="G118" s="301">
        <v>93.8</v>
      </c>
    </row>
    <row r="119" spans="1:7" ht="13.2" x14ac:dyDescent="0.25">
      <c r="A119" s="442">
        <v>20</v>
      </c>
      <c r="B119" s="301"/>
      <c r="C119" s="301"/>
      <c r="D119" s="301"/>
      <c r="E119" s="301"/>
      <c r="F119" s="301">
        <v>81.400000000000006</v>
      </c>
      <c r="G119" s="301">
        <v>98.8</v>
      </c>
    </row>
    <row r="120" spans="1:7" ht="13.2" x14ac:dyDescent="0.25">
      <c r="A120" s="442">
        <v>21</v>
      </c>
      <c r="B120" s="301"/>
      <c r="C120" s="301"/>
      <c r="D120" s="301"/>
      <c r="E120" s="301"/>
      <c r="F120" s="301">
        <v>86</v>
      </c>
      <c r="G120" s="301">
        <v>99.8</v>
      </c>
    </row>
    <row r="121" spans="1:7" ht="13.2" x14ac:dyDescent="0.25">
      <c r="A121" s="442">
        <v>22</v>
      </c>
      <c r="B121" s="301"/>
      <c r="C121" s="301"/>
      <c r="D121" s="301"/>
      <c r="E121" s="301"/>
      <c r="F121" s="301">
        <v>86.7</v>
      </c>
      <c r="G121" s="301">
        <v>96.1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ht="13.2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ht="13.2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ht="13.2" x14ac:dyDescent="0.25">
      <c r="A125" s="442">
        <v>1</v>
      </c>
      <c r="B125" s="301">
        <v>23.2</v>
      </c>
      <c r="C125" s="301">
        <v>51.2</v>
      </c>
      <c r="D125" s="301">
        <v>81.099999999999994</v>
      </c>
      <c r="E125" s="301">
        <v>34.5</v>
      </c>
      <c r="F125" s="301">
        <v>83.7</v>
      </c>
      <c r="G125" s="301">
        <v>110.6</v>
      </c>
    </row>
    <row r="126" spans="1:7" ht="13.2" x14ac:dyDescent="0.25">
      <c r="A126" s="442">
        <v>2</v>
      </c>
      <c r="B126" s="301">
        <v>27.6</v>
      </c>
      <c r="C126" s="301">
        <v>45.2</v>
      </c>
      <c r="D126" s="301">
        <v>82.6</v>
      </c>
      <c r="E126" s="301">
        <v>35.4</v>
      </c>
      <c r="F126" s="301">
        <v>89.5</v>
      </c>
      <c r="G126" s="301">
        <v>93.6</v>
      </c>
    </row>
    <row r="127" spans="1:7" ht="13.2" x14ac:dyDescent="0.25">
      <c r="A127" s="442">
        <v>3</v>
      </c>
      <c r="B127" s="301">
        <v>15.2</v>
      </c>
      <c r="C127" s="301">
        <v>46.8</v>
      </c>
      <c r="D127" s="301">
        <v>81.400000000000006</v>
      </c>
      <c r="E127" s="301">
        <v>36.299999999999997</v>
      </c>
      <c r="F127" s="301">
        <v>81</v>
      </c>
      <c r="G127" s="301">
        <v>105</v>
      </c>
    </row>
    <row r="128" spans="1:7" ht="13.2" x14ac:dyDescent="0.25">
      <c r="A128" s="442">
        <v>4</v>
      </c>
      <c r="B128" s="301">
        <v>11.8</v>
      </c>
      <c r="C128" s="301">
        <v>52.1</v>
      </c>
      <c r="D128" s="301">
        <v>77.8</v>
      </c>
      <c r="E128" s="301">
        <v>30</v>
      </c>
      <c r="F128" s="301">
        <v>81.5</v>
      </c>
      <c r="G128" s="301">
        <v>104.5</v>
      </c>
    </row>
    <row r="129" spans="1:7" ht="13.2" x14ac:dyDescent="0.25">
      <c r="A129" s="442">
        <v>5</v>
      </c>
      <c r="B129" s="301">
        <v>29.1</v>
      </c>
      <c r="C129" s="301">
        <v>45.9</v>
      </c>
      <c r="D129" s="301">
        <v>76.599999999999994</v>
      </c>
      <c r="E129" s="301">
        <v>53.8</v>
      </c>
      <c r="F129" s="301">
        <v>83.1</v>
      </c>
      <c r="G129" s="301">
        <v>91.7</v>
      </c>
    </row>
    <row r="130" spans="1:7" ht="13.2" x14ac:dyDescent="0.25">
      <c r="A130" s="442">
        <v>6</v>
      </c>
      <c r="B130" s="301">
        <v>21.7</v>
      </c>
      <c r="C130" s="301">
        <v>49.1</v>
      </c>
      <c r="D130" s="301">
        <v>81.400000000000006</v>
      </c>
      <c r="E130" s="301">
        <v>31.3</v>
      </c>
      <c r="F130" s="301">
        <v>87.1</v>
      </c>
      <c r="G130" s="301">
        <v>97.6</v>
      </c>
    </row>
    <row r="131" spans="1:7" ht="13.2" x14ac:dyDescent="0.25">
      <c r="A131" s="442">
        <v>7</v>
      </c>
      <c r="B131" s="301">
        <v>18.3</v>
      </c>
      <c r="C131" s="301">
        <v>46.9</v>
      </c>
      <c r="D131" s="301">
        <v>82.4</v>
      </c>
      <c r="E131" s="301">
        <v>55.3</v>
      </c>
      <c r="F131" s="301">
        <v>83.3</v>
      </c>
      <c r="G131" s="301">
        <v>94.8</v>
      </c>
    </row>
    <row r="132" spans="1:7" ht="13.2" x14ac:dyDescent="0.25">
      <c r="A132" s="442">
        <v>8</v>
      </c>
      <c r="B132" s="301">
        <v>20.6</v>
      </c>
      <c r="C132" s="301">
        <v>48.8</v>
      </c>
      <c r="D132" s="301">
        <v>79.900000000000006</v>
      </c>
      <c r="E132" s="301">
        <v>31.4</v>
      </c>
      <c r="F132" s="301">
        <v>82.5</v>
      </c>
      <c r="G132" s="301">
        <v>96.7</v>
      </c>
    </row>
    <row r="133" spans="1:7" ht="13.2" x14ac:dyDescent="0.25">
      <c r="A133" s="442">
        <v>9</v>
      </c>
      <c r="B133" s="301">
        <v>19.600000000000001</v>
      </c>
      <c r="C133" s="301">
        <v>48.8</v>
      </c>
      <c r="D133" s="301">
        <v>82.3</v>
      </c>
      <c r="E133" s="301">
        <v>49.9</v>
      </c>
      <c r="F133" s="301">
        <v>87.9</v>
      </c>
      <c r="G133" s="301">
        <v>107</v>
      </c>
    </row>
    <row r="134" spans="1:7" ht="13.2" x14ac:dyDescent="0.25">
      <c r="A134" s="442">
        <v>10</v>
      </c>
      <c r="B134" s="301">
        <v>27.5</v>
      </c>
      <c r="C134" s="301">
        <v>46.8</v>
      </c>
      <c r="D134" s="301">
        <v>80.900000000000006</v>
      </c>
      <c r="E134" s="301">
        <v>39.9</v>
      </c>
      <c r="F134" s="301">
        <v>89.7</v>
      </c>
      <c r="G134" s="301">
        <v>90.5</v>
      </c>
    </row>
    <row r="135" spans="1:7" ht="13.2" x14ac:dyDescent="0.25">
      <c r="A135" s="442">
        <v>11</v>
      </c>
      <c r="B135" s="301"/>
      <c r="C135" s="301">
        <v>52.8</v>
      </c>
      <c r="D135" s="301">
        <v>80.3</v>
      </c>
      <c r="E135" s="301">
        <v>28.3</v>
      </c>
      <c r="F135" s="301">
        <v>83.3</v>
      </c>
      <c r="G135" s="301">
        <v>90.9</v>
      </c>
    </row>
    <row r="136" spans="1:7" ht="13.2" x14ac:dyDescent="0.25">
      <c r="A136" s="442">
        <v>12</v>
      </c>
      <c r="B136" s="301"/>
      <c r="C136" s="301">
        <v>47.9</v>
      </c>
      <c r="D136" s="301">
        <v>75</v>
      </c>
      <c r="E136" s="301">
        <v>29.4</v>
      </c>
      <c r="F136" s="301">
        <v>84.1</v>
      </c>
      <c r="G136" s="301">
        <v>105.3</v>
      </c>
    </row>
    <row r="137" spans="1:7" ht="13.2" x14ac:dyDescent="0.25">
      <c r="A137" s="442">
        <v>13</v>
      </c>
      <c r="B137" s="301"/>
      <c r="C137" s="301"/>
      <c r="D137" s="301"/>
      <c r="E137" s="301">
        <v>41.6</v>
      </c>
      <c r="F137" s="301">
        <v>89.3</v>
      </c>
      <c r="G137" s="301">
        <v>94.9</v>
      </c>
    </row>
    <row r="138" spans="1:7" ht="13.2" x14ac:dyDescent="0.25">
      <c r="A138" s="442">
        <v>14</v>
      </c>
      <c r="B138" s="301"/>
      <c r="C138" s="301"/>
      <c r="D138" s="301"/>
      <c r="E138" s="301">
        <v>29.4</v>
      </c>
      <c r="F138" s="301">
        <v>89.1</v>
      </c>
      <c r="G138" s="301">
        <v>94.6</v>
      </c>
    </row>
    <row r="139" spans="1:7" ht="13.2" x14ac:dyDescent="0.25">
      <c r="A139" s="442">
        <v>15</v>
      </c>
      <c r="B139" s="301"/>
      <c r="C139" s="301"/>
      <c r="D139" s="301"/>
      <c r="E139" s="301"/>
      <c r="F139" s="301">
        <v>89</v>
      </c>
      <c r="G139" s="301">
        <v>100.5</v>
      </c>
    </row>
    <row r="140" spans="1:7" ht="13.2" x14ac:dyDescent="0.25">
      <c r="A140" s="442">
        <v>16</v>
      </c>
      <c r="B140" s="301"/>
      <c r="C140" s="301"/>
      <c r="D140" s="301"/>
      <c r="E140" s="301"/>
      <c r="F140" s="301">
        <v>81.2</v>
      </c>
      <c r="G140" s="301">
        <v>97.9</v>
      </c>
    </row>
    <row r="141" spans="1:7" ht="13.2" x14ac:dyDescent="0.25">
      <c r="A141" s="442">
        <v>17</v>
      </c>
      <c r="B141" s="301"/>
      <c r="C141" s="301"/>
      <c r="D141" s="301"/>
      <c r="E141" s="301"/>
      <c r="F141" s="301">
        <v>88</v>
      </c>
      <c r="G141" s="301">
        <v>109.7</v>
      </c>
    </row>
    <row r="142" spans="1:7" ht="13.2" x14ac:dyDescent="0.25">
      <c r="A142" s="442">
        <v>18</v>
      </c>
      <c r="B142" s="301"/>
      <c r="C142" s="301"/>
      <c r="D142" s="301"/>
      <c r="E142" s="301"/>
      <c r="F142" s="301">
        <v>82</v>
      </c>
      <c r="G142" s="301">
        <v>107.8</v>
      </c>
    </row>
    <row r="143" spans="1:7" ht="13.2" x14ac:dyDescent="0.25">
      <c r="A143" s="442">
        <v>19</v>
      </c>
      <c r="B143" s="301"/>
      <c r="C143" s="301"/>
      <c r="D143" s="301"/>
      <c r="E143" s="301"/>
      <c r="F143" s="301">
        <v>87.4</v>
      </c>
      <c r="G143" s="301">
        <v>90.7</v>
      </c>
    </row>
    <row r="144" spans="1:7" ht="13.2" x14ac:dyDescent="0.25">
      <c r="A144" s="442">
        <v>20</v>
      </c>
      <c r="B144" s="301"/>
      <c r="C144" s="301"/>
      <c r="D144" s="301"/>
      <c r="E144" s="301"/>
      <c r="F144" s="301"/>
      <c r="G144" s="301">
        <v>106.5</v>
      </c>
    </row>
    <row r="145" spans="1:7" ht="13.2" x14ac:dyDescent="0.25">
      <c r="A145" s="442">
        <v>21</v>
      </c>
      <c r="B145" s="301"/>
      <c r="C145" s="301"/>
      <c r="D145" s="301"/>
      <c r="E145" s="301"/>
      <c r="F145" s="301"/>
      <c r="G145" s="301">
        <v>104.8</v>
      </c>
    </row>
    <row r="146" spans="1:7" ht="13.2" x14ac:dyDescent="0.25">
      <c r="A146" s="442">
        <v>22</v>
      </c>
      <c r="B146" s="301"/>
      <c r="C146" s="301"/>
      <c r="D146" s="301"/>
      <c r="E146" s="301"/>
      <c r="F146" s="301"/>
      <c r="G146" s="301">
        <v>96</v>
      </c>
    </row>
    <row r="147" spans="1:7" ht="13.2" x14ac:dyDescent="0.25">
      <c r="A147" s="442">
        <v>23</v>
      </c>
      <c r="B147" s="301"/>
      <c r="C147" s="301"/>
      <c r="D147" s="301"/>
      <c r="E147" s="301"/>
      <c r="F147" s="301"/>
      <c r="G147" s="301">
        <v>109.3</v>
      </c>
    </row>
    <row r="148" spans="1:7" ht="13.2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ht="13.2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ht="13.2" x14ac:dyDescent="0.25">
      <c r="A151" s="298" t="s">
        <v>369</v>
      </c>
      <c r="B151" s="301">
        <f>ROUNDDOWN(AVERAGE(B6:D20),1)</f>
        <v>49.7</v>
      </c>
      <c r="C151" s="301">
        <f>ROUNDDOWN(AVERAGE(E6:G34),1)</f>
        <v>81.5</v>
      </c>
      <c r="D151" s="353">
        <v>28044</v>
      </c>
      <c r="E151" s="362">
        <v>47021</v>
      </c>
      <c r="F151" s="353">
        <f>B151*D151</f>
        <v>1393786.8</v>
      </c>
      <c r="G151" s="353">
        <f>C151*E151</f>
        <v>3832211.5</v>
      </c>
    </row>
    <row r="152" spans="1:7" ht="13.2" x14ac:dyDescent="0.25">
      <c r="A152" s="298" t="s">
        <v>370</v>
      </c>
      <c r="B152" s="301">
        <f>ROUNDDOWN(AVERAGE(B39:D49),1)</f>
        <v>49.1</v>
      </c>
      <c r="C152" s="301">
        <f>ROUNDDOWN(AVERAGE(E39:G48),1)</f>
        <v>80.8</v>
      </c>
      <c r="D152" s="353">
        <v>10608</v>
      </c>
      <c r="E152" s="362">
        <v>17171</v>
      </c>
      <c r="F152" s="353">
        <f t="shared" ref="F152:G159" si="0">B152*D152</f>
        <v>520852.8</v>
      </c>
      <c r="G152" s="353">
        <f t="shared" si="0"/>
        <v>1387416.8</v>
      </c>
    </row>
    <row r="153" spans="1:7" ht="13.2" x14ac:dyDescent="0.25">
      <c r="A153" s="298" t="s">
        <v>371</v>
      </c>
      <c r="B153" s="301">
        <f>ROUNDDOWN(AVERAGE(B53:D62),1)</f>
        <v>51.7</v>
      </c>
      <c r="C153" s="301">
        <f>ROUNDDOWN(AVERAGE(E53:G61),1)</f>
        <v>79.8</v>
      </c>
      <c r="D153" s="353">
        <v>8465</v>
      </c>
      <c r="E153" s="362">
        <v>14868</v>
      </c>
      <c r="F153" s="353">
        <f t="shared" si="0"/>
        <v>437640.5</v>
      </c>
      <c r="G153" s="353">
        <f t="shared" si="0"/>
        <v>1186466.3999999999</v>
      </c>
    </row>
    <row r="154" spans="1:7" ht="13.2" x14ac:dyDescent="0.25">
      <c r="A154" s="298" t="s">
        <v>372</v>
      </c>
      <c r="B154" s="301">
        <f>ROUNDDOWN(AVERAGE(B66:D72),1)</f>
        <v>52</v>
      </c>
      <c r="C154" s="301">
        <f>ROUNDDOWN(AVERAGE(E66:G72),1)</f>
        <v>79</v>
      </c>
      <c r="D154" s="353">
        <v>6339</v>
      </c>
      <c r="E154" s="362">
        <v>10459</v>
      </c>
      <c r="F154" s="353">
        <f t="shared" si="0"/>
        <v>329628</v>
      </c>
      <c r="G154" s="353">
        <f t="shared" si="0"/>
        <v>826261</v>
      </c>
    </row>
    <row r="155" spans="1:7" ht="13.2" x14ac:dyDescent="0.25">
      <c r="A155" s="298" t="s">
        <v>373</v>
      </c>
      <c r="B155" s="301">
        <f>ROUNDDOWN(AVERAGE(B76:D79),1)</f>
        <v>49.1</v>
      </c>
      <c r="C155" s="301">
        <f>ROUNDDOWN(AVERAGE(E76:G79),1)</f>
        <v>76.900000000000006</v>
      </c>
      <c r="D155" s="353">
        <v>3699</v>
      </c>
      <c r="E155" s="362">
        <v>6518</v>
      </c>
      <c r="F155" s="353">
        <f t="shared" si="0"/>
        <v>181620.9</v>
      </c>
      <c r="G155" s="353">
        <f t="shared" si="0"/>
        <v>501234.2</v>
      </c>
    </row>
    <row r="156" spans="1:7" ht="13.2" x14ac:dyDescent="0.25">
      <c r="A156" s="298" t="s">
        <v>374</v>
      </c>
      <c r="B156" s="301">
        <f>ROUNDDOWN(AVERAGE(B83:D89),1)</f>
        <v>51.7</v>
      </c>
      <c r="C156" s="301">
        <f>ROUNDDOWN(AVERAGE(E83:G88),1)</f>
        <v>78.2</v>
      </c>
      <c r="D156" s="353">
        <v>5340</v>
      </c>
      <c r="E156" s="362">
        <v>9391</v>
      </c>
      <c r="F156" s="353">
        <f t="shared" si="0"/>
        <v>276078</v>
      </c>
      <c r="G156" s="353">
        <f t="shared" si="0"/>
        <v>734376.20000000007</v>
      </c>
    </row>
    <row r="157" spans="1:7" ht="13.2" x14ac:dyDescent="0.25">
      <c r="A157" s="298" t="s">
        <v>375</v>
      </c>
      <c r="B157" s="301">
        <f>ROUNDDOWN(AVERAGE(B93:D96),1)</f>
        <v>49.3</v>
      </c>
      <c r="C157" s="301">
        <f>ROUNDDOWN(AVERAGE(E93:G96),1)</f>
        <v>79.099999999999994</v>
      </c>
      <c r="D157" s="353">
        <v>3613</v>
      </c>
      <c r="E157" s="362">
        <v>5784</v>
      </c>
      <c r="F157" s="353">
        <f t="shared" si="0"/>
        <v>178120.9</v>
      </c>
      <c r="G157" s="353">
        <f t="shared" si="0"/>
        <v>457514.39999999997</v>
      </c>
    </row>
    <row r="158" spans="1:7" ht="13.2" x14ac:dyDescent="0.25">
      <c r="A158" s="298" t="s">
        <v>365</v>
      </c>
      <c r="B158" s="301">
        <f>ROUNDDOWN(AVERAGE(B100:D121),1)</f>
        <v>52.2</v>
      </c>
      <c r="C158" s="301">
        <f>ROUNDDOWN(AVERAGE(E100:G121),1)</f>
        <v>80.8</v>
      </c>
      <c r="D158" s="353">
        <v>23194</v>
      </c>
      <c r="E158" s="362">
        <v>40239</v>
      </c>
      <c r="F158" s="353">
        <f t="shared" si="0"/>
        <v>1210726.8</v>
      </c>
      <c r="G158" s="353">
        <f t="shared" si="0"/>
        <v>3251311.1999999997</v>
      </c>
    </row>
    <row r="159" spans="1:7" ht="13.2" x14ac:dyDescent="0.25">
      <c r="A159" s="298" t="s">
        <v>366</v>
      </c>
      <c r="B159" s="301">
        <f>ROUNDDOWN(AVERAGE(B125:D147),1)</f>
        <v>51.7</v>
      </c>
      <c r="C159" s="301">
        <f>ROUNDDOWN(AVERAGE(E125:G147),1)</f>
        <v>79.400000000000006</v>
      </c>
      <c r="D159" s="353">
        <v>22794</v>
      </c>
      <c r="E159" s="362">
        <v>40595</v>
      </c>
      <c r="F159" s="353">
        <f t="shared" si="0"/>
        <v>1178449.8</v>
      </c>
      <c r="G159" s="353">
        <f t="shared" si="0"/>
        <v>3223243</v>
      </c>
    </row>
    <row r="160" spans="1:7" ht="13.2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192046</v>
      </c>
      <c r="F160" s="353">
        <f>SUM(F151:F159)</f>
        <v>5706904.5</v>
      </c>
      <c r="G160" s="353">
        <f>SUM(G151:G159)</f>
        <v>15400034.699999999</v>
      </c>
    </row>
    <row r="161" spans="1:7" ht="13.2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50.9</v>
      </c>
      <c r="D165" s="280">
        <f>ROUNDDOWN(G160/E160,1)</f>
        <v>80.099999999999994</v>
      </c>
    </row>
  </sheetData>
  <mergeCells count="34">
    <mergeCell ref="A1:G1"/>
    <mergeCell ref="A2:G2"/>
    <mergeCell ref="A3:G3"/>
    <mergeCell ref="B4:D4"/>
    <mergeCell ref="E4:G4"/>
    <mergeCell ref="A73:G73"/>
    <mergeCell ref="B74:D74"/>
    <mergeCell ref="E74:G74"/>
    <mergeCell ref="A90:G90"/>
    <mergeCell ref="A36:G36"/>
    <mergeCell ref="B37:D37"/>
    <mergeCell ref="E37:G37"/>
    <mergeCell ref="A50:G50"/>
    <mergeCell ref="B51:D51"/>
    <mergeCell ref="E51:G51"/>
    <mergeCell ref="A63:G63"/>
    <mergeCell ref="B64:D64"/>
    <mergeCell ref="E64:G64"/>
    <mergeCell ref="A122:G122"/>
    <mergeCell ref="B123:D123"/>
    <mergeCell ref="E123:G123"/>
    <mergeCell ref="A80:G80"/>
    <mergeCell ref="B81:D81"/>
    <mergeCell ref="E81:G81"/>
    <mergeCell ref="B91:D91"/>
    <mergeCell ref="E91:G91"/>
    <mergeCell ref="A97:G97"/>
    <mergeCell ref="B98:D98"/>
    <mergeCell ref="E98:G98"/>
    <mergeCell ref="A149:A150"/>
    <mergeCell ref="B149:C149"/>
    <mergeCell ref="D149:E149"/>
    <mergeCell ref="F149:G149"/>
    <mergeCell ref="C163:D163"/>
  </mergeCells>
  <phoneticPr fontId="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90A6-C6A8-46B5-BEE6-20C1D1A567F6}">
  <dimension ref="A1:G165"/>
  <sheetViews>
    <sheetView zoomScaleNormal="100" workbookViewId="0">
      <selection activeCell="N126" sqref="N126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411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15.8</v>
      </c>
      <c r="C6" s="301">
        <v>47.7</v>
      </c>
      <c r="D6" s="301">
        <v>82.9</v>
      </c>
      <c r="E6" s="301">
        <v>56.6</v>
      </c>
      <c r="F6" s="301">
        <v>85</v>
      </c>
      <c r="G6" s="301">
        <v>108.7</v>
      </c>
    </row>
    <row r="7" spans="1:7" x14ac:dyDescent="0.25">
      <c r="A7" s="442">
        <v>2</v>
      </c>
      <c r="B7" s="301">
        <v>13</v>
      </c>
      <c r="C7" s="301">
        <v>54</v>
      </c>
      <c r="D7" s="301">
        <v>80.099999999999994</v>
      </c>
      <c r="E7" s="301">
        <v>37.4</v>
      </c>
      <c r="F7" s="301">
        <v>81</v>
      </c>
      <c r="G7" s="301">
        <v>98.4</v>
      </c>
    </row>
    <row r="8" spans="1:7" x14ac:dyDescent="0.25">
      <c r="A8" s="442">
        <v>3</v>
      </c>
      <c r="B8" s="301">
        <v>17.5</v>
      </c>
      <c r="C8" s="301">
        <v>49.8</v>
      </c>
      <c r="D8" s="301">
        <v>77.099999999999994</v>
      </c>
      <c r="E8" s="301">
        <v>34</v>
      </c>
      <c r="F8" s="301">
        <v>85</v>
      </c>
      <c r="G8" s="301">
        <v>92.7</v>
      </c>
    </row>
    <row r="9" spans="1:7" x14ac:dyDescent="0.25">
      <c r="A9" s="442">
        <v>4</v>
      </c>
      <c r="B9" s="301">
        <v>16.3</v>
      </c>
      <c r="C9" s="301">
        <v>46.7</v>
      </c>
      <c r="D9" s="301">
        <v>81.400000000000006</v>
      </c>
      <c r="E9" s="301">
        <v>35</v>
      </c>
      <c r="F9" s="301">
        <v>81.2</v>
      </c>
      <c r="G9" s="301">
        <v>91.6</v>
      </c>
    </row>
    <row r="10" spans="1:7" x14ac:dyDescent="0.25">
      <c r="A10" s="442">
        <v>5</v>
      </c>
      <c r="B10" s="301">
        <v>17.2</v>
      </c>
      <c r="C10" s="301">
        <v>47.1</v>
      </c>
      <c r="D10" s="301">
        <v>83.2</v>
      </c>
      <c r="E10" s="301">
        <v>25.8</v>
      </c>
      <c r="F10" s="301">
        <v>80.2</v>
      </c>
      <c r="G10" s="301">
        <v>101.3</v>
      </c>
    </row>
    <row r="11" spans="1:7" x14ac:dyDescent="0.25">
      <c r="A11" s="442">
        <v>6</v>
      </c>
      <c r="B11" s="301">
        <v>24.7</v>
      </c>
      <c r="C11" s="301">
        <v>52.1</v>
      </c>
      <c r="D11" s="301">
        <v>78.5</v>
      </c>
      <c r="E11" s="301">
        <v>52.3</v>
      </c>
      <c r="F11" s="301">
        <v>82.4</v>
      </c>
      <c r="G11" s="301">
        <v>105.8</v>
      </c>
    </row>
    <row r="12" spans="1:7" x14ac:dyDescent="0.25">
      <c r="A12" s="442">
        <v>7</v>
      </c>
      <c r="B12" s="301">
        <v>20.100000000000001</v>
      </c>
      <c r="C12" s="301">
        <v>45.9</v>
      </c>
      <c r="D12" s="301">
        <v>79.8</v>
      </c>
      <c r="E12" s="301">
        <v>33.700000000000003</v>
      </c>
      <c r="F12" s="301">
        <v>87.2</v>
      </c>
      <c r="G12" s="301">
        <v>104.5</v>
      </c>
    </row>
    <row r="13" spans="1:7" x14ac:dyDescent="0.25">
      <c r="A13" s="442">
        <v>8</v>
      </c>
      <c r="B13" s="301">
        <v>18.100000000000001</v>
      </c>
      <c r="C13" s="301">
        <v>45.6</v>
      </c>
      <c r="D13" s="301">
        <v>83.7</v>
      </c>
      <c r="E13" s="301">
        <v>30.6</v>
      </c>
      <c r="F13" s="301">
        <v>84.2</v>
      </c>
      <c r="G13" s="301">
        <v>94.6</v>
      </c>
    </row>
    <row r="14" spans="1:7" x14ac:dyDescent="0.25">
      <c r="A14" s="442">
        <v>9</v>
      </c>
      <c r="B14" s="301">
        <v>24.7</v>
      </c>
      <c r="C14" s="301">
        <v>49.3</v>
      </c>
      <c r="D14" s="301">
        <v>75.400000000000006</v>
      </c>
      <c r="E14" s="301">
        <v>51.8</v>
      </c>
      <c r="F14" s="301">
        <v>83.4</v>
      </c>
      <c r="G14" s="301">
        <v>102.7</v>
      </c>
    </row>
    <row r="15" spans="1:7" x14ac:dyDescent="0.25">
      <c r="A15" s="442">
        <v>10</v>
      </c>
      <c r="B15" s="301">
        <v>11.1</v>
      </c>
      <c r="C15" s="301">
        <v>53.9</v>
      </c>
      <c r="D15" s="301">
        <v>81.8</v>
      </c>
      <c r="E15" s="301">
        <v>54.4</v>
      </c>
      <c r="F15" s="301">
        <v>89.4</v>
      </c>
      <c r="G15" s="301">
        <v>91.3</v>
      </c>
    </row>
    <row r="16" spans="1:7" x14ac:dyDescent="0.25">
      <c r="A16" s="442">
        <v>11</v>
      </c>
      <c r="B16" s="301">
        <v>23</v>
      </c>
      <c r="C16" s="301">
        <v>46.5</v>
      </c>
      <c r="D16" s="301">
        <v>81.599999999999994</v>
      </c>
      <c r="E16" s="301">
        <v>32.299999999999997</v>
      </c>
      <c r="F16" s="301">
        <v>85.9</v>
      </c>
      <c r="G16" s="301">
        <v>100.8</v>
      </c>
    </row>
    <row r="17" spans="1:7" x14ac:dyDescent="0.25">
      <c r="A17" s="442">
        <v>12</v>
      </c>
      <c r="B17" s="301">
        <v>20.8</v>
      </c>
      <c r="C17" s="301">
        <v>50.3</v>
      </c>
      <c r="D17" s="301">
        <v>75.2</v>
      </c>
      <c r="E17" s="301">
        <v>29</v>
      </c>
      <c r="F17" s="301">
        <v>89.3</v>
      </c>
      <c r="G17" s="301">
        <v>98.2</v>
      </c>
    </row>
    <row r="18" spans="1:7" x14ac:dyDescent="0.25">
      <c r="A18" s="442">
        <v>13</v>
      </c>
      <c r="B18" s="301">
        <v>24</v>
      </c>
      <c r="C18" s="301">
        <v>48.9</v>
      </c>
      <c r="D18" s="301">
        <v>76.099999999999994</v>
      </c>
      <c r="E18" s="301">
        <v>32.5</v>
      </c>
      <c r="F18" s="301">
        <v>83.9</v>
      </c>
      <c r="G18" s="301">
        <v>104</v>
      </c>
    </row>
    <row r="19" spans="1:7" x14ac:dyDescent="0.25">
      <c r="A19" s="442">
        <v>14</v>
      </c>
      <c r="B19" s="301"/>
      <c r="C19" s="301"/>
      <c r="D19" s="301">
        <v>76.400000000000006</v>
      </c>
      <c r="E19" s="301">
        <v>38.9</v>
      </c>
      <c r="F19" s="301">
        <v>81.900000000000006</v>
      </c>
      <c r="G19" s="301">
        <v>98</v>
      </c>
    </row>
    <row r="20" spans="1:7" x14ac:dyDescent="0.25">
      <c r="A20" s="442">
        <v>15</v>
      </c>
      <c r="B20" s="301"/>
      <c r="C20" s="301"/>
      <c r="D20" s="301"/>
      <c r="E20" s="301">
        <v>28.7</v>
      </c>
      <c r="F20" s="301">
        <v>83.7</v>
      </c>
      <c r="G20" s="301">
        <v>97</v>
      </c>
    </row>
    <row r="21" spans="1:7" x14ac:dyDescent="0.25">
      <c r="A21" s="442">
        <v>16</v>
      </c>
      <c r="B21" s="301"/>
      <c r="C21" s="301"/>
      <c r="D21" s="301"/>
      <c r="E21" s="301">
        <v>47</v>
      </c>
      <c r="F21" s="301">
        <v>81.400000000000006</v>
      </c>
      <c r="G21" s="301">
        <v>108.6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87.1</v>
      </c>
      <c r="G22" s="301">
        <v>105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88</v>
      </c>
      <c r="G23" s="301">
        <v>91.2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88</v>
      </c>
      <c r="G24" s="301">
        <v>103.3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83.2</v>
      </c>
      <c r="G25" s="301">
        <v>90.8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86.4</v>
      </c>
      <c r="G26" s="301">
        <v>94.9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88.3</v>
      </c>
      <c r="G27" s="301">
        <v>91.7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85.6</v>
      </c>
      <c r="G28" s="301">
        <v>107.6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88.7</v>
      </c>
      <c r="G29" s="301">
        <v>95.4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99.7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94.5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102.1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109.1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107.6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17.399999999999999</v>
      </c>
      <c r="C39" s="301">
        <v>53.3</v>
      </c>
      <c r="D39" s="301">
        <v>77</v>
      </c>
      <c r="E39" s="301">
        <v>44.5</v>
      </c>
      <c r="F39" s="301">
        <v>80.5</v>
      </c>
      <c r="G39" s="301">
        <v>93.1</v>
      </c>
    </row>
    <row r="40" spans="1:7" x14ac:dyDescent="0.25">
      <c r="A40" s="442">
        <v>2</v>
      </c>
      <c r="B40" s="301">
        <v>22.8</v>
      </c>
      <c r="C40" s="301">
        <v>47.4</v>
      </c>
      <c r="D40" s="301">
        <v>81.3</v>
      </c>
      <c r="E40" s="301">
        <v>27.9</v>
      </c>
      <c r="F40" s="301">
        <v>87.3</v>
      </c>
      <c r="G40" s="301">
        <v>96</v>
      </c>
    </row>
    <row r="41" spans="1:7" x14ac:dyDescent="0.25">
      <c r="A41" s="442">
        <v>3</v>
      </c>
      <c r="B41" s="301">
        <v>14.6</v>
      </c>
      <c r="C41" s="301">
        <v>49.6</v>
      </c>
      <c r="D41" s="301">
        <v>78.5</v>
      </c>
      <c r="E41" s="301">
        <v>43</v>
      </c>
      <c r="F41" s="301">
        <v>87.6</v>
      </c>
      <c r="G41" s="301">
        <v>102.2</v>
      </c>
    </row>
    <row r="42" spans="1:7" x14ac:dyDescent="0.25">
      <c r="A42" s="442">
        <v>4</v>
      </c>
      <c r="B42" s="301">
        <v>14.9</v>
      </c>
      <c r="C42" s="301">
        <v>45.4</v>
      </c>
      <c r="D42" s="301">
        <v>78</v>
      </c>
      <c r="E42" s="301">
        <v>36.5</v>
      </c>
      <c r="F42" s="301">
        <v>86</v>
      </c>
      <c r="G42" s="301">
        <v>98.8</v>
      </c>
    </row>
    <row r="43" spans="1:7" x14ac:dyDescent="0.25">
      <c r="A43" s="442">
        <v>5</v>
      </c>
      <c r="B43" s="301">
        <v>28.1</v>
      </c>
      <c r="C43" s="301">
        <v>49.9</v>
      </c>
      <c r="D43" s="301">
        <v>81.599999999999994</v>
      </c>
      <c r="E43" s="301">
        <v>31</v>
      </c>
      <c r="F43" s="301">
        <v>81.099999999999994</v>
      </c>
      <c r="G43" s="301">
        <v>108</v>
      </c>
    </row>
    <row r="44" spans="1:7" x14ac:dyDescent="0.25">
      <c r="A44" s="442">
        <v>6</v>
      </c>
      <c r="B44" s="301"/>
      <c r="C44" s="301">
        <v>49.5</v>
      </c>
      <c r="D44" s="301"/>
      <c r="E44" s="301">
        <v>38.299999999999997</v>
      </c>
      <c r="F44" s="301">
        <v>81.099999999999994</v>
      </c>
      <c r="G44" s="301">
        <v>106.9</v>
      </c>
    </row>
    <row r="45" spans="1:7" x14ac:dyDescent="0.25">
      <c r="A45" s="442">
        <v>7</v>
      </c>
      <c r="B45" s="301"/>
      <c r="C45" s="301"/>
      <c r="D45" s="301"/>
      <c r="E45" s="301"/>
      <c r="F45" s="301">
        <v>86.4</v>
      </c>
      <c r="G45" s="301">
        <v>105.5</v>
      </c>
    </row>
    <row r="46" spans="1:7" x14ac:dyDescent="0.25">
      <c r="A46" s="442">
        <v>8</v>
      </c>
      <c r="B46" s="301"/>
      <c r="C46" s="301"/>
      <c r="D46" s="301"/>
      <c r="E46" s="301"/>
      <c r="F46" s="301">
        <v>88.7</v>
      </c>
      <c r="G46" s="301">
        <v>107.1</v>
      </c>
    </row>
    <row r="47" spans="1:7" x14ac:dyDescent="0.25">
      <c r="A47" s="442">
        <v>9</v>
      </c>
      <c r="B47" s="301"/>
      <c r="C47" s="301"/>
      <c r="D47" s="301"/>
      <c r="E47" s="301"/>
      <c r="F47" s="301">
        <v>89</v>
      </c>
      <c r="G47" s="301">
        <v>97.8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80.2</v>
      </c>
      <c r="G48" s="301">
        <v>92.9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16.899999999999999</v>
      </c>
      <c r="C53" s="301">
        <v>49.6</v>
      </c>
      <c r="D53" s="301">
        <v>83.8</v>
      </c>
      <c r="E53" s="301">
        <v>41.7</v>
      </c>
      <c r="F53" s="301">
        <v>84</v>
      </c>
      <c r="G53" s="301">
        <v>107.5</v>
      </c>
    </row>
    <row r="54" spans="1:7" x14ac:dyDescent="0.25">
      <c r="A54" s="442">
        <v>2</v>
      </c>
      <c r="B54" s="301">
        <v>15.3</v>
      </c>
      <c r="C54" s="301">
        <v>50.8</v>
      </c>
      <c r="D54" s="301">
        <v>77.2</v>
      </c>
      <c r="E54" s="301">
        <v>58</v>
      </c>
      <c r="F54" s="301">
        <v>82.4</v>
      </c>
      <c r="G54" s="301">
        <v>100.4</v>
      </c>
    </row>
    <row r="55" spans="1:7" x14ac:dyDescent="0.25">
      <c r="A55" s="442">
        <v>3</v>
      </c>
      <c r="B55" s="301">
        <v>28.5</v>
      </c>
      <c r="C55" s="301">
        <v>51.6</v>
      </c>
      <c r="D55" s="301">
        <v>77.900000000000006</v>
      </c>
      <c r="E55" s="301">
        <v>30.6</v>
      </c>
      <c r="F55" s="301">
        <v>89.9</v>
      </c>
      <c r="G55" s="301">
        <v>100</v>
      </c>
    </row>
    <row r="56" spans="1:7" x14ac:dyDescent="0.25">
      <c r="A56" s="442">
        <v>4</v>
      </c>
      <c r="B56" s="301">
        <v>15.1</v>
      </c>
      <c r="C56" s="301">
        <v>51.7</v>
      </c>
      <c r="D56" s="301">
        <v>76.3</v>
      </c>
      <c r="E56" s="301">
        <v>56.6</v>
      </c>
      <c r="F56" s="301">
        <v>80.2</v>
      </c>
      <c r="G56" s="301">
        <v>96.4</v>
      </c>
    </row>
    <row r="57" spans="1:7" x14ac:dyDescent="0.25">
      <c r="A57" s="442">
        <v>5</v>
      </c>
      <c r="B57" s="301"/>
      <c r="C57" s="301">
        <v>50.8</v>
      </c>
      <c r="D57" s="301">
        <v>81.5</v>
      </c>
      <c r="E57" s="301">
        <v>47.1</v>
      </c>
      <c r="F57" s="301">
        <v>88.9</v>
      </c>
      <c r="G57" s="301">
        <v>94.9</v>
      </c>
    </row>
    <row r="58" spans="1:7" x14ac:dyDescent="0.25">
      <c r="A58" s="442">
        <v>6</v>
      </c>
      <c r="B58" s="301"/>
      <c r="C58" s="301"/>
      <c r="D58" s="301"/>
      <c r="E58" s="301"/>
      <c r="F58" s="301">
        <v>86.2</v>
      </c>
      <c r="G58" s="301">
        <v>94</v>
      </c>
    </row>
    <row r="59" spans="1:7" x14ac:dyDescent="0.25">
      <c r="A59" s="442">
        <v>7</v>
      </c>
      <c r="B59" s="301"/>
      <c r="C59" s="301"/>
      <c r="D59" s="301"/>
      <c r="E59" s="301"/>
      <c r="F59" s="301">
        <v>81.599999999999994</v>
      </c>
      <c r="G59" s="301">
        <v>105.5</v>
      </c>
    </row>
    <row r="60" spans="1:7" x14ac:dyDescent="0.25">
      <c r="A60" s="442">
        <v>8</v>
      </c>
      <c r="B60" s="301"/>
      <c r="C60" s="301"/>
      <c r="D60" s="301"/>
      <c r="E60" s="301"/>
      <c r="F60" s="301">
        <v>87.8</v>
      </c>
      <c r="G60" s="301">
        <v>90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90.5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18.600000000000001</v>
      </c>
      <c r="C66" s="301">
        <v>46.3</v>
      </c>
      <c r="D66" s="301">
        <v>76.5</v>
      </c>
      <c r="E66" s="301">
        <v>28.4</v>
      </c>
      <c r="F66" s="301">
        <v>85.2</v>
      </c>
      <c r="G66" s="301">
        <v>101.5</v>
      </c>
    </row>
    <row r="67" spans="1:7" x14ac:dyDescent="0.25">
      <c r="A67" s="442">
        <v>2</v>
      </c>
      <c r="B67" s="301">
        <v>14.9</v>
      </c>
      <c r="C67" s="301">
        <v>49.4</v>
      </c>
      <c r="D67" s="301">
        <v>76</v>
      </c>
      <c r="E67" s="301">
        <v>40.799999999999997</v>
      </c>
      <c r="F67" s="301">
        <v>82.3</v>
      </c>
      <c r="G67" s="301">
        <v>95.2</v>
      </c>
    </row>
    <row r="68" spans="1:7" x14ac:dyDescent="0.25">
      <c r="A68" s="442">
        <v>3</v>
      </c>
      <c r="B68" s="301">
        <v>14.7</v>
      </c>
      <c r="C68" s="301">
        <v>45</v>
      </c>
      <c r="D68" s="301">
        <v>77.2</v>
      </c>
      <c r="E68" s="301">
        <v>46.2</v>
      </c>
      <c r="F68" s="301">
        <v>87.9</v>
      </c>
      <c r="G68" s="301">
        <v>93.2</v>
      </c>
    </row>
    <row r="69" spans="1:7" x14ac:dyDescent="0.25">
      <c r="A69" s="442">
        <v>4</v>
      </c>
      <c r="B69" s="301"/>
      <c r="C69" s="301"/>
      <c r="D69" s="301">
        <v>75.3</v>
      </c>
      <c r="E69" s="301">
        <v>56.8</v>
      </c>
      <c r="F69" s="301">
        <v>82.3</v>
      </c>
      <c r="G69" s="301">
        <v>108.4</v>
      </c>
    </row>
    <row r="70" spans="1:7" x14ac:dyDescent="0.25">
      <c r="A70" s="442">
        <v>5</v>
      </c>
      <c r="B70" s="301"/>
      <c r="C70" s="301"/>
      <c r="D70" s="301"/>
      <c r="E70" s="301"/>
      <c r="F70" s="301">
        <v>84.1</v>
      </c>
      <c r="G70" s="301">
        <v>110.3</v>
      </c>
    </row>
    <row r="71" spans="1:7" x14ac:dyDescent="0.25">
      <c r="A71" s="442">
        <v>6</v>
      </c>
      <c r="B71" s="301"/>
      <c r="C71" s="301"/>
      <c r="D71" s="301"/>
      <c r="E71" s="301"/>
      <c r="F71" s="301">
        <v>81.900000000000006</v>
      </c>
      <c r="G71" s="301">
        <v>90.1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92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11.3</v>
      </c>
      <c r="C76" s="301">
        <v>54.3</v>
      </c>
      <c r="D76" s="301">
        <v>83.4</v>
      </c>
      <c r="E76" s="301">
        <v>46.3</v>
      </c>
      <c r="F76" s="301">
        <v>83.9</v>
      </c>
      <c r="G76" s="301">
        <v>110.6</v>
      </c>
    </row>
    <row r="77" spans="1:7" x14ac:dyDescent="0.25">
      <c r="A77" s="442">
        <v>2</v>
      </c>
      <c r="B77" s="301">
        <v>19.100000000000001</v>
      </c>
      <c r="C77" s="301">
        <v>45.8</v>
      </c>
      <c r="D77" s="301">
        <v>80.5</v>
      </c>
      <c r="E77" s="301">
        <v>37.9</v>
      </c>
      <c r="F77" s="301">
        <v>88.8</v>
      </c>
      <c r="G77" s="301">
        <v>103.6</v>
      </c>
    </row>
    <row r="78" spans="1:7" x14ac:dyDescent="0.25">
      <c r="A78" s="442">
        <v>3</v>
      </c>
      <c r="B78" s="301"/>
      <c r="C78" s="301"/>
      <c r="D78" s="301"/>
      <c r="E78" s="301">
        <v>55.6</v>
      </c>
      <c r="F78" s="301">
        <v>82.5</v>
      </c>
      <c r="G78" s="301">
        <v>106.5</v>
      </c>
    </row>
    <row r="79" spans="1:7" x14ac:dyDescent="0.25">
      <c r="A79" s="442">
        <v>4</v>
      </c>
      <c r="B79" s="301"/>
      <c r="C79" s="301"/>
      <c r="D79" s="301"/>
      <c r="E79" s="301"/>
      <c r="F79" s="301">
        <v>84.1</v>
      </c>
      <c r="G79" s="301">
        <v>97.2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18.3</v>
      </c>
      <c r="C83" s="301">
        <v>53.4</v>
      </c>
      <c r="D83" s="301">
        <v>76.8</v>
      </c>
      <c r="E83" s="301">
        <v>47.8</v>
      </c>
      <c r="F83" s="301">
        <v>83.4</v>
      </c>
      <c r="G83" s="301">
        <v>94.7</v>
      </c>
    </row>
    <row r="84" spans="1:7" x14ac:dyDescent="0.25">
      <c r="A84" s="442">
        <v>2</v>
      </c>
      <c r="B84" s="301">
        <v>10.5</v>
      </c>
      <c r="C84" s="301">
        <v>47.8</v>
      </c>
      <c r="D84" s="301">
        <v>82.4</v>
      </c>
      <c r="E84" s="301">
        <v>47.3</v>
      </c>
      <c r="F84" s="301">
        <v>88.2</v>
      </c>
      <c r="G84" s="301">
        <v>93</v>
      </c>
    </row>
    <row r="85" spans="1:7" x14ac:dyDescent="0.25">
      <c r="A85" s="442">
        <v>3</v>
      </c>
      <c r="B85" s="301">
        <v>15.1</v>
      </c>
      <c r="C85" s="301">
        <v>53.4</v>
      </c>
      <c r="D85" s="301">
        <v>75.2</v>
      </c>
      <c r="E85" s="301">
        <v>27.1</v>
      </c>
      <c r="F85" s="301">
        <v>89.5</v>
      </c>
      <c r="G85" s="301">
        <v>98.9</v>
      </c>
    </row>
    <row r="86" spans="1:7" x14ac:dyDescent="0.25">
      <c r="A86" s="442">
        <v>4</v>
      </c>
      <c r="B86" s="301"/>
      <c r="C86" s="301"/>
      <c r="D86" s="301"/>
      <c r="E86" s="301">
        <v>26.1</v>
      </c>
      <c r="F86" s="301">
        <v>88.6</v>
      </c>
      <c r="G86" s="301">
        <v>104.5</v>
      </c>
    </row>
    <row r="87" spans="1:7" x14ac:dyDescent="0.25">
      <c r="A87" s="442">
        <v>5</v>
      </c>
      <c r="B87" s="301"/>
      <c r="C87" s="301"/>
      <c r="D87" s="301"/>
      <c r="E87" s="301"/>
      <c r="F87" s="301">
        <v>89.7</v>
      </c>
      <c r="G87" s="301">
        <v>103.7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98.2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27.5</v>
      </c>
      <c r="C93" s="301">
        <v>54.6</v>
      </c>
      <c r="D93" s="301">
        <v>76.5</v>
      </c>
      <c r="E93" s="301">
        <v>40.4</v>
      </c>
      <c r="F93" s="301">
        <v>80.5</v>
      </c>
      <c r="G93" s="301">
        <v>100.6</v>
      </c>
    </row>
    <row r="94" spans="1:7" x14ac:dyDescent="0.25">
      <c r="A94" s="442">
        <v>2</v>
      </c>
      <c r="B94" s="301">
        <v>20</v>
      </c>
      <c r="C94" s="301">
        <v>52.8</v>
      </c>
      <c r="D94" s="301">
        <v>79</v>
      </c>
      <c r="E94" s="301">
        <v>50.6</v>
      </c>
      <c r="F94" s="301">
        <v>82.4</v>
      </c>
      <c r="G94" s="301">
        <v>107</v>
      </c>
    </row>
    <row r="95" spans="1:7" x14ac:dyDescent="0.25">
      <c r="A95" s="442">
        <v>3</v>
      </c>
      <c r="B95" s="301"/>
      <c r="C95" s="301"/>
      <c r="D95" s="301"/>
      <c r="E95" s="301">
        <v>35.700000000000003</v>
      </c>
      <c r="F95" s="301">
        <v>86.1</v>
      </c>
      <c r="G95" s="301">
        <v>97.8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107.3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10.8</v>
      </c>
      <c r="C100" s="301">
        <v>47.5</v>
      </c>
      <c r="D100" s="301">
        <v>82.3</v>
      </c>
      <c r="E100" s="301">
        <v>42.9</v>
      </c>
      <c r="F100" s="301">
        <v>87</v>
      </c>
      <c r="G100" s="301">
        <v>107.9</v>
      </c>
    </row>
    <row r="101" spans="1:7" x14ac:dyDescent="0.25">
      <c r="A101" s="442">
        <v>2</v>
      </c>
      <c r="B101" s="301">
        <v>24.2</v>
      </c>
      <c r="C101" s="301">
        <v>49</v>
      </c>
      <c r="D101" s="301">
        <v>80.7</v>
      </c>
      <c r="E101" s="301">
        <v>37.799999999999997</v>
      </c>
      <c r="F101" s="301">
        <v>80.8</v>
      </c>
      <c r="G101" s="301">
        <v>108.9</v>
      </c>
    </row>
    <row r="102" spans="1:7" x14ac:dyDescent="0.25">
      <c r="A102" s="442">
        <v>3</v>
      </c>
      <c r="B102" s="301">
        <v>18.600000000000001</v>
      </c>
      <c r="C102" s="301">
        <v>50.1</v>
      </c>
      <c r="D102" s="301">
        <v>84.8</v>
      </c>
      <c r="E102" s="301">
        <v>57.4</v>
      </c>
      <c r="F102" s="301">
        <v>84.2</v>
      </c>
      <c r="G102" s="301">
        <v>103.9</v>
      </c>
    </row>
    <row r="103" spans="1:7" x14ac:dyDescent="0.25">
      <c r="A103" s="442">
        <v>4</v>
      </c>
      <c r="B103" s="301">
        <v>20.2</v>
      </c>
      <c r="C103" s="301">
        <v>47.4</v>
      </c>
      <c r="D103" s="301">
        <v>84.2</v>
      </c>
      <c r="E103" s="301">
        <v>35.5</v>
      </c>
      <c r="F103" s="301">
        <v>87</v>
      </c>
      <c r="G103" s="301">
        <v>101.6</v>
      </c>
    </row>
    <row r="104" spans="1:7" x14ac:dyDescent="0.25">
      <c r="A104" s="442">
        <v>5</v>
      </c>
      <c r="B104" s="301">
        <v>10.1</v>
      </c>
      <c r="C104" s="301">
        <v>46.4</v>
      </c>
      <c r="D104" s="301">
        <v>83.7</v>
      </c>
      <c r="E104" s="301">
        <v>31.4</v>
      </c>
      <c r="F104" s="301">
        <v>87.2</v>
      </c>
      <c r="G104" s="301">
        <v>103.2</v>
      </c>
    </row>
    <row r="105" spans="1:7" x14ac:dyDescent="0.25">
      <c r="A105" s="442">
        <v>6</v>
      </c>
      <c r="B105" s="301">
        <v>18.7</v>
      </c>
      <c r="C105" s="301">
        <v>54.5</v>
      </c>
      <c r="D105" s="301">
        <v>79.099999999999994</v>
      </c>
      <c r="E105" s="301">
        <v>35.700000000000003</v>
      </c>
      <c r="F105" s="301">
        <v>82.8</v>
      </c>
      <c r="G105" s="301">
        <v>95.8</v>
      </c>
    </row>
    <row r="106" spans="1:7" x14ac:dyDescent="0.25">
      <c r="A106" s="442">
        <v>7</v>
      </c>
      <c r="B106" s="301">
        <v>13.6</v>
      </c>
      <c r="C106" s="301">
        <v>53.2</v>
      </c>
      <c r="D106" s="301">
        <v>83.1</v>
      </c>
      <c r="E106" s="301">
        <v>42.2</v>
      </c>
      <c r="F106" s="301">
        <v>88.9</v>
      </c>
      <c r="G106" s="301">
        <v>107</v>
      </c>
    </row>
    <row r="107" spans="1:7" x14ac:dyDescent="0.25">
      <c r="A107" s="442">
        <v>8</v>
      </c>
      <c r="B107" s="301">
        <v>17.8</v>
      </c>
      <c r="C107" s="301">
        <v>53.8</v>
      </c>
      <c r="D107" s="301">
        <v>84.4</v>
      </c>
      <c r="E107" s="301">
        <v>55.7</v>
      </c>
      <c r="F107" s="301">
        <v>89.4</v>
      </c>
      <c r="G107" s="301">
        <v>101.9</v>
      </c>
    </row>
    <row r="108" spans="1:7" x14ac:dyDescent="0.25">
      <c r="A108" s="442">
        <v>9</v>
      </c>
      <c r="B108" s="301">
        <v>20.5</v>
      </c>
      <c r="C108" s="301">
        <v>52.7</v>
      </c>
      <c r="D108" s="301">
        <v>76.400000000000006</v>
      </c>
      <c r="E108" s="301">
        <v>57.2</v>
      </c>
      <c r="F108" s="301">
        <v>82</v>
      </c>
      <c r="G108" s="301">
        <v>96.3</v>
      </c>
    </row>
    <row r="109" spans="1:7" x14ac:dyDescent="0.25">
      <c r="A109" s="442">
        <v>10</v>
      </c>
      <c r="B109" s="301">
        <v>24.7</v>
      </c>
      <c r="C109" s="301">
        <v>47.5</v>
      </c>
      <c r="D109" s="301">
        <v>84.3</v>
      </c>
      <c r="E109" s="301">
        <v>58.4</v>
      </c>
      <c r="F109" s="301">
        <v>80</v>
      </c>
      <c r="G109" s="301">
        <v>102.7</v>
      </c>
    </row>
    <row r="110" spans="1:7" x14ac:dyDescent="0.25">
      <c r="A110" s="442">
        <v>11</v>
      </c>
      <c r="B110" s="301"/>
      <c r="C110" s="301">
        <v>47.7</v>
      </c>
      <c r="D110" s="301">
        <v>75.900000000000006</v>
      </c>
      <c r="E110" s="301">
        <v>39.9</v>
      </c>
      <c r="F110" s="301">
        <v>89.9</v>
      </c>
      <c r="G110" s="301">
        <v>93.2</v>
      </c>
    </row>
    <row r="111" spans="1:7" x14ac:dyDescent="0.25">
      <c r="A111" s="442">
        <v>12</v>
      </c>
      <c r="B111" s="301"/>
      <c r="C111" s="301">
        <v>52.6</v>
      </c>
      <c r="D111" s="301"/>
      <c r="E111" s="301">
        <v>44.4</v>
      </c>
      <c r="F111" s="301">
        <v>82.9</v>
      </c>
      <c r="G111" s="301">
        <v>94.4</v>
      </c>
    </row>
    <row r="112" spans="1:7" x14ac:dyDescent="0.25">
      <c r="A112" s="442">
        <v>13</v>
      </c>
      <c r="B112" s="301"/>
      <c r="C112" s="301">
        <v>47.2</v>
      </c>
      <c r="D112" s="301"/>
      <c r="E112" s="301">
        <v>43.5</v>
      </c>
      <c r="F112" s="301">
        <v>89.1</v>
      </c>
      <c r="G112" s="301">
        <v>102.3</v>
      </c>
    </row>
    <row r="113" spans="1:7" x14ac:dyDescent="0.25">
      <c r="A113" s="442">
        <v>14</v>
      </c>
      <c r="B113" s="301"/>
      <c r="C113" s="301"/>
      <c r="D113" s="301"/>
      <c r="E113" s="301">
        <v>37.799999999999997</v>
      </c>
      <c r="F113" s="301">
        <v>89.2</v>
      </c>
      <c r="G113" s="301">
        <v>92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83</v>
      </c>
      <c r="G114" s="301">
        <v>107.9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80.7</v>
      </c>
      <c r="G115" s="301">
        <v>110.3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87</v>
      </c>
      <c r="G116" s="301">
        <v>91.1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80.099999999999994</v>
      </c>
      <c r="G117" s="301">
        <v>90.5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88.7</v>
      </c>
      <c r="G118" s="301">
        <v>108.1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87.7</v>
      </c>
      <c r="G119" s="301">
        <v>106.9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81.5</v>
      </c>
      <c r="G120" s="301">
        <v>103.5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82.5</v>
      </c>
      <c r="G121" s="301">
        <v>105.4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23.2</v>
      </c>
      <c r="C125" s="301">
        <v>52.1</v>
      </c>
      <c r="D125" s="301">
        <v>79.7</v>
      </c>
      <c r="E125" s="301">
        <v>28.9</v>
      </c>
      <c r="F125" s="301">
        <v>87.7</v>
      </c>
      <c r="G125" s="301">
        <v>96.3</v>
      </c>
    </row>
    <row r="126" spans="1:7" x14ac:dyDescent="0.25">
      <c r="A126" s="442">
        <v>2</v>
      </c>
      <c r="B126" s="301">
        <v>13.3</v>
      </c>
      <c r="C126" s="301">
        <v>51.7</v>
      </c>
      <c r="D126" s="301">
        <v>80.7</v>
      </c>
      <c r="E126" s="301">
        <v>27.8</v>
      </c>
      <c r="F126" s="301">
        <v>81.900000000000006</v>
      </c>
      <c r="G126" s="301">
        <v>93</v>
      </c>
    </row>
    <row r="127" spans="1:7" x14ac:dyDescent="0.25">
      <c r="A127" s="442">
        <v>3</v>
      </c>
      <c r="B127" s="301">
        <v>26.3</v>
      </c>
      <c r="C127" s="301">
        <v>47.3</v>
      </c>
      <c r="D127" s="301">
        <v>75.7</v>
      </c>
      <c r="E127" s="301">
        <v>26</v>
      </c>
      <c r="F127" s="301">
        <v>85.3</v>
      </c>
      <c r="G127" s="301">
        <v>91.3</v>
      </c>
    </row>
    <row r="128" spans="1:7" x14ac:dyDescent="0.25">
      <c r="A128" s="442">
        <v>4</v>
      </c>
      <c r="B128" s="301">
        <v>11.7</v>
      </c>
      <c r="C128" s="301">
        <v>48.9</v>
      </c>
      <c r="D128" s="301">
        <v>80.8</v>
      </c>
      <c r="E128" s="301">
        <v>45.3</v>
      </c>
      <c r="F128" s="301">
        <v>82</v>
      </c>
      <c r="G128" s="301">
        <v>93.8</v>
      </c>
    </row>
    <row r="129" spans="1:7" x14ac:dyDescent="0.25">
      <c r="A129" s="442">
        <v>5</v>
      </c>
      <c r="B129" s="301">
        <v>25.4</v>
      </c>
      <c r="C129" s="301">
        <v>49.8</v>
      </c>
      <c r="D129" s="301">
        <v>76</v>
      </c>
      <c r="E129" s="301">
        <v>28.2</v>
      </c>
      <c r="F129" s="301">
        <v>82.4</v>
      </c>
      <c r="G129" s="301">
        <v>104.2</v>
      </c>
    </row>
    <row r="130" spans="1:7" x14ac:dyDescent="0.25">
      <c r="A130" s="442">
        <v>6</v>
      </c>
      <c r="B130" s="301">
        <v>13.4</v>
      </c>
      <c r="C130" s="301">
        <v>52.7</v>
      </c>
      <c r="D130" s="301">
        <v>79.5</v>
      </c>
      <c r="E130" s="301">
        <v>35.5</v>
      </c>
      <c r="F130" s="301">
        <v>80.2</v>
      </c>
      <c r="G130" s="301">
        <v>100.2</v>
      </c>
    </row>
    <row r="131" spans="1:7" x14ac:dyDescent="0.25">
      <c r="A131" s="442">
        <v>7</v>
      </c>
      <c r="B131" s="301">
        <v>27</v>
      </c>
      <c r="C131" s="301">
        <v>45.4</v>
      </c>
      <c r="D131" s="301">
        <v>82.2</v>
      </c>
      <c r="E131" s="301">
        <v>56.5</v>
      </c>
      <c r="F131" s="301">
        <v>89.2</v>
      </c>
      <c r="G131" s="301">
        <v>93.7</v>
      </c>
    </row>
    <row r="132" spans="1:7" x14ac:dyDescent="0.25">
      <c r="A132" s="442">
        <v>8</v>
      </c>
      <c r="B132" s="301">
        <v>20.5</v>
      </c>
      <c r="C132" s="301">
        <v>50.6</v>
      </c>
      <c r="D132" s="301">
        <v>75.8</v>
      </c>
      <c r="E132" s="301">
        <v>53.7</v>
      </c>
      <c r="F132" s="301">
        <v>86.8</v>
      </c>
      <c r="G132" s="301">
        <v>104.1</v>
      </c>
    </row>
    <row r="133" spans="1:7" x14ac:dyDescent="0.25">
      <c r="A133" s="442">
        <v>9</v>
      </c>
      <c r="B133" s="301">
        <v>14.7</v>
      </c>
      <c r="C133" s="301">
        <v>55</v>
      </c>
      <c r="D133" s="301">
        <v>75.2</v>
      </c>
      <c r="E133" s="301">
        <v>47.8</v>
      </c>
      <c r="F133" s="301">
        <v>82.8</v>
      </c>
      <c r="G133" s="301">
        <v>108.4</v>
      </c>
    </row>
    <row r="134" spans="1:7" x14ac:dyDescent="0.25">
      <c r="A134" s="442">
        <v>10</v>
      </c>
      <c r="B134" s="301">
        <v>25</v>
      </c>
      <c r="C134" s="301">
        <v>49.4</v>
      </c>
      <c r="D134" s="301">
        <v>82.6</v>
      </c>
      <c r="E134" s="301">
        <v>37.200000000000003</v>
      </c>
      <c r="F134" s="301">
        <v>85.2</v>
      </c>
      <c r="G134" s="301">
        <v>105.5</v>
      </c>
    </row>
    <row r="135" spans="1:7" x14ac:dyDescent="0.25">
      <c r="A135" s="442">
        <v>11</v>
      </c>
      <c r="B135" s="301"/>
      <c r="C135" s="301">
        <v>49.1</v>
      </c>
      <c r="D135" s="301">
        <v>82.9</v>
      </c>
      <c r="E135" s="301">
        <v>59.6</v>
      </c>
      <c r="F135" s="301">
        <v>84.7</v>
      </c>
      <c r="G135" s="301">
        <v>96.6</v>
      </c>
    </row>
    <row r="136" spans="1:7" x14ac:dyDescent="0.25">
      <c r="A136" s="442">
        <v>12</v>
      </c>
      <c r="B136" s="301"/>
      <c r="C136" s="301">
        <v>51.2</v>
      </c>
      <c r="D136" s="301">
        <v>75.900000000000006</v>
      </c>
      <c r="E136" s="301">
        <v>36.799999999999997</v>
      </c>
      <c r="F136" s="301">
        <v>88.7</v>
      </c>
      <c r="G136" s="301">
        <v>91.6</v>
      </c>
    </row>
    <row r="137" spans="1:7" x14ac:dyDescent="0.25">
      <c r="A137" s="442">
        <v>13</v>
      </c>
      <c r="B137" s="301"/>
      <c r="C137" s="301"/>
      <c r="D137" s="301"/>
      <c r="E137" s="301">
        <v>31.6</v>
      </c>
      <c r="F137" s="301">
        <v>81.400000000000006</v>
      </c>
      <c r="G137" s="301">
        <v>100</v>
      </c>
    </row>
    <row r="138" spans="1:7" x14ac:dyDescent="0.25">
      <c r="A138" s="442">
        <v>14</v>
      </c>
      <c r="B138" s="301"/>
      <c r="C138" s="301"/>
      <c r="D138" s="301"/>
      <c r="E138" s="301">
        <v>42.5</v>
      </c>
      <c r="F138" s="301">
        <v>89.5</v>
      </c>
      <c r="G138" s="301">
        <v>96.2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90</v>
      </c>
      <c r="G139" s="301">
        <v>103.9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86.5</v>
      </c>
      <c r="G140" s="301">
        <v>95.3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88.6</v>
      </c>
      <c r="G141" s="301">
        <v>95.3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80</v>
      </c>
      <c r="G142" s="301">
        <v>98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80.099999999999994</v>
      </c>
      <c r="G143" s="301">
        <v>109.3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106.7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104.3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92.1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103.3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ROUNDDOWN(AVERAGE(B6:D20),1)</f>
        <v>49.9</v>
      </c>
      <c r="C151" s="301">
        <f>ROUNDDOWN(AVERAGE(E6:G34),1)</f>
        <v>80.400000000000006</v>
      </c>
      <c r="D151" s="353">
        <v>28044</v>
      </c>
      <c r="E151" s="362">
        <v>47012</v>
      </c>
      <c r="F151" s="353">
        <f>B151*D151</f>
        <v>1399395.5999999999</v>
      </c>
      <c r="G151" s="353">
        <f>C151*E151</f>
        <v>3779764.8000000003</v>
      </c>
    </row>
    <row r="152" spans="1:7" x14ac:dyDescent="0.25">
      <c r="A152" s="298" t="s">
        <v>370</v>
      </c>
      <c r="B152" s="301">
        <f>ROUNDDOWN(AVERAGE(B39:D44),1)</f>
        <v>49.3</v>
      </c>
      <c r="C152" s="301">
        <f>ROUNDDOWN(AVERAGE(E39:G48),1)</f>
        <v>79.900000000000006</v>
      </c>
      <c r="D152" s="353">
        <v>10608</v>
      </c>
      <c r="E152" s="362">
        <v>17202</v>
      </c>
      <c r="F152" s="353">
        <f t="shared" ref="F152:G159" si="0">B152*D152</f>
        <v>522974.39999999997</v>
      </c>
      <c r="G152" s="353">
        <f t="shared" si="0"/>
        <v>1374439.8</v>
      </c>
    </row>
    <row r="153" spans="1:7" x14ac:dyDescent="0.25">
      <c r="A153" s="298" t="s">
        <v>371</v>
      </c>
      <c r="B153" s="301">
        <f>ROUNDDOWN(AVERAGE(B53:D57),1)</f>
        <v>51.9</v>
      </c>
      <c r="C153" s="301">
        <f>ROUNDDOWN(AVERAGE(E53:G61),1)</f>
        <v>81.5</v>
      </c>
      <c r="D153" s="353">
        <v>8465</v>
      </c>
      <c r="E153" s="362">
        <v>14850</v>
      </c>
      <c r="F153" s="353">
        <f t="shared" si="0"/>
        <v>439333.5</v>
      </c>
      <c r="G153" s="353">
        <f t="shared" si="0"/>
        <v>1210275</v>
      </c>
    </row>
    <row r="154" spans="1:7" x14ac:dyDescent="0.25">
      <c r="A154" s="298" t="s">
        <v>372</v>
      </c>
      <c r="B154" s="301">
        <f>ROUNDDOWN(AVERAGE(B66:D69),1)</f>
        <v>49.3</v>
      </c>
      <c r="C154" s="301">
        <f>ROUNDDOWN(AVERAGE(E66:G72),1)</f>
        <v>80.3</v>
      </c>
      <c r="D154" s="353">
        <v>6339</v>
      </c>
      <c r="E154" s="362">
        <v>10508</v>
      </c>
      <c r="F154" s="353">
        <f t="shared" si="0"/>
        <v>312512.69999999995</v>
      </c>
      <c r="G154" s="353">
        <f t="shared" si="0"/>
        <v>843792.4</v>
      </c>
    </row>
    <row r="155" spans="1:7" x14ac:dyDescent="0.25">
      <c r="A155" s="298" t="s">
        <v>373</v>
      </c>
      <c r="B155" s="301">
        <f>ROUNDDOWN(AVERAGE(B76:D77),1)</f>
        <v>49</v>
      </c>
      <c r="C155" s="301">
        <f>ROUNDDOWN(AVERAGE(E76:G79),1)</f>
        <v>81.5</v>
      </c>
      <c r="D155" s="353">
        <v>3699</v>
      </c>
      <c r="E155" s="362">
        <v>6544</v>
      </c>
      <c r="F155" s="353">
        <f t="shared" si="0"/>
        <v>181251</v>
      </c>
      <c r="G155" s="353">
        <f t="shared" si="0"/>
        <v>533336</v>
      </c>
    </row>
    <row r="156" spans="1:7" x14ac:dyDescent="0.25">
      <c r="A156" s="298" t="s">
        <v>374</v>
      </c>
      <c r="B156" s="301">
        <f>ROUNDDOWN(AVERAGE(B83:D85),1)</f>
        <v>48.1</v>
      </c>
      <c r="C156" s="301">
        <f>ROUNDDOWN(AVERAGE(E83:G88),1)</f>
        <v>78.7</v>
      </c>
      <c r="D156" s="353">
        <v>5340</v>
      </c>
      <c r="E156" s="362">
        <v>9381</v>
      </c>
      <c r="F156" s="353">
        <f t="shared" si="0"/>
        <v>256854</v>
      </c>
      <c r="G156" s="353">
        <f t="shared" si="0"/>
        <v>738284.70000000007</v>
      </c>
    </row>
    <row r="157" spans="1:7" x14ac:dyDescent="0.25">
      <c r="A157" s="298" t="s">
        <v>375</v>
      </c>
      <c r="B157" s="301">
        <f>ROUNDDOWN(AVERAGE(B93:D94),1)</f>
        <v>51.7</v>
      </c>
      <c r="C157" s="301">
        <f>ROUNDDOWN(AVERAGE(E93:G96),1)</f>
        <v>78.8</v>
      </c>
      <c r="D157" s="353">
        <v>3613</v>
      </c>
      <c r="E157" s="362">
        <v>5801</v>
      </c>
      <c r="F157" s="353">
        <f t="shared" si="0"/>
        <v>186792.1</v>
      </c>
      <c r="G157" s="353">
        <f t="shared" si="0"/>
        <v>457118.8</v>
      </c>
    </row>
    <row r="158" spans="1:7" x14ac:dyDescent="0.25">
      <c r="A158" s="298" t="s">
        <v>365</v>
      </c>
      <c r="B158" s="301">
        <f>ROUNDDOWN(AVERAGE(B100:D112),1)</f>
        <v>50.8</v>
      </c>
      <c r="C158" s="301">
        <f>ROUNDDOWN(AVERAGE(E100:G121),1)</f>
        <v>81.400000000000006</v>
      </c>
      <c r="D158" s="353">
        <v>23194</v>
      </c>
      <c r="E158" s="362">
        <v>40221</v>
      </c>
      <c r="F158" s="353">
        <f t="shared" si="0"/>
        <v>1178255.2</v>
      </c>
      <c r="G158" s="353">
        <f t="shared" si="0"/>
        <v>3273989.4000000004</v>
      </c>
    </row>
    <row r="159" spans="1:7" x14ac:dyDescent="0.25">
      <c r="A159" s="298" t="s">
        <v>366</v>
      </c>
      <c r="B159" s="301">
        <f>ROUNDDOWN(AVERAGE(B125:D136),1)</f>
        <v>51.4</v>
      </c>
      <c r="C159" s="301">
        <f>ROUNDDOWN(AVERAGE(E125:G147),1)</f>
        <v>79.5</v>
      </c>
      <c r="D159" s="353">
        <v>22794</v>
      </c>
      <c r="E159" s="362">
        <v>40454</v>
      </c>
      <c r="F159" s="353">
        <f t="shared" si="0"/>
        <v>1171611.5999999999</v>
      </c>
      <c r="G159" s="353">
        <f t="shared" si="0"/>
        <v>3216093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191973</v>
      </c>
      <c r="F160" s="353">
        <f>SUM(F151:F159)</f>
        <v>5648980.0999999996</v>
      </c>
      <c r="G160" s="353">
        <f>SUM(G151:G159)</f>
        <v>15427093.900000002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50.3</v>
      </c>
      <c r="D165" s="280">
        <f>ROUNDDOWN(G160/E160,1)</f>
        <v>80.3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6607-0DB7-43FC-9439-BF2D5FE57B98}">
  <dimension ref="A1:G165"/>
  <sheetViews>
    <sheetView zoomScale="110" zoomScaleNormal="110" workbookViewId="0">
      <selection activeCell="M21" sqref="M21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412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16.2</v>
      </c>
      <c r="C6" s="301">
        <v>51.1</v>
      </c>
      <c r="D6" s="301">
        <v>83.4</v>
      </c>
      <c r="E6" s="301">
        <v>32.799999999999997</v>
      </c>
      <c r="F6" s="301">
        <v>86.5</v>
      </c>
      <c r="G6" s="301">
        <v>96.7</v>
      </c>
    </row>
    <row r="7" spans="1:7" x14ac:dyDescent="0.25">
      <c r="A7" s="442">
        <v>2</v>
      </c>
      <c r="B7" s="301">
        <v>20</v>
      </c>
      <c r="C7" s="301">
        <v>52.3</v>
      </c>
      <c r="D7" s="301">
        <v>77.599999999999994</v>
      </c>
      <c r="E7" s="301">
        <v>44.5</v>
      </c>
      <c r="F7" s="301">
        <v>85.3</v>
      </c>
      <c r="G7" s="301">
        <v>102.4</v>
      </c>
    </row>
    <row r="8" spans="1:7" x14ac:dyDescent="0.25">
      <c r="A8" s="442">
        <v>3</v>
      </c>
      <c r="B8" s="301">
        <v>29.9</v>
      </c>
      <c r="C8" s="301">
        <v>53</v>
      </c>
      <c r="D8" s="301">
        <v>82.8</v>
      </c>
      <c r="E8" s="301">
        <v>49</v>
      </c>
      <c r="F8" s="301">
        <v>85.7</v>
      </c>
      <c r="G8" s="301">
        <v>100.5</v>
      </c>
    </row>
    <row r="9" spans="1:7" x14ac:dyDescent="0.25">
      <c r="A9" s="442">
        <v>4</v>
      </c>
      <c r="B9" s="301">
        <v>22.2</v>
      </c>
      <c r="C9" s="301">
        <v>46.6</v>
      </c>
      <c r="D9" s="301">
        <v>84</v>
      </c>
      <c r="E9" s="301">
        <v>41.9</v>
      </c>
      <c r="F9" s="301">
        <v>80.7</v>
      </c>
      <c r="G9" s="301">
        <v>101.8</v>
      </c>
    </row>
    <row r="10" spans="1:7" x14ac:dyDescent="0.25">
      <c r="A10" s="442">
        <v>5</v>
      </c>
      <c r="B10" s="301">
        <v>27.1</v>
      </c>
      <c r="C10" s="301">
        <v>46.7</v>
      </c>
      <c r="D10" s="301">
        <v>80.099999999999994</v>
      </c>
      <c r="E10" s="301">
        <v>26.8</v>
      </c>
      <c r="F10" s="301">
        <v>82.3</v>
      </c>
      <c r="G10" s="301">
        <v>95.7</v>
      </c>
    </row>
    <row r="11" spans="1:7" x14ac:dyDescent="0.25">
      <c r="A11" s="442">
        <v>6</v>
      </c>
      <c r="B11" s="301">
        <v>24.5</v>
      </c>
      <c r="C11" s="301">
        <v>49</v>
      </c>
      <c r="D11" s="301">
        <v>79.400000000000006</v>
      </c>
      <c r="E11" s="301">
        <v>29.4</v>
      </c>
      <c r="F11" s="301">
        <v>80</v>
      </c>
      <c r="G11" s="301">
        <v>90.4</v>
      </c>
    </row>
    <row r="12" spans="1:7" x14ac:dyDescent="0.25">
      <c r="A12" s="442">
        <v>7</v>
      </c>
      <c r="B12" s="301">
        <v>17.399999999999999</v>
      </c>
      <c r="C12" s="301">
        <v>46.3</v>
      </c>
      <c r="D12" s="301">
        <v>76.3</v>
      </c>
      <c r="E12" s="301">
        <v>42.4</v>
      </c>
      <c r="F12" s="301">
        <v>87.8</v>
      </c>
      <c r="G12" s="301">
        <v>103.1</v>
      </c>
    </row>
    <row r="13" spans="1:7" x14ac:dyDescent="0.25">
      <c r="A13" s="442">
        <v>8</v>
      </c>
      <c r="B13" s="301">
        <v>15.1</v>
      </c>
      <c r="C13" s="301">
        <v>49.9</v>
      </c>
      <c r="D13" s="301">
        <v>78.5</v>
      </c>
      <c r="E13" s="301">
        <v>51.9</v>
      </c>
      <c r="F13" s="301">
        <v>87.6</v>
      </c>
      <c r="G13" s="301">
        <v>97.8</v>
      </c>
    </row>
    <row r="14" spans="1:7" x14ac:dyDescent="0.25">
      <c r="A14" s="442">
        <v>9</v>
      </c>
      <c r="B14" s="301">
        <v>15.8</v>
      </c>
      <c r="C14" s="301">
        <v>50.7</v>
      </c>
      <c r="D14" s="301">
        <v>76.7</v>
      </c>
      <c r="E14" s="301">
        <v>35.700000000000003</v>
      </c>
      <c r="F14" s="301">
        <v>81</v>
      </c>
      <c r="G14" s="301">
        <v>107</v>
      </c>
    </row>
    <row r="15" spans="1:7" x14ac:dyDescent="0.25">
      <c r="A15" s="442">
        <v>10</v>
      </c>
      <c r="B15" s="301">
        <v>16</v>
      </c>
      <c r="C15" s="301">
        <v>49.7</v>
      </c>
      <c r="D15" s="301">
        <v>77.900000000000006</v>
      </c>
      <c r="E15" s="301">
        <v>29.7</v>
      </c>
      <c r="F15" s="301">
        <v>87.4</v>
      </c>
      <c r="G15" s="301">
        <v>108.7</v>
      </c>
    </row>
    <row r="16" spans="1:7" x14ac:dyDescent="0.25">
      <c r="A16" s="442">
        <v>11</v>
      </c>
      <c r="B16" s="301">
        <v>11.5</v>
      </c>
      <c r="C16" s="301">
        <v>53</v>
      </c>
      <c r="D16" s="301">
        <v>82.9</v>
      </c>
      <c r="E16" s="301">
        <v>59.1</v>
      </c>
      <c r="F16" s="301">
        <v>85</v>
      </c>
      <c r="G16" s="301">
        <v>92.2</v>
      </c>
    </row>
    <row r="17" spans="1:7" x14ac:dyDescent="0.25">
      <c r="A17" s="442">
        <v>12</v>
      </c>
      <c r="B17" s="301">
        <v>29.8</v>
      </c>
      <c r="C17" s="301">
        <v>53.9</v>
      </c>
      <c r="D17" s="301">
        <v>85</v>
      </c>
      <c r="E17" s="301">
        <v>27.8</v>
      </c>
      <c r="F17" s="301">
        <v>86.8</v>
      </c>
      <c r="G17" s="301">
        <v>100.5</v>
      </c>
    </row>
    <row r="18" spans="1:7" x14ac:dyDescent="0.25">
      <c r="A18" s="442">
        <v>13</v>
      </c>
      <c r="B18" s="301">
        <v>12.8</v>
      </c>
      <c r="C18" s="301">
        <v>48.7</v>
      </c>
      <c r="D18" s="301">
        <v>78.099999999999994</v>
      </c>
      <c r="E18" s="301">
        <v>34</v>
      </c>
      <c r="F18" s="301">
        <v>89.9</v>
      </c>
      <c r="G18" s="301">
        <v>101.3</v>
      </c>
    </row>
    <row r="19" spans="1:7" x14ac:dyDescent="0.25">
      <c r="A19" s="442">
        <v>14</v>
      </c>
      <c r="B19" s="301"/>
      <c r="C19" s="301"/>
      <c r="D19" s="301">
        <v>79.599999999999994</v>
      </c>
      <c r="E19" s="301">
        <v>47.5</v>
      </c>
      <c r="F19" s="301">
        <v>80.900000000000006</v>
      </c>
      <c r="G19" s="301">
        <v>104.9</v>
      </c>
    </row>
    <row r="20" spans="1:7" x14ac:dyDescent="0.25">
      <c r="A20" s="442">
        <v>15</v>
      </c>
      <c r="B20" s="301"/>
      <c r="C20" s="301"/>
      <c r="D20" s="301"/>
      <c r="E20" s="301">
        <v>26.9</v>
      </c>
      <c r="F20" s="301">
        <v>86.6</v>
      </c>
      <c r="G20" s="301">
        <v>104.2</v>
      </c>
    </row>
    <row r="21" spans="1:7" x14ac:dyDescent="0.25">
      <c r="A21" s="442">
        <v>16</v>
      </c>
      <c r="B21" s="301"/>
      <c r="C21" s="301"/>
      <c r="D21" s="301"/>
      <c r="E21" s="301">
        <v>50.6</v>
      </c>
      <c r="F21" s="301">
        <v>80.2</v>
      </c>
      <c r="G21" s="301">
        <v>109.1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80.5</v>
      </c>
      <c r="G22" s="301">
        <v>102.2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81.400000000000006</v>
      </c>
      <c r="G23" s="301">
        <v>95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83.6</v>
      </c>
      <c r="G24" s="301">
        <v>93.6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88.2</v>
      </c>
      <c r="G25" s="301">
        <v>90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87.3</v>
      </c>
      <c r="G26" s="301">
        <v>90.7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81.3</v>
      </c>
      <c r="G27" s="301">
        <v>95.6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83.6</v>
      </c>
      <c r="G28" s="301">
        <v>94.6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86.6</v>
      </c>
      <c r="G29" s="301">
        <v>107.2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110.4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103.4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95.7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107.3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90.1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25</v>
      </c>
      <c r="C39" s="301">
        <v>54.1</v>
      </c>
      <c r="D39" s="301">
        <v>76</v>
      </c>
      <c r="E39" s="301">
        <v>33.5</v>
      </c>
      <c r="F39" s="301">
        <v>88.6</v>
      </c>
      <c r="G39" s="301">
        <v>91.7</v>
      </c>
    </row>
    <row r="40" spans="1:7" x14ac:dyDescent="0.25">
      <c r="A40" s="442">
        <v>2</v>
      </c>
      <c r="B40" s="301">
        <v>23.3</v>
      </c>
      <c r="C40" s="301">
        <v>53.5</v>
      </c>
      <c r="D40" s="301">
        <v>77.2</v>
      </c>
      <c r="E40" s="301">
        <v>44.9</v>
      </c>
      <c r="F40" s="301">
        <v>82.4</v>
      </c>
      <c r="G40" s="301">
        <v>102.5</v>
      </c>
    </row>
    <row r="41" spans="1:7" x14ac:dyDescent="0.25">
      <c r="A41" s="442">
        <v>3</v>
      </c>
      <c r="B41" s="301">
        <v>25.5</v>
      </c>
      <c r="C41" s="301">
        <v>50.8</v>
      </c>
      <c r="D41" s="301">
        <v>83.5</v>
      </c>
      <c r="E41" s="301">
        <v>39.200000000000003</v>
      </c>
      <c r="F41" s="301">
        <v>81.400000000000006</v>
      </c>
      <c r="G41" s="301">
        <v>93.9</v>
      </c>
    </row>
    <row r="42" spans="1:7" x14ac:dyDescent="0.25">
      <c r="A42" s="442">
        <v>4</v>
      </c>
      <c r="B42" s="301">
        <v>20.5</v>
      </c>
      <c r="C42" s="301">
        <v>49.4</v>
      </c>
      <c r="D42" s="301">
        <v>81</v>
      </c>
      <c r="E42" s="301">
        <v>58.7</v>
      </c>
      <c r="F42" s="301">
        <v>89.3</v>
      </c>
      <c r="G42" s="301">
        <v>90.3</v>
      </c>
    </row>
    <row r="43" spans="1:7" x14ac:dyDescent="0.25">
      <c r="A43" s="442">
        <v>5</v>
      </c>
      <c r="B43" s="301">
        <v>11.9</v>
      </c>
      <c r="C43" s="301">
        <v>46.7</v>
      </c>
      <c r="D43" s="301">
        <v>84.8</v>
      </c>
      <c r="E43" s="301">
        <v>38.799999999999997</v>
      </c>
      <c r="F43" s="301">
        <v>89.6</v>
      </c>
      <c r="G43" s="301">
        <v>92.9</v>
      </c>
    </row>
    <row r="44" spans="1:7" x14ac:dyDescent="0.25">
      <c r="A44" s="442">
        <v>6</v>
      </c>
      <c r="B44" s="301"/>
      <c r="C44" s="301">
        <v>53.2</v>
      </c>
      <c r="D44" s="301"/>
      <c r="E44" s="301">
        <v>59.9</v>
      </c>
      <c r="F44" s="301">
        <v>80.7</v>
      </c>
      <c r="G44" s="301">
        <v>104.2</v>
      </c>
    </row>
    <row r="45" spans="1:7" x14ac:dyDescent="0.25">
      <c r="A45" s="442">
        <v>7</v>
      </c>
      <c r="B45" s="301"/>
      <c r="C45" s="301"/>
      <c r="D45" s="301"/>
      <c r="E45" s="301"/>
      <c r="F45" s="301">
        <v>84</v>
      </c>
      <c r="G45" s="301">
        <v>93.6</v>
      </c>
    </row>
    <row r="46" spans="1:7" x14ac:dyDescent="0.25">
      <c r="A46" s="442">
        <v>8</v>
      </c>
      <c r="B46" s="301"/>
      <c r="C46" s="301"/>
      <c r="D46" s="301"/>
      <c r="E46" s="301"/>
      <c r="F46" s="301">
        <v>80.2</v>
      </c>
      <c r="G46" s="301">
        <v>99.2</v>
      </c>
    </row>
    <row r="47" spans="1:7" x14ac:dyDescent="0.25">
      <c r="A47" s="442">
        <v>9</v>
      </c>
      <c r="B47" s="301"/>
      <c r="C47" s="301"/>
      <c r="D47" s="301"/>
      <c r="E47" s="301"/>
      <c r="F47" s="301">
        <v>83.8</v>
      </c>
      <c r="G47" s="301">
        <v>102.7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85.6</v>
      </c>
      <c r="G48" s="301">
        <v>105.3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16.600000000000001</v>
      </c>
      <c r="C53" s="301">
        <v>50</v>
      </c>
      <c r="D53" s="301">
        <v>82.7</v>
      </c>
      <c r="E53" s="301">
        <v>48.4</v>
      </c>
      <c r="F53" s="301">
        <v>89.9</v>
      </c>
      <c r="G53" s="301">
        <v>104.3</v>
      </c>
    </row>
    <row r="54" spans="1:7" x14ac:dyDescent="0.25">
      <c r="A54" s="442">
        <v>2</v>
      </c>
      <c r="B54" s="301">
        <v>28.5</v>
      </c>
      <c r="C54" s="301">
        <v>52.3</v>
      </c>
      <c r="D54" s="301">
        <v>84.4</v>
      </c>
      <c r="E54" s="301">
        <v>30.7</v>
      </c>
      <c r="F54" s="301">
        <v>81.099999999999994</v>
      </c>
      <c r="G54" s="301">
        <v>99.5</v>
      </c>
    </row>
    <row r="55" spans="1:7" x14ac:dyDescent="0.25">
      <c r="A55" s="442">
        <v>3</v>
      </c>
      <c r="B55" s="301">
        <v>18.5</v>
      </c>
      <c r="C55" s="301">
        <v>45.7</v>
      </c>
      <c r="D55" s="301">
        <v>76.099999999999994</v>
      </c>
      <c r="E55" s="301">
        <v>49.2</v>
      </c>
      <c r="F55" s="301">
        <v>89.1</v>
      </c>
      <c r="G55" s="301">
        <v>90</v>
      </c>
    </row>
    <row r="56" spans="1:7" x14ac:dyDescent="0.25">
      <c r="A56" s="442">
        <v>4</v>
      </c>
      <c r="B56" s="301">
        <v>16.5</v>
      </c>
      <c r="C56" s="301">
        <v>50.3</v>
      </c>
      <c r="D56" s="301">
        <v>77.900000000000006</v>
      </c>
      <c r="E56" s="301">
        <v>39.299999999999997</v>
      </c>
      <c r="F56" s="301">
        <v>85.1</v>
      </c>
      <c r="G56" s="301">
        <v>108.2</v>
      </c>
    </row>
    <row r="57" spans="1:7" x14ac:dyDescent="0.25">
      <c r="A57" s="442">
        <v>5</v>
      </c>
      <c r="B57" s="301"/>
      <c r="C57" s="301">
        <v>52</v>
      </c>
      <c r="D57" s="301">
        <v>79.099999999999994</v>
      </c>
      <c r="E57" s="301">
        <v>56.9</v>
      </c>
      <c r="F57" s="301">
        <v>80.400000000000006</v>
      </c>
      <c r="G57" s="301">
        <v>104</v>
      </c>
    </row>
    <row r="58" spans="1:7" x14ac:dyDescent="0.25">
      <c r="A58" s="442">
        <v>6</v>
      </c>
      <c r="B58" s="301"/>
      <c r="C58" s="301"/>
      <c r="D58" s="301"/>
      <c r="E58" s="301"/>
      <c r="F58" s="301">
        <v>89.5</v>
      </c>
      <c r="G58" s="301">
        <v>100.7</v>
      </c>
    </row>
    <row r="59" spans="1:7" x14ac:dyDescent="0.25">
      <c r="A59" s="442">
        <v>7</v>
      </c>
      <c r="B59" s="301"/>
      <c r="C59" s="301"/>
      <c r="D59" s="301"/>
      <c r="E59" s="301"/>
      <c r="F59" s="301">
        <v>86.3</v>
      </c>
      <c r="G59" s="301">
        <v>99.7</v>
      </c>
    </row>
    <row r="60" spans="1:7" x14ac:dyDescent="0.25">
      <c r="A60" s="442">
        <v>8</v>
      </c>
      <c r="B60" s="301"/>
      <c r="C60" s="301"/>
      <c r="D60" s="301"/>
      <c r="E60" s="301"/>
      <c r="F60" s="301">
        <v>88.1</v>
      </c>
      <c r="G60" s="301">
        <v>103.6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105.1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10.1</v>
      </c>
      <c r="C66" s="301">
        <v>46.2</v>
      </c>
      <c r="D66" s="301">
        <v>81.099999999999994</v>
      </c>
      <c r="E66" s="301">
        <v>55.2</v>
      </c>
      <c r="F66" s="301">
        <v>83.2</v>
      </c>
      <c r="G66" s="301">
        <v>104.5</v>
      </c>
    </row>
    <row r="67" spans="1:7" x14ac:dyDescent="0.25">
      <c r="A67" s="442">
        <v>2</v>
      </c>
      <c r="B67" s="301">
        <v>27.6</v>
      </c>
      <c r="C67" s="301">
        <v>45.9</v>
      </c>
      <c r="D67" s="301">
        <v>82.3</v>
      </c>
      <c r="E67" s="301">
        <v>44.4</v>
      </c>
      <c r="F67" s="301">
        <v>83.7</v>
      </c>
      <c r="G67" s="301">
        <v>94.4</v>
      </c>
    </row>
    <row r="68" spans="1:7" x14ac:dyDescent="0.25">
      <c r="A68" s="442">
        <v>3</v>
      </c>
      <c r="B68" s="301">
        <v>12.6</v>
      </c>
      <c r="C68" s="301">
        <v>52.3</v>
      </c>
      <c r="D68" s="301">
        <v>84</v>
      </c>
      <c r="E68" s="301">
        <v>51.8</v>
      </c>
      <c r="F68" s="301">
        <v>83.1</v>
      </c>
      <c r="G68" s="301">
        <v>104.4</v>
      </c>
    </row>
    <row r="69" spans="1:7" x14ac:dyDescent="0.25">
      <c r="A69" s="442">
        <v>4</v>
      </c>
      <c r="B69" s="301"/>
      <c r="C69" s="301"/>
      <c r="D69" s="301">
        <v>83.5</v>
      </c>
      <c r="E69" s="301">
        <v>50.6</v>
      </c>
      <c r="F69" s="301">
        <v>84.9</v>
      </c>
      <c r="G69" s="301">
        <v>104.9</v>
      </c>
    </row>
    <row r="70" spans="1:7" x14ac:dyDescent="0.25">
      <c r="A70" s="442">
        <v>5</v>
      </c>
      <c r="B70" s="301"/>
      <c r="C70" s="301"/>
      <c r="D70" s="301"/>
      <c r="E70" s="301"/>
      <c r="F70" s="301">
        <v>86</v>
      </c>
      <c r="G70" s="301">
        <v>108.8</v>
      </c>
    </row>
    <row r="71" spans="1:7" x14ac:dyDescent="0.25">
      <c r="A71" s="442">
        <v>6</v>
      </c>
      <c r="B71" s="301"/>
      <c r="C71" s="301"/>
      <c r="D71" s="301"/>
      <c r="E71" s="301"/>
      <c r="F71" s="301">
        <v>80.8</v>
      </c>
      <c r="G71" s="301">
        <v>99.4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94.9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10</v>
      </c>
      <c r="C76" s="301">
        <v>49.3</v>
      </c>
      <c r="D76" s="301">
        <v>83.2</v>
      </c>
      <c r="E76" s="301">
        <v>31.2</v>
      </c>
      <c r="F76" s="301">
        <v>86.4</v>
      </c>
      <c r="G76" s="301">
        <v>100</v>
      </c>
    </row>
    <row r="77" spans="1:7" x14ac:dyDescent="0.25">
      <c r="A77" s="442">
        <v>2</v>
      </c>
      <c r="B77" s="301">
        <v>13.4</v>
      </c>
      <c r="C77" s="301">
        <v>52.5</v>
      </c>
      <c r="D77" s="301">
        <v>83.3</v>
      </c>
      <c r="E77" s="301">
        <v>38.9</v>
      </c>
      <c r="F77" s="301">
        <v>89.3</v>
      </c>
      <c r="G77" s="301">
        <v>102.3</v>
      </c>
    </row>
    <row r="78" spans="1:7" x14ac:dyDescent="0.25">
      <c r="A78" s="442">
        <v>3</v>
      </c>
      <c r="B78" s="301"/>
      <c r="C78" s="301"/>
      <c r="D78" s="301"/>
      <c r="E78" s="301">
        <v>25.2</v>
      </c>
      <c r="F78" s="301">
        <v>80.7</v>
      </c>
      <c r="G78" s="301">
        <v>109.3</v>
      </c>
    </row>
    <row r="79" spans="1:7" x14ac:dyDescent="0.25">
      <c r="A79" s="442">
        <v>4</v>
      </c>
      <c r="B79" s="301"/>
      <c r="C79" s="301"/>
      <c r="D79" s="301"/>
      <c r="E79" s="301"/>
      <c r="F79" s="301">
        <v>87.3</v>
      </c>
      <c r="G79" s="301">
        <v>94.1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17.7</v>
      </c>
      <c r="C83" s="301">
        <v>48.1</v>
      </c>
      <c r="D83" s="301">
        <v>83</v>
      </c>
      <c r="E83" s="301">
        <v>27.5</v>
      </c>
      <c r="F83" s="301">
        <v>83.9</v>
      </c>
      <c r="G83" s="301">
        <v>90.6</v>
      </c>
    </row>
    <row r="84" spans="1:7" x14ac:dyDescent="0.25">
      <c r="A84" s="442">
        <v>2</v>
      </c>
      <c r="B84" s="301">
        <v>13.4</v>
      </c>
      <c r="C84" s="301">
        <v>54.2</v>
      </c>
      <c r="D84" s="301">
        <v>84.5</v>
      </c>
      <c r="E84" s="301">
        <v>40</v>
      </c>
      <c r="F84" s="301">
        <v>82.1</v>
      </c>
      <c r="G84" s="301">
        <v>101.6</v>
      </c>
    </row>
    <row r="85" spans="1:7" x14ac:dyDescent="0.25">
      <c r="A85" s="442">
        <v>3</v>
      </c>
      <c r="B85" s="301">
        <v>23.7</v>
      </c>
      <c r="C85" s="301">
        <v>45.9</v>
      </c>
      <c r="D85" s="301">
        <v>79.599999999999994</v>
      </c>
      <c r="E85" s="301">
        <v>34.700000000000003</v>
      </c>
      <c r="F85" s="301">
        <v>86.9</v>
      </c>
      <c r="G85" s="301">
        <v>101.3</v>
      </c>
    </row>
    <row r="86" spans="1:7" x14ac:dyDescent="0.25">
      <c r="A86" s="442">
        <v>4</v>
      </c>
      <c r="B86" s="301"/>
      <c r="C86" s="301"/>
      <c r="D86" s="301"/>
      <c r="E86" s="301">
        <v>43</v>
      </c>
      <c r="F86" s="301">
        <v>83.9</v>
      </c>
      <c r="G86" s="301">
        <v>97.9</v>
      </c>
    </row>
    <row r="87" spans="1:7" x14ac:dyDescent="0.25">
      <c r="A87" s="442">
        <v>5</v>
      </c>
      <c r="B87" s="301"/>
      <c r="C87" s="301"/>
      <c r="D87" s="301"/>
      <c r="E87" s="301"/>
      <c r="F87" s="301">
        <v>81.2</v>
      </c>
      <c r="G87" s="301">
        <v>110.1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97.9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14.9</v>
      </c>
      <c r="C93" s="301">
        <v>45.9</v>
      </c>
      <c r="D93" s="301">
        <v>83.9</v>
      </c>
      <c r="E93" s="301">
        <v>55.8</v>
      </c>
      <c r="F93" s="301">
        <v>83.7</v>
      </c>
      <c r="G93" s="301">
        <v>106</v>
      </c>
    </row>
    <row r="94" spans="1:7" x14ac:dyDescent="0.25">
      <c r="A94" s="442">
        <v>2</v>
      </c>
      <c r="B94" s="301">
        <v>12.2</v>
      </c>
      <c r="C94" s="301">
        <v>45.3</v>
      </c>
      <c r="D94" s="301">
        <v>78</v>
      </c>
      <c r="E94" s="301">
        <v>46.7</v>
      </c>
      <c r="F94" s="301">
        <v>87.1</v>
      </c>
      <c r="G94" s="301">
        <v>100.4</v>
      </c>
    </row>
    <row r="95" spans="1:7" x14ac:dyDescent="0.25">
      <c r="A95" s="442">
        <v>3</v>
      </c>
      <c r="B95" s="301"/>
      <c r="C95" s="301"/>
      <c r="D95" s="301"/>
      <c r="E95" s="301">
        <v>42.9</v>
      </c>
      <c r="F95" s="301">
        <v>86.1</v>
      </c>
      <c r="G95" s="301">
        <v>99.9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110.3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28</v>
      </c>
      <c r="C100" s="301">
        <v>51.7</v>
      </c>
      <c r="D100" s="301">
        <v>80</v>
      </c>
      <c r="E100" s="301">
        <v>59.1</v>
      </c>
      <c r="F100" s="301">
        <v>84.2</v>
      </c>
      <c r="G100" s="301">
        <v>107.2</v>
      </c>
    </row>
    <row r="101" spans="1:7" x14ac:dyDescent="0.25">
      <c r="A101" s="442">
        <v>2</v>
      </c>
      <c r="B101" s="301">
        <v>21.5</v>
      </c>
      <c r="C101" s="301">
        <v>48</v>
      </c>
      <c r="D101" s="301">
        <v>83.1</v>
      </c>
      <c r="E101" s="301">
        <v>53.3</v>
      </c>
      <c r="F101" s="301">
        <v>81.400000000000006</v>
      </c>
      <c r="G101" s="301">
        <v>98.7</v>
      </c>
    </row>
    <row r="102" spans="1:7" x14ac:dyDescent="0.25">
      <c r="A102" s="442">
        <v>3</v>
      </c>
      <c r="B102" s="301">
        <v>18.3</v>
      </c>
      <c r="C102" s="301">
        <v>47.3</v>
      </c>
      <c r="D102" s="301">
        <v>78.8</v>
      </c>
      <c r="E102" s="301">
        <v>29.2</v>
      </c>
      <c r="F102" s="301">
        <v>88.1</v>
      </c>
      <c r="G102" s="301">
        <v>103.2</v>
      </c>
    </row>
    <row r="103" spans="1:7" x14ac:dyDescent="0.25">
      <c r="A103" s="442">
        <v>4</v>
      </c>
      <c r="B103" s="301">
        <v>14.9</v>
      </c>
      <c r="C103" s="301">
        <v>54.2</v>
      </c>
      <c r="D103" s="301">
        <v>78.3</v>
      </c>
      <c r="E103" s="301">
        <v>44.3</v>
      </c>
      <c r="F103" s="301">
        <v>89.7</v>
      </c>
      <c r="G103" s="301">
        <v>93.4</v>
      </c>
    </row>
    <row r="104" spans="1:7" x14ac:dyDescent="0.25">
      <c r="A104" s="442">
        <v>5</v>
      </c>
      <c r="B104" s="301">
        <v>14.5</v>
      </c>
      <c r="C104" s="301">
        <v>49.3</v>
      </c>
      <c r="D104" s="301">
        <v>79.8</v>
      </c>
      <c r="E104" s="301">
        <v>53.4</v>
      </c>
      <c r="F104" s="301">
        <v>86.3</v>
      </c>
      <c r="G104" s="301">
        <v>92.1</v>
      </c>
    </row>
    <row r="105" spans="1:7" x14ac:dyDescent="0.25">
      <c r="A105" s="442">
        <v>6</v>
      </c>
      <c r="B105" s="301">
        <v>27.8</v>
      </c>
      <c r="C105" s="301">
        <v>48.7</v>
      </c>
      <c r="D105" s="301">
        <v>77.5</v>
      </c>
      <c r="E105" s="301">
        <v>59.5</v>
      </c>
      <c r="F105" s="301">
        <v>80.2</v>
      </c>
      <c r="G105" s="301">
        <v>108.3</v>
      </c>
    </row>
    <row r="106" spans="1:7" x14ac:dyDescent="0.25">
      <c r="A106" s="442">
        <v>7</v>
      </c>
      <c r="B106" s="301">
        <v>16.7</v>
      </c>
      <c r="C106" s="301">
        <v>46.9</v>
      </c>
      <c r="D106" s="301">
        <v>84.1</v>
      </c>
      <c r="E106" s="301">
        <v>44.4</v>
      </c>
      <c r="F106" s="301">
        <v>84.9</v>
      </c>
      <c r="G106" s="301">
        <v>110.7</v>
      </c>
    </row>
    <row r="107" spans="1:7" x14ac:dyDescent="0.25">
      <c r="A107" s="442">
        <v>8</v>
      </c>
      <c r="B107" s="301">
        <v>26.7</v>
      </c>
      <c r="C107" s="301">
        <v>51</v>
      </c>
      <c r="D107" s="301">
        <v>76.3</v>
      </c>
      <c r="E107" s="301">
        <v>29.1</v>
      </c>
      <c r="F107" s="301">
        <v>86.1</v>
      </c>
      <c r="G107" s="301">
        <v>102.7</v>
      </c>
    </row>
    <row r="108" spans="1:7" x14ac:dyDescent="0.25">
      <c r="A108" s="442">
        <v>9</v>
      </c>
      <c r="B108" s="301">
        <v>13.9</v>
      </c>
      <c r="C108" s="301">
        <v>48.9</v>
      </c>
      <c r="D108" s="301">
        <v>80.7</v>
      </c>
      <c r="E108" s="301">
        <v>51.3</v>
      </c>
      <c r="F108" s="301">
        <v>82.6</v>
      </c>
      <c r="G108" s="301">
        <v>101.1</v>
      </c>
    </row>
    <row r="109" spans="1:7" x14ac:dyDescent="0.25">
      <c r="A109" s="442">
        <v>10</v>
      </c>
      <c r="B109" s="301">
        <v>10.6</v>
      </c>
      <c r="C109" s="301">
        <v>52.6</v>
      </c>
      <c r="D109" s="301">
        <v>83.7</v>
      </c>
      <c r="E109" s="301">
        <v>45.2</v>
      </c>
      <c r="F109" s="301">
        <v>89.2</v>
      </c>
      <c r="G109" s="301">
        <v>98.5</v>
      </c>
    </row>
    <row r="110" spans="1:7" x14ac:dyDescent="0.25">
      <c r="A110" s="442">
        <v>11</v>
      </c>
      <c r="B110" s="301"/>
      <c r="C110" s="301">
        <v>52.1</v>
      </c>
      <c r="D110" s="301">
        <v>81</v>
      </c>
      <c r="E110" s="301">
        <v>30.1</v>
      </c>
      <c r="F110" s="301">
        <v>84.4</v>
      </c>
      <c r="G110" s="301">
        <v>110.6</v>
      </c>
    </row>
    <row r="111" spans="1:7" x14ac:dyDescent="0.25">
      <c r="A111" s="442">
        <v>12</v>
      </c>
      <c r="B111" s="301"/>
      <c r="C111" s="301">
        <v>50.1</v>
      </c>
      <c r="D111" s="301"/>
      <c r="E111" s="301">
        <v>56.4</v>
      </c>
      <c r="F111" s="301">
        <v>87.7</v>
      </c>
      <c r="G111" s="301">
        <v>91.8</v>
      </c>
    </row>
    <row r="112" spans="1:7" x14ac:dyDescent="0.25">
      <c r="A112" s="442">
        <v>13</v>
      </c>
      <c r="B112" s="301"/>
      <c r="C112" s="301">
        <v>51</v>
      </c>
      <c r="D112" s="301"/>
      <c r="E112" s="301">
        <v>57</v>
      </c>
      <c r="F112" s="301">
        <v>85.4</v>
      </c>
      <c r="G112" s="301">
        <v>108.9</v>
      </c>
    </row>
    <row r="113" spans="1:7" x14ac:dyDescent="0.25">
      <c r="A113" s="442">
        <v>14</v>
      </c>
      <c r="B113" s="301"/>
      <c r="C113" s="301"/>
      <c r="D113" s="301"/>
      <c r="E113" s="301">
        <v>52.3</v>
      </c>
      <c r="F113" s="301">
        <v>80.3</v>
      </c>
      <c r="G113" s="301">
        <v>96.1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89.6</v>
      </c>
      <c r="G114" s="301">
        <v>94.2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87.2</v>
      </c>
      <c r="G115" s="301">
        <v>105.1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83.2</v>
      </c>
      <c r="G116" s="301">
        <v>96.1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86.7</v>
      </c>
      <c r="G117" s="301">
        <v>100.3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80.2</v>
      </c>
      <c r="G118" s="301">
        <v>104.9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82.1</v>
      </c>
      <c r="G119" s="301">
        <v>101.2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81.900000000000006</v>
      </c>
      <c r="G120" s="301">
        <v>94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82.6</v>
      </c>
      <c r="G121" s="301">
        <v>97.7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20.2</v>
      </c>
      <c r="C125" s="301">
        <v>46.6</v>
      </c>
      <c r="D125" s="301">
        <v>81.400000000000006</v>
      </c>
      <c r="E125" s="301">
        <v>49.2</v>
      </c>
      <c r="F125" s="301">
        <v>83.7</v>
      </c>
      <c r="G125" s="301">
        <v>91.9</v>
      </c>
    </row>
    <row r="126" spans="1:7" x14ac:dyDescent="0.25">
      <c r="A126" s="442">
        <v>2</v>
      </c>
      <c r="B126" s="301">
        <v>11.5</v>
      </c>
      <c r="C126" s="301">
        <v>52.1</v>
      </c>
      <c r="D126" s="301">
        <v>76.400000000000006</v>
      </c>
      <c r="E126" s="301">
        <v>33.5</v>
      </c>
      <c r="F126" s="301">
        <v>83.7</v>
      </c>
      <c r="G126" s="301">
        <v>103</v>
      </c>
    </row>
    <row r="127" spans="1:7" x14ac:dyDescent="0.25">
      <c r="A127" s="442">
        <v>3</v>
      </c>
      <c r="B127" s="301">
        <v>22.2</v>
      </c>
      <c r="C127" s="301">
        <v>52.9</v>
      </c>
      <c r="D127" s="301">
        <v>81.8</v>
      </c>
      <c r="E127" s="301">
        <v>31.8</v>
      </c>
      <c r="F127" s="301">
        <v>84.4</v>
      </c>
      <c r="G127" s="301">
        <v>110.3</v>
      </c>
    </row>
    <row r="128" spans="1:7" x14ac:dyDescent="0.25">
      <c r="A128" s="442">
        <v>4</v>
      </c>
      <c r="B128" s="301">
        <v>21</v>
      </c>
      <c r="C128" s="301">
        <v>52.8</v>
      </c>
      <c r="D128" s="301">
        <v>79.5</v>
      </c>
      <c r="E128" s="301">
        <v>34.5</v>
      </c>
      <c r="F128" s="301">
        <v>86.5</v>
      </c>
      <c r="G128" s="301">
        <v>91.8</v>
      </c>
    </row>
    <row r="129" spans="1:7" x14ac:dyDescent="0.25">
      <c r="A129" s="442">
        <v>5</v>
      </c>
      <c r="B129" s="301">
        <v>29.7</v>
      </c>
      <c r="C129" s="301">
        <v>54.6</v>
      </c>
      <c r="D129" s="301">
        <v>81.900000000000006</v>
      </c>
      <c r="E129" s="301">
        <v>42.6</v>
      </c>
      <c r="F129" s="301">
        <v>84.9</v>
      </c>
      <c r="G129" s="301">
        <v>106.1</v>
      </c>
    </row>
    <row r="130" spans="1:7" x14ac:dyDescent="0.25">
      <c r="A130" s="442">
        <v>6</v>
      </c>
      <c r="B130" s="301">
        <v>27.3</v>
      </c>
      <c r="C130" s="301">
        <v>51.4</v>
      </c>
      <c r="D130" s="301">
        <v>78.400000000000006</v>
      </c>
      <c r="E130" s="301">
        <v>46</v>
      </c>
      <c r="F130" s="301">
        <v>81.900000000000006</v>
      </c>
      <c r="G130" s="301">
        <v>104.1</v>
      </c>
    </row>
    <row r="131" spans="1:7" x14ac:dyDescent="0.25">
      <c r="A131" s="442">
        <v>7</v>
      </c>
      <c r="B131" s="301">
        <v>23.2</v>
      </c>
      <c r="C131" s="301">
        <v>49.9</v>
      </c>
      <c r="D131" s="301">
        <v>82.4</v>
      </c>
      <c r="E131" s="301">
        <v>28.5</v>
      </c>
      <c r="F131" s="301">
        <v>84.5</v>
      </c>
      <c r="G131" s="301">
        <v>94.2</v>
      </c>
    </row>
    <row r="132" spans="1:7" x14ac:dyDescent="0.25">
      <c r="A132" s="442">
        <v>8</v>
      </c>
      <c r="B132" s="301">
        <v>17.3</v>
      </c>
      <c r="C132" s="301">
        <v>45.7</v>
      </c>
      <c r="D132" s="301">
        <v>77.3</v>
      </c>
      <c r="E132" s="301">
        <v>26.8</v>
      </c>
      <c r="F132" s="301">
        <v>80.5</v>
      </c>
      <c r="G132" s="301">
        <v>99.8</v>
      </c>
    </row>
    <row r="133" spans="1:7" x14ac:dyDescent="0.25">
      <c r="A133" s="442">
        <v>9</v>
      </c>
      <c r="B133" s="301">
        <v>18.600000000000001</v>
      </c>
      <c r="C133" s="301">
        <v>47.5</v>
      </c>
      <c r="D133" s="301">
        <v>77.900000000000006</v>
      </c>
      <c r="E133" s="301">
        <v>26.8</v>
      </c>
      <c r="F133" s="301">
        <v>86.3</v>
      </c>
      <c r="G133" s="301">
        <v>95.2</v>
      </c>
    </row>
    <row r="134" spans="1:7" x14ac:dyDescent="0.25">
      <c r="A134" s="442">
        <v>10</v>
      </c>
      <c r="B134" s="301">
        <v>27.2</v>
      </c>
      <c r="C134" s="301">
        <v>54.7</v>
      </c>
      <c r="D134" s="301">
        <v>79.7</v>
      </c>
      <c r="E134" s="301">
        <v>44.7</v>
      </c>
      <c r="F134" s="301">
        <v>88.5</v>
      </c>
      <c r="G134" s="301">
        <v>105.8</v>
      </c>
    </row>
    <row r="135" spans="1:7" x14ac:dyDescent="0.25">
      <c r="A135" s="442">
        <v>11</v>
      </c>
      <c r="B135" s="301"/>
      <c r="C135" s="301">
        <v>45.5</v>
      </c>
      <c r="D135" s="301">
        <v>78.8</v>
      </c>
      <c r="E135" s="301">
        <v>37.9</v>
      </c>
      <c r="F135" s="301">
        <v>86.8</v>
      </c>
      <c r="G135" s="301">
        <v>101.2</v>
      </c>
    </row>
    <row r="136" spans="1:7" x14ac:dyDescent="0.25">
      <c r="A136" s="442">
        <v>12</v>
      </c>
      <c r="B136" s="301"/>
      <c r="C136" s="301">
        <v>50.2</v>
      </c>
      <c r="D136" s="301">
        <v>79.2</v>
      </c>
      <c r="E136" s="301">
        <v>42</v>
      </c>
      <c r="F136" s="301">
        <v>85.3</v>
      </c>
      <c r="G136" s="301">
        <v>101.9</v>
      </c>
    </row>
    <row r="137" spans="1:7" x14ac:dyDescent="0.25">
      <c r="A137" s="442">
        <v>13</v>
      </c>
      <c r="B137" s="301"/>
      <c r="C137" s="301"/>
      <c r="D137" s="301"/>
      <c r="E137" s="301">
        <v>34.1</v>
      </c>
      <c r="F137" s="301">
        <v>88.7</v>
      </c>
      <c r="G137" s="301">
        <v>93.8</v>
      </c>
    </row>
    <row r="138" spans="1:7" x14ac:dyDescent="0.25">
      <c r="A138" s="442">
        <v>14</v>
      </c>
      <c r="B138" s="301"/>
      <c r="C138" s="301"/>
      <c r="D138" s="301"/>
      <c r="E138" s="301">
        <v>28.2</v>
      </c>
      <c r="F138" s="301">
        <v>87.2</v>
      </c>
      <c r="G138" s="301">
        <v>101.5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83.6</v>
      </c>
      <c r="G139" s="301">
        <v>92.2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80.8</v>
      </c>
      <c r="G140" s="301">
        <v>93.2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88.4</v>
      </c>
      <c r="G141" s="301">
        <v>109.1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87.1</v>
      </c>
      <c r="G142" s="301">
        <v>93.4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82.6</v>
      </c>
      <c r="G143" s="301">
        <v>104.6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96.3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102.6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105.6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103.7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ROUNDDOWN(AVERAGE(B6:D20),1)</f>
        <v>50.7</v>
      </c>
      <c r="C151" s="301">
        <f>ROUNDDOWN(AVERAGE(E6:G34),1)</f>
        <v>80.400000000000006</v>
      </c>
      <c r="D151" s="353">
        <v>28044</v>
      </c>
      <c r="E151" s="362">
        <v>46964</v>
      </c>
      <c r="F151" s="353">
        <f>B151*D151</f>
        <v>1421830.8</v>
      </c>
      <c r="G151" s="353">
        <f>C151*E151</f>
        <v>3775905.6</v>
      </c>
    </row>
    <row r="152" spans="1:7" x14ac:dyDescent="0.25">
      <c r="A152" s="298" t="s">
        <v>370</v>
      </c>
      <c r="B152" s="301">
        <f>ROUNDDOWN(AVERAGE(B39:D49),1)</f>
        <v>51</v>
      </c>
      <c r="C152" s="301">
        <f>ROUNDDOWN(AVERAGE(E39:G48),1)</f>
        <v>80.599999999999994</v>
      </c>
      <c r="D152" s="353">
        <v>10608</v>
      </c>
      <c r="E152" s="362">
        <v>17268</v>
      </c>
      <c r="F152" s="353">
        <f t="shared" ref="F152:G159" si="0">B152*D152</f>
        <v>541008</v>
      </c>
      <c r="G152" s="353">
        <f t="shared" si="0"/>
        <v>1391800.7999999998</v>
      </c>
    </row>
    <row r="153" spans="1:7" x14ac:dyDescent="0.25">
      <c r="A153" s="298" t="s">
        <v>371</v>
      </c>
      <c r="B153" s="301">
        <f>ROUNDDOWN(AVERAGE(B53:D62),1)</f>
        <v>52.1</v>
      </c>
      <c r="C153" s="301">
        <f>ROUNDDOWN(AVERAGE(E53:G61),1)</f>
        <v>83.1</v>
      </c>
      <c r="D153" s="353">
        <v>8465</v>
      </c>
      <c r="E153" s="362">
        <v>14822</v>
      </c>
      <c r="F153" s="353">
        <f t="shared" si="0"/>
        <v>441026.5</v>
      </c>
      <c r="G153" s="353">
        <f t="shared" si="0"/>
        <v>1231708.2</v>
      </c>
    </row>
    <row r="154" spans="1:7" x14ac:dyDescent="0.25">
      <c r="A154" s="298" t="s">
        <v>372</v>
      </c>
      <c r="B154" s="301">
        <f>ROUNDDOWN(AVERAGE(B66:D72),1)</f>
        <v>52.5</v>
      </c>
      <c r="C154" s="301">
        <f>ROUNDDOWN(AVERAGE(E66:G72),1)</f>
        <v>83.2</v>
      </c>
      <c r="D154" s="353">
        <v>6339</v>
      </c>
      <c r="E154" s="362">
        <v>10473</v>
      </c>
      <c r="F154" s="353">
        <f t="shared" si="0"/>
        <v>332797.5</v>
      </c>
      <c r="G154" s="353">
        <f t="shared" si="0"/>
        <v>871353.6</v>
      </c>
    </row>
    <row r="155" spans="1:7" x14ac:dyDescent="0.25">
      <c r="A155" s="298" t="s">
        <v>373</v>
      </c>
      <c r="B155" s="301">
        <f>ROUNDDOWN(AVERAGE(B76:D79),1)</f>
        <v>48.6</v>
      </c>
      <c r="C155" s="301">
        <f>ROUNDDOWN(AVERAGE(E76:G79),1)</f>
        <v>76.7</v>
      </c>
      <c r="D155" s="353">
        <v>3699</v>
      </c>
      <c r="E155" s="362">
        <v>6513</v>
      </c>
      <c r="F155" s="353">
        <f t="shared" si="0"/>
        <v>179771.4</v>
      </c>
      <c r="G155" s="353">
        <f t="shared" si="0"/>
        <v>499547.10000000003</v>
      </c>
    </row>
    <row r="156" spans="1:7" x14ac:dyDescent="0.25">
      <c r="A156" s="298" t="s">
        <v>374</v>
      </c>
      <c r="B156" s="301">
        <f>ROUNDDOWN(AVERAGE(B83:D89),1)</f>
        <v>50</v>
      </c>
      <c r="C156" s="301">
        <f>ROUNDDOWN(AVERAGE(E83:G88),1)</f>
        <v>77.5</v>
      </c>
      <c r="D156" s="353">
        <v>5340</v>
      </c>
      <c r="E156" s="362">
        <v>9357</v>
      </c>
      <c r="F156" s="353">
        <f t="shared" si="0"/>
        <v>267000</v>
      </c>
      <c r="G156" s="353">
        <f t="shared" si="0"/>
        <v>725167.5</v>
      </c>
    </row>
    <row r="157" spans="1:7" x14ac:dyDescent="0.25">
      <c r="A157" s="298" t="s">
        <v>375</v>
      </c>
      <c r="B157" s="301">
        <f>ROUNDDOWN(AVERAGE(B93:D96),1)</f>
        <v>46.7</v>
      </c>
      <c r="C157" s="301">
        <f>ROUNDDOWN(AVERAGE(E93:G96),1)</f>
        <v>81.8</v>
      </c>
      <c r="D157" s="353">
        <v>3613</v>
      </c>
      <c r="E157" s="362">
        <v>5802</v>
      </c>
      <c r="F157" s="353">
        <f t="shared" si="0"/>
        <v>168727.1</v>
      </c>
      <c r="G157" s="353">
        <f t="shared" si="0"/>
        <v>474603.6</v>
      </c>
    </row>
    <row r="158" spans="1:7" x14ac:dyDescent="0.25">
      <c r="A158" s="298" t="s">
        <v>365</v>
      </c>
      <c r="B158" s="301">
        <f>ROUNDDOWN(AVERAGE(B100:D121),1)</f>
        <v>50.8</v>
      </c>
      <c r="C158" s="301">
        <f>ROUNDDOWN(AVERAGE(E100:G121),1)</f>
        <v>81.8</v>
      </c>
      <c r="D158" s="353">
        <v>23194</v>
      </c>
      <c r="E158" s="362">
        <v>40338</v>
      </c>
      <c r="F158" s="353">
        <f t="shared" si="0"/>
        <v>1178255.2</v>
      </c>
      <c r="G158" s="353">
        <f t="shared" si="0"/>
        <v>3299648.4</v>
      </c>
    </row>
    <row r="159" spans="1:7" x14ac:dyDescent="0.25">
      <c r="A159" s="298" t="s">
        <v>366</v>
      </c>
      <c r="B159" s="301">
        <f>ROUNDDOWN(AVERAGE(B125:D147),1)</f>
        <v>52.2</v>
      </c>
      <c r="C159" s="301">
        <f>ROUNDDOWN(AVERAGE(E125:G147),1)</f>
        <v>78.900000000000006</v>
      </c>
      <c r="D159" s="353">
        <v>22794</v>
      </c>
      <c r="E159" s="362">
        <v>40539</v>
      </c>
      <c r="F159" s="353">
        <f t="shared" si="0"/>
        <v>1189846.8</v>
      </c>
      <c r="G159" s="353">
        <f t="shared" si="0"/>
        <v>3198527.1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192076</v>
      </c>
      <c r="F160" s="353">
        <f>SUM(F151:F159)</f>
        <v>5720263.2999999998</v>
      </c>
      <c r="G160" s="353">
        <f>SUM(G151:G159)</f>
        <v>15468261.9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</v>
      </c>
      <c r="D165" s="280">
        <f>ROUNDDOWN(G160/E160,1)</f>
        <v>80.5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9F56E-478E-489E-91C2-2F7F7EB067E4}">
  <dimension ref="A1:G165"/>
  <sheetViews>
    <sheetView zoomScale="110" zoomScaleNormal="110" workbookViewId="0">
      <selection activeCell="K136" sqref="K136"/>
    </sheetView>
  </sheetViews>
  <sheetFormatPr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20.399999999999999" customHeight="1" x14ac:dyDescent="0.25">
      <c r="A2" s="646" t="s">
        <v>413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ht="13.2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ht="13.2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ht="13.2" x14ac:dyDescent="0.25">
      <c r="A6" s="442">
        <v>1</v>
      </c>
      <c r="B6" s="301">
        <v>25.2</v>
      </c>
      <c r="C6" s="301">
        <v>47.7</v>
      </c>
      <c r="D6" s="301">
        <v>80.599999999999994</v>
      </c>
      <c r="E6" s="301">
        <v>56.3</v>
      </c>
      <c r="F6" s="301">
        <v>85.8</v>
      </c>
      <c r="G6" s="301">
        <v>94.1</v>
      </c>
    </row>
    <row r="7" spans="1:7" ht="13.2" x14ac:dyDescent="0.25">
      <c r="A7" s="442">
        <v>2</v>
      </c>
      <c r="B7" s="301">
        <v>25</v>
      </c>
      <c r="C7" s="301">
        <v>46.4</v>
      </c>
      <c r="D7" s="301">
        <v>77.3</v>
      </c>
      <c r="E7" s="301">
        <v>29.8</v>
      </c>
      <c r="F7" s="301">
        <v>83</v>
      </c>
      <c r="G7" s="301">
        <v>109.1</v>
      </c>
    </row>
    <row r="8" spans="1:7" ht="13.2" x14ac:dyDescent="0.25">
      <c r="A8" s="442">
        <v>3</v>
      </c>
      <c r="B8" s="301">
        <v>26.8</v>
      </c>
      <c r="C8" s="301">
        <v>53.4</v>
      </c>
      <c r="D8" s="301">
        <v>84.6</v>
      </c>
      <c r="E8" s="301">
        <v>59.1</v>
      </c>
      <c r="F8" s="301">
        <v>86.5</v>
      </c>
      <c r="G8" s="301">
        <v>108.9</v>
      </c>
    </row>
    <row r="9" spans="1:7" ht="13.2" x14ac:dyDescent="0.25">
      <c r="A9" s="442">
        <v>4</v>
      </c>
      <c r="B9" s="301">
        <v>20.8</v>
      </c>
      <c r="C9" s="301">
        <v>53.8</v>
      </c>
      <c r="D9" s="301">
        <v>82.7</v>
      </c>
      <c r="E9" s="301">
        <v>45.7</v>
      </c>
      <c r="F9" s="301">
        <v>82.7</v>
      </c>
      <c r="G9" s="301">
        <v>96.5</v>
      </c>
    </row>
    <row r="10" spans="1:7" ht="13.2" x14ac:dyDescent="0.25">
      <c r="A10" s="442">
        <v>5</v>
      </c>
      <c r="B10" s="301">
        <v>18.2</v>
      </c>
      <c r="C10" s="301">
        <v>52.7</v>
      </c>
      <c r="D10" s="301">
        <v>83.3</v>
      </c>
      <c r="E10" s="301">
        <v>32.9</v>
      </c>
      <c r="F10" s="301">
        <v>83.2</v>
      </c>
      <c r="G10" s="301">
        <v>100.2</v>
      </c>
    </row>
    <row r="11" spans="1:7" ht="13.2" x14ac:dyDescent="0.25">
      <c r="A11" s="442">
        <v>6</v>
      </c>
      <c r="B11" s="301">
        <v>10.7</v>
      </c>
      <c r="C11" s="301">
        <v>45.2</v>
      </c>
      <c r="D11" s="301">
        <v>78.3</v>
      </c>
      <c r="E11" s="301">
        <v>38.5</v>
      </c>
      <c r="F11" s="301">
        <v>89.5</v>
      </c>
      <c r="G11" s="301">
        <v>104.9</v>
      </c>
    </row>
    <row r="12" spans="1:7" ht="13.2" x14ac:dyDescent="0.25">
      <c r="A12" s="442">
        <v>7</v>
      </c>
      <c r="B12" s="301">
        <v>15</v>
      </c>
      <c r="C12" s="301">
        <v>53.7</v>
      </c>
      <c r="D12" s="301">
        <v>75</v>
      </c>
      <c r="E12" s="301">
        <v>26.4</v>
      </c>
      <c r="F12" s="301">
        <v>88.7</v>
      </c>
      <c r="G12" s="301">
        <v>109.5</v>
      </c>
    </row>
    <row r="13" spans="1:7" ht="13.2" x14ac:dyDescent="0.25">
      <c r="A13" s="442">
        <v>8</v>
      </c>
      <c r="B13" s="301">
        <v>26.8</v>
      </c>
      <c r="C13" s="301">
        <v>54.1</v>
      </c>
      <c r="D13" s="301">
        <v>84.8</v>
      </c>
      <c r="E13" s="301">
        <v>34.6</v>
      </c>
      <c r="F13" s="301">
        <v>80.400000000000006</v>
      </c>
      <c r="G13" s="301">
        <v>97.8</v>
      </c>
    </row>
    <row r="14" spans="1:7" ht="13.2" x14ac:dyDescent="0.25">
      <c r="A14" s="442">
        <v>9</v>
      </c>
      <c r="B14" s="301">
        <v>16.600000000000001</v>
      </c>
      <c r="C14" s="301">
        <v>52.4</v>
      </c>
      <c r="D14" s="301">
        <v>82.6</v>
      </c>
      <c r="E14" s="301">
        <v>42.3</v>
      </c>
      <c r="F14" s="301">
        <v>84.8</v>
      </c>
      <c r="G14" s="301">
        <v>96.6</v>
      </c>
    </row>
    <row r="15" spans="1:7" ht="13.2" x14ac:dyDescent="0.25">
      <c r="A15" s="442">
        <v>10</v>
      </c>
      <c r="B15" s="301">
        <v>19.2</v>
      </c>
      <c r="C15" s="301">
        <v>53.2</v>
      </c>
      <c r="D15" s="301">
        <v>79.5</v>
      </c>
      <c r="E15" s="301">
        <v>51.8</v>
      </c>
      <c r="F15" s="301">
        <v>87.9</v>
      </c>
      <c r="G15" s="301">
        <v>93.6</v>
      </c>
    </row>
    <row r="16" spans="1:7" ht="13.2" x14ac:dyDescent="0.25">
      <c r="A16" s="442">
        <v>11</v>
      </c>
      <c r="B16" s="301">
        <v>14</v>
      </c>
      <c r="C16" s="301">
        <v>48.8</v>
      </c>
      <c r="D16" s="301">
        <v>81.400000000000006</v>
      </c>
      <c r="E16" s="301">
        <v>33.4</v>
      </c>
      <c r="F16" s="301">
        <v>88.8</v>
      </c>
      <c r="G16" s="301">
        <v>106.8</v>
      </c>
    </row>
    <row r="17" spans="1:7" ht="13.2" x14ac:dyDescent="0.25">
      <c r="A17" s="442">
        <v>12</v>
      </c>
      <c r="B17" s="301">
        <v>18.5</v>
      </c>
      <c r="C17" s="301">
        <v>47.6</v>
      </c>
      <c r="D17" s="301">
        <v>75.3</v>
      </c>
      <c r="E17" s="301">
        <v>25.8</v>
      </c>
      <c r="F17" s="301">
        <v>88.4</v>
      </c>
      <c r="G17" s="301">
        <v>106.6</v>
      </c>
    </row>
    <row r="18" spans="1:7" ht="13.2" x14ac:dyDescent="0.25">
      <c r="A18" s="442">
        <v>13</v>
      </c>
      <c r="B18" s="301">
        <v>28.7</v>
      </c>
      <c r="C18" s="301">
        <v>49.5</v>
      </c>
      <c r="D18" s="301">
        <v>76</v>
      </c>
      <c r="E18" s="301">
        <v>34.799999999999997</v>
      </c>
      <c r="F18" s="301">
        <v>80</v>
      </c>
      <c r="G18" s="301">
        <v>94.1</v>
      </c>
    </row>
    <row r="19" spans="1:7" ht="13.2" x14ac:dyDescent="0.25">
      <c r="A19" s="442">
        <v>14</v>
      </c>
      <c r="B19" s="301"/>
      <c r="C19" s="301"/>
      <c r="D19" s="301">
        <v>78.400000000000006</v>
      </c>
      <c r="E19" s="301">
        <v>49.7</v>
      </c>
      <c r="F19" s="301">
        <v>87.3</v>
      </c>
      <c r="G19" s="301">
        <v>106.8</v>
      </c>
    </row>
    <row r="20" spans="1:7" ht="13.2" x14ac:dyDescent="0.25">
      <c r="A20" s="442">
        <v>15</v>
      </c>
      <c r="B20" s="301"/>
      <c r="C20" s="301"/>
      <c r="D20" s="301"/>
      <c r="E20" s="301">
        <v>54.9</v>
      </c>
      <c r="F20" s="301">
        <v>89.5</v>
      </c>
      <c r="G20" s="301">
        <v>90.7</v>
      </c>
    </row>
    <row r="21" spans="1:7" ht="13.2" x14ac:dyDescent="0.25">
      <c r="A21" s="442">
        <v>16</v>
      </c>
      <c r="B21" s="301"/>
      <c r="C21" s="301"/>
      <c r="D21" s="301"/>
      <c r="E21" s="301">
        <v>47.4</v>
      </c>
      <c r="F21" s="301">
        <v>81.400000000000006</v>
      </c>
      <c r="G21" s="301">
        <v>91.2</v>
      </c>
    </row>
    <row r="22" spans="1:7" ht="13.2" x14ac:dyDescent="0.25">
      <c r="A22" s="442">
        <v>17</v>
      </c>
      <c r="B22" s="301"/>
      <c r="C22" s="301"/>
      <c r="D22" s="301"/>
      <c r="E22" s="301"/>
      <c r="F22" s="301">
        <v>85.9</v>
      </c>
      <c r="G22" s="301">
        <v>95.3</v>
      </c>
    </row>
    <row r="23" spans="1:7" ht="13.2" x14ac:dyDescent="0.25">
      <c r="A23" s="442">
        <v>18</v>
      </c>
      <c r="B23" s="301"/>
      <c r="C23" s="301"/>
      <c r="D23" s="301"/>
      <c r="E23" s="301"/>
      <c r="F23" s="301">
        <v>81.5</v>
      </c>
      <c r="G23" s="301">
        <v>104.9</v>
      </c>
    </row>
    <row r="24" spans="1:7" ht="13.2" x14ac:dyDescent="0.25">
      <c r="A24" s="442">
        <v>19</v>
      </c>
      <c r="B24" s="301"/>
      <c r="C24" s="301"/>
      <c r="D24" s="301"/>
      <c r="E24" s="301"/>
      <c r="F24" s="301">
        <v>88.3</v>
      </c>
      <c r="G24" s="301">
        <v>95.1</v>
      </c>
    </row>
    <row r="25" spans="1:7" ht="13.2" x14ac:dyDescent="0.25">
      <c r="A25" s="442">
        <v>20</v>
      </c>
      <c r="B25" s="301"/>
      <c r="C25" s="301"/>
      <c r="D25" s="301"/>
      <c r="E25" s="301"/>
      <c r="F25" s="301">
        <v>81</v>
      </c>
      <c r="G25" s="301">
        <v>105.3</v>
      </c>
    </row>
    <row r="26" spans="1:7" ht="13.2" x14ac:dyDescent="0.25">
      <c r="A26" s="442">
        <v>21</v>
      </c>
      <c r="B26" s="301"/>
      <c r="C26" s="301"/>
      <c r="D26" s="301"/>
      <c r="E26" s="301"/>
      <c r="F26" s="301">
        <v>80.599999999999994</v>
      </c>
      <c r="G26" s="301">
        <v>106.3</v>
      </c>
    </row>
    <row r="27" spans="1:7" ht="13.2" x14ac:dyDescent="0.25">
      <c r="A27" s="442">
        <v>22</v>
      </c>
      <c r="B27" s="301"/>
      <c r="C27" s="301"/>
      <c r="D27" s="301"/>
      <c r="E27" s="301"/>
      <c r="F27" s="301">
        <v>85.5</v>
      </c>
      <c r="G27" s="301">
        <v>94.5</v>
      </c>
    </row>
    <row r="28" spans="1:7" ht="13.2" x14ac:dyDescent="0.25">
      <c r="A28" s="442">
        <v>23</v>
      </c>
      <c r="B28" s="301"/>
      <c r="C28" s="301"/>
      <c r="D28" s="301"/>
      <c r="E28" s="301"/>
      <c r="F28" s="301">
        <v>85.5</v>
      </c>
      <c r="G28" s="301">
        <v>91.9</v>
      </c>
    </row>
    <row r="29" spans="1:7" ht="13.2" x14ac:dyDescent="0.25">
      <c r="A29" s="442">
        <v>24</v>
      </c>
      <c r="B29" s="301"/>
      <c r="C29" s="301"/>
      <c r="D29" s="301"/>
      <c r="E29" s="301"/>
      <c r="F29" s="301">
        <v>82</v>
      </c>
      <c r="G29" s="301">
        <v>91.7</v>
      </c>
    </row>
    <row r="30" spans="1:7" ht="13.2" x14ac:dyDescent="0.25">
      <c r="A30" s="442">
        <v>25</v>
      </c>
      <c r="B30" s="301"/>
      <c r="C30" s="301"/>
      <c r="D30" s="301"/>
      <c r="E30" s="301"/>
      <c r="F30" s="301"/>
      <c r="G30" s="301">
        <v>99.8</v>
      </c>
    </row>
    <row r="31" spans="1:7" ht="13.2" x14ac:dyDescent="0.25">
      <c r="A31" s="442">
        <v>26</v>
      </c>
      <c r="B31" s="301"/>
      <c r="C31" s="301"/>
      <c r="D31" s="301"/>
      <c r="E31" s="301"/>
      <c r="F31" s="301"/>
      <c r="G31" s="301">
        <v>94.5</v>
      </c>
    </row>
    <row r="32" spans="1:7" ht="13.2" x14ac:dyDescent="0.25">
      <c r="A32" s="442">
        <v>27</v>
      </c>
      <c r="B32" s="301"/>
      <c r="C32" s="301"/>
      <c r="D32" s="301"/>
      <c r="E32" s="301"/>
      <c r="F32" s="301"/>
      <c r="G32" s="301">
        <v>99.7</v>
      </c>
    </row>
    <row r="33" spans="1:7" ht="13.2" x14ac:dyDescent="0.25">
      <c r="A33" s="442">
        <v>28</v>
      </c>
      <c r="B33" s="301"/>
      <c r="C33" s="301"/>
      <c r="D33" s="301"/>
      <c r="E33" s="301"/>
      <c r="F33" s="301"/>
      <c r="G33" s="301">
        <v>92.8</v>
      </c>
    </row>
    <row r="34" spans="1:7" ht="13.2" x14ac:dyDescent="0.25">
      <c r="A34" s="442">
        <v>29</v>
      </c>
      <c r="B34" s="301"/>
      <c r="C34" s="301"/>
      <c r="D34" s="301"/>
      <c r="E34" s="301"/>
      <c r="F34" s="301"/>
      <c r="G34" s="301">
        <v>105.3</v>
      </c>
    </row>
    <row r="35" spans="1:7" ht="13.2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ht="13.2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ht="13.2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ht="13.2" x14ac:dyDescent="0.25">
      <c r="A39" s="442">
        <v>1</v>
      </c>
      <c r="B39" s="301">
        <v>21.7</v>
      </c>
      <c r="C39" s="301">
        <v>52.2</v>
      </c>
      <c r="D39" s="301">
        <v>80.900000000000006</v>
      </c>
      <c r="E39" s="301">
        <v>54.2</v>
      </c>
      <c r="F39" s="301">
        <v>89.6</v>
      </c>
      <c r="G39" s="301">
        <v>90.8</v>
      </c>
    </row>
    <row r="40" spans="1:7" ht="13.2" x14ac:dyDescent="0.25">
      <c r="A40" s="442">
        <v>2</v>
      </c>
      <c r="B40" s="301">
        <v>23.8</v>
      </c>
      <c r="C40" s="301">
        <v>45.7</v>
      </c>
      <c r="D40" s="301">
        <v>79.5</v>
      </c>
      <c r="E40" s="301">
        <v>48.8</v>
      </c>
      <c r="F40" s="301">
        <v>86.7</v>
      </c>
      <c r="G40" s="301">
        <v>106.7</v>
      </c>
    </row>
    <row r="41" spans="1:7" ht="13.2" x14ac:dyDescent="0.25">
      <c r="A41" s="442">
        <v>3</v>
      </c>
      <c r="B41" s="301">
        <v>28.2</v>
      </c>
      <c r="C41" s="301">
        <v>49.7</v>
      </c>
      <c r="D41" s="301">
        <v>77</v>
      </c>
      <c r="E41" s="301">
        <v>56.1</v>
      </c>
      <c r="F41" s="301">
        <v>87.6</v>
      </c>
      <c r="G41" s="301">
        <v>97.7</v>
      </c>
    </row>
    <row r="42" spans="1:7" ht="13.2" x14ac:dyDescent="0.25">
      <c r="A42" s="442">
        <v>4</v>
      </c>
      <c r="B42" s="301">
        <v>25.2</v>
      </c>
      <c r="C42" s="301">
        <v>53.8</v>
      </c>
      <c r="D42" s="301">
        <v>85</v>
      </c>
      <c r="E42" s="301">
        <v>52.9</v>
      </c>
      <c r="F42" s="301">
        <v>85.5</v>
      </c>
      <c r="G42" s="301">
        <v>104</v>
      </c>
    </row>
    <row r="43" spans="1:7" ht="13.2" x14ac:dyDescent="0.25">
      <c r="A43" s="442">
        <v>5</v>
      </c>
      <c r="B43" s="301">
        <v>29.4</v>
      </c>
      <c r="C43" s="301">
        <v>45</v>
      </c>
      <c r="D43" s="301">
        <v>76.400000000000006</v>
      </c>
      <c r="E43" s="301">
        <v>55.7</v>
      </c>
      <c r="F43" s="301">
        <v>87.9</v>
      </c>
      <c r="G43" s="301">
        <v>110.3</v>
      </c>
    </row>
    <row r="44" spans="1:7" ht="13.2" x14ac:dyDescent="0.25">
      <c r="A44" s="442">
        <v>6</v>
      </c>
      <c r="B44" s="301"/>
      <c r="C44" s="301">
        <v>52.2</v>
      </c>
      <c r="D44" s="301"/>
      <c r="E44" s="301">
        <v>25.4</v>
      </c>
      <c r="F44" s="301">
        <v>87.5</v>
      </c>
      <c r="G44" s="301">
        <v>96.9</v>
      </c>
    </row>
    <row r="45" spans="1:7" ht="13.2" x14ac:dyDescent="0.25">
      <c r="A45" s="442">
        <v>7</v>
      </c>
      <c r="B45" s="301"/>
      <c r="C45" s="301"/>
      <c r="D45" s="301"/>
      <c r="E45" s="301"/>
      <c r="F45" s="301">
        <v>88.4</v>
      </c>
      <c r="G45" s="301">
        <v>95.3</v>
      </c>
    </row>
    <row r="46" spans="1:7" ht="13.2" x14ac:dyDescent="0.25">
      <c r="A46" s="442">
        <v>8</v>
      </c>
      <c r="B46" s="301"/>
      <c r="C46" s="301"/>
      <c r="D46" s="301"/>
      <c r="E46" s="301"/>
      <c r="F46" s="301">
        <v>89.7</v>
      </c>
      <c r="G46" s="301">
        <v>95.2</v>
      </c>
    </row>
    <row r="47" spans="1:7" ht="13.2" x14ac:dyDescent="0.25">
      <c r="A47" s="442">
        <v>9</v>
      </c>
      <c r="B47" s="301"/>
      <c r="C47" s="301"/>
      <c r="D47" s="301"/>
      <c r="E47" s="301"/>
      <c r="F47" s="301">
        <v>84.1</v>
      </c>
      <c r="G47" s="301">
        <v>104.8</v>
      </c>
    </row>
    <row r="48" spans="1:7" ht="13.2" x14ac:dyDescent="0.25">
      <c r="A48" s="442">
        <v>10</v>
      </c>
      <c r="B48" s="301"/>
      <c r="C48" s="301"/>
      <c r="D48" s="301"/>
      <c r="E48" s="301"/>
      <c r="F48" s="301">
        <v>88.5</v>
      </c>
      <c r="G48" s="301">
        <v>103.9</v>
      </c>
    </row>
    <row r="49" spans="1:7" ht="13.2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ht="13.2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ht="13.2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ht="13.2" x14ac:dyDescent="0.25">
      <c r="A53" s="442">
        <v>1</v>
      </c>
      <c r="B53" s="301">
        <v>23.4</v>
      </c>
      <c r="C53" s="301">
        <v>50.4</v>
      </c>
      <c r="D53" s="301">
        <v>79.8</v>
      </c>
      <c r="E53" s="301">
        <v>33.799999999999997</v>
      </c>
      <c r="F53" s="301">
        <v>82.1</v>
      </c>
      <c r="G53" s="301">
        <v>104.1</v>
      </c>
    </row>
    <row r="54" spans="1:7" ht="13.2" x14ac:dyDescent="0.25">
      <c r="A54" s="442">
        <v>2</v>
      </c>
      <c r="B54" s="301">
        <v>28.9</v>
      </c>
      <c r="C54" s="301">
        <v>52.9</v>
      </c>
      <c r="D54" s="301">
        <v>75.2</v>
      </c>
      <c r="E54" s="301">
        <v>39.4</v>
      </c>
      <c r="F54" s="301">
        <v>89.4</v>
      </c>
      <c r="G54" s="301">
        <v>101</v>
      </c>
    </row>
    <row r="55" spans="1:7" ht="13.2" x14ac:dyDescent="0.25">
      <c r="A55" s="442">
        <v>3</v>
      </c>
      <c r="B55" s="301">
        <v>16.3</v>
      </c>
      <c r="C55" s="301">
        <v>48</v>
      </c>
      <c r="D55" s="301">
        <v>83.8</v>
      </c>
      <c r="E55" s="301">
        <v>44.7</v>
      </c>
      <c r="F55" s="301">
        <v>83.4</v>
      </c>
      <c r="G55" s="301">
        <v>104.4</v>
      </c>
    </row>
    <row r="56" spans="1:7" ht="13.2" x14ac:dyDescent="0.25">
      <c r="A56" s="442">
        <v>4</v>
      </c>
      <c r="B56" s="301">
        <v>18.7</v>
      </c>
      <c r="C56" s="301">
        <v>48.2</v>
      </c>
      <c r="D56" s="301">
        <v>81.5</v>
      </c>
      <c r="E56" s="301">
        <v>35.299999999999997</v>
      </c>
      <c r="F56" s="301">
        <v>87.7</v>
      </c>
      <c r="G56" s="301">
        <v>102.2</v>
      </c>
    </row>
    <row r="57" spans="1:7" ht="13.2" x14ac:dyDescent="0.25">
      <c r="A57" s="442">
        <v>5</v>
      </c>
      <c r="B57" s="301"/>
      <c r="C57" s="301">
        <v>52.8</v>
      </c>
      <c r="D57" s="301">
        <v>81.400000000000006</v>
      </c>
      <c r="E57" s="301">
        <v>35.6</v>
      </c>
      <c r="F57" s="301">
        <v>88.8</v>
      </c>
      <c r="G57" s="301">
        <v>91</v>
      </c>
    </row>
    <row r="58" spans="1:7" ht="13.2" x14ac:dyDescent="0.25">
      <c r="A58" s="442">
        <v>6</v>
      </c>
      <c r="B58" s="301"/>
      <c r="C58" s="301"/>
      <c r="D58" s="301"/>
      <c r="E58" s="301"/>
      <c r="F58" s="301">
        <v>89.2</v>
      </c>
      <c r="G58" s="301">
        <v>93.4</v>
      </c>
    </row>
    <row r="59" spans="1:7" ht="13.2" x14ac:dyDescent="0.25">
      <c r="A59" s="442">
        <v>7</v>
      </c>
      <c r="B59" s="301"/>
      <c r="C59" s="301"/>
      <c r="D59" s="301"/>
      <c r="E59" s="301"/>
      <c r="F59" s="301">
        <v>80</v>
      </c>
      <c r="G59" s="301">
        <v>101.2</v>
      </c>
    </row>
    <row r="60" spans="1:7" ht="13.2" x14ac:dyDescent="0.25">
      <c r="A60" s="442">
        <v>8</v>
      </c>
      <c r="B60" s="301"/>
      <c r="C60" s="301"/>
      <c r="D60" s="301"/>
      <c r="E60" s="301"/>
      <c r="F60" s="301">
        <v>82.1</v>
      </c>
      <c r="G60" s="301">
        <v>111</v>
      </c>
    </row>
    <row r="61" spans="1:7" ht="13.2" x14ac:dyDescent="0.25">
      <c r="A61" s="442">
        <v>9</v>
      </c>
      <c r="B61" s="301"/>
      <c r="C61" s="301"/>
      <c r="D61" s="301"/>
      <c r="E61" s="301"/>
      <c r="F61" s="301"/>
      <c r="G61" s="301">
        <v>101</v>
      </c>
    </row>
    <row r="62" spans="1:7" ht="13.2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ht="13.2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ht="13.2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ht="13.2" x14ac:dyDescent="0.25">
      <c r="A66" s="442">
        <v>1</v>
      </c>
      <c r="B66" s="301">
        <v>16</v>
      </c>
      <c r="C66" s="301">
        <v>49.4</v>
      </c>
      <c r="D66" s="301">
        <v>79.5</v>
      </c>
      <c r="E66" s="301">
        <v>44</v>
      </c>
      <c r="F66" s="301">
        <v>80.2</v>
      </c>
      <c r="G66" s="301">
        <v>94</v>
      </c>
    </row>
    <row r="67" spans="1:7" ht="13.2" x14ac:dyDescent="0.25">
      <c r="A67" s="442">
        <v>2</v>
      </c>
      <c r="B67" s="301">
        <v>15</v>
      </c>
      <c r="C67" s="301">
        <v>46.3</v>
      </c>
      <c r="D67" s="301">
        <v>83.4</v>
      </c>
      <c r="E67" s="301">
        <v>46.2</v>
      </c>
      <c r="F67" s="301">
        <v>89.6</v>
      </c>
      <c r="G67" s="301">
        <v>109.8</v>
      </c>
    </row>
    <row r="68" spans="1:7" ht="13.2" x14ac:dyDescent="0.25">
      <c r="A68" s="442">
        <v>3</v>
      </c>
      <c r="B68" s="301">
        <v>23.4</v>
      </c>
      <c r="C68" s="301">
        <v>46</v>
      </c>
      <c r="D68" s="301">
        <v>78.5</v>
      </c>
      <c r="E68" s="301">
        <v>31.5</v>
      </c>
      <c r="F68" s="301">
        <v>89.9</v>
      </c>
      <c r="G68" s="301">
        <v>99.5</v>
      </c>
    </row>
    <row r="69" spans="1:7" ht="13.2" x14ac:dyDescent="0.25">
      <c r="A69" s="442">
        <v>4</v>
      </c>
      <c r="B69" s="301"/>
      <c r="C69" s="301"/>
      <c r="D69" s="301">
        <v>79.599999999999994</v>
      </c>
      <c r="E69" s="301">
        <v>51.1</v>
      </c>
      <c r="F69" s="301">
        <v>84.3</v>
      </c>
      <c r="G69" s="301">
        <v>92.1</v>
      </c>
    </row>
    <row r="70" spans="1:7" ht="13.2" x14ac:dyDescent="0.25">
      <c r="A70" s="442">
        <v>5</v>
      </c>
      <c r="B70" s="301"/>
      <c r="C70" s="301"/>
      <c r="D70" s="301"/>
      <c r="E70" s="301"/>
      <c r="F70" s="301">
        <v>81.400000000000006</v>
      </c>
      <c r="G70" s="301">
        <v>103.4</v>
      </c>
    </row>
    <row r="71" spans="1:7" ht="13.2" x14ac:dyDescent="0.25">
      <c r="A71" s="442">
        <v>6</v>
      </c>
      <c r="B71" s="301"/>
      <c r="C71" s="301"/>
      <c r="D71" s="301"/>
      <c r="E71" s="301"/>
      <c r="F71" s="301">
        <v>86.5</v>
      </c>
      <c r="G71" s="301">
        <v>106</v>
      </c>
    </row>
    <row r="72" spans="1:7" ht="13.2" x14ac:dyDescent="0.25">
      <c r="A72" s="442">
        <v>7</v>
      </c>
      <c r="B72" s="301"/>
      <c r="C72" s="301"/>
      <c r="D72" s="301"/>
      <c r="E72" s="301"/>
      <c r="F72" s="301"/>
      <c r="G72" s="301">
        <v>102.6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ht="13.2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ht="13.2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ht="13.2" x14ac:dyDescent="0.25">
      <c r="A76" s="442">
        <v>1</v>
      </c>
      <c r="B76" s="301">
        <v>16.3</v>
      </c>
      <c r="C76" s="301">
        <v>52.1</v>
      </c>
      <c r="D76" s="301">
        <v>82.1</v>
      </c>
      <c r="E76" s="301">
        <v>30.2</v>
      </c>
      <c r="F76" s="301">
        <v>83.4</v>
      </c>
      <c r="G76" s="301">
        <v>94.3</v>
      </c>
    </row>
    <row r="77" spans="1:7" ht="13.2" x14ac:dyDescent="0.25">
      <c r="A77" s="442">
        <v>2</v>
      </c>
      <c r="B77" s="301">
        <v>29.1</v>
      </c>
      <c r="C77" s="301">
        <v>48</v>
      </c>
      <c r="D77" s="301">
        <v>81.400000000000006</v>
      </c>
      <c r="E77" s="301">
        <v>34.299999999999997</v>
      </c>
      <c r="F77" s="301">
        <v>84.7</v>
      </c>
      <c r="G77" s="301">
        <v>97.2</v>
      </c>
    </row>
    <row r="78" spans="1:7" ht="13.2" x14ac:dyDescent="0.25">
      <c r="A78" s="442">
        <v>3</v>
      </c>
      <c r="B78" s="301"/>
      <c r="C78" s="301"/>
      <c r="D78" s="301"/>
      <c r="E78" s="301">
        <v>35.700000000000003</v>
      </c>
      <c r="F78" s="301">
        <v>87.4</v>
      </c>
      <c r="G78" s="301">
        <v>103.3</v>
      </c>
    </row>
    <row r="79" spans="1:7" ht="13.2" x14ac:dyDescent="0.25">
      <c r="A79" s="442">
        <v>4</v>
      </c>
      <c r="B79" s="301"/>
      <c r="C79" s="301"/>
      <c r="D79" s="301"/>
      <c r="E79" s="301"/>
      <c r="F79" s="301">
        <v>85.5</v>
      </c>
      <c r="G79" s="301">
        <v>109.3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ht="13.2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ht="13.2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ht="13.2" x14ac:dyDescent="0.25">
      <c r="A83" s="442">
        <v>1</v>
      </c>
      <c r="B83" s="301">
        <v>24.3</v>
      </c>
      <c r="C83" s="301">
        <v>51.6</v>
      </c>
      <c r="D83" s="301">
        <v>77.400000000000006</v>
      </c>
      <c r="E83" s="301">
        <v>56</v>
      </c>
      <c r="F83" s="301">
        <v>80.7</v>
      </c>
      <c r="G83" s="301">
        <v>96.9</v>
      </c>
    </row>
    <row r="84" spans="1:7" ht="13.2" x14ac:dyDescent="0.25">
      <c r="A84" s="442">
        <v>2</v>
      </c>
      <c r="B84" s="301">
        <v>29.3</v>
      </c>
      <c r="C84" s="301">
        <v>46.3</v>
      </c>
      <c r="D84" s="301">
        <v>75.7</v>
      </c>
      <c r="E84" s="301">
        <v>42.9</v>
      </c>
      <c r="F84" s="301">
        <v>80.8</v>
      </c>
      <c r="G84" s="301">
        <v>90.5</v>
      </c>
    </row>
    <row r="85" spans="1:7" ht="13.2" x14ac:dyDescent="0.25">
      <c r="A85" s="442">
        <v>3</v>
      </c>
      <c r="B85" s="301">
        <v>19.899999999999999</v>
      </c>
      <c r="C85" s="301">
        <v>51.6</v>
      </c>
      <c r="D85" s="301">
        <v>76.599999999999994</v>
      </c>
      <c r="E85" s="301">
        <v>28.8</v>
      </c>
      <c r="F85" s="301">
        <v>83.8</v>
      </c>
      <c r="G85" s="301">
        <v>105.7</v>
      </c>
    </row>
    <row r="86" spans="1:7" ht="13.2" x14ac:dyDescent="0.25">
      <c r="A86" s="442">
        <v>4</v>
      </c>
      <c r="B86" s="301"/>
      <c r="C86" s="301"/>
      <c r="D86" s="301"/>
      <c r="E86" s="301">
        <v>39.5</v>
      </c>
      <c r="F86" s="301">
        <v>81.2</v>
      </c>
      <c r="G86" s="301">
        <v>104.1</v>
      </c>
    </row>
    <row r="87" spans="1:7" ht="13.2" x14ac:dyDescent="0.25">
      <c r="A87" s="442">
        <v>5</v>
      </c>
      <c r="B87" s="301"/>
      <c r="C87" s="301"/>
      <c r="D87" s="301"/>
      <c r="E87" s="301"/>
      <c r="F87" s="301">
        <v>83.3</v>
      </c>
      <c r="G87" s="301">
        <v>96</v>
      </c>
    </row>
    <row r="88" spans="1:7" ht="13.2" x14ac:dyDescent="0.25">
      <c r="A88" s="442">
        <v>6</v>
      </c>
      <c r="B88" s="301"/>
      <c r="C88" s="301"/>
      <c r="D88" s="301"/>
      <c r="E88" s="301"/>
      <c r="F88" s="301"/>
      <c r="G88" s="301">
        <v>93.3</v>
      </c>
    </row>
    <row r="89" spans="1:7" ht="13.2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ht="13.2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ht="13.2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ht="13.2" x14ac:dyDescent="0.25">
      <c r="A93" s="442">
        <v>1</v>
      </c>
      <c r="B93" s="301">
        <v>22.6</v>
      </c>
      <c r="C93" s="301">
        <v>50.2</v>
      </c>
      <c r="D93" s="301">
        <v>79.900000000000006</v>
      </c>
      <c r="E93" s="301">
        <v>44</v>
      </c>
      <c r="F93" s="301">
        <v>86.4</v>
      </c>
      <c r="G93" s="301">
        <v>93.4</v>
      </c>
    </row>
    <row r="94" spans="1:7" ht="13.2" x14ac:dyDescent="0.25">
      <c r="A94" s="442">
        <v>2</v>
      </c>
      <c r="B94" s="301">
        <v>27.3</v>
      </c>
      <c r="C94" s="301">
        <v>53.4</v>
      </c>
      <c r="D94" s="301">
        <v>84.4</v>
      </c>
      <c r="E94" s="301">
        <v>34.200000000000003</v>
      </c>
      <c r="F94" s="301">
        <v>80.7</v>
      </c>
      <c r="G94" s="301">
        <v>93.6</v>
      </c>
    </row>
    <row r="95" spans="1:7" ht="13.2" x14ac:dyDescent="0.25">
      <c r="A95" s="442">
        <v>3</v>
      </c>
      <c r="B95" s="301"/>
      <c r="C95" s="301"/>
      <c r="D95" s="301"/>
      <c r="E95" s="301">
        <v>46.2</v>
      </c>
      <c r="F95" s="301">
        <v>88</v>
      </c>
      <c r="G95" s="301">
        <v>96</v>
      </c>
    </row>
    <row r="96" spans="1:7" ht="13.2" x14ac:dyDescent="0.25">
      <c r="A96" s="442">
        <v>4</v>
      </c>
      <c r="B96" s="301"/>
      <c r="C96" s="301"/>
      <c r="D96" s="301"/>
      <c r="E96" s="301"/>
      <c r="F96" s="301"/>
      <c r="G96" s="301">
        <v>102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ht="13.2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ht="13.2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ht="13.2" x14ac:dyDescent="0.25">
      <c r="A100" s="442">
        <v>1</v>
      </c>
      <c r="B100" s="301">
        <v>28</v>
      </c>
      <c r="C100" s="301">
        <v>53.2</v>
      </c>
      <c r="D100" s="301">
        <v>75.599999999999994</v>
      </c>
      <c r="E100" s="301">
        <v>58.7</v>
      </c>
      <c r="F100" s="301">
        <v>89.1</v>
      </c>
      <c r="G100" s="301">
        <v>94.8</v>
      </c>
    </row>
    <row r="101" spans="1:7" ht="13.2" x14ac:dyDescent="0.25">
      <c r="A101" s="442">
        <v>2</v>
      </c>
      <c r="B101" s="301">
        <v>26.1</v>
      </c>
      <c r="C101" s="301">
        <v>46</v>
      </c>
      <c r="D101" s="301">
        <v>78.900000000000006</v>
      </c>
      <c r="E101" s="301">
        <v>48.1</v>
      </c>
      <c r="F101" s="301">
        <v>80</v>
      </c>
      <c r="G101" s="301">
        <v>97.7</v>
      </c>
    </row>
    <row r="102" spans="1:7" ht="13.2" x14ac:dyDescent="0.25">
      <c r="A102" s="442">
        <v>3</v>
      </c>
      <c r="B102" s="301">
        <v>18.3</v>
      </c>
      <c r="C102" s="301">
        <v>49.9</v>
      </c>
      <c r="D102" s="301">
        <v>80.400000000000006</v>
      </c>
      <c r="E102" s="301">
        <v>50.7</v>
      </c>
      <c r="F102" s="301">
        <v>87.5</v>
      </c>
      <c r="G102" s="301">
        <v>107.2</v>
      </c>
    </row>
    <row r="103" spans="1:7" ht="13.2" x14ac:dyDescent="0.25">
      <c r="A103" s="442">
        <v>4</v>
      </c>
      <c r="B103" s="301">
        <v>11.3</v>
      </c>
      <c r="C103" s="301">
        <v>52.5</v>
      </c>
      <c r="D103" s="301">
        <v>77.3</v>
      </c>
      <c r="E103" s="301">
        <v>58.4</v>
      </c>
      <c r="F103" s="301">
        <v>81.2</v>
      </c>
      <c r="G103" s="301">
        <v>104.3</v>
      </c>
    </row>
    <row r="104" spans="1:7" ht="13.2" x14ac:dyDescent="0.25">
      <c r="A104" s="442">
        <v>5</v>
      </c>
      <c r="B104" s="301">
        <v>24.7</v>
      </c>
      <c r="C104" s="301">
        <v>46.5</v>
      </c>
      <c r="D104" s="301">
        <v>83.8</v>
      </c>
      <c r="E104" s="301">
        <v>56.3</v>
      </c>
      <c r="F104" s="301">
        <v>85.5</v>
      </c>
      <c r="G104" s="301">
        <v>93.3</v>
      </c>
    </row>
    <row r="105" spans="1:7" ht="13.2" x14ac:dyDescent="0.25">
      <c r="A105" s="442">
        <v>6</v>
      </c>
      <c r="B105" s="301">
        <v>28.5</v>
      </c>
      <c r="C105" s="301">
        <v>47.2</v>
      </c>
      <c r="D105" s="301">
        <v>78</v>
      </c>
      <c r="E105" s="301">
        <v>48.9</v>
      </c>
      <c r="F105" s="301">
        <v>83.5</v>
      </c>
      <c r="G105" s="301">
        <v>99.6</v>
      </c>
    </row>
    <row r="106" spans="1:7" ht="13.2" x14ac:dyDescent="0.25">
      <c r="A106" s="442">
        <v>7</v>
      </c>
      <c r="B106" s="301">
        <v>12</v>
      </c>
      <c r="C106" s="301">
        <v>54.8</v>
      </c>
      <c r="D106" s="301">
        <v>75.7</v>
      </c>
      <c r="E106" s="301">
        <v>58.3</v>
      </c>
      <c r="F106" s="301">
        <v>86.4</v>
      </c>
      <c r="G106" s="301">
        <v>109</v>
      </c>
    </row>
    <row r="107" spans="1:7" ht="13.2" x14ac:dyDescent="0.25">
      <c r="A107" s="442">
        <v>8</v>
      </c>
      <c r="B107" s="301">
        <v>24.8</v>
      </c>
      <c r="C107" s="301">
        <v>52.6</v>
      </c>
      <c r="D107" s="301">
        <v>79.3</v>
      </c>
      <c r="E107" s="301">
        <v>26</v>
      </c>
      <c r="F107" s="301">
        <v>82.9</v>
      </c>
      <c r="G107" s="301">
        <v>101.3</v>
      </c>
    </row>
    <row r="108" spans="1:7" ht="13.2" x14ac:dyDescent="0.25">
      <c r="A108" s="442">
        <v>9</v>
      </c>
      <c r="B108" s="301">
        <v>28.3</v>
      </c>
      <c r="C108" s="301">
        <v>46</v>
      </c>
      <c r="D108" s="301">
        <v>76.8</v>
      </c>
      <c r="E108" s="301">
        <v>26.5</v>
      </c>
      <c r="F108" s="301">
        <v>83.5</v>
      </c>
      <c r="G108" s="301">
        <v>90.3</v>
      </c>
    </row>
    <row r="109" spans="1:7" ht="13.2" x14ac:dyDescent="0.25">
      <c r="A109" s="442">
        <v>10</v>
      </c>
      <c r="B109" s="301">
        <v>11.8</v>
      </c>
      <c r="C109" s="301">
        <v>50.5</v>
      </c>
      <c r="D109" s="301">
        <v>75.7</v>
      </c>
      <c r="E109" s="301">
        <v>48.9</v>
      </c>
      <c r="F109" s="301">
        <v>85.3</v>
      </c>
      <c r="G109" s="301">
        <v>93.8</v>
      </c>
    </row>
    <row r="110" spans="1:7" ht="13.2" x14ac:dyDescent="0.25">
      <c r="A110" s="442">
        <v>11</v>
      </c>
      <c r="B110" s="301"/>
      <c r="C110" s="301">
        <v>53.3</v>
      </c>
      <c r="D110" s="301">
        <v>82.9</v>
      </c>
      <c r="E110" s="301">
        <v>56.3</v>
      </c>
      <c r="F110" s="301">
        <v>88</v>
      </c>
      <c r="G110" s="301">
        <v>106.8</v>
      </c>
    </row>
    <row r="111" spans="1:7" ht="13.2" x14ac:dyDescent="0.25">
      <c r="A111" s="442">
        <v>12</v>
      </c>
      <c r="B111" s="301"/>
      <c r="C111" s="301">
        <v>49.5</v>
      </c>
      <c r="D111" s="301"/>
      <c r="E111" s="301">
        <v>51.5</v>
      </c>
      <c r="F111" s="301">
        <v>87.7</v>
      </c>
      <c r="G111" s="301">
        <v>92.3</v>
      </c>
    </row>
    <row r="112" spans="1:7" ht="13.2" x14ac:dyDescent="0.25">
      <c r="A112" s="442">
        <v>13</v>
      </c>
      <c r="B112" s="301"/>
      <c r="C112" s="301">
        <v>52.6</v>
      </c>
      <c r="D112" s="301"/>
      <c r="E112" s="301">
        <v>57.1</v>
      </c>
      <c r="F112" s="301">
        <v>86.8</v>
      </c>
      <c r="G112" s="301">
        <v>98.1</v>
      </c>
    </row>
    <row r="113" spans="1:7" ht="13.2" x14ac:dyDescent="0.25">
      <c r="A113" s="442">
        <v>14</v>
      </c>
      <c r="B113" s="301"/>
      <c r="C113" s="301"/>
      <c r="D113" s="301"/>
      <c r="E113" s="301">
        <v>47.3</v>
      </c>
      <c r="F113" s="301">
        <v>86.2</v>
      </c>
      <c r="G113" s="301">
        <v>106.9</v>
      </c>
    </row>
    <row r="114" spans="1:7" ht="13.2" x14ac:dyDescent="0.25">
      <c r="A114" s="442">
        <v>15</v>
      </c>
      <c r="B114" s="301"/>
      <c r="C114" s="301"/>
      <c r="D114" s="301"/>
      <c r="E114" s="301"/>
      <c r="F114" s="301">
        <v>81.900000000000006</v>
      </c>
      <c r="G114" s="301">
        <v>105.6</v>
      </c>
    </row>
    <row r="115" spans="1:7" ht="13.2" x14ac:dyDescent="0.25">
      <c r="A115" s="442">
        <v>16</v>
      </c>
      <c r="B115" s="301"/>
      <c r="C115" s="301"/>
      <c r="D115" s="301"/>
      <c r="E115" s="301"/>
      <c r="F115" s="301">
        <v>87.7</v>
      </c>
      <c r="G115" s="301">
        <v>101.1</v>
      </c>
    </row>
    <row r="116" spans="1:7" ht="13.2" x14ac:dyDescent="0.25">
      <c r="A116" s="442">
        <v>17</v>
      </c>
      <c r="B116" s="301"/>
      <c r="C116" s="301"/>
      <c r="D116" s="301"/>
      <c r="E116" s="301"/>
      <c r="F116" s="301">
        <v>88</v>
      </c>
      <c r="G116" s="301">
        <v>97.5</v>
      </c>
    </row>
    <row r="117" spans="1:7" ht="13.2" x14ac:dyDescent="0.25">
      <c r="A117" s="442">
        <v>18</v>
      </c>
      <c r="B117" s="301"/>
      <c r="C117" s="301"/>
      <c r="D117" s="301"/>
      <c r="E117" s="301"/>
      <c r="F117" s="301">
        <v>84</v>
      </c>
      <c r="G117" s="301">
        <v>91.3</v>
      </c>
    </row>
    <row r="118" spans="1:7" ht="13.2" x14ac:dyDescent="0.25">
      <c r="A118" s="442">
        <v>19</v>
      </c>
      <c r="B118" s="301"/>
      <c r="C118" s="301"/>
      <c r="D118" s="301"/>
      <c r="E118" s="301"/>
      <c r="F118" s="301">
        <v>81.400000000000006</v>
      </c>
      <c r="G118" s="301">
        <v>106.2</v>
      </c>
    </row>
    <row r="119" spans="1:7" ht="13.2" x14ac:dyDescent="0.25">
      <c r="A119" s="442">
        <v>20</v>
      </c>
      <c r="B119" s="301"/>
      <c r="C119" s="301"/>
      <c r="D119" s="301"/>
      <c r="E119" s="301"/>
      <c r="F119" s="301">
        <v>89.2</v>
      </c>
      <c r="G119" s="301">
        <v>106.5</v>
      </c>
    </row>
    <row r="120" spans="1:7" ht="13.2" x14ac:dyDescent="0.25">
      <c r="A120" s="442">
        <v>21</v>
      </c>
      <c r="B120" s="301"/>
      <c r="C120" s="301"/>
      <c r="D120" s="301"/>
      <c r="E120" s="301"/>
      <c r="F120" s="301">
        <v>83.1</v>
      </c>
      <c r="G120" s="301">
        <v>94.2</v>
      </c>
    </row>
    <row r="121" spans="1:7" ht="13.2" x14ac:dyDescent="0.25">
      <c r="A121" s="442">
        <v>22</v>
      </c>
      <c r="B121" s="301"/>
      <c r="C121" s="301"/>
      <c r="D121" s="301"/>
      <c r="E121" s="301"/>
      <c r="F121" s="301">
        <v>88.7</v>
      </c>
      <c r="G121" s="301">
        <v>108.4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ht="13.2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ht="13.2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ht="13.2" x14ac:dyDescent="0.25">
      <c r="A125" s="442">
        <v>1</v>
      </c>
      <c r="B125" s="301">
        <v>23.3</v>
      </c>
      <c r="C125" s="301">
        <v>48.3</v>
      </c>
      <c r="D125" s="301">
        <v>80.900000000000006</v>
      </c>
      <c r="E125" s="301">
        <v>33</v>
      </c>
      <c r="F125" s="301">
        <v>80.900000000000006</v>
      </c>
      <c r="G125" s="301">
        <v>106.7</v>
      </c>
    </row>
    <row r="126" spans="1:7" ht="13.2" x14ac:dyDescent="0.25">
      <c r="A126" s="442">
        <v>2</v>
      </c>
      <c r="B126" s="301">
        <v>26.6</v>
      </c>
      <c r="C126" s="301">
        <v>54.9</v>
      </c>
      <c r="D126" s="301">
        <v>77.8</v>
      </c>
      <c r="E126" s="301">
        <v>36.799999999999997</v>
      </c>
      <c r="F126" s="301">
        <v>85.3</v>
      </c>
      <c r="G126" s="301">
        <v>102.3</v>
      </c>
    </row>
    <row r="127" spans="1:7" ht="13.2" x14ac:dyDescent="0.25">
      <c r="A127" s="442">
        <v>3</v>
      </c>
      <c r="B127" s="301">
        <v>29.4</v>
      </c>
      <c r="C127" s="301">
        <v>49.1</v>
      </c>
      <c r="D127" s="301">
        <v>76.8</v>
      </c>
      <c r="E127" s="301">
        <v>41.4</v>
      </c>
      <c r="F127" s="301">
        <v>83.5</v>
      </c>
      <c r="G127" s="301">
        <v>109.9</v>
      </c>
    </row>
    <row r="128" spans="1:7" ht="13.2" x14ac:dyDescent="0.25">
      <c r="A128" s="442">
        <v>4</v>
      </c>
      <c r="B128" s="301">
        <v>25.3</v>
      </c>
      <c r="C128" s="301">
        <v>46.6</v>
      </c>
      <c r="D128" s="301">
        <v>78</v>
      </c>
      <c r="E128" s="301">
        <v>35.5</v>
      </c>
      <c r="F128" s="301">
        <v>86.4</v>
      </c>
      <c r="G128" s="301">
        <v>91.3</v>
      </c>
    </row>
    <row r="129" spans="1:7" ht="13.2" x14ac:dyDescent="0.25">
      <c r="A129" s="442">
        <v>5</v>
      </c>
      <c r="B129" s="301">
        <v>15.5</v>
      </c>
      <c r="C129" s="301">
        <v>54.8</v>
      </c>
      <c r="D129" s="301">
        <v>78.5</v>
      </c>
      <c r="E129" s="301">
        <v>47.6</v>
      </c>
      <c r="F129" s="301">
        <v>82.9</v>
      </c>
      <c r="G129" s="301">
        <v>90</v>
      </c>
    </row>
    <row r="130" spans="1:7" ht="13.2" x14ac:dyDescent="0.25">
      <c r="A130" s="442">
        <v>6</v>
      </c>
      <c r="B130" s="301">
        <v>13.2</v>
      </c>
      <c r="C130" s="301">
        <v>46.5</v>
      </c>
      <c r="D130" s="301">
        <v>82</v>
      </c>
      <c r="E130" s="301">
        <v>35.200000000000003</v>
      </c>
      <c r="F130" s="301">
        <v>89.9</v>
      </c>
      <c r="G130" s="301">
        <v>109.9</v>
      </c>
    </row>
    <row r="131" spans="1:7" ht="13.2" x14ac:dyDescent="0.25">
      <c r="A131" s="442">
        <v>7</v>
      </c>
      <c r="B131" s="301">
        <v>21.4</v>
      </c>
      <c r="C131" s="301">
        <v>48</v>
      </c>
      <c r="D131" s="301">
        <v>83.8</v>
      </c>
      <c r="E131" s="301">
        <v>54.1</v>
      </c>
      <c r="F131" s="301">
        <v>83.5</v>
      </c>
      <c r="G131" s="301">
        <v>96.1</v>
      </c>
    </row>
    <row r="132" spans="1:7" ht="13.2" x14ac:dyDescent="0.25">
      <c r="A132" s="442">
        <v>8</v>
      </c>
      <c r="B132" s="301">
        <v>21.5</v>
      </c>
      <c r="C132" s="301">
        <v>46.4</v>
      </c>
      <c r="D132" s="301">
        <v>78.900000000000006</v>
      </c>
      <c r="E132" s="301">
        <v>40.5</v>
      </c>
      <c r="F132" s="301">
        <v>87.9</v>
      </c>
      <c r="G132" s="301">
        <v>90.3</v>
      </c>
    </row>
    <row r="133" spans="1:7" ht="13.2" x14ac:dyDescent="0.25">
      <c r="A133" s="442">
        <v>9</v>
      </c>
      <c r="B133" s="301">
        <v>17.5</v>
      </c>
      <c r="C133" s="301">
        <v>51.8</v>
      </c>
      <c r="D133" s="301">
        <v>84.2</v>
      </c>
      <c r="E133" s="301">
        <v>55.6</v>
      </c>
      <c r="F133" s="301">
        <v>84.9</v>
      </c>
      <c r="G133" s="301">
        <v>106.4</v>
      </c>
    </row>
    <row r="134" spans="1:7" ht="13.2" x14ac:dyDescent="0.25">
      <c r="A134" s="442">
        <v>10</v>
      </c>
      <c r="B134" s="301">
        <v>21.6</v>
      </c>
      <c r="C134" s="301">
        <v>46.9</v>
      </c>
      <c r="D134" s="301">
        <v>84.7</v>
      </c>
      <c r="E134" s="301">
        <v>34.700000000000003</v>
      </c>
      <c r="F134" s="301">
        <v>84.2</v>
      </c>
      <c r="G134" s="301">
        <v>108.2</v>
      </c>
    </row>
    <row r="135" spans="1:7" ht="13.2" x14ac:dyDescent="0.25">
      <c r="A135" s="442">
        <v>11</v>
      </c>
      <c r="B135" s="301"/>
      <c r="C135" s="301">
        <v>53.9</v>
      </c>
      <c r="D135" s="301">
        <v>75.3</v>
      </c>
      <c r="E135" s="301">
        <v>49.3</v>
      </c>
      <c r="F135" s="301">
        <v>87.6</v>
      </c>
      <c r="G135" s="301">
        <v>98</v>
      </c>
    </row>
    <row r="136" spans="1:7" ht="13.2" x14ac:dyDescent="0.25">
      <c r="A136" s="442">
        <v>12</v>
      </c>
      <c r="B136" s="301"/>
      <c r="C136" s="301">
        <v>46</v>
      </c>
      <c r="D136" s="301">
        <v>84.3</v>
      </c>
      <c r="E136" s="301">
        <v>46.8</v>
      </c>
      <c r="F136" s="301">
        <v>85.9</v>
      </c>
      <c r="G136" s="301">
        <v>94</v>
      </c>
    </row>
    <row r="137" spans="1:7" ht="13.2" x14ac:dyDescent="0.25">
      <c r="A137" s="442">
        <v>13</v>
      </c>
      <c r="B137" s="301"/>
      <c r="C137" s="301"/>
      <c r="D137" s="301"/>
      <c r="E137" s="301">
        <v>40.700000000000003</v>
      </c>
      <c r="F137" s="301">
        <v>82.3</v>
      </c>
      <c r="G137" s="301">
        <v>101.5</v>
      </c>
    </row>
    <row r="138" spans="1:7" ht="13.2" x14ac:dyDescent="0.25">
      <c r="A138" s="442">
        <v>14</v>
      </c>
      <c r="B138" s="301"/>
      <c r="C138" s="301"/>
      <c r="D138" s="301"/>
      <c r="E138" s="301">
        <v>52.4</v>
      </c>
      <c r="F138" s="301">
        <v>84.2</v>
      </c>
      <c r="G138" s="301">
        <v>96.8</v>
      </c>
    </row>
    <row r="139" spans="1:7" ht="13.2" x14ac:dyDescent="0.25">
      <c r="A139" s="442">
        <v>15</v>
      </c>
      <c r="B139" s="301"/>
      <c r="C139" s="301"/>
      <c r="D139" s="301"/>
      <c r="E139" s="301"/>
      <c r="F139" s="301">
        <v>81.900000000000006</v>
      </c>
      <c r="G139" s="301">
        <v>99.9</v>
      </c>
    </row>
    <row r="140" spans="1:7" ht="13.2" x14ac:dyDescent="0.25">
      <c r="A140" s="442">
        <v>16</v>
      </c>
      <c r="B140" s="301"/>
      <c r="C140" s="301"/>
      <c r="D140" s="301"/>
      <c r="E140" s="301"/>
      <c r="F140" s="301">
        <v>89.7</v>
      </c>
      <c r="G140" s="301">
        <v>102.8</v>
      </c>
    </row>
    <row r="141" spans="1:7" ht="13.2" x14ac:dyDescent="0.25">
      <c r="A141" s="442">
        <v>17</v>
      </c>
      <c r="B141" s="301"/>
      <c r="C141" s="301"/>
      <c r="D141" s="301"/>
      <c r="E141" s="301"/>
      <c r="F141" s="301">
        <v>82.5</v>
      </c>
      <c r="G141" s="301">
        <v>105.7</v>
      </c>
    </row>
    <row r="142" spans="1:7" ht="13.2" x14ac:dyDescent="0.25">
      <c r="A142" s="442">
        <v>18</v>
      </c>
      <c r="B142" s="301"/>
      <c r="C142" s="301"/>
      <c r="D142" s="301"/>
      <c r="E142" s="301"/>
      <c r="F142" s="301">
        <v>81.099999999999994</v>
      </c>
      <c r="G142" s="301">
        <v>104.3</v>
      </c>
    </row>
    <row r="143" spans="1:7" ht="13.2" x14ac:dyDescent="0.25">
      <c r="A143" s="442">
        <v>19</v>
      </c>
      <c r="B143" s="301"/>
      <c r="C143" s="301"/>
      <c r="D143" s="301"/>
      <c r="E143" s="301"/>
      <c r="F143" s="301">
        <v>83.3</v>
      </c>
      <c r="G143" s="301">
        <v>90.9</v>
      </c>
    </row>
    <row r="144" spans="1:7" ht="13.2" x14ac:dyDescent="0.25">
      <c r="A144" s="442">
        <v>20</v>
      </c>
      <c r="B144" s="301"/>
      <c r="C144" s="301"/>
      <c r="D144" s="301"/>
      <c r="E144" s="301"/>
      <c r="F144" s="301"/>
      <c r="G144" s="301">
        <v>97.9</v>
      </c>
    </row>
    <row r="145" spans="1:7" ht="13.2" x14ac:dyDescent="0.25">
      <c r="A145" s="442">
        <v>21</v>
      </c>
      <c r="B145" s="301"/>
      <c r="C145" s="301"/>
      <c r="D145" s="301"/>
      <c r="E145" s="301"/>
      <c r="F145" s="301"/>
      <c r="G145" s="301">
        <v>104.8</v>
      </c>
    </row>
    <row r="146" spans="1:7" ht="13.2" x14ac:dyDescent="0.25">
      <c r="A146" s="442">
        <v>22</v>
      </c>
      <c r="B146" s="301"/>
      <c r="C146" s="301"/>
      <c r="D146" s="301"/>
      <c r="E146" s="301"/>
      <c r="F146" s="301"/>
      <c r="G146" s="301">
        <v>108.4</v>
      </c>
    </row>
    <row r="147" spans="1:7" ht="13.2" x14ac:dyDescent="0.25">
      <c r="A147" s="442">
        <v>23</v>
      </c>
      <c r="B147" s="301"/>
      <c r="C147" s="301"/>
      <c r="D147" s="301"/>
      <c r="E147" s="301"/>
      <c r="F147" s="301"/>
      <c r="G147" s="301">
        <v>110.8</v>
      </c>
    </row>
    <row r="148" spans="1:7" ht="13.2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ht="13.2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ht="13.2" x14ac:dyDescent="0.25">
      <c r="A151" s="298" t="s">
        <v>369</v>
      </c>
      <c r="B151" s="301">
        <f>ROUNDDOWN(AVERAGE(B6:D20),1)</f>
        <v>51</v>
      </c>
      <c r="C151" s="301">
        <f>ROUNDDOWN(AVERAGE(E6:G34),1)</f>
        <v>80.900000000000006</v>
      </c>
      <c r="D151" s="353">
        <v>28044</v>
      </c>
      <c r="E151" s="362">
        <v>46988</v>
      </c>
      <c r="F151" s="353">
        <f>B151*D151</f>
        <v>1430244</v>
      </c>
      <c r="G151" s="353">
        <f>C151*E151</f>
        <v>3801329.2</v>
      </c>
    </row>
    <row r="152" spans="1:7" ht="13.2" x14ac:dyDescent="0.25">
      <c r="A152" s="298" t="s">
        <v>370</v>
      </c>
      <c r="B152" s="301">
        <f>ROUNDDOWN(AVERAGE(B39:D49),1)</f>
        <v>51.6</v>
      </c>
      <c r="C152" s="301">
        <f>ROUNDDOWN(AVERAGE(E39:G48),1)</f>
        <v>83.6</v>
      </c>
      <c r="D152" s="353">
        <v>10608</v>
      </c>
      <c r="E152" s="362">
        <v>17176</v>
      </c>
      <c r="F152" s="353">
        <f t="shared" ref="F152:G159" si="0">B152*D152</f>
        <v>547372.80000000005</v>
      </c>
      <c r="G152" s="353">
        <f t="shared" si="0"/>
        <v>1435913.5999999999</v>
      </c>
    </row>
    <row r="153" spans="1:7" ht="13.2" x14ac:dyDescent="0.25">
      <c r="A153" s="298" t="s">
        <v>371</v>
      </c>
      <c r="B153" s="301">
        <f>ROUNDDOWN(AVERAGE(B53:D62),1)</f>
        <v>52.9</v>
      </c>
      <c r="C153" s="301">
        <f>ROUNDDOWN(AVERAGE(E53:G61),1)</f>
        <v>80.900000000000006</v>
      </c>
      <c r="D153" s="353">
        <v>8465</v>
      </c>
      <c r="E153" s="362">
        <v>14891</v>
      </c>
      <c r="F153" s="353">
        <f t="shared" si="0"/>
        <v>447798.5</v>
      </c>
      <c r="G153" s="353">
        <f t="shared" si="0"/>
        <v>1204681.9000000001</v>
      </c>
    </row>
    <row r="154" spans="1:7" ht="13.2" x14ac:dyDescent="0.25">
      <c r="A154" s="298" t="s">
        <v>372</v>
      </c>
      <c r="B154" s="301">
        <f>ROUNDDOWN(AVERAGE(B66:D72),1)</f>
        <v>51.7</v>
      </c>
      <c r="C154" s="301">
        <f>ROUNDDOWN(AVERAGE(E66:G72),1)</f>
        <v>81.8</v>
      </c>
      <c r="D154" s="353">
        <v>6339</v>
      </c>
      <c r="E154" s="362">
        <v>10497</v>
      </c>
      <c r="F154" s="353">
        <f t="shared" si="0"/>
        <v>327726.30000000005</v>
      </c>
      <c r="G154" s="353">
        <f t="shared" si="0"/>
        <v>858654.6</v>
      </c>
    </row>
    <row r="155" spans="1:7" ht="13.2" x14ac:dyDescent="0.25">
      <c r="A155" s="298" t="s">
        <v>373</v>
      </c>
      <c r="B155" s="301">
        <f>ROUNDDOWN(AVERAGE(B76:D79),1)</f>
        <v>51.5</v>
      </c>
      <c r="C155" s="301">
        <f>ROUNDDOWN(AVERAGE(E76:G79),1)</f>
        <v>76.8</v>
      </c>
      <c r="D155" s="353">
        <v>3699</v>
      </c>
      <c r="E155" s="362">
        <v>6540</v>
      </c>
      <c r="F155" s="353">
        <f t="shared" si="0"/>
        <v>190498.5</v>
      </c>
      <c r="G155" s="353">
        <f t="shared" si="0"/>
        <v>502272</v>
      </c>
    </row>
    <row r="156" spans="1:7" ht="13.2" x14ac:dyDescent="0.25">
      <c r="A156" s="298" t="s">
        <v>374</v>
      </c>
      <c r="B156" s="301">
        <f>ROUNDDOWN(AVERAGE(B83:D89),1)</f>
        <v>50.3</v>
      </c>
      <c r="C156" s="301">
        <f>ROUNDDOWN(AVERAGE(E83:G88),1)</f>
        <v>77.5</v>
      </c>
      <c r="D156" s="353">
        <v>5340</v>
      </c>
      <c r="E156" s="362">
        <v>9357</v>
      </c>
      <c r="F156" s="353">
        <f t="shared" si="0"/>
        <v>268602</v>
      </c>
      <c r="G156" s="353">
        <f t="shared" si="0"/>
        <v>725167.5</v>
      </c>
    </row>
    <row r="157" spans="1:7" ht="13.2" x14ac:dyDescent="0.25">
      <c r="A157" s="298" t="s">
        <v>375</v>
      </c>
      <c r="B157" s="301">
        <f>ROUNDDOWN(AVERAGE(B93:D96),1)</f>
        <v>52.9</v>
      </c>
      <c r="C157" s="301">
        <f>ROUNDDOWN(AVERAGE(E93:G96),1)</f>
        <v>76.400000000000006</v>
      </c>
      <c r="D157" s="353">
        <v>3613</v>
      </c>
      <c r="E157" s="362">
        <v>5784</v>
      </c>
      <c r="F157" s="353">
        <f t="shared" si="0"/>
        <v>191127.69999999998</v>
      </c>
      <c r="G157" s="353">
        <f t="shared" si="0"/>
        <v>441897.60000000003</v>
      </c>
    </row>
    <row r="158" spans="1:7" ht="13.2" x14ac:dyDescent="0.25">
      <c r="A158" s="298" t="s">
        <v>365</v>
      </c>
      <c r="B158" s="301">
        <f>ROUNDDOWN(AVERAGE(B100:D121),1)</f>
        <v>50.9</v>
      </c>
      <c r="C158" s="301">
        <f>ROUNDDOWN(AVERAGE(E100:G121),1)</f>
        <v>82.3</v>
      </c>
      <c r="D158" s="353">
        <v>23194</v>
      </c>
      <c r="E158" s="362">
        <v>40218</v>
      </c>
      <c r="F158" s="353">
        <f t="shared" si="0"/>
        <v>1180574.5999999999</v>
      </c>
      <c r="G158" s="353">
        <f t="shared" si="0"/>
        <v>3309941.4</v>
      </c>
    </row>
    <row r="159" spans="1:7" ht="13.2" x14ac:dyDescent="0.25">
      <c r="A159" s="298" t="s">
        <v>366</v>
      </c>
      <c r="B159" s="301">
        <f>ROUNDDOWN(AVERAGE(B125:D147),1)</f>
        <v>52.1</v>
      </c>
      <c r="C159" s="301">
        <f>ROUNDDOWN(AVERAGE(E125:G147),1)</f>
        <v>81</v>
      </c>
      <c r="D159" s="353">
        <v>22794</v>
      </c>
      <c r="E159" s="362">
        <v>40345</v>
      </c>
      <c r="F159" s="353">
        <f t="shared" si="0"/>
        <v>1187567.4000000001</v>
      </c>
      <c r="G159" s="353">
        <f t="shared" si="0"/>
        <v>3267945</v>
      </c>
    </row>
    <row r="160" spans="1:7" ht="13.2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191796</v>
      </c>
      <c r="F160" s="353">
        <f>SUM(F151:F159)</f>
        <v>5771511.7999999998</v>
      </c>
      <c r="G160" s="353">
        <f>SUM(G151:G159)</f>
        <v>15547802.800000001</v>
      </c>
    </row>
    <row r="161" spans="1:7" ht="13.2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51.4</v>
      </c>
      <c r="D165" s="280">
        <f>ROUNDDOWN(G160/E160,1)</f>
        <v>81</v>
      </c>
    </row>
  </sheetData>
  <mergeCells count="34">
    <mergeCell ref="A1:G1"/>
    <mergeCell ref="A2:G2"/>
    <mergeCell ref="A3:G3"/>
    <mergeCell ref="B4:D4"/>
    <mergeCell ref="E4:G4"/>
    <mergeCell ref="A73:G73"/>
    <mergeCell ref="B74:D74"/>
    <mergeCell ref="E74:G74"/>
    <mergeCell ref="A90:G90"/>
    <mergeCell ref="A36:G36"/>
    <mergeCell ref="B37:D37"/>
    <mergeCell ref="E37:G37"/>
    <mergeCell ref="A50:G50"/>
    <mergeCell ref="B51:D51"/>
    <mergeCell ref="E51:G51"/>
    <mergeCell ref="A63:G63"/>
    <mergeCell ref="B64:D64"/>
    <mergeCell ref="E64:G64"/>
    <mergeCell ref="A122:G122"/>
    <mergeCell ref="B123:D123"/>
    <mergeCell ref="E123:G123"/>
    <mergeCell ref="A80:G80"/>
    <mergeCell ref="B81:D81"/>
    <mergeCell ref="E81:G81"/>
    <mergeCell ref="B91:D91"/>
    <mergeCell ref="E91:G91"/>
    <mergeCell ref="A97:G97"/>
    <mergeCell ref="B98:D98"/>
    <mergeCell ref="E98:G98"/>
    <mergeCell ref="A149:A150"/>
    <mergeCell ref="B149:C149"/>
    <mergeCell ref="D149:E149"/>
    <mergeCell ref="F149:G149"/>
    <mergeCell ref="C163:D163"/>
  </mergeCells>
  <phoneticPr fontId="9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9A2B-A794-4D60-A77E-7AD5BCF0198F}">
  <dimension ref="A1:G165"/>
  <sheetViews>
    <sheetView workbookViewId="0">
      <selection activeCell="G41" sqref="G41"/>
    </sheetView>
  </sheetViews>
  <sheetFormatPr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15" x14ac:dyDescent="0.25">
      <c r="A2" s="646" t="s">
        <v>415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ht="13.2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ht="13.2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ht="13.2" x14ac:dyDescent="0.25">
      <c r="A6" s="442">
        <v>1</v>
      </c>
      <c r="B6" s="301">
        <v>27.1</v>
      </c>
      <c r="C6" s="301">
        <v>55</v>
      </c>
      <c r="D6" s="301">
        <v>84.6</v>
      </c>
      <c r="E6" s="301">
        <v>28.5</v>
      </c>
      <c r="F6" s="301">
        <v>83</v>
      </c>
      <c r="G6" s="301">
        <v>97.5</v>
      </c>
    </row>
    <row r="7" spans="1:7" ht="13.2" x14ac:dyDescent="0.25">
      <c r="A7" s="442">
        <v>2</v>
      </c>
      <c r="B7" s="301">
        <v>12.9</v>
      </c>
      <c r="C7" s="301">
        <v>48.5</v>
      </c>
      <c r="D7" s="301">
        <v>78.599999999999994</v>
      </c>
      <c r="E7" s="301">
        <v>36.6</v>
      </c>
      <c r="F7" s="301">
        <v>83.5</v>
      </c>
      <c r="G7" s="301">
        <v>95.6</v>
      </c>
    </row>
    <row r="8" spans="1:7" ht="13.2" x14ac:dyDescent="0.25">
      <c r="A8" s="442">
        <v>3</v>
      </c>
      <c r="B8" s="301">
        <v>28.2</v>
      </c>
      <c r="C8" s="301">
        <v>46.2</v>
      </c>
      <c r="D8" s="301">
        <v>83.9</v>
      </c>
      <c r="E8" s="301">
        <v>38.4</v>
      </c>
      <c r="F8" s="301">
        <v>82.2</v>
      </c>
      <c r="G8" s="301">
        <v>96.4</v>
      </c>
    </row>
    <row r="9" spans="1:7" ht="13.2" x14ac:dyDescent="0.25">
      <c r="A9" s="442">
        <v>4</v>
      </c>
      <c r="B9" s="301">
        <v>19.8</v>
      </c>
      <c r="C9" s="301">
        <v>54</v>
      </c>
      <c r="D9" s="301">
        <v>83.4</v>
      </c>
      <c r="E9" s="301">
        <v>42.5</v>
      </c>
      <c r="F9" s="301">
        <v>86</v>
      </c>
      <c r="G9" s="301">
        <v>104.6</v>
      </c>
    </row>
    <row r="10" spans="1:7" ht="13.2" x14ac:dyDescent="0.25">
      <c r="A10" s="442">
        <v>5</v>
      </c>
      <c r="B10" s="301">
        <v>21.3</v>
      </c>
      <c r="C10" s="301">
        <v>46.9</v>
      </c>
      <c r="D10" s="301">
        <v>80.8</v>
      </c>
      <c r="E10" s="301">
        <v>53.2</v>
      </c>
      <c r="F10" s="301">
        <v>80.900000000000006</v>
      </c>
      <c r="G10" s="301">
        <v>90</v>
      </c>
    </row>
    <row r="11" spans="1:7" ht="13.2" x14ac:dyDescent="0.25">
      <c r="A11" s="442">
        <v>6</v>
      </c>
      <c r="B11" s="301">
        <v>23.9</v>
      </c>
      <c r="C11" s="301">
        <v>54</v>
      </c>
      <c r="D11" s="301">
        <v>75.900000000000006</v>
      </c>
      <c r="E11" s="301">
        <v>45.3</v>
      </c>
      <c r="F11" s="301">
        <v>80.5</v>
      </c>
      <c r="G11" s="301">
        <v>108.6</v>
      </c>
    </row>
    <row r="12" spans="1:7" ht="13.2" x14ac:dyDescent="0.25">
      <c r="A12" s="442">
        <v>7</v>
      </c>
      <c r="B12" s="301">
        <v>28.1</v>
      </c>
      <c r="C12" s="301">
        <v>48.9</v>
      </c>
      <c r="D12" s="301">
        <v>76.7</v>
      </c>
      <c r="E12" s="301">
        <v>54.6</v>
      </c>
      <c r="F12" s="301">
        <v>80.3</v>
      </c>
      <c r="G12" s="301">
        <v>99.5</v>
      </c>
    </row>
    <row r="13" spans="1:7" ht="13.2" x14ac:dyDescent="0.25">
      <c r="A13" s="442">
        <v>8</v>
      </c>
      <c r="B13" s="301">
        <v>27.2</v>
      </c>
      <c r="C13" s="301">
        <v>46.7</v>
      </c>
      <c r="D13" s="301">
        <v>77.099999999999994</v>
      </c>
      <c r="E13" s="301">
        <v>40.1</v>
      </c>
      <c r="F13" s="301">
        <v>82.1</v>
      </c>
      <c r="G13" s="301">
        <v>91.5</v>
      </c>
    </row>
    <row r="14" spans="1:7" ht="13.2" x14ac:dyDescent="0.25">
      <c r="A14" s="442">
        <v>9</v>
      </c>
      <c r="B14" s="301">
        <v>13.9</v>
      </c>
      <c r="C14" s="301">
        <v>46.3</v>
      </c>
      <c r="D14" s="301">
        <v>83.5</v>
      </c>
      <c r="E14" s="301">
        <v>41.5</v>
      </c>
      <c r="F14" s="301">
        <v>86</v>
      </c>
      <c r="G14" s="301">
        <v>108.5</v>
      </c>
    </row>
    <row r="15" spans="1:7" ht="13.2" x14ac:dyDescent="0.25">
      <c r="A15" s="442">
        <v>10</v>
      </c>
      <c r="B15" s="301">
        <v>15.6</v>
      </c>
      <c r="C15" s="301">
        <v>53.6</v>
      </c>
      <c r="D15" s="301">
        <v>82.4</v>
      </c>
      <c r="E15" s="301">
        <v>33.299999999999997</v>
      </c>
      <c r="F15" s="301">
        <v>80.400000000000006</v>
      </c>
      <c r="G15" s="301">
        <v>96.2</v>
      </c>
    </row>
    <row r="16" spans="1:7" ht="13.2" x14ac:dyDescent="0.25">
      <c r="A16" s="442">
        <v>11</v>
      </c>
      <c r="B16" s="301">
        <v>15.2</v>
      </c>
      <c r="C16" s="301">
        <v>46.6</v>
      </c>
      <c r="D16" s="301">
        <v>77.599999999999994</v>
      </c>
      <c r="E16" s="301">
        <v>30.7</v>
      </c>
      <c r="F16" s="301">
        <v>88.6</v>
      </c>
      <c r="G16" s="301">
        <v>103.1</v>
      </c>
    </row>
    <row r="17" spans="1:7" ht="13.2" x14ac:dyDescent="0.25">
      <c r="A17" s="442">
        <v>12</v>
      </c>
      <c r="B17" s="301">
        <v>20.7</v>
      </c>
      <c r="C17" s="301">
        <v>52.5</v>
      </c>
      <c r="D17" s="301">
        <v>80.7</v>
      </c>
      <c r="E17" s="301">
        <v>25.9</v>
      </c>
      <c r="F17" s="301">
        <v>88.5</v>
      </c>
      <c r="G17" s="301">
        <v>104.9</v>
      </c>
    </row>
    <row r="18" spans="1:7" ht="13.2" x14ac:dyDescent="0.25">
      <c r="A18" s="442">
        <v>13</v>
      </c>
      <c r="B18" s="301">
        <v>13.7</v>
      </c>
      <c r="C18" s="301">
        <v>54.3</v>
      </c>
      <c r="D18" s="301">
        <v>76.599999999999994</v>
      </c>
      <c r="E18" s="301">
        <v>41.4</v>
      </c>
      <c r="F18" s="301">
        <v>80.2</v>
      </c>
      <c r="G18" s="301">
        <v>101.7</v>
      </c>
    </row>
    <row r="19" spans="1:7" ht="13.2" x14ac:dyDescent="0.25">
      <c r="A19" s="442">
        <v>14</v>
      </c>
      <c r="B19" s="301"/>
      <c r="C19" s="301"/>
      <c r="D19" s="301">
        <v>77.900000000000006</v>
      </c>
      <c r="E19" s="301">
        <v>43.6</v>
      </c>
      <c r="F19" s="301">
        <v>89.7</v>
      </c>
      <c r="G19" s="301">
        <v>95.7</v>
      </c>
    </row>
    <row r="20" spans="1:7" ht="13.2" x14ac:dyDescent="0.25">
      <c r="A20" s="442">
        <v>15</v>
      </c>
      <c r="B20" s="301"/>
      <c r="C20" s="301"/>
      <c r="D20" s="301"/>
      <c r="E20" s="301">
        <v>27.4</v>
      </c>
      <c r="F20" s="301">
        <v>87.2</v>
      </c>
      <c r="G20" s="301">
        <v>104.5</v>
      </c>
    </row>
    <row r="21" spans="1:7" ht="13.2" x14ac:dyDescent="0.25">
      <c r="A21" s="442">
        <v>16</v>
      </c>
      <c r="B21" s="301"/>
      <c r="C21" s="301"/>
      <c r="D21" s="301"/>
      <c r="E21" s="301">
        <v>58.7</v>
      </c>
      <c r="F21" s="301">
        <v>84.9</v>
      </c>
      <c r="G21" s="301">
        <v>92.2</v>
      </c>
    </row>
    <row r="22" spans="1:7" ht="13.2" x14ac:dyDescent="0.25">
      <c r="A22" s="442">
        <v>17</v>
      </c>
      <c r="B22" s="301"/>
      <c r="C22" s="301"/>
      <c r="D22" s="301"/>
      <c r="E22" s="301"/>
      <c r="F22" s="301">
        <v>88.9</v>
      </c>
      <c r="G22" s="301">
        <v>107.7</v>
      </c>
    </row>
    <row r="23" spans="1:7" ht="13.2" x14ac:dyDescent="0.25">
      <c r="A23" s="442">
        <v>18</v>
      </c>
      <c r="B23" s="301"/>
      <c r="C23" s="301"/>
      <c r="D23" s="301"/>
      <c r="E23" s="301"/>
      <c r="F23" s="301">
        <v>87.6</v>
      </c>
      <c r="G23" s="301">
        <v>100</v>
      </c>
    </row>
    <row r="24" spans="1:7" ht="13.2" x14ac:dyDescent="0.25">
      <c r="A24" s="442">
        <v>19</v>
      </c>
      <c r="B24" s="301"/>
      <c r="C24" s="301"/>
      <c r="D24" s="301"/>
      <c r="E24" s="301"/>
      <c r="F24" s="301">
        <v>87.2</v>
      </c>
      <c r="G24" s="301">
        <v>108.1</v>
      </c>
    </row>
    <row r="25" spans="1:7" ht="13.2" x14ac:dyDescent="0.25">
      <c r="A25" s="442">
        <v>20</v>
      </c>
      <c r="B25" s="301"/>
      <c r="C25" s="301"/>
      <c r="D25" s="301"/>
      <c r="E25" s="301"/>
      <c r="F25" s="301">
        <v>80.599999999999994</v>
      </c>
      <c r="G25" s="301">
        <v>93.9</v>
      </c>
    </row>
    <row r="26" spans="1:7" ht="13.2" x14ac:dyDescent="0.25">
      <c r="A26" s="442">
        <v>21</v>
      </c>
      <c r="B26" s="301"/>
      <c r="C26" s="301"/>
      <c r="D26" s="301"/>
      <c r="E26" s="301"/>
      <c r="F26" s="301">
        <v>88.4</v>
      </c>
      <c r="G26" s="301">
        <v>93.2</v>
      </c>
    </row>
    <row r="27" spans="1:7" ht="13.2" x14ac:dyDescent="0.25">
      <c r="A27" s="442">
        <v>22</v>
      </c>
      <c r="B27" s="301"/>
      <c r="C27" s="301"/>
      <c r="D27" s="301"/>
      <c r="E27" s="301"/>
      <c r="F27" s="301">
        <v>88.4</v>
      </c>
      <c r="G27" s="301">
        <v>102</v>
      </c>
    </row>
    <row r="28" spans="1:7" ht="13.2" x14ac:dyDescent="0.25">
      <c r="A28" s="442">
        <v>23</v>
      </c>
      <c r="B28" s="301"/>
      <c r="C28" s="301"/>
      <c r="D28" s="301"/>
      <c r="E28" s="301"/>
      <c r="F28" s="301">
        <v>80.5</v>
      </c>
      <c r="G28" s="301">
        <v>103.1</v>
      </c>
    </row>
    <row r="29" spans="1:7" ht="13.2" x14ac:dyDescent="0.25">
      <c r="A29" s="442">
        <v>24</v>
      </c>
      <c r="B29" s="301"/>
      <c r="C29" s="301"/>
      <c r="D29" s="301"/>
      <c r="E29" s="301"/>
      <c r="F29" s="301">
        <v>80.400000000000006</v>
      </c>
      <c r="G29" s="301">
        <v>94.3</v>
      </c>
    </row>
    <row r="30" spans="1:7" ht="13.2" x14ac:dyDescent="0.25">
      <c r="A30" s="442">
        <v>25</v>
      </c>
      <c r="B30" s="301"/>
      <c r="C30" s="301"/>
      <c r="D30" s="301"/>
      <c r="E30" s="301"/>
      <c r="F30" s="301"/>
      <c r="G30" s="301">
        <v>94.8</v>
      </c>
    </row>
    <row r="31" spans="1:7" ht="13.2" x14ac:dyDescent="0.25">
      <c r="A31" s="442">
        <v>26</v>
      </c>
      <c r="B31" s="301"/>
      <c r="C31" s="301"/>
      <c r="D31" s="301"/>
      <c r="E31" s="301"/>
      <c r="F31" s="301"/>
      <c r="G31" s="301">
        <v>108.4</v>
      </c>
    </row>
    <row r="32" spans="1:7" ht="13.2" x14ac:dyDescent="0.25">
      <c r="A32" s="442">
        <v>27</v>
      </c>
      <c r="B32" s="301"/>
      <c r="C32" s="301"/>
      <c r="D32" s="301"/>
      <c r="E32" s="301"/>
      <c r="F32" s="301"/>
      <c r="G32" s="301">
        <v>108.6</v>
      </c>
    </row>
    <row r="33" spans="1:7" ht="13.2" x14ac:dyDescent="0.25">
      <c r="A33" s="442">
        <v>28</v>
      </c>
      <c r="B33" s="301"/>
      <c r="C33" s="301"/>
      <c r="D33" s="301"/>
      <c r="E33" s="301"/>
      <c r="F33" s="301"/>
      <c r="G33" s="301">
        <v>101.9</v>
      </c>
    </row>
    <row r="34" spans="1:7" ht="13.2" x14ac:dyDescent="0.25">
      <c r="A34" s="442">
        <v>29</v>
      </c>
      <c r="B34" s="301"/>
      <c r="C34" s="301"/>
      <c r="D34" s="301"/>
      <c r="E34" s="301"/>
      <c r="F34" s="301"/>
      <c r="G34" s="301">
        <v>102.6</v>
      </c>
    </row>
    <row r="35" spans="1:7" ht="13.2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ht="13.2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ht="13.2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ht="13.2" x14ac:dyDescent="0.25">
      <c r="A39" s="442">
        <v>1</v>
      </c>
      <c r="B39" s="301">
        <v>11.9</v>
      </c>
      <c r="C39" s="301">
        <v>45.5</v>
      </c>
      <c r="D39" s="301">
        <v>77.2</v>
      </c>
      <c r="E39" s="301">
        <v>27.4</v>
      </c>
      <c r="F39" s="301">
        <v>86.4</v>
      </c>
      <c r="G39" s="301">
        <v>92.9</v>
      </c>
    </row>
    <row r="40" spans="1:7" ht="13.2" x14ac:dyDescent="0.25">
      <c r="A40" s="442">
        <v>2</v>
      </c>
      <c r="B40" s="301">
        <v>19.8</v>
      </c>
      <c r="C40" s="301">
        <v>49.4</v>
      </c>
      <c r="D40" s="301">
        <v>80.5</v>
      </c>
      <c r="E40" s="301">
        <v>40.5</v>
      </c>
      <c r="F40" s="301">
        <v>83.3</v>
      </c>
      <c r="G40" s="301">
        <v>110.6</v>
      </c>
    </row>
    <row r="41" spans="1:7" ht="13.2" x14ac:dyDescent="0.25">
      <c r="A41" s="442">
        <v>3</v>
      </c>
      <c r="B41" s="301">
        <v>18.3</v>
      </c>
      <c r="C41" s="301">
        <v>46.9</v>
      </c>
      <c r="D41" s="301">
        <v>84.7</v>
      </c>
      <c r="E41" s="301">
        <v>50.9</v>
      </c>
      <c r="F41" s="301">
        <v>88.1</v>
      </c>
      <c r="G41" s="301">
        <v>104.4</v>
      </c>
    </row>
    <row r="42" spans="1:7" ht="13.2" x14ac:dyDescent="0.25">
      <c r="A42" s="442">
        <v>4</v>
      </c>
      <c r="B42" s="301">
        <v>20.2</v>
      </c>
      <c r="C42" s="301">
        <v>45.5</v>
      </c>
      <c r="D42" s="301">
        <v>83.2</v>
      </c>
      <c r="E42" s="301">
        <v>41.6</v>
      </c>
      <c r="F42" s="301">
        <v>82.6</v>
      </c>
      <c r="G42" s="301">
        <v>98.2</v>
      </c>
    </row>
    <row r="43" spans="1:7" ht="13.2" x14ac:dyDescent="0.25">
      <c r="A43" s="442">
        <v>5</v>
      </c>
      <c r="B43" s="301">
        <v>18.899999999999999</v>
      </c>
      <c r="C43" s="301">
        <v>53</v>
      </c>
      <c r="D43" s="301">
        <v>76.599999999999994</v>
      </c>
      <c r="E43" s="301">
        <v>37.200000000000003</v>
      </c>
      <c r="F43" s="301">
        <v>81.400000000000006</v>
      </c>
      <c r="G43" s="301">
        <v>100.5</v>
      </c>
    </row>
    <row r="44" spans="1:7" ht="13.2" x14ac:dyDescent="0.25">
      <c r="A44" s="442">
        <v>6</v>
      </c>
      <c r="B44" s="301"/>
      <c r="C44" s="301">
        <v>45.6</v>
      </c>
      <c r="D44" s="301"/>
      <c r="E44" s="301">
        <v>45.6</v>
      </c>
      <c r="F44" s="301">
        <v>84.5</v>
      </c>
      <c r="G44" s="301">
        <v>90.3</v>
      </c>
    </row>
    <row r="45" spans="1:7" ht="13.2" x14ac:dyDescent="0.25">
      <c r="A45" s="442">
        <v>7</v>
      </c>
      <c r="B45" s="301"/>
      <c r="C45" s="301"/>
      <c r="D45" s="301"/>
      <c r="E45" s="301"/>
      <c r="F45" s="301">
        <v>81.2</v>
      </c>
      <c r="G45" s="301">
        <v>101.8</v>
      </c>
    </row>
    <row r="46" spans="1:7" ht="13.2" x14ac:dyDescent="0.25">
      <c r="A46" s="442">
        <v>8</v>
      </c>
      <c r="B46" s="301"/>
      <c r="C46" s="301"/>
      <c r="D46" s="301"/>
      <c r="E46" s="301"/>
      <c r="F46" s="301">
        <v>89.1</v>
      </c>
      <c r="G46" s="301">
        <v>98.8</v>
      </c>
    </row>
    <row r="47" spans="1:7" ht="13.2" x14ac:dyDescent="0.25">
      <c r="A47" s="442">
        <v>9</v>
      </c>
      <c r="B47" s="301"/>
      <c r="C47" s="301"/>
      <c r="D47" s="301"/>
      <c r="E47" s="301"/>
      <c r="F47" s="301">
        <v>81.400000000000006</v>
      </c>
      <c r="G47" s="301">
        <v>106.9</v>
      </c>
    </row>
    <row r="48" spans="1:7" ht="13.2" x14ac:dyDescent="0.25">
      <c r="A48" s="442">
        <v>10</v>
      </c>
      <c r="B48" s="301"/>
      <c r="C48" s="301"/>
      <c r="D48" s="301"/>
      <c r="E48" s="301"/>
      <c r="F48" s="301">
        <v>83</v>
      </c>
      <c r="G48" s="301">
        <v>104.7</v>
      </c>
    </row>
    <row r="49" spans="1:7" ht="13.2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ht="13.2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ht="13.2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ht="13.2" x14ac:dyDescent="0.25">
      <c r="A53" s="442">
        <v>1</v>
      </c>
      <c r="B53" s="301">
        <v>22</v>
      </c>
      <c r="C53" s="301">
        <v>53.1</v>
      </c>
      <c r="D53" s="301">
        <v>81.5</v>
      </c>
      <c r="E53" s="301">
        <v>37</v>
      </c>
      <c r="F53" s="301">
        <v>87.1</v>
      </c>
      <c r="G53" s="301">
        <v>91.3</v>
      </c>
    </row>
    <row r="54" spans="1:7" ht="13.2" x14ac:dyDescent="0.25">
      <c r="A54" s="442">
        <v>2</v>
      </c>
      <c r="B54" s="301">
        <v>29.2</v>
      </c>
      <c r="C54" s="301">
        <v>47.9</v>
      </c>
      <c r="D54" s="301">
        <v>82.1</v>
      </c>
      <c r="E54" s="301">
        <v>54.5</v>
      </c>
      <c r="F54" s="301">
        <v>85.1</v>
      </c>
      <c r="G54" s="301">
        <v>101.3</v>
      </c>
    </row>
    <row r="55" spans="1:7" ht="13.2" x14ac:dyDescent="0.25">
      <c r="A55" s="442">
        <v>3</v>
      </c>
      <c r="B55" s="301">
        <v>13.8</v>
      </c>
      <c r="C55" s="301">
        <v>48.1</v>
      </c>
      <c r="D55" s="301">
        <v>76.8</v>
      </c>
      <c r="E55" s="301">
        <v>40.200000000000003</v>
      </c>
      <c r="F55" s="301">
        <v>85</v>
      </c>
      <c r="G55" s="301">
        <v>107.7</v>
      </c>
    </row>
    <row r="56" spans="1:7" ht="13.2" x14ac:dyDescent="0.25">
      <c r="A56" s="442">
        <v>4</v>
      </c>
      <c r="B56" s="301">
        <v>15.5</v>
      </c>
      <c r="C56" s="301">
        <v>46.1</v>
      </c>
      <c r="D56" s="301">
        <v>84</v>
      </c>
      <c r="E56" s="301">
        <v>30.4</v>
      </c>
      <c r="F56" s="301">
        <v>84.7</v>
      </c>
      <c r="G56" s="301">
        <v>109.2</v>
      </c>
    </row>
    <row r="57" spans="1:7" ht="13.2" x14ac:dyDescent="0.25">
      <c r="A57" s="442">
        <v>5</v>
      </c>
      <c r="B57" s="301"/>
      <c r="C57" s="301">
        <v>52.9</v>
      </c>
      <c r="D57" s="301">
        <v>79.8</v>
      </c>
      <c r="E57" s="301">
        <v>25.9</v>
      </c>
      <c r="F57" s="301">
        <v>86.9</v>
      </c>
      <c r="G57" s="301">
        <v>96.4</v>
      </c>
    </row>
    <row r="58" spans="1:7" ht="13.2" x14ac:dyDescent="0.25">
      <c r="A58" s="442">
        <v>6</v>
      </c>
      <c r="B58" s="301"/>
      <c r="C58" s="301"/>
      <c r="D58" s="301"/>
      <c r="E58" s="301"/>
      <c r="F58" s="301">
        <v>89.9</v>
      </c>
      <c r="G58" s="301">
        <v>97.8</v>
      </c>
    </row>
    <row r="59" spans="1:7" ht="13.2" x14ac:dyDescent="0.25">
      <c r="A59" s="442">
        <v>7</v>
      </c>
      <c r="B59" s="301"/>
      <c r="C59" s="301"/>
      <c r="D59" s="301"/>
      <c r="E59" s="301"/>
      <c r="F59" s="301">
        <v>84.9</v>
      </c>
      <c r="G59" s="301">
        <v>110</v>
      </c>
    </row>
    <row r="60" spans="1:7" ht="13.2" x14ac:dyDescent="0.25">
      <c r="A60" s="442">
        <v>8</v>
      </c>
      <c r="B60" s="301"/>
      <c r="C60" s="301"/>
      <c r="D60" s="301"/>
      <c r="E60" s="301"/>
      <c r="F60" s="301">
        <v>89.3</v>
      </c>
      <c r="G60" s="301">
        <v>102.4</v>
      </c>
    </row>
    <row r="61" spans="1:7" ht="13.2" x14ac:dyDescent="0.25">
      <c r="A61" s="442">
        <v>9</v>
      </c>
      <c r="B61" s="301"/>
      <c r="C61" s="301"/>
      <c r="D61" s="301"/>
      <c r="E61" s="301"/>
      <c r="F61" s="301"/>
      <c r="G61" s="301">
        <v>110.4</v>
      </c>
    </row>
    <row r="62" spans="1:7" ht="13.2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ht="13.2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ht="13.2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ht="13.2" x14ac:dyDescent="0.25">
      <c r="A66" s="442">
        <v>1</v>
      </c>
      <c r="B66" s="301">
        <v>10</v>
      </c>
      <c r="C66" s="301">
        <v>48.5</v>
      </c>
      <c r="D66" s="301">
        <v>84.9</v>
      </c>
      <c r="E66" s="301">
        <v>57.4</v>
      </c>
      <c r="F66" s="301">
        <v>86.9</v>
      </c>
      <c r="G66" s="301">
        <v>99.3</v>
      </c>
    </row>
    <row r="67" spans="1:7" ht="13.2" x14ac:dyDescent="0.25">
      <c r="A67" s="442">
        <v>2</v>
      </c>
      <c r="B67" s="301">
        <v>25.4</v>
      </c>
      <c r="C67" s="301">
        <v>54.1</v>
      </c>
      <c r="D67" s="301">
        <v>80</v>
      </c>
      <c r="E67" s="301">
        <v>29.6</v>
      </c>
      <c r="F67" s="301">
        <v>83</v>
      </c>
      <c r="G67" s="301">
        <v>110.5</v>
      </c>
    </row>
    <row r="68" spans="1:7" ht="13.2" x14ac:dyDescent="0.25">
      <c r="A68" s="442">
        <v>3</v>
      </c>
      <c r="B68" s="301">
        <v>23</v>
      </c>
      <c r="C68" s="301">
        <v>46</v>
      </c>
      <c r="D68" s="301">
        <v>82.6</v>
      </c>
      <c r="E68" s="301">
        <v>41.1</v>
      </c>
      <c r="F68" s="301">
        <v>82.3</v>
      </c>
      <c r="G68" s="301">
        <v>108.2</v>
      </c>
    </row>
    <row r="69" spans="1:7" ht="13.2" x14ac:dyDescent="0.25">
      <c r="A69" s="442">
        <v>4</v>
      </c>
      <c r="B69" s="301"/>
      <c r="C69" s="301"/>
      <c r="D69" s="301">
        <v>84.9</v>
      </c>
      <c r="E69" s="301">
        <v>46</v>
      </c>
      <c r="F69" s="301">
        <v>86.3</v>
      </c>
      <c r="G69" s="301">
        <v>109.5</v>
      </c>
    </row>
    <row r="70" spans="1:7" ht="13.2" x14ac:dyDescent="0.25">
      <c r="A70" s="442">
        <v>5</v>
      </c>
      <c r="B70" s="301"/>
      <c r="C70" s="301"/>
      <c r="D70" s="301"/>
      <c r="E70" s="301"/>
      <c r="F70" s="301">
        <v>84.7</v>
      </c>
      <c r="G70" s="301">
        <v>95.6</v>
      </c>
    </row>
    <row r="71" spans="1:7" ht="13.2" x14ac:dyDescent="0.25">
      <c r="A71" s="442">
        <v>6</v>
      </c>
      <c r="B71" s="301"/>
      <c r="C71" s="301"/>
      <c r="D71" s="301"/>
      <c r="E71" s="301"/>
      <c r="F71" s="301">
        <v>82.6</v>
      </c>
      <c r="G71" s="301">
        <v>100.5</v>
      </c>
    </row>
    <row r="72" spans="1:7" ht="13.2" x14ac:dyDescent="0.25">
      <c r="A72" s="442">
        <v>7</v>
      </c>
      <c r="B72" s="301"/>
      <c r="C72" s="301"/>
      <c r="D72" s="301"/>
      <c r="E72" s="301"/>
      <c r="F72" s="301"/>
      <c r="G72" s="301">
        <v>108.4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ht="13.2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ht="13.2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ht="13.2" x14ac:dyDescent="0.25">
      <c r="A76" s="442">
        <v>1</v>
      </c>
      <c r="B76" s="301">
        <v>11.7</v>
      </c>
      <c r="C76" s="301">
        <v>54.6</v>
      </c>
      <c r="D76" s="301">
        <v>84.4</v>
      </c>
      <c r="E76" s="301">
        <v>53.8</v>
      </c>
      <c r="F76" s="301">
        <v>84.1</v>
      </c>
      <c r="G76" s="301">
        <v>108.2</v>
      </c>
    </row>
    <row r="77" spans="1:7" ht="13.2" x14ac:dyDescent="0.25">
      <c r="A77" s="442">
        <v>2</v>
      </c>
      <c r="B77" s="301">
        <v>23.7</v>
      </c>
      <c r="C77" s="301">
        <v>54.9</v>
      </c>
      <c r="D77" s="301">
        <v>78.599999999999994</v>
      </c>
      <c r="E77" s="301">
        <v>25</v>
      </c>
      <c r="F77" s="301">
        <v>85.7</v>
      </c>
      <c r="G77" s="301">
        <v>110.5</v>
      </c>
    </row>
    <row r="78" spans="1:7" ht="13.2" x14ac:dyDescent="0.25">
      <c r="A78" s="442">
        <v>3</v>
      </c>
      <c r="B78" s="301"/>
      <c r="C78" s="301"/>
      <c r="D78" s="301"/>
      <c r="E78" s="301">
        <v>28.9</v>
      </c>
      <c r="F78" s="301">
        <v>85.1</v>
      </c>
      <c r="G78" s="301">
        <v>94</v>
      </c>
    </row>
    <row r="79" spans="1:7" ht="13.2" x14ac:dyDescent="0.25">
      <c r="A79" s="442">
        <v>4</v>
      </c>
      <c r="B79" s="301"/>
      <c r="C79" s="301"/>
      <c r="D79" s="301"/>
      <c r="E79" s="301"/>
      <c r="F79" s="301">
        <v>88.2</v>
      </c>
      <c r="G79" s="301">
        <v>90.4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ht="13.2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ht="13.2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ht="13.2" x14ac:dyDescent="0.25">
      <c r="A83" s="442">
        <v>1</v>
      </c>
      <c r="B83" s="301">
        <v>12.1</v>
      </c>
      <c r="C83" s="301">
        <v>52</v>
      </c>
      <c r="D83" s="301">
        <v>80</v>
      </c>
      <c r="E83" s="301">
        <v>56.6</v>
      </c>
      <c r="F83" s="301">
        <v>84.8</v>
      </c>
      <c r="G83" s="301">
        <v>93.9</v>
      </c>
    </row>
    <row r="84" spans="1:7" ht="13.2" x14ac:dyDescent="0.25">
      <c r="A84" s="442">
        <v>2</v>
      </c>
      <c r="B84" s="301">
        <v>14.5</v>
      </c>
      <c r="C84" s="301">
        <v>48</v>
      </c>
      <c r="D84" s="301">
        <v>75.3</v>
      </c>
      <c r="E84" s="301">
        <v>47.4</v>
      </c>
      <c r="F84" s="301">
        <v>84.5</v>
      </c>
      <c r="G84" s="301">
        <v>92.9</v>
      </c>
    </row>
    <row r="85" spans="1:7" ht="13.2" x14ac:dyDescent="0.25">
      <c r="A85" s="442">
        <v>3</v>
      </c>
      <c r="B85" s="301">
        <v>23.2</v>
      </c>
      <c r="C85" s="301">
        <v>49.5</v>
      </c>
      <c r="D85" s="301">
        <v>75.099999999999994</v>
      </c>
      <c r="E85" s="301">
        <v>39.700000000000003</v>
      </c>
      <c r="F85" s="301">
        <v>85.8</v>
      </c>
      <c r="G85" s="301">
        <v>99.9</v>
      </c>
    </row>
    <row r="86" spans="1:7" ht="13.2" x14ac:dyDescent="0.25">
      <c r="A86" s="442">
        <v>4</v>
      </c>
      <c r="B86" s="301"/>
      <c r="C86" s="301"/>
      <c r="D86" s="301"/>
      <c r="E86" s="301">
        <v>54.1</v>
      </c>
      <c r="F86" s="301">
        <v>84.3</v>
      </c>
      <c r="G86" s="301">
        <v>107.9</v>
      </c>
    </row>
    <row r="87" spans="1:7" ht="13.2" x14ac:dyDescent="0.25">
      <c r="A87" s="442">
        <v>5</v>
      </c>
      <c r="B87" s="301"/>
      <c r="C87" s="301"/>
      <c r="D87" s="301"/>
      <c r="E87" s="301"/>
      <c r="F87" s="301">
        <v>82</v>
      </c>
      <c r="G87" s="301">
        <v>103.6</v>
      </c>
    </row>
    <row r="88" spans="1:7" ht="13.2" x14ac:dyDescent="0.25">
      <c r="A88" s="442">
        <v>6</v>
      </c>
      <c r="B88" s="301"/>
      <c r="C88" s="301"/>
      <c r="D88" s="301"/>
      <c r="E88" s="301"/>
      <c r="F88" s="301"/>
      <c r="G88" s="301">
        <v>101.9</v>
      </c>
    </row>
    <row r="89" spans="1:7" ht="13.2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ht="13.2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ht="13.2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ht="13.2" x14ac:dyDescent="0.25">
      <c r="A93" s="442">
        <v>1</v>
      </c>
      <c r="B93" s="301">
        <v>21.1</v>
      </c>
      <c r="C93" s="301">
        <v>46.8</v>
      </c>
      <c r="D93" s="301">
        <v>80.900000000000006</v>
      </c>
      <c r="E93" s="301">
        <v>30.3</v>
      </c>
      <c r="F93" s="301">
        <v>85.3</v>
      </c>
      <c r="G93" s="301">
        <v>94.9</v>
      </c>
    </row>
    <row r="94" spans="1:7" ht="13.2" x14ac:dyDescent="0.25">
      <c r="A94" s="442">
        <v>2</v>
      </c>
      <c r="B94" s="301">
        <v>26.3</v>
      </c>
      <c r="C94" s="301">
        <v>54.1</v>
      </c>
      <c r="D94" s="301">
        <v>84</v>
      </c>
      <c r="E94" s="301">
        <v>35</v>
      </c>
      <c r="F94" s="301">
        <v>82.3</v>
      </c>
      <c r="G94" s="301">
        <v>95.9</v>
      </c>
    </row>
    <row r="95" spans="1:7" ht="13.2" x14ac:dyDescent="0.25">
      <c r="A95" s="442">
        <v>3</v>
      </c>
      <c r="B95" s="301"/>
      <c r="C95" s="301"/>
      <c r="D95" s="301"/>
      <c r="E95" s="301">
        <v>44.3</v>
      </c>
      <c r="F95" s="301">
        <v>86.1</v>
      </c>
      <c r="G95" s="301">
        <v>102.2</v>
      </c>
    </row>
    <row r="96" spans="1:7" ht="13.2" x14ac:dyDescent="0.25">
      <c r="A96" s="442">
        <v>4</v>
      </c>
      <c r="B96" s="301"/>
      <c r="C96" s="301"/>
      <c r="D96" s="301"/>
      <c r="E96" s="301"/>
      <c r="F96" s="301"/>
      <c r="G96" s="301">
        <v>102.8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ht="13.2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ht="13.2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ht="13.2" x14ac:dyDescent="0.25">
      <c r="A100" s="442">
        <v>1</v>
      </c>
      <c r="B100" s="301">
        <v>20.399999999999999</v>
      </c>
      <c r="C100" s="301">
        <v>54.2</v>
      </c>
      <c r="D100" s="301">
        <v>84.8</v>
      </c>
      <c r="E100" s="301">
        <v>53.6</v>
      </c>
      <c r="F100" s="301">
        <v>88.5</v>
      </c>
      <c r="G100" s="301">
        <v>95.6</v>
      </c>
    </row>
    <row r="101" spans="1:7" ht="13.2" x14ac:dyDescent="0.25">
      <c r="A101" s="442">
        <v>2</v>
      </c>
      <c r="B101" s="301">
        <v>25</v>
      </c>
      <c r="C101" s="301">
        <v>47.4</v>
      </c>
      <c r="D101" s="301">
        <v>75.3</v>
      </c>
      <c r="E101" s="301">
        <v>25.1</v>
      </c>
      <c r="F101" s="301">
        <v>85.9</v>
      </c>
      <c r="G101" s="301">
        <v>105.4</v>
      </c>
    </row>
    <row r="102" spans="1:7" ht="13.2" x14ac:dyDescent="0.25">
      <c r="A102" s="442">
        <v>3</v>
      </c>
      <c r="B102" s="301">
        <v>29</v>
      </c>
      <c r="C102" s="301">
        <v>52.9</v>
      </c>
      <c r="D102" s="301">
        <v>83</v>
      </c>
      <c r="E102" s="301">
        <v>26.1</v>
      </c>
      <c r="F102" s="301">
        <v>84.7</v>
      </c>
      <c r="G102" s="301">
        <v>97.3</v>
      </c>
    </row>
    <row r="103" spans="1:7" ht="13.2" x14ac:dyDescent="0.25">
      <c r="A103" s="442">
        <v>4</v>
      </c>
      <c r="B103" s="301">
        <v>12.9</v>
      </c>
      <c r="C103" s="301">
        <v>48.6</v>
      </c>
      <c r="D103" s="301">
        <v>79.400000000000006</v>
      </c>
      <c r="E103" s="301">
        <v>46.3</v>
      </c>
      <c r="F103" s="301">
        <v>84.4</v>
      </c>
      <c r="G103" s="301">
        <v>99.5</v>
      </c>
    </row>
    <row r="104" spans="1:7" ht="13.2" x14ac:dyDescent="0.25">
      <c r="A104" s="442">
        <v>5</v>
      </c>
      <c r="B104" s="301">
        <v>18.7</v>
      </c>
      <c r="C104" s="301">
        <v>49.3</v>
      </c>
      <c r="D104" s="301">
        <v>81.2</v>
      </c>
      <c r="E104" s="301">
        <v>37.700000000000003</v>
      </c>
      <c r="F104" s="301">
        <v>83.6</v>
      </c>
      <c r="G104" s="301">
        <v>104.6</v>
      </c>
    </row>
    <row r="105" spans="1:7" ht="13.2" x14ac:dyDescent="0.25">
      <c r="A105" s="442">
        <v>6</v>
      </c>
      <c r="B105" s="301">
        <v>10.199999999999999</v>
      </c>
      <c r="C105" s="301">
        <v>51.8</v>
      </c>
      <c r="D105" s="301">
        <v>79.5</v>
      </c>
      <c r="E105" s="301">
        <v>50.7</v>
      </c>
      <c r="F105" s="301">
        <v>85.4</v>
      </c>
      <c r="G105" s="301">
        <v>92.5</v>
      </c>
    </row>
    <row r="106" spans="1:7" ht="13.2" x14ac:dyDescent="0.25">
      <c r="A106" s="442">
        <v>7</v>
      </c>
      <c r="B106" s="301">
        <v>15.9</v>
      </c>
      <c r="C106" s="301">
        <v>49.7</v>
      </c>
      <c r="D106" s="301">
        <v>79.2</v>
      </c>
      <c r="E106" s="301">
        <v>42.8</v>
      </c>
      <c r="F106" s="301">
        <v>88.1</v>
      </c>
      <c r="G106" s="301">
        <v>92.4</v>
      </c>
    </row>
    <row r="107" spans="1:7" ht="13.2" x14ac:dyDescent="0.25">
      <c r="A107" s="442">
        <v>8</v>
      </c>
      <c r="B107" s="301">
        <v>24.5</v>
      </c>
      <c r="C107" s="301">
        <v>51.2</v>
      </c>
      <c r="D107" s="301">
        <v>75.3</v>
      </c>
      <c r="E107" s="301">
        <v>29.6</v>
      </c>
      <c r="F107" s="301">
        <v>88</v>
      </c>
      <c r="G107" s="301">
        <v>104.1</v>
      </c>
    </row>
    <row r="108" spans="1:7" ht="13.2" x14ac:dyDescent="0.25">
      <c r="A108" s="442">
        <v>9</v>
      </c>
      <c r="B108" s="301">
        <v>10.8</v>
      </c>
      <c r="C108" s="301">
        <v>51.3</v>
      </c>
      <c r="D108" s="301">
        <v>75.900000000000006</v>
      </c>
      <c r="E108" s="301">
        <v>34.799999999999997</v>
      </c>
      <c r="F108" s="301">
        <v>88.6</v>
      </c>
      <c r="G108" s="301">
        <v>111</v>
      </c>
    </row>
    <row r="109" spans="1:7" ht="13.2" x14ac:dyDescent="0.25">
      <c r="A109" s="442">
        <v>10</v>
      </c>
      <c r="B109" s="301">
        <v>12.5</v>
      </c>
      <c r="C109" s="301">
        <v>52.3</v>
      </c>
      <c r="D109" s="301">
        <v>85</v>
      </c>
      <c r="E109" s="301">
        <v>49.5</v>
      </c>
      <c r="F109" s="301">
        <v>80.5</v>
      </c>
      <c r="G109" s="301">
        <v>101.1</v>
      </c>
    </row>
    <row r="110" spans="1:7" ht="13.2" x14ac:dyDescent="0.25">
      <c r="A110" s="442">
        <v>11</v>
      </c>
      <c r="B110" s="301"/>
      <c r="C110" s="301">
        <v>47.2</v>
      </c>
      <c r="D110" s="301">
        <v>78.2</v>
      </c>
      <c r="E110" s="301">
        <v>39.4</v>
      </c>
      <c r="F110" s="301">
        <v>89.4</v>
      </c>
      <c r="G110" s="301">
        <v>101.6</v>
      </c>
    </row>
    <row r="111" spans="1:7" ht="13.2" x14ac:dyDescent="0.25">
      <c r="A111" s="442">
        <v>12</v>
      </c>
      <c r="B111" s="301"/>
      <c r="C111" s="301">
        <v>46</v>
      </c>
      <c r="D111" s="301"/>
      <c r="E111" s="301">
        <v>31.5</v>
      </c>
      <c r="F111" s="301">
        <v>89.6</v>
      </c>
      <c r="G111" s="301">
        <v>110.3</v>
      </c>
    </row>
    <row r="112" spans="1:7" ht="13.2" x14ac:dyDescent="0.25">
      <c r="A112" s="442">
        <v>13</v>
      </c>
      <c r="B112" s="301"/>
      <c r="C112" s="301">
        <v>51.1</v>
      </c>
      <c r="D112" s="301"/>
      <c r="E112" s="301">
        <v>51.5</v>
      </c>
      <c r="F112" s="301">
        <v>80.3</v>
      </c>
      <c r="G112" s="301">
        <v>107.3</v>
      </c>
    </row>
    <row r="113" spans="1:7" ht="13.2" x14ac:dyDescent="0.25">
      <c r="A113" s="442">
        <v>14</v>
      </c>
      <c r="B113" s="301"/>
      <c r="C113" s="301"/>
      <c r="D113" s="301"/>
      <c r="E113" s="301">
        <v>35.200000000000003</v>
      </c>
      <c r="F113" s="301">
        <v>86.8</v>
      </c>
      <c r="G113" s="301">
        <v>106.4</v>
      </c>
    </row>
    <row r="114" spans="1:7" ht="13.2" x14ac:dyDescent="0.25">
      <c r="A114" s="442">
        <v>15</v>
      </c>
      <c r="B114" s="301"/>
      <c r="C114" s="301"/>
      <c r="D114" s="301"/>
      <c r="E114" s="301"/>
      <c r="F114" s="301">
        <v>87.2</v>
      </c>
      <c r="G114" s="301">
        <v>94.9</v>
      </c>
    </row>
    <row r="115" spans="1:7" ht="13.2" x14ac:dyDescent="0.25">
      <c r="A115" s="442">
        <v>16</v>
      </c>
      <c r="B115" s="301"/>
      <c r="C115" s="301"/>
      <c r="D115" s="301"/>
      <c r="E115" s="301"/>
      <c r="F115" s="301">
        <v>88</v>
      </c>
      <c r="G115" s="301">
        <v>106.2</v>
      </c>
    </row>
    <row r="116" spans="1:7" ht="13.2" x14ac:dyDescent="0.25">
      <c r="A116" s="442">
        <v>17</v>
      </c>
      <c r="B116" s="301"/>
      <c r="C116" s="301"/>
      <c r="D116" s="301"/>
      <c r="E116" s="301"/>
      <c r="F116" s="301">
        <v>80.5</v>
      </c>
      <c r="G116" s="301">
        <v>91.4</v>
      </c>
    </row>
    <row r="117" spans="1:7" ht="13.2" x14ac:dyDescent="0.25">
      <c r="A117" s="442">
        <v>18</v>
      </c>
      <c r="B117" s="301"/>
      <c r="C117" s="301"/>
      <c r="D117" s="301"/>
      <c r="E117" s="301"/>
      <c r="F117" s="301">
        <v>82.1</v>
      </c>
      <c r="G117" s="301">
        <v>108.9</v>
      </c>
    </row>
    <row r="118" spans="1:7" ht="13.2" x14ac:dyDescent="0.25">
      <c r="A118" s="442">
        <v>19</v>
      </c>
      <c r="B118" s="301"/>
      <c r="C118" s="301"/>
      <c r="D118" s="301"/>
      <c r="E118" s="301"/>
      <c r="F118" s="301">
        <v>85.2</v>
      </c>
      <c r="G118" s="301">
        <v>90.1</v>
      </c>
    </row>
    <row r="119" spans="1:7" ht="13.2" x14ac:dyDescent="0.25">
      <c r="A119" s="442">
        <v>20</v>
      </c>
      <c r="B119" s="301"/>
      <c r="C119" s="301"/>
      <c r="D119" s="301"/>
      <c r="E119" s="301"/>
      <c r="F119" s="301">
        <v>88.8</v>
      </c>
      <c r="G119" s="301">
        <v>99</v>
      </c>
    </row>
    <row r="120" spans="1:7" ht="13.2" x14ac:dyDescent="0.25">
      <c r="A120" s="442">
        <v>21</v>
      </c>
      <c r="B120" s="301"/>
      <c r="C120" s="301"/>
      <c r="D120" s="301"/>
      <c r="E120" s="301"/>
      <c r="F120" s="301">
        <v>83.9</v>
      </c>
      <c r="G120" s="301">
        <v>98.3</v>
      </c>
    </row>
    <row r="121" spans="1:7" ht="13.2" x14ac:dyDescent="0.25">
      <c r="A121" s="442">
        <v>22</v>
      </c>
      <c r="B121" s="301"/>
      <c r="C121" s="301"/>
      <c r="D121" s="301"/>
      <c r="E121" s="301"/>
      <c r="F121" s="301">
        <v>82.6</v>
      </c>
      <c r="G121" s="301">
        <v>98.9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ht="13.2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ht="13.2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ht="13.2" x14ac:dyDescent="0.25">
      <c r="A125" s="442">
        <v>1</v>
      </c>
      <c r="B125" s="301">
        <v>28.5</v>
      </c>
      <c r="C125" s="301">
        <v>51.3</v>
      </c>
      <c r="D125" s="301">
        <v>81</v>
      </c>
      <c r="E125" s="301">
        <v>40.700000000000003</v>
      </c>
      <c r="F125" s="301">
        <v>82</v>
      </c>
      <c r="G125" s="301">
        <v>97.6</v>
      </c>
    </row>
    <row r="126" spans="1:7" ht="13.2" x14ac:dyDescent="0.25">
      <c r="A126" s="442">
        <v>2</v>
      </c>
      <c r="B126" s="301">
        <v>13.4</v>
      </c>
      <c r="C126" s="301">
        <v>46.8</v>
      </c>
      <c r="D126" s="301">
        <v>75.599999999999994</v>
      </c>
      <c r="E126" s="301">
        <v>38.299999999999997</v>
      </c>
      <c r="F126" s="301">
        <v>80</v>
      </c>
      <c r="G126" s="301">
        <v>90.4</v>
      </c>
    </row>
    <row r="127" spans="1:7" ht="13.2" x14ac:dyDescent="0.25">
      <c r="A127" s="442">
        <v>3</v>
      </c>
      <c r="B127" s="301">
        <v>12.4</v>
      </c>
      <c r="C127" s="301">
        <v>48.3</v>
      </c>
      <c r="D127" s="301">
        <v>81.2</v>
      </c>
      <c r="E127" s="301">
        <v>35.1</v>
      </c>
      <c r="F127" s="301">
        <v>83</v>
      </c>
      <c r="G127" s="301">
        <v>107.4</v>
      </c>
    </row>
    <row r="128" spans="1:7" ht="13.2" x14ac:dyDescent="0.25">
      <c r="A128" s="442">
        <v>4</v>
      </c>
      <c r="B128" s="301">
        <v>14.9</v>
      </c>
      <c r="C128" s="301">
        <v>48.8</v>
      </c>
      <c r="D128" s="301">
        <v>75.7</v>
      </c>
      <c r="E128" s="301">
        <v>57.2</v>
      </c>
      <c r="F128" s="301">
        <v>84.1</v>
      </c>
      <c r="G128" s="301">
        <v>96.8</v>
      </c>
    </row>
    <row r="129" spans="1:7" ht="13.2" x14ac:dyDescent="0.25">
      <c r="A129" s="442">
        <v>5</v>
      </c>
      <c r="B129" s="301">
        <v>29.8</v>
      </c>
      <c r="C129" s="301">
        <v>54.5</v>
      </c>
      <c r="D129" s="301">
        <v>75.599999999999994</v>
      </c>
      <c r="E129" s="301">
        <v>50.1</v>
      </c>
      <c r="F129" s="301">
        <v>82.8</v>
      </c>
      <c r="G129" s="301">
        <v>94.4</v>
      </c>
    </row>
    <row r="130" spans="1:7" ht="13.2" x14ac:dyDescent="0.25">
      <c r="A130" s="442">
        <v>6</v>
      </c>
      <c r="B130" s="301">
        <v>12.9</v>
      </c>
      <c r="C130" s="301">
        <v>48</v>
      </c>
      <c r="D130" s="301">
        <v>84.1</v>
      </c>
      <c r="E130" s="301">
        <v>44.7</v>
      </c>
      <c r="F130" s="301">
        <v>83.2</v>
      </c>
      <c r="G130" s="301">
        <v>103.2</v>
      </c>
    </row>
    <row r="131" spans="1:7" ht="13.2" x14ac:dyDescent="0.25">
      <c r="A131" s="442">
        <v>7</v>
      </c>
      <c r="B131" s="301">
        <v>16.100000000000001</v>
      </c>
      <c r="C131" s="301">
        <v>48.6</v>
      </c>
      <c r="D131" s="301">
        <v>79.5</v>
      </c>
      <c r="E131" s="301">
        <v>31.9</v>
      </c>
      <c r="F131" s="301">
        <v>82.4</v>
      </c>
      <c r="G131" s="301">
        <v>101.3</v>
      </c>
    </row>
    <row r="132" spans="1:7" ht="13.2" x14ac:dyDescent="0.25">
      <c r="A132" s="442">
        <v>8</v>
      </c>
      <c r="B132" s="301">
        <v>30</v>
      </c>
      <c r="C132" s="301">
        <v>53.3</v>
      </c>
      <c r="D132" s="301">
        <v>75.900000000000006</v>
      </c>
      <c r="E132" s="301">
        <v>58.1</v>
      </c>
      <c r="F132" s="301">
        <v>89.6</v>
      </c>
      <c r="G132" s="301">
        <v>95.4</v>
      </c>
    </row>
    <row r="133" spans="1:7" ht="13.2" x14ac:dyDescent="0.25">
      <c r="A133" s="442">
        <v>9</v>
      </c>
      <c r="B133" s="301">
        <v>18.5</v>
      </c>
      <c r="C133" s="301">
        <v>51.3</v>
      </c>
      <c r="D133" s="301">
        <v>79.599999999999994</v>
      </c>
      <c r="E133" s="301">
        <v>38</v>
      </c>
      <c r="F133" s="301">
        <v>90</v>
      </c>
      <c r="G133" s="301">
        <v>107.2</v>
      </c>
    </row>
    <row r="134" spans="1:7" ht="13.2" x14ac:dyDescent="0.25">
      <c r="A134" s="442">
        <v>10</v>
      </c>
      <c r="B134" s="301">
        <v>15.7</v>
      </c>
      <c r="C134" s="301">
        <v>51.1</v>
      </c>
      <c r="D134" s="301">
        <v>83.5</v>
      </c>
      <c r="E134" s="301">
        <v>40.6</v>
      </c>
      <c r="F134" s="301">
        <v>89.4</v>
      </c>
      <c r="G134" s="301">
        <v>103</v>
      </c>
    </row>
    <row r="135" spans="1:7" ht="13.2" x14ac:dyDescent="0.25">
      <c r="A135" s="442">
        <v>11</v>
      </c>
      <c r="B135" s="301"/>
      <c r="C135" s="301">
        <v>50.9</v>
      </c>
      <c r="D135" s="301">
        <v>84.8</v>
      </c>
      <c r="E135" s="301">
        <v>34.1</v>
      </c>
      <c r="F135" s="301">
        <v>86.3</v>
      </c>
      <c r="G135" s="301">
        <v>106.2</v>
      </c>
    </row>
    <row r="136" spans="1:7" ht="13.2" x14ac:dyDescent="0.25">
      <c r="A136" s="442">
        <v>12</v>
      </c>
      <c r="B136" s="301"/>
      <c r="C136" s="301">
        <v>53.8</v>
      </c>
      <c r="D136" s="301">
        <v>78.099999999999994</v>
      </c>
      <c r="E136" s="301">
        <v>26.7</v>
      </c>
      <c r="F136" s="301">
        <v>81.400000000000006</v>
      </c>
      <c r="G136" s="301">
        <v>90.6</v>
      </c>
    </row>
    <row r="137" spans="1:7" ht="13.2" x14ac:dyDescent="0.25">
      <c r="A137" s="442">
        <v>13</v>
      </c>
      <c r="B137" s="301"/>
      <c r="C137" s="301"/>
      <c r="D137" s="301"/>
      <c r="E137" s="301">
        <v>57.7</v>
      </c>
      <c r="F137" s="301">
        <v>84.2</v>
      </c>
      <c r="G137" s="301">
        <v>95.9</v>
      </c>
    </row>
    <row r="138" spans="1:7" ht="13.2" x14ac:dyDescent="0.25">
      <c r="A138" s="442">
        <v>14</v>
      </c>
      <c r="B138" s="301"/>
      <c r="C138" s="301"/>
      <c r="D138" s="301"/>
      <c r="E138" s="301">
        <v>29.1</v>
      </c>
      <c r="F138" s="301">
        <v>81.3</v>
      </c>
      <c r="G138" s="301">
        <v>105.7</v>
      </c>
    </row>
    <row r="139" spans="1:7" ht="13.2" x14ac:dyDescent="0.25">
      <c r="A139" s="442">
        <v>15</v>
      </c>
      <c r="B139" s="301"/>
      <c r="C139" s="301"/>
      <c r="D139" s="301"/>
      <c r="E139" s="301"/>
      <c r="F139" s="301">
        <v>87.9</v>
      </c>
      <c r="G139" s="301">
        <v>91.4</v>
      </c>
    </row>
    <row r="140" spans="1:7" ht="13.2" x14ac:dyDescent="0.25">
      <c r="A140" s="442">
        <v>16</v>
      </c>
      <c r="B140" s="301"/>
      <c r="C140" s="301"/>
      <c r="D140" s="301"/>
      <c r="E140" s="301"/>
      <c r="F140" s="301">
        <v>83.6</v>
      </c>
      <c r="G140" s="301">
        <v>103.2</v>
      </c>
    </row>
    <row r="141" spans="1:7" ht="13.2" x14ac:dyDescent="0.25">
      <c r="A141" s="442">
        <v>17</v>
      </c>
      <c r="B141" s="301"/>
      <c r="C141" s="301"/>
      <c r="D141" s="301"/>
      <c r="E141" s="301"/>
      <c r="F141" s="301">
        <v>89.3</v>
      </c>
      <c r="G141" s="301">
        <v>104.1</v>
      </c>
    </row>
    <row r="142" spans="1:7" ht="13.2" x14ac:dyDescent="0.25">
      <c r="A142" s="442">
        <v>18</v>
      </c>
      <c r="B142" s="301"/>
      <c r="C142" s="301"/>
      <c r="D142" s="301"/>
      <c r="E142" s="301"/>
      <c r="F142" s="301">
        <v>84.3</v>
      </c>
      <c r="G142" s="301">
        <v>104.6</v>
      </c>
    </row>
    <row r="143" spans="1:7" ht="13.2" x14ac:dyDescent="0.25">
      <c r="A143" s="442">
        <v>19</v>
      </c>
      <c r="B143" s="301"/>
      <c r="C143" s="301"/>
      <c r="D143" s="301"/>
      <c r="E143" s="301"/>
      <c r="F143" s="301">
        <v>81.400000000000006</v>
      </c>
      <c r="G143" s="301">
        <v>96.4</v>
      </c>
    </row>
    <row r="144" spans="1:7" ht="13.2" x14ac:dyDescent="0.25">
      <c r="A144" s="442">
        <v>20</v>
      </c>
      <c r="B144" s="301"/>
      <c r="C144" s="301"/>
      <c r="D144" s="301"/>
      <c r="E144" s="301"/>
      <c r="F144" s="301"/>
      <c r="G144" s="301">
        <v>110.6</v>
      </c>
    </row>
    <row r="145" spans="1:7" ht="13.2" x14ac:dyDescent="0.25">
      <c r="A145" s="442">
        <v>21</v>
      </c>
      <c r="B145" s="301"/>
      <c r="C145" s="301"/>
      <c r="D145" s="301"/>
      <c r="E145" s="301"/>
      <c r="F145" s="301"/>
      <c r="G145" s="301">
        <v>103.3</v>
      </c>
    </row>
    <row r="146" spans="1:7" ht="13.2" x14ac:dyDescent="0.25">
      <c r="A146" s="442">
        <v>22</v>
      </c>
      <c r="B146" s="301"/>
      <c r="C146" s="301"/>
      <c r="D146" s="301"/>
      <c r="E146" s="301"/>
      <c r="F146" s="301"/>
      <c r="G146" s="301">
        <v>95.8</v>
      </c>
    </row>
    <row r="147" spans="1:7" ht="13.2" x14ac:dyDescent="0.25">
      <c r="A147" s="442">
        <v>23</v>
      </c>
      <c r="B147" s="301"/>
      <c r="C147" s="301"/>
      <c r="D147" s="301"/>
      <c r="E147" s="301"/>
      <c r="F147" s="301"/>
      <c r="G147" s="301">
        <v>96.4</v>
      </c>
    </row>
    <row r="148" spans="1:7" ht="13.2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ht="13.2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ht="13.2" x14ac:dyDescent="0.25">
      <c r="A151" s="298" t="s">
        <v>369</v>
      </c>
      <c r="B151" s="301">
        <f>ROUNDDOWN(AVERAGE(B6:D20),1)</f>
        <v>51</v>
      </c>
      <c r="C151" s="301">
        <f>ROUNDDOWN(AVERAGE(E6:G34),1)</f>
        <v>80.8</v>
      </c>
      <c r="D151" s="353">
        <v>28044</v>
      </c>
      <c r="E151" s="362">
        <v>46977</v>
      </c>
      <c r="F151" s="353">
        <f>B151*D151</f>
        <v>1430244</v>
      </c>
      <c r="G151" s="353">
        <f>C151*E151</f>
        <v>3795741.6</v>
      </c>
    </row>
    <row r="152" spans="1:7" ht="13.2" x14ac:dyDescent="0.25">
      <c r="A152" s="298" t="s">
        <v>370</v>
      </c>
      <c r="B152" s="301">
        <f>ROUNDDOWN(AVERAGE(B39:D49),1)</f>
        <v>48.5</v>
      </c>
      <c r="C152" s="301">
        <f>ROUNDDOWN(AVERAGE(E39:G48),1)</f>
        <v>80.5</v>
      </c>
      <c r="D152" s="353">
        <v>10608</v>
      </c>
      <c r="E152" s="362">
        <v>17226</v>
      </c>
      <c r="F152" s="353">
        <f t="shared" ref="F152:G159" si="0">B152*D152</f>
        <v>514488</v>
      </c>
      <c r="G152" s="353">
        <f t="shared" si="0"/>
        <v>1386693</v>
      </c>
    </row>
    <row r="153" spans="1:7" ht="13.2" x14ac:dyDescent="0.25">
      <c r="A153" s="298" t="s">
        <v>371</v>
      </c>
      <c r="B153" s="301">
        <f>ROUNDDOWN(AVERAGE(B53:D62),1)</f>
        <v>52.3</v>
      </c>
      <c r="C153" s="301">
        <f>ROUNDDOWN(AVERAGE(E53:G61),1)</f>
        <v>82.1</v>
      </c>
      <c r="D153" s="353">
        <v>8465</v>
      </c>
      <c r="E153" s="362">
        <v>14835</v>
      </c>
      <c r="F153" s="353">
        <f t="shared" si="0"/>
        <v>442719.5</v>
      </c>
      <c r="G153" s="353">
        <f t="shared" si="0"/>
        <v>1217953.5</v>
      </c>
    </row>
    <row r="154" spans="1:7" ht="13.2" x14ac:dyDescent="0.25">
      <c r="A154" s="298" t="s">
        <v>372</v>
      </c>
      <c r="B154" s="301">
        <f>ROUNDDOWN(AVERAGE(B66:D72),1)</f>
        <v>53.9</v>
      </c>
      <c r="C154" s="301">
        <f>ROUNDDOWN(AVERAGE(E66:G72),1)</f>
        <v>83</v>
      </c>
      <c r="D154" s="353">
        <v>6339</v>
      </c>
      <c r="E154" s="362">
        <v>10520</v>
      </c>
      <c r="F154" s="353">
        <f t="shared" si="0"/>
        <v>341672.1</v>
      </c>
      <c r="G154" s="353">
        <f t="shared" si="0"/>
        <v>873160</v>
      </c>
    </row>
    <row r="155" spans="1:7" ht="13.2" x14ac:dyDescent="0.25">
      <c r="A155" s="298" t="s">
        <v>373</v>
      </c>
      <c r="B155" s="301">
        <f>ROUNDDOWN(AVERAGE(B76:D79),1)</f>
        <v>51.3</v>
      </c>
      <c r="C155" s="301">
        <f>ROUNDDOWN(AVERAGE(E76:G79),1)</f>
        <v>77.599999999999994</v>
      </c>
      <c r="D155" s="353">
        <v>3699</v>
      </c>
      <c r="E155" s="362">
        <v>6530</v>
      </c>
      <c r="F155" s="353">
        <f t="shared" si="0"/>
        <v>189758.69999999998</v>
      </c>
      <c r="G155" s="353">
        <f t="shared" si="0"/>
        <v>506727.99999999994</v>
      </c>
    </row>
    <row r="156" spans="1:7" ht="13.2" x14ac:dyDescent="0.25">
      <c r="A156" s="298" t="s">
        <v>374</v>
      </c>
      <c r="B156" s="301">
        <f>ROUNDDOWN(AVERAGE(B83:D89),1)</f>
        <v>47.7</v>
      </c>
      <c r="C156" s="301">
        <f>ROUNDDOWN(AVERAGE(E83:G88),1)</f>
        <v>81.2</v>
      </c>
      <c r="D156" s="353">
        <v>5340</v>
      </c>
      <c r="E156" s="362">
        <v>9365</v>
      </c>
      <c r="F156" s="353">
        <f t="shared" si="0"/>
        <v>254718.00000000003</v>
      </c>
      <c r="G156" s="353">
        <f t="shared" si="0"/>
        <v>760438</v>
      </c>
    </row>
    <row r="157" spans="1:7" ht="13.2" x14ac:dyDescent="0.25">
      <c r="A157" s="298" t="s">
        <v>375</v>
      </c>
      <c r="B157" s="301">
        <f>ROUNDDOWN(AVERAGE(B93:D96),1)</f>
        <v>52.2</v>
      </c>
      <c r="C157" s="301">
        <f>ROUNDDOWN(AVERAGE(E93:G96),1)</f>
        <v>75.900000000000006</v>
      </c>
      <c r="D157" s="353">
        <v>3613</v>
      </c>
      <c r="E157" s="362">
        <v>5787</v>
      </c>
      <c r="F157" s="353">
        <f t="shared" si="0"/>
        <v>188598.6</v>
      </c>
      <c r="G157" s="353">
        <f t="shared" si="0"/>
        <v>439233.30000000005</v>
      </c>
    </row>
    <row r="158" spans="1:7" ht="13.2" x14ac:dyDescent="0.25">
      <c r="A158" s="298" t="s">
        <v>365</v>
      </c>
      <c r="B158" s="301">
        <f>ROUNDDOWN(AVERAGE(B100:D121),1)</f>
        <v>50.2</v>
      </c>
      <c r="C158" s="301">
        <f>ROUNDDOWN(AVERAGE(E100:G121),1)</f>
        <v>80.2</v>
      </c>
      <c r="D158" s="353">
        <v>23194</v>
      </c>
      <c r="E158" s="362">
        <v>40095</v>
      </c>
      <c r="F158" s="353">
        <f t="shared" si="0"/>
        <v>1164338.8</v>
      </c>
      <c r="G158" s="353">
        <f t="shared" si="0"/>
        <v>3215619</v>
      </c>
    </row>
    <row r="159" spans="1:7" ht="13.2" x14ac:dyDescent="0.25">
      <c r="A159" s="298" t="s">
        <v>366</v>
      </c>
      <c r="B159" s="301">
        <f>ROUNDDOWN(AVERAGE(B125:D147),1)</f>
        <v>51.5</v>
      </c>
      <c r="C159" s="301">
        <f>ROUNDDOWN(AVERAGE(E125:G147),1)</f>
        <v>80.099999999999994</v>
      </c>
      <c r="D159" s="353">
        <v>22794</v>
      </c>
      <c r="E159" s="362">
        <v>40448</v>
      </c>
      <c r="F159" s="353">
        <f t="shared" si="0"/>
        <v>1173891</v>
      </c>
      <c r="G159" s="353">
        <f t="shared" si="0"/>
        <v>3239884.7999999998</v>
      </c>
    </row>
    <row r="160" spans="1:7" ht="13.2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191783</v>
      </c>
      <c r="F160" s="353">
        <f>SUM(F151:F159)</f>
        <v>5700428.7000000002</v>
      </c>
      <c r="G160" s="353">
        <f>SUM(G151:G159)</f>
        <v>15435451.199999999</v>
      </c>
    </row>
    <row r="161" spans="1:7" ht="13.2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50.8</v>
      </c>
      <c r="D165" s="280">
        <f>ROUNDDOWN(G160/E160,1)</f>
        <v>80.400000000000006</v>
      </c>
    </row>
  </sheetData>
  <mergeCells count="34">
    <mergeCell ref="A1:G1"/>
    <mergeCell ref="A2:G2"/>
    <mergeCell ref="A3:G3"/>
    <mergeCell ref="B4:D4"/>
    <mergeCell ref="E4:G4"/>
    <mergeCell ref="A73:G73"/>
    <mergeCell ref="B74:D74"/>
    <mergeCell ref="E74:G74"/>
    <mergeCell ref="A90:G90"/>
    <mergeCell ref="A36:G36"/>
    <mergeCell ref="B37:D37"/>
    <mergeCell ref="E37:G37"/>
    <mergeCell ref="A50:G50"/>
    <mergeCell ref="B51:D51"/>
    <mergeCell ref="E51:G51"/>
    <mergeCell ref="A63:G63"/>
    <mergeCell ref="B64:D64"/>
    <mergeCell ref="E64:G64"/>
    <mergeCell ref="A122:G122"/>
    <mergeCell ref="B123:D123"/>
    <mergeCell ref="E123:G123"/>
    <mergeCell ref="A80:G80"/>
    <mergeCell ref="B81:D81"/>
    <mergeCell ref="E81:G81"/>
    <mergeCell ref="B91:D91"/>
    <mergeCell ref="E91:G91"/>
    <mergeCell ref="A97:G97"/>
    <mergeCell ref="B98:D98"/>
    <mergeCell ref="E98:G98"/>
    <mergeCell ref="A149:A150"/>
    <mergeCell ref="B149:C149"/>
    <mergeCell ref="D149:E149"/>
    <mergeCell ref="F149:G149"/>
    <mergeCell ref="C163:D163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2"/>
  <sheetViews>
    <sheetView zoomScale="70" zoomScaleNormal="70" workbookViewId="0">
      <selection activeCell="M15" sqref="M15"/>
    </sheetView>
  </sheetViews>
  <sheetFormatPr defaultColWidth="8.77734375" defaultRowHeight="13.2" x14ac:dyDescent="0.25"/>
  <cols>
    <col min="1" max="1" width="32.44140625" style="29" customWidth="1"/>
    <col min="2" max="3" width="15.21875" style="29" customWidth="1"/>
    <col min="4" max="4" width="31.44140625" style="29" customWidth="1"/>
    <col min="5" max="5" width="61.109375" style="29" customWidth="1"/>
    <col min="6" max="6" width="12.77734375" style="29" bestFit="1" customWidth="1"/>
    <col min="7" max="7" width="13.77734375" style="29" bestFit="1" customWidth="1"/>
    <col min="8" max="16384" width="8.77734375" style="29"/>
  </cols>
  <sheetData>
    <row r="1" spans="1:6" ht="15.6" x14ac:dyDescent="0.3">
      <c r="A1" s="27" t="s">
        <v>34</v>
      </c>
      <c r="B1" s="27"/>
      <c r="C1" s="28"/>
    </row>
    <row r="2" spans="1:6" ht="15.6" x14ac:dyDescent="0.3">
      <c r="A2" s="27"/>
      <c r="B2" s="27"/>
      <c r="C2" s="28"/>
      <c r="D2" s="30"/>
    </row>
    <row r="3" spans="1:6" ht="15.6" x14ac:dyDescent="0.3">
      <c r="A3" s="27"/>
      <c r="B3" s="27"/>
      <c r="C3" s="28"/>
    </row>
    <row r="4" spans="1:6" x14ac:dyDescent="0.25">
      <c r="A4" s="31" t="s">
        <v>35</v>
      </c>
      <c r="B4" s="28"/>
      <c r="C4" s="28"/>
    </row>
    <row r="5" spans="1:6" x14ac:dyDescent="0.25">
      <c r="A5" s="28"/>
      <c r="B5" s="28"/>
      <c r="E5" s="32"/>
    </row>
    <row r="6" spans="1:6" x14ac:dyDescent="0.25">
      <c r="A6" s="28"/>
      <c r="B6" s="28"/>
      <c r="E6" s="32"/>
    </row>
    <row r="7" spans="1:6" x14ac:dyDescent="0.25">
      <c r="A7" s="28"/>
      <c r="B7" s="28"/>
      <c r="E7" s="32"/>
    </row>
    <row r="8" spans="1:6" ht="13.8" thickBot="1" x14ac:dyDescent="0.3"/>
    <row r="9" spans="1:6" x14ac:dyDescent="0.25">
      <c r="A9" s="33" t="s">
        <v>3</v>
      </c>
      <c r="B9" s="34" t="s">
        <v>10</v>
      </c>
      <c r="C9" s="34"/>
      <c r="D9" s="34" t="s">
        <v>2</v>
      </c>
      <c r="E9" s="334" t="s">
        <v>4</v>
      </c>
      <c r="F9" s="35"/>
    </row>
    <row r="10" spans="1:6" x14ac:dyDescent="0.25">
      <c r="A10" s="36"/>
      <c r="B10" s="37" t="s">
        <v>80</v>
      </c>
      <c r="C10" s="37" t="s">
        <v>81</v>
      </c>
      <c r="D10" s="37"/>
      <c r="E10" s="335"/>
      <c r="F10" s="35"/>
    </row>
    <row r="11" spans="1:6" ht="15.6" x14ac:dyDescent="0.35">
      <c r="A11" s="38" t="s">
        <v>162</v>
      </c>
      <c r="B11" s="448">
        <v>28</v>
      </c>
      <c r="C11" s="448">
        <v>28</v>
      </c>
      <c r="D11" s="40" t="s">
        <v>163</v>
      </c>
      <c r="E11" s="317" t="s">
        <v>121</v>
      </c>
      <c r="F11" s="35"/>
    </row>
    <row r="12" spans="1:6" ht="16.8" x14ac:dyDescent="0.35">
      <c r="A12" s="38" t="s">
        <v>164</v>
      </c>
      <c r="B12" s="448">
        <v>6.7000000000000002E-4</v>
      </c>
      <c r="C12" s="448">
        <v>6.7000000000000002E-4</v>
      </c>
      <c r="D12" s="40" t="s">
        <v>392</v>
      </c>
      <c r="E12" s="317" t="s">
        <v>122</v>
      </c>
      <c r="F12" s="35"/>
    </row>
    <row r="13" spans="1:6" ht="15.6" x14ac:dyDescent="0.35">
      <c r="A13" s="38" t="s">
        <v>165</v>
      </c>
      <c r="B13" s="373">
        <v>0.75</v>
      </c>
      <c r="C13" s="373">
        <v>0.75</v>
      </c>
      <c r="D13" s="40" t="s">
        <v>1</v>
      </c>
      <c r="E13" s="317" t="s">
        <v>133</v>
      </c>
      <c r="F13" s="41"/>
    </row>
    <row r="14" spans="1:6" x14ac:dyDescent="0.25">
      <c r="A14" s="38" t="s">
        <v>39</v>
      </c>
      <c r="B14" s="448">
        <v>0.94</v>
      </c>
      <c r="C14" s="448">
        <v>0.94</v>
      </c>
      <c r="D14" s="40" t="s">
        <v>0</v>
      </c>
      <c r="E14" s="317" t="s">
        <v>59</v>
      </c>
      <c r="F14" s="41"/>
    </row>
    <row r="15" spans="1:6" x14ac:dyDescent="0.25">
      <c r="A15" s="38" t="s">
        <v>56</v>
      </c>
      <c r="B15" s="448">
        <f>B13*B14</f>
        <v>0.70499999999999996</v>
      </c>
      <c r="C15" s="448">
        <f>C13*C14</f>
        <v>0.70499999999999996</v>
      </c>
      <c r="D15" s="40" t="s">
        <v>0</v>
      </c>
      <c r="E15" s="317" t="s">
        <v>57</v>
      </c>
      <c r="F15" s="41"/>
    </row>
    <row r="16" spans="1:6" ht="16.8" x14ac:dyDescent="0.35">
      <c r="A16" s="38" t="s">
        <v>166</v>
      </c>
      <c r="B16" s="448">
        <v>0.28999999999999998</v>
      </c>
      <c r="C16" s="448">
        <v>0.28999999999999998</v>
      </c>
      <c r="D16" s="40" t="s">
        <v>167</v>
      </c>
      <c r="E16" s="317" t="s">
        <v>52</v>
      </c>
      <c r="F16" s="35"/>
    </row>
    <row r="17" spans="1:7" ht="15" customHeight="1" x14ac:dyDescent="0.3">
      <c r="A17" s="38" t="s">
        <v>168</v>
      </c>
      <c r="B17" s="42"/>
      <c r="C17" s="42"/>
      <c r="D17" s="464" t="s">
        <v>73</v>
      </c>
      <c r="E17" s="467" t="s">
        <v>169</v>
      </c>
      <c r="F17" s="35"/>
    </row>
    <row r="18" spans="1:7" ht="15" customHeight="1" x14ac:dyDescent="0.25">
      <c r="A18" s="43" t="str">
        <f>'monitoring results'!A4</f>
        <v>01/01/2021-31/01/2021</v>
      </c>
      <c r="B18" s="361">
        <f>'monitoring results'!B4</f>
        <v>112096</v>
      </c>
      <c r="C18" s="361">
        <f>'monitoring results'!C4</f>
        <v>191546</v>
      </c>
      <c r="D18" s="465"/>
      <c r="E18" s="468"/>
      <c r="F18" s="35"/>
    </row>
    <row r="19" spans="1:7" ht="15" customHeight="1" x14ac:dyDescent="0.25">
      <c r="A19" s="43" t="str">
        <f>'monitoring results'!A5</f>
        <v>01/02/2021-28/02/2021</v>
      </c>
      <c r="B19" s="361">
        <f>'monitoring results'!B5</f>
        <v>112096</v>
      </c>
      <c r="C19" s="361">
        <f>'monitoring results'!C5</f>
        <v>192112</v>
      </c>
      <c r="D19" s="465"/>
      <c r="E19" s="468"/>
      <c r="F19" s="35"/>
    </row>
    <row r="20" spans="1:7" ht="15" customHeight="1" x14ac:dyDescent="0.25">
      <c r="A20" s="43" t="str">
        <f>'monitoring results'!A6</f>
        <v>01/03/2021-31/03/3021</v>
      </c>
      <c r="B20" s="361">
        <f>'monitoring results'!B6</f>
        <v>112096</v>
      </c>
      <c r="C20" s="361">
        <f>'monitoring results'!C6</f>
        <v>191422</v>
      </c>
      <c r="D20" s="465"/>
      <c r="E20" s="468"/>
      <c r="F20" s="35"/>
    </row>
    <row r="21" spans="1:7" ht="15" customHeight="1" x14ac:dyDescent="0.25">
      <c r="A21" s="43" t="str">
        <f>'monitoring results'!A7</f>
        <v>01/04/2021-30/04/2021</v>
      </c>
      <c r="B21" s="361">
        <f>'monitoring results'!B7</f>
        <v>112096</v>
      </c>
      <c r="C21" s="361">
        <f>'monitoring results'!C7</f>
        <v>192144</v>
      </c>
      <c r="D21" s="465"/>
      <c r="E21" s="468"/>
      <c r="F21" s="35"/>
    </row>
    <row r="22" spans="1:7" ht="15" customHeight="1" x14ac:dyDescent="0.25">
      <c r="A22" s="43" t="str">
        <f>'monitoring results'!A8</f>
        <v>01/05/2021-31/05/2021</v>
      </c>
      <c r="B22" s="361">
        <f>'monitoring results'!B8</f>
        <v>112096</v>
      </c>
      <c r="C22" s="361">
        <f>'monitoring results'!C8</f>
        <v>191903</v>
      </c>
      <c r="D22" s="465"/>
      <c r="E22" s="468"/>
      <c r="F22" s="35"/>
    </row>
    <row r="23" spans="1:7" ht="15" customHeight="1" x14ac:dyDescent="0.25">
      <c r="A23" s="43" t="str">
        <f>'monitoring results'!A9</f>
        <v>01/06/2021-30/06/2021</v>
      </c>
      <c r="B23" s="361">
        <f>'monitoring results'!B9</f>
        <v>112096</v>
      </c>
      <c r="C23" s="361">
        <f>'monitoring results'!C9</f>
        <v>191653</v>
      </c>
      <c r="D23" s="465"/>
      <c r="E23" s="468"/>
      <c r="F23" s="35"/>
    </row>
    <row r="24" spans="1:7" ht="15" customHeight="1" x14ac:dyDescent="0.25">
      <c r="A24" s="43" t="str">
        <f>'monitoring results'!A10</f>
        <v>01/07/2021-31/07/2021</v>
      </c>
      <c r="B24" s="361">
        <f>'monitoring results'!B10</f>
        <v>112096</v>
      </c>
      <c r="C24" s="361">
        <f>'monitoring results'!C10</f>
        <v>191783</v>
      </c>
      <c r="D24" s="465"/>
      <c r="E24" s="468"/>
      <c r="F24" s="35"/>
    </row>
    <row r="25" spans="1:7" ht="15" customHeight="1" x14ac:dyDescent="0.25">
      <c r="A25" s="43" t="str">
        <f>'monitoring results'!A11</f>
        <v>01/08/2021-31/08/2021</v>
      </c>
      <c r="B25" s="361">
        <f>'monitoring results'!B11</f>
        <v>112096</v>
      </c>
      <c r="C25" s="361">
        <f>'monitoring results'!C11</f>
        <v>191682</v>
      </c>
      <c r="D25" s="465"/>
      <c r="E25" s="468"/>
      <c r="F25" s="35"/>
      <c r="G25" s="44"/>
    </row>
    <row r="26" spans="1:7" ht="15" customHeight="1" x14ac:dyDescent="0.25">
      <c r="A26" s="43" t="str">
        <f>'monitoring results'!A12</f>
        <v>01/09/2021-30/09/2021</v>
      </c>
      <c r="B26" s="361">
        <f>'monitoring results'!B12</f>
        <v>112096</v>
      </c>
      <c r="C26" s="361">
        <f>'monitoring results'!C12</f>
        <v>192049</v>
      </c>
      <c r="D26" s="465"/>
      <c r="E26" s="468"/>
      <c r="F26" s="35"/>
      <c r="G26" s="44"/>
    </row>
    <row r="27" spans="1:7" ht="15" customHeight="1" x14ac:dyDescent="0.25">
      <c r="A27" s="43" t="str">
        <f>'monitoring results'!A13</f>
        <v>01/10/2021-31/10/2021</v>
      </c>
      <c r="B27" s="361">
        <f>'monitoring results'!B13</f>
        <v>112096</v>
      </c>
      <c r="C27" s="361">
        <f>'monitoring results'!C13</f>
        <v>191505</v>
      </c>
      <c r="D27" s="465"/>
      <c r="E27" s="468"/>
      <c r="F27" s="35"/>
      <c r="G27" s="44"/>
    </row>
    <row r="28" spans="1:7" ht="15" customHeight="1" x14ac:dyDescent="0.25">
      <c r="A28" s="43" t="str">
        <f>'monitoring results'!A14</f>
        <v>01/11/2021-30/11/2021</v>
      </c>
      <c r="B28" s="361">
        <f>'monitoring results'!B14</f>
        <v>112096</v>
      </c>
      <c r="C28" s="361">
        <f>'monitoring results'!C14</f>
        <v>191467</v>
      </c>
      <c r="D28" s="465"/>
      <c r="E28" s="468"/>
      <c r="F28" s="35"/>
      <c r="G28" s="44"/>
    </row>
    <row r="29" spans="1:7" ht="15" customHeight="1" x14ac:dyDescent="0.25">
      <c r="A29" s="43" t="str">
        <f>'monitoring results'!A15</f>
        <v>01/12/2021-31/12/2021</v>
      </c>
      <c r="B29" s="361">
        <f>'monitoring results'!B15</f>
        <v>112096</v>
      </c>
      <c r="C29" s="361">
        <f>'monitoring results'!C15</f>
        <v>191877</v>
      </c>
      <c r="D29" s="465"/>
      <c r="E29" s="468"/>
      <c r="F29" s="35"/>
      <c r="G29" s="44"/>
    </row>
    <row r="30" spans="1:7" ht="15" customHeight="1" x14ac:dyDescent="0.25">
      <c r="A30" s="43" t="str">
        <f>'monitoring results'!A16</f>
        <v>01/01/2022-31/01/2022</v>
      </c>
      <c r="B30" s="361">
        <f>'monitoring results'!B16</f>
        <v>112096</v>
      </c>
      <c r="C30" s="361">
        <f>'monitoring results'!C16</f>
        <v>192033</v>
      </c>
      <c r="D30" s="465"/>
      <c r="E30" s="468"/>
      <c r="F30" s="35"/>
      <c r="G30" s="44"/>
    </row>
    <row r="31" spans="1:7" ht="15" customHeight="1" x14ac:dyDescent="0.25">
      <c r="A31" s="43" t="str">
        <f>'monitoring results'!A17</f>
        <v>01/02/2022-28/02/2022</v>
      </c>
      <c r="B31" s="361">
        <f>'monitoring results'!B17</f>
        <v>112096</v>
      </c>
      <c r="C31" s="361">
        <f>'monitoring results'!C17</f>
        <v>191973</v>
      </c>
      <c r="D31" s="465"/>
      <c r="E31" s="468"/>
      <c r="F31" s="35"/>
      <c r="G31" s="44"/>
    </row>
    <row r="32" spans="1:7" ht="15" customHeight="1" x14ac:dyDescent="0.25">
      <c r="A32" s="43" t="str">
        <f>'monitoring results'!A18</f>
        <v>01/03/2022-31/03/2022</v>
      </c>
      <c r="B32" s="361">
        <f>'monitoring results'!B18</f>
        <v>112096</v>
      </c>
      <c r="C32" s="361">
        <f>'monitoring results'!C18</f>
        <v>192076</v>
      </c>
      <c r="D32" s="465"/>
      <c r="E32" s="468"/>
      <c r="F32" s="35"/>
      <c r="G32" s="44"/>
    </row>
    <row r="33" spans="1:7" s="348" customFormat="1" ht="15" customHeight="1" x14ac:dyDescent="0.25">
      <c r="A33" s="43" t="s">
        <v>342</v>
      </c>
      <c r="B33" s="361">
        <f>'monitoring results'!B19</f>
        <v>112096</v>
      </c>
      <c r="C33" s="361">
        <f>'monitoring results'!C19</f>
        <v>191796</v>
      </c>
      <c r="D33" s="465"/>
      <c r="E33" s="468"/>
      <c r="F33" s="35"/>
      <c r="G33" s="44"/>
    </row>
    <row r="34" spans="1:7" s="348" customFormat="1" ht="15" customHeight="1" x14ac:dyDescent="0.25">
      <c r="A34" s="43" t="s">
        <v>343</v>
      </c>
      <c r="B34" s="361">
        <f>'monitoring results'!B20</f>
        <v>112096</v>
      </c>
      <c r="C34" s="361">
        <f>'monitoring results'!C20</f>
        <v>192046</v>
      </c>
      <c r="D34" s="465"/>
      <c r="E34" s="468"/>
      <c r="F34" s="35"/>
      <c r="G34" s="44"/>
    </row>
    <row r="35" spans="1:7" s="348" customFormat="1" ht="15" customHeight="1" x14ac:dyDescent="0.25">
      <c r="A35" s="43" t="s">
        <v>344</v>
      </c>
      <c r="B35" s="361">
        <f>'monitoring results'!B21</f>
        <v>112096</v>
      </c>
      <c r="C35" s="361">
        <f>'monitoring results'!C21</f>
        <v>191783</v>
      </c>
      <c r="D35" s="466"/>
      <c r="E35" s="469"/>
      <c r="F35" s="35"/>
      <c r="G35" s="44"/>
    </row>
    <row r="36" spans="1:7" ht="15" customHeight="1" x14ac:dyDescent="0.3">
      <c r="A36" s="45" t="s">
        <v>170</v>
      </c>
      <c r="B36" s="46"/>
      <c r="C36" s="46"/>
      <c r="D36" s="464" t="s">
        <v>109</v>
      </c>
      <c r="E36" s="473" t="s">
        <v>201</v>
      </c>
      <c r="F36" s="35"/>
    </row>
    <row r="37" spans="1:7" ht="15" customHeight="1" x14ac:dyDescent="0.25">
      <c r="A37" s="43" t="str">
        <f t="shared" ref="A37:A51" si="0">A18</f>
        <v>01/01/2021-31/01/2021</v>
      </c>
      <c r="B37" s="378">
        <f>'monitoring results'!D4</f>
        <v>50.7</v>
      </c>
      <c r="C37" s="378">
        <f>'monitoring results'!E4</f>
        <v>81.099999999999994</v>
      </c>
      <c r="D37" s="465"/>
      <c r="E37" s="474"/>
      <c r="F37" s="35"/>
    </row>
    <row r="38" spans="1:7" ht="15" customHeight="1" x14ac:dyDescent="0.25">
      <c r="A38" s="43" t="str">
        <f t="shared" si="0"/>
        <v>01/02/2021-28/02/2021</v>
      </c>
      <c r="B38" s="378">
        <f>'monitoring results'!D5</f>
        <v>51.2</v>
      </c>
      <c r="C38" s="378">
        <f>'monitoring results'!E5</f>
        <v>82.660000000000011</v>
      </c>
      <c r="D38" s="465"/>
      <c r="E38" s="474"/>
      <c r="F38" s="35"/>
    </row>
    <row r="39" spans="1:7" ht="15" customHeight="1" x14ac:dyDescent="0.25">
      <c r="A39" s="43" t="str">
        <f t="shared" si="0"/>
        <v>01/03/2021-31/03/3021</v>
      </c>
      <c r="B39" s="378">
        <f>'monitoring results'!D6</f>
        <v>51.2</v>
      </c>
      <c r="C39" s="378">
        <f>'monitoring results'!E6</f>
        <v>82.02000000000001</v>
      </c>
      <c r="D39" s="465"/>
      <c r="E39" s="474"/>
      <c r="F39" s="35"/>
    </row>
    <row r="40" spans="1:7" ht="15" customHeight="1" x14ac:dyDescent="0.25">
      <c r="A40" s="43" t="str">
        <f t="shared" si="0"/>
        <v>01/04/2021-30/04/2021</v>
      </c>
      <c r="B40" s="378">
        <f>'monitoring results'!D7</f>
        <v>50.8</v>
      </c>
      <c r="C40" s="378">
        <f>'monitoring results'!E7</f>
        <v>82.11</v>
      </c>
      <c r="D40" s="465"/>
      <c r="E40" s="474"/>
      <c r="F40" s="35"/>
    </row>
    <row r="41" spans="1:7" ht="15" customHeight="1" x14ac:dyDescent="0.25">
      <c r="A41" s="43" t="str">
        <f t="shared" si="0"/>
        <v>01/05/2021-31/05/2021</v>
      </c>
      <c r="B41" s="378">
        <f>'monitoring results'!D8</f>
        <v>51.2</v>
      </c>
      <c r="C41" s="378">
        <f>'monitoring results'!E8</f>
        <v>82.300000000000011</v>
      </c>
      <c r="D41" s="465"/>
      <c r="E41" s="474"/>
      <c r="F41" s="35"/>
    </row>
    <row r="42" spans="1:7" ht="15" customHeight="1" x14ac:dyDescent="0.25">
      <c r="A42" s="43" t="str">
        <f t="shared" si="0"/>
        <v>01/06/2021-30/06/2021</v>
      </c>
      <c r="B42" s="378">
        <f>'monitoring results'!D9</f>
        <v>51.5</v>
      </c>
      <c r="C42" s="378">
        <f>'monitoring results'!E9</f>
        <v>82.2</v>
      </c>
      <c r="D42" s="465"/>
      <c r="E42" s="474"/>
      <c r="F42" s="35"/>
    </row>
    <row r="43" spans="1:7" ht="15" customHeight="1" x14ac:dyDescent="0.25">
      <c r="A43" s="43" t="str">
        <f t="shared" si="0"/>
        <v>01/07/2021-31/07/2021</v>
      </c>
      <c r="B43" s="378">
        <f>'monitoring results'!D10</f>
        <v>51.4</v>
      </c>
      <c r="C43" s="378">
        <f>'monitoring results'!E10</f>
        <v>82.570000000000007</v>
      </c>
      <c r="D43" s="465"/>
      <c r="E43" s="474"/>
      <c r="F43" s="35"/>
    </row>
    <row r="44" spans="1:7" ht="15" customHeight="1" x14ac:dyDescent="0.25">
      <c r="A44" s="43" t="str">
        <f t="shared" si="0"/>
        <v>01/08/2021-31/08/2021</v>
      </c>
      <c r="B44" s="378">
        <f>'monitoring results'!D11</f>
        <v>51</v>
      </c>
      <c r="C44" s="378">
        <f>'monitoring results'!E11</f>
        <v>82.300000000000011</v>
      </c>
      <c r="D44" s="465"/>
      <c r="E44" s="474"/>
      <c r="F44" s="35"/>
    </row>
    <row r="45" spans="1:7" ht="15" customHeight="1" x14ac:dyDescent="0.25">
      <c r="A45" s="43" t="str">
        <f t="shared" si="0"/>
        <v>01/09/2021-30/09/2021</v>
      </c>
      <c r="B45" s="378">
        <f>'monitoring results'!D12</f>
        <v>51.3</v>
      </c>
      <c r="C45" s="378">
        <f>'monitoring results'!E12</f>
        <v>82.850000000000009</v>
      </c>
      <c r="D45" s="465"/>
      <c r="E45" s="474"/>
      <c r="F45" s="35"/>
    </row>
    <row r="46" spans="1:7" ht="15" customHeight="1" x14ac:dyDescent="0.25">
      <c r="A46" s="43" t="str">
        <f t="shared" si="0"/>
        <v>01/10/2021-31/10/2021</v>
      </c>
      <c r="B46" s="378">
        <f>'monitoring results'!D13</f>
        <v>51.1</v>
      </c>
      <c r="C46" s="378">
        <f>'monitoring results'!E13</f>
        <v>82.2</v>
      </c>
      <c r="D46" s="465"/>
      <c r="E46" s="474"/>
      <c r="F46" s="35"/>
    </row>
    <row r="47" spans="1:7" ht="15" customHeight="1" x14ac:dyDescent="0.25">
      <c r="A47" s="43" t="str">
        <f t="shared" si="0"/>
        <v>01/11/2021-30/11/2021</v>
      </c>
      <c r="B47" s="378">
        <f>'monitoring results'!D14</f>
        <v>50.9</v>
      </c>
      <c r="C47" s="378">
        <f>'monitoring results'!E14</f>
        <v>82.570000000000007</v>
      </c>
      <c r="D47" s="465"/>
      <c r="E47" s="474"/>
      <c r="F47" s="35"/>
    </row>
    <row r="48" spans="1:7" ht="15" customHeight="1" x14ac:dyDescent="0.25">
      <c r="A48" s="43" t="str">
        <f t="shared" si="0"/>
        <v>01/12/2021-31/12/2021</v>
      </c>
      <c r="B48" s="378">
        <f>'monitoring results'!D15</f>
        <v>50.9</v>
      </c>
      <c r="C48" s="378">
        <f>'monitoring results'!E15</f>
        <v>82.2</v>
      </c>
      <c r="D48" s="465"/>
      <c r="E48" s="474"/>
      <c r="F48" s="35"/>
    </row>
    <row r="49" spans="1:7" ht="15" customHeight="1" x14ac:dyDescent="0.25">
      <c r="A49" s="43" t="str">
        <f t="shared" si="0"/>
        <v>01/01/2022-31/01/2022</v>
      </c>
      <c r="B49" s="378">
        <f>'monitoring results'!D16</f>
        <v>50.4</v>
      </c>
      <c r="C49" s="378">
        <f>'monitoring results'!E16</f>
        <v>82.48</v>
      </c>
      <c r="D49" s="465"/>
      <c r="E49" s="474"/>
      <c r="F49" s="35"/>
    </row>
    <row r="50" spans="1:7" ht="15" customHeight="1" x14ac:dyDescent="0.25">
      <c r="A50" s="43" t="str">
        <f t="shared" si="0"/>
        <v>01/02/2022-28/02/2022</v>
      </c>
      <c r="B50" s="378">
        <f>'monitoring results'!D17</f>
        <v>50.3</v>
      </c>
      <c r="C50" s="378">
        <f>'monitoring results'!E17</f>
        <v>82.570000000000007</v>
      </c>
      <c r="D50" s="465"/>
      <c r="E50" s="474"/>
      <c r="F50" s="35"/>
    </row>
    <row r="51" spans="1:7" ht="15" customHeight="1" x14ac:dyDescent="0.25">
      <c r="A51" s="43" t="str">
        <f t="shared" si="0"/>
        <v>01/03/2022-31/03/2022</v>
      </c>
      <c r="B51" s="378">
        <f>'monitoring results'!D18</f>
        <v>51</v>
      </c>
      <c r="C51" s="378">
        <f>'monitoring results'!E18</f>
        <v>81.93</v>
      </c>
      <c r="D51" s="465"/>
      <c r="E51" s="474"/>
      <c r="F51" s="35"/>
    </row>
    <row r="52" spans="1:7" s="348" customFormat="1" ht="15" customHeight="1" x14ac:dyDescent="0.25">
      <c r="A52" s="43" t="s">
        <v>342</v>
      </c>
      <c r="B52" s="378">
        <f>'monitoring results'!D19</f>
        <v>51.4</v>
      </c>
      <c r="C52" s="378">
        <f>'monitoring results'!E19</f>
        <v>82.39</v>
      </c>
      <c r="D52" s="465"/>
      <c r="E52" s="474"/>
      <c r="F52" s="35"/>
    </row>
    <row r="53" spans="1:7" s="348" customFormat="1" ht="15" customHeight="1" x14ac:dyDescent="0.25">
      <c r="A53" s="43" t="s">
        <v>343</v>
      </c>
      <c r="B53" s="378">
        <f>'monitoring results'!D20</f>
        <v>50.9</v>
      </c>
      <c r="C53" s="378">
        <f>'monitoring results'!E20</f>
        <v>82.2</v>
      </c>
      <c r="D53" s="465"/>
      <c r="E53" s="474"/>
      <c r="F53" s="35"/>
    </row>
    <row r="54" spans="1:7" s="348" customFormat="1" ht="15" customHeight="1" x14ac:dyDescent="0.25">
      <c r="A54" s="43" t="s">
        <v>344</v>
      </c>
      <c r="B54" s="378">
        <f>'monitoring results'!D21</f>
        <v>50.8</v>
      </c>
      <c r="C54" s="378">
        <f>'monitoring results'!E21</f>
        <v>82.300000000000011</v>
      </c>
      <c r="D54" s="466"/>
      <c r="E54" s="475"/>
      <c r="F54" s="35"/>
    </row>
    <row r="55" spans="1:7" ht="15" customHeight="1" x14ac:dyDescent="0.35">
      <c r="A55" s="38" t="s">
        <v>171</v>
      </c>
      <c r="B55" s="361">
        <f>B173</f>
        <v>28</v>
      </c>
      <c r="C55" s="361">
        <f>C173</f>
        <v>28</v>
      </c>
      <c r="D55" s="40" t="s">
        <v>109</v>
      </c>
      <c r="E55" s="317" t="s">
        <v>52</v>
      </c>
      <c r="F55" s="35"/>
    </row>
    <row r="56" spans="1:7" x14ac:dyDescent="0.25">
      <c r="A56" s="47" t="s">
        <v>172</v>
      </c>
      <c r="B56" s="359">
        <v>0.3</v>
      </c>
      <c r="C56" s="359">
        <v>0.3</v>
      </c>
      <c r="D56" s="40" t="s">
        <v>6</v>
      </c>
      <c r="E56" s="317" t="str">
        <f>E16</f>
        <v>2006 IPCC guideline, volume 4, chapter 10, tbl. 10A-7</v>
      </c>
      <c r="F56" s="35"/>
    </row>
    <row r="57" spans="1:7" ht="20.55" customHeight="1" x14ac:dyDescent="0.3">
      <c r="A57" s="47" t="s">
        <v>173</v>
      </c>
      <c r="B57" s="48"/>
      <c r="C57" s="48"/>
      <c r="D57" s="464" t="s">
        <v>98</v>
      </c>
      <c r="E57" s="470" t="s">
        <v>110</v>
      </c>
      <c r="F57" s="35"/>
    </row>
    <row r="58" spans="1:7" x14ac:dyDescent="0.25">
      <c r="A58" s="43" t="str">
        <f t="shared" ref="A58:A72" si="1">A37</f>
        <v>01/01/2021-31/01/2021</v>
      </c>
      <c r="B58" s="372">
        <f>(B37/$B$55)*$B$56*B78</f>
        <v>16.839642857142856</v>
      </c>
      <c r="C58" s="372">
        <f>(C37/$C$55)*$C$56*C78</f>
        <v>26.936785714285712</v>
      </c>
      <c r="D58" s="465"/>
      <c r="E58" s="471"/>
      <c r="F58" s="35"/>
    </row>
    <row r="59" spans="1:7" x14ac:dyDescent="0.25">
      <c r="A59" s="43" t="str">
        <f t="shared" si="1"/>
        <v>01/02/2021-28/02/2021</v>
      </c>
      <c r="B59" s="372">
        <f t="shared" ref="B59:B75" si="2">(B38/$B$55)*$B$56*B79</f>
        <v>15.360000000000001</v>
      </c>
      <c r="C59" s="372">
        <f t="shared" ref="C59:C75" si="3">(C38/$C$55)*$C$56*C79</f>
        <v>24.798000000000002</v>
      </c>
      <c r="D59" s="465"/>
      <c r="E59" s="471"/>
      <c r="F59" s="35"/>
    </row>
    <row r="60" spans="1:7" x14ac:dyDescent="0.25">
      <c r="A60" s="43" t="str">
        <f t="shared" si="1"/>
        <v>01/03/2021-31/03/3021</v>
      </c>
      <c r="B60" s="372">
        <f t="shared" si="2"/>
        <v>17.005714285714287</v>
      </c>
      <c r="C60" s="372">
        <f t="shared" si="3"/>
        <v>27.242357142857145</v>
      </c>
      <c r="D60" s="465"/>
      <c r="E60" s="471"/>
      <c r="F60" s="35"/>
    </row>
    <row r="61" spans="1:7" x14ac:dyDescent="0.25">
      <c r="A61" s="43" t="str">
        <f t="shared" si="1"/>
        <v>01/04/2021-30/04/2021</v>
      </c>
      <c r="B61" s="372">
        <f t="shared" si="2"/>
        <v>16.328571428571429</v>
      </c>
      <c r="C61" s="372">
        <f t="shared" si="3"/>
        <v>26.392500000000002</v>
      </c>
      <c r="D61" s="465"/>
      <c r="E61" s="471"/>
      <c r="F61" s="35"/>
    </row>
    <row r="62" spans="1:7" x14ac:dyDescent="0.25">
      <c r="A62" s="43" t="str">
        <f t="shared" si="1"/>
        <v>01/05/2021-31/05/2021</v>
      </c>
      <c r="B62" s="372">
        <f t="shared" si="2"/>
        <v>17.005714285714287</v>
      </c>
      <c r="C62" s="372">
        <f t="shared" si="3"/>
        <v>27.335357142857141</v>
      </c>
      <c r="D62" s="465"/>
      <c r="E62" s="471"/>
      <c r="F62" s="35"/>
      <c r="G62" s="44"/>
    </row>
    <row r="63" spans="1:7" x14ac:dyDescent="0.25">
      <c r="A63" s="43" t="str">
        <f t="shared" si="1"/>
        <v>01/06/2021-30/06/2021</v>
      </c>
      <c r="B63" s="372">
        <f t="shared" si="2"/>
        <v>16.553571428571427</v>
      </c>
      <c r="C63" s="372">
        <f t="shared" si="3"/>
        <v>26.421428571428574</v>
      </c>
      <c r="D63" s="465"/>
      <c r="E63" s="471"/>
      <c r="F63" s="35"/>
      <c r="G63" s="44"/>
    </row>
    <row r="64" spans="1:7" x14ac:dyDescent="0.25">
      <c r="A64" s="43" t="str">
        <f t="shared" si="1"/>
        <v>01/07/2021-31/07/2021</v>
      </c>
      <c r="B64" s="372">
        <f t="shared" si="2"/>
        <v>17.072142857142858</v>
      </c>
      <c r="C64" s="372">
        <f t="shared" si="3"/>
        <v>27.425035714285713</v>
      </c>
      <c r="D64" s="465"/>
      <c r="E64" s="471"/>
      <c r="F64" s="35"/>
    </row>
    <row r="65" spans="1:6" x14ac:dyDescent="0.25">
      <c r="A65" s="43" t="str">
        <f t="shared" si="1"/>
        <v>01/08/2021-31/08/2021</v>
      </c>
      <c r="B65" s="372">
        <f t="shared" si="2"/>
        <v>16.939285714285713</v>
      </c>
      <c r="C65" s="372">
        <f t="shared" si="3"/>
        <v>27.335357142857141</v>
      </c>
      <c r="D65" s="465"/>
      <c r="E65" s="471"/>
      <c r="F65" s="35"/>
    </row>
    <row r="66" spans="1:6" x14ac:dyDescent="0.25">
      <c r="A66" s="43" t="str">
        <f t="shared" si="1"/>
        <v>01/09/2021-30/09/2021</v>
      </c>
      <c r="B66" s="372">
        <f t="shared" si="2"/>
        <v>16.489285714285714</v>
      </c>
      <c r="C66" s="372">
        <f t="shared" si="3"/>
        <v>26.630357142857147</v>
      </c>
      <c r="D66" s="465"/>
      <c r="E66" s="471"/>
      <c r="F66" s="35"/>
    </row>
    <row r="67" spans="1:6" x14ac:dyDescent="0.25">
      <c r="A67" s="43" t="str">
        <f t="shared" si="1"/>
        <v>01/10/2021-31/10/2021</v>
      </c>
      <c r="B67" s="372">
        <f t="shared" si="2"/>
        <v>16.9725</v>
      </c>
      <c r="C67" s="372">
        <f t="shared" si="3"/>
        <v>27.302142857142858</v>
      </c>
      <c r="D67" s="465"/>
      <c r="E67" s="471"/>
      <c r="F67" s="35"/>
    </row>
    <row r="68" spans="1:6" x14ac:dyDescent="0.25">
      <c r="A68" s="43" t="str">
        <f t="shared" si="1"/>
        <v>01/11/2021-30/11/2021</v>
      </c>
      <c r="B68" s="372">
        <f t="shared" si="2"/>
        <v>16.360714285714288</v>
      </c>
      <c r="C68" s="372">
        <f t="shared" si="3"/>
        <v>26.540357142857143</v>
      </c>
      <c r="D68" s="465"/>
      <c r="E68" s="471"/>
      <c r="F68" s="35"/>
    </row>
    <row r="69" spans="1:6" x14ac:dyDescent="0.25">
      <c r="A69" s="43" t="str">
        <f t="shared" si="1"/>
        <v>01/12/2021-31/12/2021</v>
      </c>
      <c r="B69" s="372">
        <f t="shared" si="2"/>
        <v>16.90607142857143</v>
      </c>
      <c r="C69" s="372">
        <f t="shared" si="3"/>
        <v>27.302142857142858</v>
      </c>
      <c r="D69" s="465"/>
      <c r="E69" s="471"/>
      <c r="F69" s="35"/>
    </row>
    <row r="70" spans="1:6" x14ac:dyDescent="0.25">
      <c r="A70" s="43" t="str">
        <f t="shared" si="1"/>
        <v>01/01/2022-31/01/2022</v>
      </c>
      <c r="B70" s="372">
        <f t="shared" si="2"/>
        <v>16.740000000000002</v>
      </c>
      <c r="C70" s="372">
        <f t="shared" si="3"/>
        <v>27.395142857142854</v>
      </c>
      <c r="D70" s="465"/>
      <c r="E70" s="471"/>
      <c r="F70" s="35"/>
    </row>
    <row r="71" spans="1:6" x14ac:dyDescent="0.25">
      <c r="A71" s="43" t="str">
        <f t="shared" si="1"/>
        <v>01/02/2022-28/02/2022</v>
      </c>
      <c r="B71" s="372">
        <f t="shared" si="2"/>
        <v>15.089999999999996</v>
      </c>
      <c r="C71" s="372">
        <f t="shared" si="3"/>
        <v>24.771000000000001</v>
      </c>
      <c r="D71" s="465"/>
      <c r="E71" s="471"/>
      <c r="F71" s="35"/>
    </row>
    <row r="72" spans="1:6" x14ac:dyDescent="0.25">
      <c r="A72" s="43" t="str">
        <f t="shared" si="1"/>
        <v>01/03/2022-31/03/2022</v>
      </c>
      <c r="B72" s="372">
        <f t="shared" si="2"/>
        <v>16.939285714285713</v>
      </c>
      <c r="C72" s="372">
        <f t="shared" si="3"/>
        <v>27.212464285714287</v>
      </c>
      <c r="D72" s="465"/>
      <c r="E72" s="471"/>
      <c r="F72" s="35"/>
    </row>
    <row r="73" spans="1:6" s="348" customFormat="1" x14ac:dyDescent="0.25">
      <c r="A73" s="43" t="s">
        <v>342</v>
      </c>
      <c r="B73" s="372">
        <f t="shared" si="2"/>
        <v>16.521428571428572</v>
      </c>
      <c r="C73" s="372">
        <f t="shared" si="3"/>
        <v>26.482499999999998</v>
      </c>
      <c r="D73" s="465"/>
      <c r="E73" s="471"/>
      <c r="F73" s="35"/>
    </row>
    <row r="74" spans="1:6" s="348" customFormat="1" x14ac:dyDescent="0.25">
      <c r="A74" s="43" t="s">
        <v>343</v>
      </c>
      <c r="B74" s="372">
        <f t="shared" si="2"/>
        <v>16.90607142857143</v>
      </c>
      <c r="C74" s="372">
        <f t="shared" si="3"/>
        <v>27.302142857142858</v>
      </c>
      <c r="D74" s="465"/>
      <c r="E74" s="471"/>
      <c r="F74" s="35"/>
    </row>
    <row r="75" spans="1:6" s="348" customFormat="1" x14ac:dyDescent="0.25">
      <c r="A75" s="43" t="s">
        <v>344</v>
      </c>
      <c r="B75" s="372">
        <f t="shared" si="2"/>
        <v>16.328571428571429</v>
      </c>
      <c r="C75" s="372">
        <f t="shared" si="3"/>
        <v>26.453571428571429</v>
      </c>
      <c r="D75" s="466"/>
      <c r="E75" s="472"/>
      <c r="F75" s="35"/>
    </row>
    <row r="76" spans="1:6" ht="13.8" x14ac:dyDescent="0.3">
      <c r="A76" s="38" t="s">
        <v>174</v>
      </c>
      <c r="B76" s="373">
        <v>1</v>
      </c>
      <c r="C76" s="373">
        <v>1</v>
      </c>
      <c r="D76" s="40" t="s">
        <v>1</v>
      </c>
      <c r="E76" s="317" t="s">
        <v>111</v>
      </c>
      <c r="F76" s="35"/>
    </row>
    <row r="77" spans="1:6" x14ac:dyDescent="0.25">
      <c r="A77" s="38" t="s">
        <v>50</v>
      </c>
      <c r="B77" s="39"/>
      <c r="C77" s="39"/>
      <c r="D77" s="464" t="s">
        <v>55</v>
      </c>
      <c r="E77" s="467" t="s">
        <v>161</v>
      </c>
      <c r="F77" s="49"/>
    </row>
    <row r="78" spans="1:6" x14ac:dyDescent="0.25">
      <c r="A78" s="43" t="str">
        <f t="shared" ref="A78:A92" si="4">A58</f>
        <v>01/01/2021-31/01/2021</v>
      </c>
      <c r="B78" s="359">
        <v>31</v>
      </c>
      <c r="C78" s="359">
        <f t="shared" ref="C78:C95" si="5">B78</f>
        <v>31</v>
      </c>
      <c r="D78" s="465"/>
      <c r="E78" s="468"/>
      <c r="F78" s="35"/>
    </row>
    <row r="79" spans="1:6" x14ac:dyDescent="0.25">
      <c r="A79" s="43" t="str">
        <f t="shared" si="4"/>
        <v>01/02/2021-28/02/2021</v>
      </c>
      <c r="B79" s="359">
        <v>28</v>
      </c>
      <c r="C79" s="359">
        <f t="shared" si="5"/>
        <v>28</v>
      </c>
      <c r="D79" s="465"/>
      <c r="E79" s="468"/>
      <c r="F79" s="35"/>
    </row>
    <row r="80" spans="1:6" x14ac:dyDescent="0.25">
      <c r="A80" s="43" t="str">
        <f t="shared" si="4"/>
        <v>01/03/2021-31/03/3021</v>
      </c>
      <c r="B80" s="359">
        <v>31</v>
      </c>
      <c r="C80" s="359">
        <f t="shared" si="5"/>
        <v>31</v>
      </c>
      <c r="D80" s="465"/>
      <c r="E80" s="468"/>
      <c r="F80" s="35"/>
    </row>
    <row r="81" spans="1:6" x14ac:dyDescent="0.25">
      <c r="A81" s="43" t="str">
        <f t="shared" si="4"/>
        <v>01/04/2021-30/04/2021</v>
      </c>
      <c r="B81" s="359">
        <v>30</v>
      </c>
      <c r="C81" s="359">
        <f t="shared" si="5"/>
        <v>30</v>
      </c>
      <c r="D81" s="465"/>
      <c r="E81" s="468"/>
      <c r="F81" s="35"/>
    </row>
    <row r="82" spans="1:6" x14ac:dyDescent="0.25">
      <c r="A82" s="43" t="str">
        <f t="shared" si="4"/>
        <v>01/05/2021-31/05/2021</v>
      </c>
      <c r="B82" s="359">
        <v>31</v>
      </c>
      <c r="C82" s="359">
        <f t="shared" si="5"/>
        <v>31</v>
      </c>
      <c r="D82" s="465"/>
      <c r="E82" s="468"/>
      <c r="F82" s="35"/>
    </row>
    <row r="83" spans="1:6" x14ac:dyDescent="0.25">
      <c r="A83" s="43" t="str">
        <f t="shared" si="4"/>
        <v>01/06/2021-30/06/2021</v>
      </c>
      <c r="B83" s="359">
        <v>30</v>
      </c>
      <c r="C83" s="359">
        <f t="shared" si="5"/>
        <v>30</v>
      </c>
      <c r="D83" s="465"/>
      <c r="E83" s="468"/>
      <c r="F83" s="35"/>
    </row>
    <row r="84" spans="1:6" x14ac:dyDescent="0.25">
      <c r="A84" s="43" t="str">
        <f t="shared" si="4"/>
        <v>01/07/2021-31/07/2021</v>
      </c>
      <c r="B84" s="359">
        <v>31</v>
      </c>
      <c r="C84" s="359">
        <f t="shared" si="5"/>
        <v>31</v>
      </c>
      <c r="D84" s="465"/>
      <c r="E84" s="468"/>
      <c r="F84" s="35"/>
    </row>
    <row r="85" spans="1:6" x14ac:dyDescent="0.25">
      <c r="A85" s="43" t="str">
        <f t="shared" si="4"/>
        <v>01/08/2021-31/08/2021</v>
      </c>
      <c r="B85" s="359">
        <v>31</v>
      </c>
      <c r="C85" s="359">
        <f t="shared" si="5"/>
        <v>31</v>
      </c>
      <c r="D85" s="465"/>
      <c r="E85" s="468"/>
      <c r="F85" s="35"/>
    </row>
    <row r="86" spans="1:6" x14ac:dyDescent="0.25">
      <c r="A86" s="43" t="str">
        <f t="shared" si="4"/>
        <v>01/09/2021-30/09/2021</v>
      </c>
      <c r="B86" s="359">
        <v>30</v>
      </c>
      <c r="C86" s="359">
        <f t="shared" si="5"/>
        <v>30</v>
      </c>
      <c r="D86" s="465"/>
      <c r="E86" s="468"/>
      <c r="F86" s="35"/>
    </row>
    <row r="87" spans="1:6" x14ac:dyDescent="0.25">
      <c r="A87" s="43" t="str">
        <f t="shared" si="4"/>
        <v>01/10/2021-31/10/2021</v>
      </c>
      <c r="B87" s="359">
        <v>31</v>
      </c>
      <c r="C87" s="359">
        <f t="shared" si="5"/>
        <v>31</v>
      </c>
      <c r="D87" s="465"/>
      <c r="E87" s="468"/>
      <c r="F87" s="35"/>
    </row>
    <row r="88" spans="1:6" x14ac:dyDescent="0.25">
      <c r="A88" s="43" t="str">
        <f t="shared" si="4"/>
        <v>01/11/2021-30/11/2021</v>
      </c>
      <c r="B88" s="359">
        <v>30</v>
      </c>
      <c r="C88" s="359">
        <f t="shared" si="5"/>
        <v>30</v>
      </c>
      <c r="D88" s="465"/>
      <c r="E88" s="468"/>
      <c r="F88" s="35"/>
    </row>
    <row r="89" spans="1:6" x14ac:dyDescent="0.25">
      <c r="A89" s="43" t="str">
        <f t="shared" si="4"/>
        <v>01/12/2021-31/12/2021</v>
      </c>
      <c r="B89" s="359">
        <v>31</v>
      </c>
      <c r="C89" s="359">
        <f t="shared" si="5"/>
        <v>31</v>
      </c>
      <c r="D89" s="465"/>
      <c r="E89" s="468"/>
      <c r="F89" s="35"/>
    </row>
    <row r="90" spans="1:6" x14ac:dyDescent="0.25">
      <c r="A90" s="43" t="str">
        <f t="shared" si="4"/>
        <v>01/01/2022-31/01/2022</v>
      </c>
      <c r="B90" s="359">
        <v>31</v>
      </c>
      <c r="C90" s="359">
        <f t="shared" si="5"/>
        <v>31</v>
      </c>
      <c r="D90" s="465"/>
      <c r="E90" s="468"/>
      <c r="F90" s="35"/>
    </row>
    <row r="91" spans="1:6" x14ac:dyDescent="0.25">
      <c r="A91" s="43" t="str">
        <f t="shared" si="4"/>
        <v>01/02/2022-28/02/2022</v>
      </c>
      <c r="B91" s="359">
        <v>28</v>
      </c>
      <c r="C91" s="359">
        <f t="shared" si="5"/>
        <v>28</v>
      </c>
      <c r="D91" s="465"/>
      <c r="E91" s="468"/>
      <c r="F91" s="35"/>
    </row>
    <row r="92" spans="1:6" x14ac:dyDescent="0.25">
      <c r="A92" s="43" t="str">
        <f t="shared" si="4"/>
        <v>01/03/2022-31/03/2022</v>
      </c>
      <c r="B92" s="359">
        <v>31</v>
      </c>
      <c r="C92" s="359">
        <f t="shared" si="5"/>
        <v>31</v>
      </c>
      <c r="D92" s="465"/>
      <c r="E92" s="468"/>
      <c r="F92" s="35"/>
    </row>
    <row r="93" spans="1:6" s="348" customFormat="1" x14ac:dyDescent="0.25">
      <c r="A93" s="43" t="s">
        <v>342</v>
      </c>
      <c r="B93" s="359">
        <v>30</v>
      </c>
      <c r="C93" s="359">
        <f t="shared" si="5"/>
        <v>30</v>
      </c>
      <c r="D93" s="465"/>
      <c r="E93" s="468"/>
      <c r="F93" s="35"/>
    </row>
    <row r="94" spans="1:6" s="348" customFormat="1" x14ac:dyDescent="0.25">
      <c r="A94" s="43" t="s">
        <v>343</v>
      </c>
      <c r="B94" s="359">
        <v>31</v>
      </c>
      <c r="C94" s="359">
        <f t="shared" si="5"/>
        <v>31</v>
      </c>
      <c r="D94" s="465"/>
      <c r="E94" s="468"/>
      <c r="F94" s="35"/>
    </row>
    <row r="95" spans="1:6" s="348" customFormat="1" x14ac:dyDescent="0.25">
      <c r="A95" s="43" t="s">
        <v>344</v>
      </c>
      <c r="B95" s="359">
        <v>30</v>
      </c>
      <c r="C95" s="359">
        <f t="shared" si="5"/>
        <v>30</v>
      </c>
      <c r="D95" s="466"/>
      <c r="E95" s="469"/>
      <c r="F95" s="35"/>
    </row>
    <row r="96" spans="1:6" ht="15.6" x14ac:dyDescent="0.35">
      <c r="A96" s="43" t="s">
        <v>175</v>
      </c>
      <c r="B96" s="39"/>
      <c r="C96" s="39"/>
      <c r="D96" s="40"/>
      <c r="E96" s="317"/>
      <c r="F96" s="35"/>
    </row>
    <row r="97" spans="1:6" ht="15.6" x14ac:dyDescent="0.35">
      <c r="A97" s="43" t="str">
        <f t="shared" ref="A97:A111" si="6">A78</f>
        <v>01/01/2021-31/01/2021</v>
      </c>
      <c r="B97" s="407">
        <f>ROUNDDOWN($B$11*$B$12*$B$15*$B$16*B18*B58*$B$76,0)</f>
        <v>7240</v>
      </c>
      <c r="C97" s="410">
        <f>ROUNDDOWN($C$11*$C$12*$C$15*$C$16*C18*C58*$C$76,0)</f>
        <v>19789</v>
      </c>
      <c r="D97" s="40" t="s">
        <v>176</v>
      </c>
      <c r="E97" s="471" t="s">
        <v>346</v>
      </c>
      <c r="F97" s="35"/>
    </row>
    <row r="98" spans="1:6" ht="15.6" x14ac:dyDescent="0.35">
      <c r="A98" s="43" t="str">
        <f t="shared" si="6"/>
        <v>01/02/2021-28/02/2021</v>
      </c>
      <c r="B98" s="407">
        <f t="shared" ref="B98:B114" si="7">ROUNDDOWN($B$11*$B$12*$B$15*$B$16*B19*B59*$B$76,0)</f>
        <v>6603</v>
      </c>
      <c r="C98" s="410">
        <f t="shared" ref="C98:C114" si="8">ROUNDDOWN($C$11*$C$12*$C$15*$C$16*C19*C59*$C$76,0)</f>
        <v>18272</v>
      </c>
      <c r="D98" s="40" t="s">
        <v>176</v>
      </c>
      <c r="E98" s="471"/>
      <c r="F98" s="35"/>
    </row>
    <row r="99" spans="1:6" ht="15.6" x14ac:dyDescent="0.35">
      <c r="A99" s="43" t="str">
        <f t="shared" si="6"/>
        <v>01/03/2021-31/03/3021</v>
      </c>
      <c r="B99" s="407">
        <f t="shared" si="7"/>
        <v>7311</v>
      </c>
      <c r="C99" s="410">
        <f t="shared" si="8"/>
        <v>20001</v>
      </c>
      <c r="D99" s="40" t="s">
        <v>176</v>
      </c>
      <c r="E99" s="471"/>
      <c r="F99" s="35"/>
    </row>
    <row r="100" spans="1:6" ht="15.6" x14ac:dyDescent="0.35">
      <c r="A100" s="43" t="str">
        <f t="shared" si="6"/>
        <v>01/04/2021-30/04/2021</v>
      </c>
      <c r="B100" s="407">
        <f t="shared" si="7"/>
        <v>7020</v>
      </c>
      <c r="C100" s="410">
        <f t="shared" si="8"/>
        <v>19450</v>
      </c>
      <c r="D100" s="40" t="s">
        <v>176</v>
      </c>
      <c r="E100" s="471"/>
      <c r="F100" s="35"/>
    </row>
    <row r="101" spans="1:6" ht="15.6" x14ac:dyDescent="0.35">
      <c r="A101" s="43" t="str">
        <f t="shared" si="6"/>
        <v>01/05/2021-31/05/2021</v>
      </c>
      <c r="B101" s="407">
        <f t="shared" si="7"/>
        <v>7311</v>
      </c>
      <c r="C101" s="410">
        <f t="shared" si="8"/>
        <v>20119</v>
      </c>
      <c r="D101" s="40" t="s">
        <v>176</v>
      </c>
      <c r="E101" s="471"/>
      <c r="F101" s="35"/>
    </row>
    <row r="102" spans="1:6" ht="15.6" x14ac:dyDescent="0.35">
      <c r="A102" s="43" t="str">
        <f t="shared" si="6"/>
        <v>01/06/2021-30/06/2021</v>
      </c>
      <c r="B102" s="407">
        <f t="shared" si="7"/>
        <v>7117</v>
      </c>
      <c r="C102" s="410">
        <f t="shared" si="8"/>
        <v>19421</v>
      </c>
      <c r="D102" s="40" t="s">
        <v>176</v>
      </c>
      <c r="E102" s="471"/>
      <c r="F102" s="35"/>
    </row>
    <row r="103" spans="1:6" ht="15.6" x14ac:dyDescent="0.35">
      <c r="A103" s="43" t="str">
        <f t="shared" si="6"/>
        <v>01/07/2021-31/07/2021</v>
      </c>
      <c r="B103" s="407">
        <f t="shared" si="7"/>
        <v>7340</v>
      </c>
      <c r="C103" s="410">
        <f t="shared" si="8"/>
        <v>20173</v>
      </c>
      <c r="D103" s="40" t="s">
        <v>176</v>
      </c>
      <c r="E103" s="471"/>
      <c r="F103" s="35"/>
    </row>
    <row r="104" spans="1:6" ht="15.6" x14ac:dyDescent="0.35">
      <c r="A104" s="43" t="str">
        <f t="shared" si="6"/>
        <v>01/08/2021-31/08/2021</v>
      </c>
      <c r="B104" s="407">
        <f t="shared" si="7"/>
        <v>7282</v>
      </c>
      <c r="C104" s="410">
        <f t="shared" si="8"/>
        <v>20096</v>
      </c>
      <c r="D104" s="40" t="s">
        <v>176</v>
      </c>
      <c r="E104" s="471"/>
      <c r="F104" s="35"/>
    </row>
    <row r="105" spans="1:6" ht="15.6" x14ac:dyDescent="0.35">
      <c r="A105" s="43" t="str">
        <f t="shared" si="6"/>
        <v>01/09/2021-30/09/2021</v>
      </c>
      <c r="B105" s="407">
        <f t="shared" si="7"/>
        <v>7089</v>
      </c>
      <c r="C105" s="410">
        <f t="shared" si="8"/>
        <v>19615</v>
      </c>
      <c r="D105" s="40" t="s">
        <v>176</v>
      </c>
      <c r="E105" s="471"/>
      <c r="F105" s="35"/>
    </row>
    <row r="106" spans="1:6" ht="15.6" x14ac:dyDescent="0.35">
      <c r="A106" s="43" t="str">
        <f t="shared" si="6"/>
        <v>01/10/2021-31/10/2021</v>
      </c>
      <c r="B106" s="407">
        <f t="shared" si="7"/>
        <v>7297</v>
      </c>
      <c r="C106" s="410">
        <f t="shared" si="8"/>
        <v>20053</v>
      </c>
      <c r="D106" s="40" t="s">
        <v>177</v>
      </c>
      <c r="E106" s="471"/>
      <c r="F106" s="35"/>
    </row>
    <row r="107" spans="1:6" ht="15.6" x14ac:dyDescent="0.35">
      <c r="A107" s="43" t="str">
        <f t="shared" si="6"/>
        <v>01/11/2021-30/11/2021</v>
      </c>
      <c r="B107" s="407">
        <f t="shared" si="7"/>
        <v>7034</v>
      </c>
      <c r="C107" s="410">
        <f t="shared" si="8"/>
        <v>19490</v>
      </c>
      <c r="D107" s="40" t="s">
        <v>177</v>
      </c>
      <c r="E107" s="471"/>
      <c r="F107" s="35"/>
    </row>
    <row r="108" spans="1:6" ht="15.6" x14ac:dyDescent="0.35">
      <c r="A108" s="43" t="str">
        <f t="shared" si="6"/>
        <v>01/12/2021-31/12/2021</v>
      </c>
      <c r="B108" s="407">
        <f t="shared" si="7"/>
        <v>7268</v>
      </c>
      <c r="C108" s="410">
        <f t="shared" si="8"/>
        <v>20092</v>
      </c>
      <c r="D108" s="40" t="s">
        <v>177</v>
      </c>
      <c r="E108" s="471"/>
      <c r="F108" s="35"/>
    </row>
    <row r="109" spans="1:6" ht="15.6" x14ac:dyDescent="0.35">
      <c r="A109" s="43" t="str">
        <f t="shared" si="6"/>
        <v>01/01/2022-31/01/2022</v>
      </c>
      <c r="B109" s="407">
        <f t="shared" si="7"/>
        <v>7197</v>
      </c>
      <c r="C109" s="410">
        <f t="shared" si="8"/>
        <v>20177</v>
      </c>
      <c r="D109" s="40" t="s">
        <v>177</v>
      </c>
      <c r="E109" s="471"/>
      <c r="F109" s="35"/>
    </row>
    <row r="110" spans="1:6" ht="15.6" x14ac:dyDescent="0.35">
      <c r="A110" s="43" t="str">
        <f t="shared" si="6"/>
        <v>01/02/2022-28/02/2022</v>
      </c>
      <c r="B110" s="407">
        <f t="shared" si="7"/>
        <v>6487</v>
      </c>
      <c r="C110" s="410">
        <f t="shared" si="8"/>
        <v>18239</v>
      </c>
      <c r="D110" s="40" t="s">
        <v>177</v>
      </c>
      <c r="E110" s="471"/>
      <c r="F110" s="35"/>
    </row>
    <row r="111" spans="1:6" ht="15.6" x14ac:dyDescent="0.35">
      <c r="A111" s="43" t="str">
        <f t="shared" si="6"/>
        <v>01/03/2022-31/03/2022</v>
      </c>
      <c r="B111" s="407">
        <f t="shared" si="7"/>
        <v>7282</v>
      </c>
      <c r="C111" s="410">
        <f t="shared" si="8"/>
        <v>20047</v>
      </c>
      <c r="D111" s="40" t="s">
        <v>177</v>
      </c>
      <c r="E111" s="471"/>
      <c r="F111" s="35"/>
    </row>
    <row r="112" spans="1:6" s="348" customFormat="1" ht="15.6" x14ac:dyDescent="0.35">
      <c r="A112" s="43" t="s">
        <v>342</v>
      </c>
      <c r="B112" s="407">
        <f t="shared" si="7"/>
        <v>7103</v>
      </c>
      <c r="C112" s="410">
        <f t="shared" si="8"/>
        <v>19481</v>
      </c>
      <c r="D112" s="40" t="s">
        <v>177</v>
      </c>
      <c r="E112" s="471"/>
      <c r="F112" s="35"/>
    </row>
    <row r="113" spans="1:6" s="348" customFormat="1" ht="15.6" x14ac:dyDescent="0.35">
      <c r="A113" s="43" t="s">
        <v>343</v>
      </c>
      <c r="B113" s="407">
        <f t="shared" si="7"/>
        <v>7268</v>
      </c>
      <c r="C113" s="410">
        <f t="shared" si="8"/>
        <v>20110</v>
      </c>
      <c r="D113" s="40" t="s">
        <v>177</v>
      </c>
      <c r="E113" s="471"/>
      <c r="F113" s="35"/>
    </row>
    <row r="114" spans="1:6" s="348" customFormat="1" ht="15.6" x14ac:dyDescent="0.35">
      <c r="A114" s="43" t="s">
        <v>344</v>
      </c>
      <c r="B114" s="407">
        <f t="shared" si="7"/>
        <v>7020</v>
      </c>
      <c r="C114" s="410">
        <f t="shared" si="8"/>
        <v>19458</v>
      </c>
      <c r="D114" s="40" t="s">
        <v>177</v>
      </c>
      <c r="E114" s="471"/>
      <c r="F114" s="35"/>
    </row>
    <row r="115" spans="1:6" ht="15.6" x14ac:dyDescent="0.35">
      <c r="A115" s="50" t="s">
        <v>150</v>
      </c>
      <c r="B115" s="481">
        <f>SUM(B97:C108)</f>
        <v>322483</v>
      </c>
      <c r="C115" s="481"/>
      <c r="D115" s="40" t="s">
        <v>176</v>
      </c>
      <c r="E115" s="471"/>
      <c r="F115" s="35"/>
    </row>
    <row r="116" spans="1:6" ht="15.6" x14ac:dyDescent="0.35">
      <c r="A116" s="50" t="s">
        <v>345</v>
      </c>
      <c r="B116" s="476">
        <f>SUM(B109:C114)</f>
        <v>159869</v>
      </c>
      <c r="C116" s="477"/>
      <c r="D116" s="40" t="s">
        <v>176</v>
      </c>
      <c r="E116" s="471"/>
      <c r="F116" s="35"/>
    </row>
    <row r="117" spans="1:6" ht="16.2" thickBot="1" x14ac:dyDescent="0.4">
      <c r="A117" s="51" t="s">
        <v>178</v>
      </c>
      <c r="B117" s="52">
        <f>B115+B116</f>
        <v>482352</v>
      </c>
      <c r="C117" s="52"/>
      <c r="D117" s="53" t="s">
        <v>176</v>
      </c>
      <c r="E117" s="480"/>
      <c r="F117" s="35"/>
    </row>
    <row r="118" spans="1:6" x14ac:dyDescent="0.25">
      <c r="D118" s="54"/>
    </row>
    <row r="119" spans="1:6" x14ac:dyDescent="0.25">
      <c r="A119" s="31" t="s">
        <v>36</v>
      </c>
      <c r="B119" s="28"/>
    </row>
    <row r="120" spans="1:6" x14ac:dyDescent="0.25">
      <c r="A120" s="478"/>
      <c r="B120" s="479"/>
      <c r="C120" s="479"/>
      <c r="D120" s="479"/>
      <c r="E120" s="55"/>
    </row>
    <row r="121" spans="1:6" x14ac:dyDescent="0.25">
      <c r="A121" s="56"/>
      <c r="E121" s="55"/>
    </row>
    <row r="122" spans="1:6" x14ac:dyDescent="0.25">
      <c r="A122" s="56"/>
    </row>
    <row r="123" spans="1:6" ht="16.95" customHeight="1" x14ac:dyDescent="0.25">
      <c r="A123" s="28" t="s">
        <v>8</v>
      </c>
      <c r="B123" s="28"/>
    </row>
    <row r="124" spans="1:6" ht="12.75" customHeight="1" x14ac:dyDescent="0.25">
      <c r="A124" s="56"/>
      <c r="B124" s="57"/>
      <c r="C124" s="57"/>
      <c r="D124" s="57"/>
      <c r="E124" s="55"/>
    </row>
    <row r="125" spans="1:6" ht="12.75" customHeight="1" x14ac:dyDescent="0.25">
      <c r="A125" s="56"/>
      <c r="B125" s="57"/>
      <c r="C125" s="57"/>
      <c r="D125" s="57"/>
      <c r="E125" s="55"/>
    </row>
    <row r="126" spans="1:6" ht="12.75" customHeight="1" x14ac:dyDescent="0.25">
      <c r="A126" s="56"/>
      <c r="B126" s="57"/>
      <c r="C126" s="57"/>
      <c r="D126" s="57"/>
      <c r="E126" s="58"/>
    </row>
    <row r="127" spans="1:6" ht="12.75" customHeight="1" x14ac:dyDescent="0.25">
      <c r="A127" s="56"/>
      <c r="B127" s="57"/>
      <c r="C127" s="57"/>
      <c r="D127" s="57"/>
      <c r="E127" s="55"/>
    </row>
    <row r="128" spans="1:6" ht="12.75" customHeight="1" x14ac:dyDescent="0.25">
      <c r="A128" s="56"/>
      <c r="B128" s="57"/>
      <c r="C128" s="57"/>
      <c r="D128" s="57"/>
      <c r="E128" s="55"/>
    </row>
    <row r="129" spans="1:5" ht="13.8" thickBot="1" x14ac:dyDescent="0.3"/>
    <row r="130" spans="1:5" x14ac:dyDescent="0.25">
      <c r="A130" s="59" t="s">
        <v>3</v>
      </c>
      <c r="B130" s="315" t="s">
        <v>9</v>
      </c>
      <c r="C130" s="315"/>
      <c r="D130" s="315" t="s">
        <v>2</v>
      </c>
      <c r="E130" s="316" t="s">
        <v>4</v>
      </c>
    </row>
    <row r="131" spans="1:5" x14ac:dyDescent="0.25">
      <c r="A131" s="61"/>
      <c r="B131" s="309" t="str">
        <f>B10</f>
        <v>Market Swine</v>
      </c>
      <c r="C131" s="309" t="str">
        <f>C10</f>
        <v>Breeding Swine</v>
      </c>
      <c r="D131" s="309"/>
      <c r="E131" s="320"/>
    </row>
    <row r="132" spans="1:5" ht="15.6" x14ac:dyDescent="0.35">
      <c r="A132" s="45" t="s">
        <v>179</v>
      </c>
      <c r="B132" s="359">
        <v>0</v>
      </c>
      <c r="C132" s="104">
        <v>0</v>
      </c>
      <c r="D132" s="310" t="s">
        <v>180</v>
      </c>
      <c r="E132" s="311" t="s">
        <v>37</v>
      </c>
    </row>
    <row r="133" spans="1:5" ht="15.6" x14ac:dyDescent="0.35">
      <c r="A133" s="45" t="s">
        <v>181</v>
      </c>
      <c r="B133" s="375">
        <f>0.42</f>
        <v>0.42</v>
      </c>
      <c r="C133" s="377">
        <v>0.24</v>
      </c>
      <c r="D133" s="310" t="s">
        <v>51</v>
      </c>
      <c r="E133" s="311" t="s">
        <v>70</v>
      </c>
    </row>
    <row r="134" spans="1:5" ht="13.8" x14ac:dyDescent="0.3">
      <c r="A134" s="45" t="s">
        <v>182</v>
      </c>
      <c r="B134" s="48"/>
      <c r="C134" s="48"/>
      <c r="D134" s="484" t="s">
        <v>72</v>
      </c>
      <c r="E134" s="493" t="s">
        <v>49</v>
      </c>
    </row>
    <row r="135" spans="1:5" x14ac:dyDescent="0.25">
      <c r="A135" s="43" t="str">
        <f t="shared" ref="A135:A149" si="9">A97</f>
        <v>01/01/2021-31/01/2021</v>
      </c>
      <c r="B135" s="372">
        <f>$B$133*$B$172/1000*B78</f>
        <v>0.36456</v>
      </c>
      <c r="C135" s="372">
        <f t="shared" ref="C135:C152" si="10">$C$133*$C$172/1000*C78</f>
        <v>0.20831999999999998</v>
      </c>
      <c r="D135" s="485"/>
      <c r="E135" s="494"/>
    </row>
    <row r="136" spans="1:5" x14ac:dyDescent="0.25">
      <c r="A136" s="43" t="str">
        <f t="shared" si="9"/>
        <v>01/02/2021-28/02/2021</v>
      </c>
      <c r="B136" s="372">
        <f t="shared" ref="B136:B152" si="11">$B$133*$B$172/1000*B79</f>
        <v>0.32928000000000002</v>
      </c>
      <c r="C136" s="372">
        <f t="shared" si="10"/>
        <v>0.18815999999999999</v>
      </c>
      <c r="D136" s="485"/>
      <c r="E136" s="494"/>
    </row>
    <row r="137" spans="1:5" x14ac:dyDescent="0.25">
      <c r="A137" s="43" t="str">
        <f t="shared" si="9"/>
        <v>01/03/2021-31/03/3021</v>
      </c>
      <c r="B137" s="372">
        <f t="shared" si="11"/>
        <v>0.36456</v>
      </c>
      <c r="C137" s="372">
        <f t="shared" si="10"/>
        <v>0.20831999999999998</v>
      </c>
      <c r="D137" s="485"/>
      <c r="E137" s="494"/>
    </row>
    <row r="138" spans="1:5" x14ac:dyDescent="0.25">
      <c r="A138" s="43" t="str">
        <f t="shared" si="9"/>
        <v>01/04/2021-30/04/2021</v>
      </c>
      <c r="B138" s="372">
        <f t="shared" si="11"/>
        <v>0.3528</v>
      </c>
      <c r="C138" s="372">
        <f t="shared" si="10"/>
        <v>0.20159999999999997</v>
      </c>
      <c r="D138" s="485"/>
      <c r="E138" s="494"/>
    </row>
    <row r="139" spans="1:5" x14ac:dyDescent="0.25">
      <c r="A139" s="43" t="str">
        <f t="shared" si="9"/>
        <v>01/05/2021-31/05/2021</v>
      </c>
      <c r="B139" s="372">
        <f t="shared" si="11"/>
        <v>0.36456</v>
      </c>
      <c r="C139" s="372">
        <f t="shared" si="10"/>
        <v>0.20831999999999998</v>
      </c>
      <c r="D139" s="485"/>
      <c r="E139" s="494"/>
    </row>
    <row r="140" spans="1:5" x14ac:dyDescent="0.25">
      <c r="A140" s="43" t="str">
        <f t="shared" si="9"/>
        <v>01/06/2021-30/06/2021</v>
      </c>
      <c r="B140" s="372">
        <f t="shared" si="11"/>
        <v>0.3528</v>
      </c>
      <c r="C140" s="372">
        <f t="shared" si="10"/>
        <v>0.20159999999999997</v>
      </c>
      <c r="D140" s="485"/>
      <c r="E140" s="494"/>
    </row>
    <row r="141" spans="1:5" x14ac:dyDescent="0.25">
      <c r="A141" s="43" t="str">
        <f t="shared" si="9"/>
        <v>01/07/2021-31/07/2021</v>
      </c>
      <c r="B141" s="372">
        <f t="shared" si="11"/>
        <v>0.36456</v>
      </c>
      <c r="C141" s="372">
        <f t="shared" si="10"/>
        <v>0.20831999999999998</v>
      </c>
      <c r="D141" s="485"/>
      <c r="E141" s="494"/>
    </row>
    <row r="142" spans="1:5" x14ac:dyDescent="0.25">
      <c r="A142" s="43" t="str">
        <f t="shared" si="9"/>
        <v>01/08/2021-31/08/2021</v>
      </c>
      <c r="B142" s="372">
        <f t="shared" si="11"/>
        <v>0.36456</v>
      </c>
      <c r="C142" s="372">
        <f t="shared" si="10"/>
        <v>0.20831999999999998</v>
      </c>
      <c r="D142" s="485"/>
      <c r="E142" s="494"/>
    </row>
    <row r="143" spans="1:5" x14ac:dyDescent="0.25">
      <c r="A143" s="43" t="str">
        <f t="shared" si="9"/>
        <v>01/09/2021-30/09/2021</v>
      </c>
      <c r="B143" s="372">
        <f t="shared" si="11"/>
        <v>0.3528</v>
      </c>
      <c r="C143" s="372">
        <f t="shared" si="10"/>
        <v>0.20159999999999997</v>
      </c>
      <c r="D143" s="485"/>
      <c r="E143" s="494"/>
    </row>
    <row r="144" spans="1:5" x14ac:dyDescent="0.25">
      <c r="A144" s="43" t="str">
        <f t="shared" si="9"/>
        <v>01/10/2021-31/10/2021</v>
      </c>
      <c r="B144" s="372">
        <f t="shared" si="11"/>
        <v>0.36456</v>
      </c>
      <c r="C144" s="372">
        <f t="shared" si="10"/>
        <v>0.20831999999999998</v>
      </c>
      <c r="D144" s="485"/>
      <c r="E144" s="494"/>
    </row>
    <row r="145" spans="1:5" x14ac:dyDescent="0.25">
      <c r="A145" s="43" t="str">
        <f t="shared" si="9"/>
        <v>01/11/2021-30/11/2021</v>
      </c>
      <c r="B145" s="372">
        <f t="shared" si="11"/>
        <v>0.3528</v>
      </c>
      <c r="C145" s="372">
        <f t="shared" si="10"/>
        <v>0.20159999999999997</v>
      </c>
      <c r="D145" s="485"/>
      <c r="E145" s="494"/>
    </row>
    <row r="146" spans="1:5" x14ac:dyDescent="0.25">
      <c r="A146" s="43" t="str">
        <f t="shared" si="9"/>
        <v>01/12/2021-31/12/2021</v>
      </c>
      <c r="B146" s="372">
        <f t="shared" si="11"/>
        <v>0.36456</v>
      </c>
      <c r="C146" s="372">
        <f t="shared" si="10"/>
        <v>0.20831999999999998</v>
      </c>
      <c r="D146" s="485"/>
      <c r="E146" s="494"/>
    </row>
    <row r="147" spans="1:5" x14ac:dyDescent="0.25">
      <c r="A147" s="43" t="str">
        <f t="shared" si="9"/>
        <v>01/01/2022-31/01/2022</v>
      </c>
      <c r="B147" s="372">
        <f t="shared" si="11"/>
        <v>0.36456</v>
      </c>
      <c r="C147" s="372">
        <f t="shared" si="10"/>
        <v>0.20831999999999998</v>
      </c>
      <c r="D147" s="485"/>
      <c r="E147" s="494"/>
    </row>
    <row r="148" spans="1:5" x14ac:dyDescent="0.25">
      <c r="A148" s="43" t="str">
        <f t="shared" si="9"/>
        <v>01/02/2022-28/02/2022</v>
      </c>
      <c r="B148" s="372">
        <f t="shared" si="11"/>
        <v>0.32928000000000002</v>
      </c>
      <c r="C148" s="372">
        <f t="shared" si="10"/>
        <v>0.18815999999999999</v>
      </c>
      <c r="D148" s="485"/>
      <c r="E148" s="494"/>
    </row>
    <row r="149" spans="1:5" x14ac:dyDescent="0.25">
      <c r="A149" s="43" t="str">
        <f t="shared" si="9"/>
        <v>01/03/2022-31/03/2022</v>
      </c>
      <c r="B149" s="372">
        <f t="shared" si="11"/>
        <v>0.36456</v>
      </c>
      <c r="C149" s="372">
        <f t="shared" si="10"/>
        <v>0.20831999999999998</v>
      </c>
      <c r="D149" s="485"/>
      <c r="E149" s="494"/>
    </row>
    <row r="150" spans="1:5" s="348" customFormat="1" x14ac:dyDescent="0.25">
      <c r="A150" s="43" t="s">
        <v>342</v>
      </c>
      <c r="B150" s="372">
        <f t="shared" si="11"/>
        <v>0.3528</v>
      </c>
      <c r="C150" s="372">
        <f t="shared" si="10"/>
        <v>0.20159999999999997</v>
      </c>
      <c r="D150" s="485"/>
      <c r="E150" s="494"/>
    </row>
    <row r="151" spans="1:5" s="348" customFormat="1" x14ac:dyDescent="0.25">
      <c r="A151" s="43" t="s">
        <v>343</v>
      </c>
      <c r="B151" s="372">
        <f t="shared" si="11"/>
        <v>0.36456</v>
      </c>
      <c r="C151" s="372">
        <f t="shared" si="10"/>
        <v>0.20831999999999998</v>
      </c>
      <c r="D151" s="485"/>
      <c r="E151" s="494"/>
    </row>
    <row r="152" spans="1:5" s="348" customFormat="1" x14ac:dyDescent="0.25">
      <c r="A152" s="43" t="s">
        <v>344</v>
      </c>
      <c r="B152" s="372">
        <f t="shared" si="11"/>
        <v>0.3528</v>
      </c>
      <c r="C152" s="372">
        <f t="shared" si="10"/>
        <v>0.20159999999999997</v>
      </c>
      <c r="D152" s="486"/>
      <c r="E152" s="495"/>
    </row>
    <row r="153" spans="1:5" ht="13.8" x14ac:dyDescent="0.3">
      <c r="A153" s="45" t="s">
        <v>170</v>
      </c>
      <c r="B153" s="64"/>
      <c r="C153" s="64"/>
      <c r="D153" s="484" t="s">
        <v>5</v>
      </c>
      <c r="E153" s="493" t="str">
        <f>E36</f>
        <v>Weight record</v>
      </c>
    </row>
    <row r="154" spans="1:5" x14ac:dyDescent="0.25">
      <c r="A154" s="43" t="str">
        <f t="shared" ref="A154:A168" si="12">A135</f>
        <v>01/01/2021-31/01/2021</v>
      </c>
      <c r="B154" s="374">
        <f>'monitoring results'!D4</f>
        <v>50.7</v>
      </c>
      <c r="C154" s="374">
        <f>'monitoring results'!E4</f>
        <v>81.099999999999994</v>
      </c>
      <c r="D154" s="485"/>
      <c r="E154" s="494"/>
    </row>
    <row r="155" spans="1:5" x14ac:dyDescent="0.25">
      <c r="A155" s="43" t="str">
        <f t="shared" si="12"/>
        <v>01/02/2021-28/02/2021</v>
      </c>
      <c r="B155" s="374">
        <f>'monitoring results'!D5</f>
        <v>51.2</v>
      </c>
      <c r="C155" s="374">
        <f>'monitoring results'!E5</f>
        <v>82.660000000000011</v>
      </c>
      <c r="D155" s="485"/>
      <c r="E155" s="494"/>
    </row>
    <row r="156" spans="1:5" x14ac:dyDescent="0.25">
      <c r="A156" s="43" t="str">
        <f t="shared" si="12"/>
        <v>01/03/2021-31/03/3021</v>
      </c>
      <c r="B156" s="374">
        <f>'monitoring results'!D6</f>
        <v>51.2</v>
      </c>
      <c r="C156" s="374">
        <f>'monitoring results'!E6</f>
        <v>82.02000000000001</v>
      </c>
      <c r="D156" s="485"/>
      <c r="E156" s="494"/>
    </row>
    <row r="157" spans="1:5" x14ac:dyDescent="0.25">
      <c r="A157" s="43" t="str">
        <f t="shared" si="12"/>
        <v>01/04/2021-30/04/2021</v>
      </c>
      <c r="B157" s="374">
        <f>'monitoring results'!D7</f>
        <v>50.8</v>
      </c>
      <c r="C157" s="374">
        <f>'monitoring results'!E7</f>
        <v>82.11</v>
      </c>
      <c r="D157" s="485"/>
      <c r="E157" s="494"/>
    </row>
    <row r="158" spans="1:5" x14ac:dyDescent="0.25">
      <c r="A158" s="43" t="str">
        <f t="shared" si="12"/>
        <v>01/05/2021-31/05/2021</v>
      </c>
      <c r="B158" s="374">
        <f>'monitoring results'!D8</f>
        <v>51.2</v>
      </c>
      <c r="C158" s="374">
        <f>'monitoring results'!E8</f>
        <v>82.300000000000011</v>
      </c>
      <c r="D158" s="485"/>
      <c r="E158" s="494"/>
    </row>
    <row r="159" spans="1:5" x14ac:dyDescent="0.25">
      <c r="A159" s="43" t="str">
        <f t="shared" si="12"/>
        <v>01/06/2021-30/06/2021</v>
      </c>
      <c r="B159" s="374">
        <f>'monitoring results'!D9</f>
        <v>51.5</v>
      </c>
      <c r="C159" s="374">
        <f>'monitoring results'!E9</f>
        <v>82.2</v>
      </c>
      <c r="D159" s="485"/>
      <c r="E159" s="494"/>
    </row>
    <row r="160" spans="1:5" x14ac:dyDescent="0.25">
      <c r="A160" s="43" t="str">
        <f t="shared" si="12"/>
        <v>01/07/2021-31/07/2021</v>
      </c>
      <c r="B160" s="374">
        <f>'monitoring results'!D10</f>
        <v>51.4</v>
      </c>
      <c r="C160" s="374">
        <f>'monitoring results'!E10</f>
        <v>82.570000000000007</v>
      </c>
      <c r="D160" s="485"/>
      <c r="E160" s="494"/>
    </row>
    <row r="161" spans="1:5" x14ac:dyDescent="0.25">
      <c r="A161" s="43" t="str">
        <f t="shared" si="12"/>
        <v>01/08/2021-31/08/2021</v>
      </c>
      <c r="B161" s="374">
        <f>'monitoring results'!D11</f>
        <v>51</v>
      </c>
      <c r="C161" s="374">
        <f>'monitoring results'!E11</f>
        <v>82.300000000000011</v>
      </c>
      <c r="D161" s="485"/>
      <c r="E161" s="494"/>
    </row>
    <row r="162" spans="1:5" x14ac:dyDescent="0.25">
      <c r="A162" s="43" t="str">
        <f t="shared" si="12"/>
        <v>01/09/2021-30/09/2021</v>
      </c>
      <c r="B162" s="374">
        <f>'monitoring results'!D12</f>
        <v>51.3</v>
      </c>
      <c r="C162" s="374">
        <f>'monitoring results'!E12</f>
        <v>82.850000000000009</v>
      </c>
      <c r="D162" s="485"/>
      <c r="E162" s="494"/>
    </row>
    <row r="163" spans="1:5" x14ac:dyDescent="0.25">
      <c r="A163" s="43" t="str">
        <f t="shared" si="12"/>
        <v>01/10/2021-31/10/2021</v>
      </c>
      <c r="B163" s="374">
        <f>'monitoring results'!D13</f>
        <v>51.1</v>
      </c>
      <c r="C163" s="374">
        <f>'monitoring results'!E13</f>
        <v>82.2</v>
      </c>
      <c r="D163" s="485"/>
      <c r="E163" s="494"/>
    </row>
    <row r="164" spans="1:5" x14ac:dyDescent="0.25">
      <c r="A164" s="43" t="str">
        <f t="shared" si="12"/>
        <v>01/11/2021-30/11/2021</v>
      </c>
      <c r="B164" s="374">
        <f>'monitoring results'!D14</f>
        <v>50.9</v>
      </c>
      <c r="C164" s="374">
        <f>'monitoring results'!E14</f>
        <v>82.570000000000007</v>
      </c>
      <c r="D164" s="485"/>
      <c r="E164" s="494"/>
    </row>
    <row r="165" spans="1:5" x14ac:dyDescent="0.25">
      <c r="A165" s="43" t="str">
        <f t="shared" si="12"/>
        <v>01/12/2021-31/12/2021</v>
      </c>
      <c r="B165" s="374">
        <f>'monitoring results'!D15</f>
        <v>50.9</v>
      </c>
      <c r="C165" s="374">
        <f>'monitoring results'!E15</f>
        <v>82.2</v>
      </c>
      <c r="D165" s="485"/>
      <c r="E165" s="494"/>
    </row>
    <row r="166" spans="1:5" x14ac:dyDescent="0.25">
      <c r="A166" s="43" t="str">
        <f t="shared" si="12"/>
        <v>01/01/2022-31/01/2022</v>
      </c>
      <c r="B166" s="374">
        <f>'monitoring results'!D16</f>
        <v>50.4</v>
      </c>
      <c r="C166" s="374">
        <f>'monitoring results'!E16</f>
        <v>82.48</v>
      </c>
      <c r="D166" s="485"/>
      <c r="E166" s="494"/>
    </row>
    <row r="167" spans="1:5" x14ac:dyDescent="0.25">
      <c r="A167" s="43" t="str">
        <f t="shared" si="12"/>
        <v>01/02/2022-28/02/2022</v>
      </c>
      <c r="B167" s="374">
        <f>'monitoring results'!D17</f>
        <v>50.3</v>
      </c>
      <c r="C167" s="374">
        <f>'monitoring results'!E17</f>
        <v>82.570000000000007</v>
      </c>
      <c r="D167" s="485"/>
      <c r="E167" s="494"/>
    </row>
    <row r="168" spans="1:5" x14ac:dyDescent="0.25">
      <c r="A168" s="43" t="str">
        <f t="shared" si="12"/>
        <v>01/03/2022-31/03/2022</v>
      </c>
      <c r="B168" s="374">
        <f>'monitoring results'!D18</f>
        <v>51</v>
      </c>
      <c r="C168" s="374">
        <f>'monitoring results'!E18</f>
        <v>81.93</v>
      </c>
      <c r="D168" s="485"/>
      <c r="E168" s="494"/>
    </row>
    <row r="169" spans="1:5" s="348" customFormat="1" x14ac:dyDescent="0.25">
      <c r="A169" s="43" t="s">
        <v>342</v>
      </c>
      <c r="B169" s="374">
        <f>'monitoring results'!D19</f>
        <v>51.4</v>
      </c>
      <c r="C169" s="374">
        <f>'monitoring results'!E19</f>
        <v>82.39</v>
      </c>
      <c r="D169" s="485"/>
      <c r="E169" s="494"/>
    </row>
    <row r="170" spans="1:5" s="348" customFormat="1" x14ac:dyDescent="0.25">
      <c r="A170" s="43" t="s">
        <v>343</v>
      </c>
      <c r="B170" s="374">
        <f>'monitoring results'!D20</f>
        <v>50.9</v>
      </c>
      <c r="C170" s="374">
        <f>'monitoring results'!E20</f>
        <v>82.2</v>
      </c>
      <c r="D170" s="485"/>
      <c r="E170" s="494"/>
    </row>
    <row r="171" spans="1:5" s="348" customFormat="1" x14ac:dyDescent="0.25">
      <c r="A171" s="43" t="s">
        <v>344</v>
      </c>
      <c r="B171" s="374">
        <f>'monitoring results'!D21</f>
        <v>50.8</v>
      </c>
      <c r="C171" s="374">
        <f>'monitoring results'!E21</f>
        <v>82.300000000000011</v>
      </c>
      <c r="D171" s="486"/>
      <c r="E171" s="495"/>
    </row>
    <row r="172" spans="1:5" x14ac:dyDescent="0.25">
      <c r="A172" s="45" t="s">
        <v>69</v>
      </c>
      <c r="B172" s="374">
        <v>28</v>
      </c>
      <c r="C172" s="374">
        <v>28</v>
      </c>
      <c r="D172" s="310" t="s">
        <v>5</v>
      </c>
      <c r="E172" s="331" t="s">
        <v>47</v>
      </c>
    </row>
    <row r="173" spans="1:5" ht="13.8" x14ac:dyDescent="0.3">
      <c r="A173" s="45" t="s">
        <v>183</v>
      </c>
      <c r="B173" s="375">
        <v>28</v>
      </c>
      <c r="C173" s="376">
        <v>28</v>
      </c>
      <c r="D173" s="310" t="s">
        <v>5</v>
      </c>
      <c r="E173" s="331" t="s">
        <v>47</v>
      </c>
    </row>
    <row r="174" spans="1:5" ht="15.6" x14ac:dyDescent="0.35">
      <c r="A174" s="45" t="s">
        <v>184</v>
      </c>
      <c r="B174" s="48"/>
      <c r="C174" s="48"/>
      <c r="D174" s="91"/>
      <c r="E174" s="332"/>
    </row>
    <row r="175" spans="1:5" x14ac:dyDescent="0.25">
      <c r="A175" s="43" t="str">
        <f t="shared" ref="A175:A189" si="13">A154</f>
        <v>01/01/2021-31/01/2021</v>
      </c>
      <c r="B175" s="372">
        <f>(B154/$B$173)*B135</f>
        <v>0.66011399999999998</v>
      </c>
      <c r="C175" s="372">
        <f t="shared" ref="C175:C192" si="14">(C154/$C$173)*C135</f>
        <v>0.60338399999999992</v>
      </c>
      <c r="D175" s="463" t="s">
        <v>347</v>
      </c>
      <c r="E175" s="463" t="s">
        <v>348</v>
      </c>
    </row>
    <row r="176" spans="1:5" x14ac:dyDescent="0.25">
      <c r="A176" s="43" t="str">
        <f t="shared" si="13"/>
        <v>01/02/2021-28/02/2021</v>
      </c>
      <c r="B176" s="372">
        <f t="shared" ref="B176:B192" si="15">(B155/$B$173)*B136</f>
        <v>0.60211200000000009</v>
      </c>
      <c r="C176" s="372">
        <f t="shared" si="14"/>
        <v>0.55547520000000006</v>
      </c>
      <c r="D176" s="463"/>
      <c r="E176" s="463"/>
    </row>
    <row r="177" spans="1:5" x14ac:dyDescent="0.25">
      <c r="A177" s="43" t="str">
        <f t="shared" si="13"/>
        <v>01/03/2021-31/03/3021</v>
      </c>
      <c r="B177" s="372">
        <f t="shared" si="15"/>
        <v>0.66662400000000011</v>
      </c>
      <c r="C177" s="372">
        <f t="shared" si="14"/>
        <v>0.61022880000000002</v>
      </c>
      <c r="D177" s="463"/>
      <c r="E177" s="463"/>
    </row>
    <row r="178" spans="1:5" x14ac:dyDescent="0.25">
      <c r="A178" s="43" t="str">
        <f t="shared" si="13"/>
        <v>01/04/2021-30/04/2021</v>
      </c>
      <c r="B178" s="372">
        <f t="shared" si="15"/>
        <v>0.64007999999999998</v>
      </c>
      <c r="C178" s="372">
        <f t="shared" si="14"/>
        <v>0.59119199999999994</v>
      </c>
      <c r="D178" s="463"/>
      <c r="E178" s="463"/>
    </row>
    <row r="179" spans="1:5" x14ac:dyDescent="0.25">
      <c r="A179" s="43" t="str">
        <f t="shared" si="13"/>
        <v>01/05/2021-31/05/2021</v>
      </c>
      <c r="B179" s="372">
        <f t="shared" si="15"/>
        <v>0.66662400000000011</v>
      </c>
      <c r="C179" s="372">
        <f t="shared" si="14"/>
        <v>0.61231199999999997</v>
      </c>
      <c r="D179" s="463"/>
      <c r="E179" s="463"/>
    </row>
    <row r="180" spans="1:5" x14ac:dyDescent="0.25">
      <c r="A180" s="43" t="str">
        <f t="shared" si="13"/>
        <v>01/06/2021-30/06/2021</v>
      </c>
      <c r="B180" s="372">
        <f t="shared" si="15"/>
        <v>0.64889999999999992</v>
      </c>
      <c r="C180" s="372">
        <f t="shared" si="14"/>
        <v>0.59183999999999992</v>
      </c>
      <c r="D180" s="463"/>
      <c r="E180" s="463"/>
    </row>
    <row r="181" spans="1:5" x14ac:dyDescent="0.25">
      <c r="A181" s="43" t="str">
        <f t="shared" si="13"/>
        <v>01/07/2021-31/07/2021</v>
      </c>
      <c r="B181" s="372">
        <f t="shared" si="15"/>
        <v>0.66922799999999993</v>
      </c>
      <c r="C181" s="372">
        <f t="shared" si="14"/>
        <v>0.6143208</v>
      </c>
      <c r="D181" s="463"/>
      <c r="E181" s="463"/>
    </row>
    <row r="182" spans="1:5" x14ac:dyDescent="0.25">
      <c r="A182" s="43" t="str">
        <f t="shared" si="13"/>
        <v>01/08/2021-31/08/2021</v>
      </c>
      <c r="B182" s="372">
        <f t="shared" si="15"/>
        <v>0.66401999999999994</v>
      </c>
      <c r="C182" s="372">
        <f t="shared" si="14"/>
        <v>0.61231199999999997</v>
      </c>
      <c r="D182" s="463"/>
      <c r="E182" s="463"/>
    </row>
    <row r="183" spans="1:5" x14ac:dyDescent="0.25">
      <c r="A183" s="43" t="str">
        <f t="shared" si="13"/>
        <v>01/09/2021-30/09/2021</v>
      </c>
      <c r="B183" s="372">
        <f t="shared" si="15"/>
        <v>0.64637999999999995</v>
      </c>
      <c r="C183" s="372">
        <f t="shared" si="14"/>
        <v>0.59652000000000005</v>
      </c>
      <c r="D183" s="463"/>
      <c r="E183" s="463"/>
    </row>
    <row r="184" spans="1:5" x14ac:dyDescent="0.25">
      <c r="A184" s="43" t="str">
        <f t="shared" si="13"/>
        <v>01/10/2021-31/10/2021</v>
      </c>
      <c r="B184" s="372">
        <f t="shared" si="15"/>
        <v>0.66532199999999997</v>
      </c>
      <c r="C184" s="372">
        <f t="shared" si="14"/>
        <v>0.611568</v>
      </c>
      <c r="D184" s="463"/>
      <c r="E184" s="463"/>
    </row>
    <row r="185" spans="1:5" x14ac:dyDescent="0.25">
      <c r="A185" s="43" t="str">
        <f t="shared" si="13"/>
        <v>01/11/2021-30/11/2021</v>
      </c>
      <c r="B185" s="372">
        <f t="shared" si="15"/>
        <v>0.64134000000000002</v>
      </c>
      <c r="C185" s="372">
        <f t="shared" si="14"/>
        <v>0.59450399999999992</v>
      </c>
      <c r="D185" s="463"/>
      <c r="E185" s="463"/>
    </row>
    <row r="186" spans="1:5" x14ac:dyDescent="0.25">
      <c r="A186" s="43" t="str">
        <f t="shared" si="13"/>
        <v>01/12/2021-31/12/2021</v>
      </c>
      <c r="B186" s="372">
        <f t="shared" si="15"/>
        <v>0.66271800000000003</v>
      </c>
      <c r="C186" s="372">
        <f t="shared" si="14"/>
        <v>0.611568</v>
      </c>
      <c r="D186" s="463"/>
      <c r="E186" s="463"/>
    </row>
    <row r="187" spans="1:5" x14ac:dyDescent="0.25">
      <c r="A187" s="43" t="str">
        <f t="shared" si="13"/>
        <v>01/01/2022-31/01/2022</v>
      </c>
      <c r="B187" s="372">
        <f t="shared" si="15"/>
        <v>0.65620800000000001</v>
      </c>
      <c r="C187" s="372">
        <f t="shared" si="14"/>
        <v>0.61365119999999995</v>
      </c>
      <c r="D187" s="463"/>
      <c r="E187" s="463"/>
    </row>
    <row r="188" spans="1:5" x14ac:dyDescent="0.25">
      <c r="A188" s="43" t="str">
        <f t="shared" si="13"/>
        <v>01/02/2022-28/02/2022</v>
      </c>
      <c r="B188" s="372">
        <f t="shared" si="15"/>
        <v>0.59152799999999994</v>
      </c>
      <c r="C188" s="372">
        <f t="shared" si="14"/>
        <v>0.55487039999999999</v>
      </c>
      <c r="D188" s="463"/>
      <c r="E188" s="463"/>
    </row>
    <row r="189" spans="1:5" x14ac:dyDescent="0.25">
      <c r="A189" s="43" t="str">
        <f t="shared" si="13"/>
        <v>01/03/2022-31/03/2022</v>
      </c>
      <c r="B189" s="372">
        <f t="shared" si="15"/>
        <v>0.66401999999999994</v>
      </c>
      <c r="C189" s="372">
        <f t="shared" si="14"/>
        <v>0.60955919999999997</v>
      </c>
      <c r="D189" s="463"/>
      <c r="E189" s="463"/>
    </row>
    <row r="190" spans="1:5" s="348" customFormat="1" x14ac:dyDescent="0.25">
      <c r="A190" s="43" t="s">
        <v>342</v>
      </c>
      <c r="B190" s="372">
        <f t="shared" si="15"/>
        <v>0.64763999999999999</v>
      </c>
      <c r="C190" s="372">
        <f t="shared" si="14"/>
        <v>0.59320799999999985</v>
      </c>
      <c r="D190" s="463"/>
      <c r="E190" s="463"/>
    </row>
    <row r="191" spans="1:5" s="348" customFormat="1" x14ac:dyDescent="0.25">
      <c r="A191" s="43" t="s">
        <v>343</v>
      </c>
      <c r="B191" s="372">
        <f t="shared" si="15"/>
        <v>0.66271800000000003</v>
      </c>
      <c r="C191" s="372">
        <f t="shared" si="14"/>
        <v>0.611568</v>
      </c>
      <c r="D191" s="463"/>
      <c r="E191" s="463"/>
    </row>
    <row r="192" spans="1:5" s="348" customFormat="1" x14ac:dyDescent="0.25">
      <c r="A192" s="43" t="s">
        <v>344</v>
      </c>
      <c r="B192" s="372">
        <f t="shared" si="15"/>
        <v>0.64007999999999998</v>
      </c>
      <c r="C192" s="372">
        <f t="shared" si="14"/>
        <v>0.59255999999999998</v>
      </c>
      <c r="D192" s="463"/>
      <c r="E192" s="463"/>
    </row>
    <row r="193" spans="1:5" ht="13.5" customHeight="1" x14ac:dyDescent="0.3">
      <c r="A193" s="65" t="s">
        <v>185</v>
      </c>
      <c r="B193" s="42"/>
      <c r="C193" s="42"/>
      <c r="D193" s="484" t="str">
        <f>D17</f>
        <v>No of heads</v>
      </c>
      <c r="E193" s="490" t="str">
        <f>E17</f>
        <v>calculated as equatoin 5 in MR, of which NLT for marke swine and breeding swine is sourced from  "market swine production record" and " Breeding Pig stock record"</v>
      </c>
    </row>
    <row r="194" spans="1:5" x14ac:dyDescent="0.25">
      <c r="A194" s="43" t="str">
        <f t="shared" ref="A194:A208" si="16">A175</f>
        <v>01/01/2021-31/01/2021</v>
      </c>
      <c r="B194" s="361">
        <f>'monitoring results'!B4</f>
        <v>112096</v>
      </c>
      <c r="C194" s="361">
        <f>'monitoring results'!C4</f>
        <v>191546</v>
      </c>
      <c r="D194" s="485"/>
      <c r="E194" s="491"/>
    </row>
    <row r="195" spans="1:5" x14ac:dyDescent="0.25">
      <c r="A195" s="43" t="str">
        <f t="shared" si="16"/>
        <v>01/02/2021-28/02/2021</v>
      </c>
      <c r="B195" s="361">
        <f>'monitoring results'!B5</f>
        <v>112096</v>
      </c>
      <c r="C195" s="361">
        <f>'monitoring results'!C5</f>
        <v>192112</v>
      </c>
      <c r="D195" s="485"/>
      <c r="E195" s="491"/>
    </row>
    <row r="196" spans="1:5" x14ac:dyDescent="0.25">
      <c r="A196" s="43" t="str">
        <f t="shared" si="16"/>
        <v>01/03/2021-31/03/3021</v>
      </c>
      <c r="B196" s="361">
        <f>'monitoring results'!B6</f>
        <v>112096</v>
      </c>
      <c r="C196" s="361">
        <f>'monitoring results'!C6</f>
        <v>191422</v>
      </c>
      <c r="D196" s="485"/>
      <c r="E196" s="491"/>
    </row>
    <row r="197" spans="1:5" x14ac:dyDescent="0.25">
      <c r="A197" s="43" t="str">
        <f t="shared" si="16"/>
        <v>01/04/2021-30/04/2021</v>
      </c>
      <c r="B197" s="361">
        <f>'monitoring results'!B7</f>
        <v>112096</v>
      </c>
      <c r="C197" s="361">
        <f>'monitoring results'!C7</f>
        <v>192144</v>
      </c>
      <c r="D197" s="485"/>
      <c r="E197" s="491"/>
    </row>
    <row r="198" spans="1:5" x14ac:dyDescent="0.25">
      <c r="A198" s="43" t="str">
        <f t="shared" si="16"/>
        <v>01/05/2021-31/05/2021</v>
      </c>
      <c r="B198" s="361">
        <f>'monitoring results'!B8</f>
        <v>112096</v>
      </c>
      <c r="C198" s="361">
        <f>'monitoring results'!C8</f>
        <v>191903</v>
      </c>
      <c r="D198" s="485"/>
      <c r="E198" s="491"/>
    </row>
    <row r="199" spans="1:5" x14ac:dyDescent="0.25">
      <c r="A199" s="43" t="str">
        <f t="shared" si="16"/>
        <v>01/06/2021-30/06/2021</v>
      </c>
      <c r="B199" s="361">
        <f>'monitoring results'!B9</f>
        <v>112096</v>
      </c>
      <c r="C199" s="361">
        <f>'monitoring results'!C9</f>
        <v>191653</v>
      </c>
      <c r="D199" s="485"/>
      <c r="E199" s="491"/>
    </row>
    <row r="200" spans="1:5" x14ac:dyDescent="0.25">
      <c r="A200" s="43" t="str">
        <f t="shared" si="16"/>
        <v>01/07/2021-31/07/2021</v>
      </c>
      <c r="B200" s="361">
        <f>'monitoring results'!B10</f>
        <v>112096</v>
      </c>
      <c r="C200" s="361">
        <f>'monitoring results'!C10</f>
        <v>191783</v>
      </c>
      <c r="D200" s="485"/>
      <c r="E200" s="491"/>
    </row>
    <row r="201" spans="1:5" x14ac:dyDescent="0.25">
      <c r="A201" s="43" t="str">
        <f t="shared" si="16"/>
        <v>01/08/2021-31/08/2021</v>
      </c>
      <c r="B201" s="361">
        <f>'monitoring results'!B11</f>
        <v>112096</v>
      </c>
      <c r="C201" s="361">
        <f>'monitoring results'!C11</f>
        <v>191682</v>
      </c>
      <c r="D201" s="485"/>
      <c r="E201" s="491"/>
    </row>
    <row r="202" spans="1:5" x14ac:dyDescent="0.25">
      <c r="A202" s="43" t="str">
        <f t="shared" si="16"/>
        <v>01/09/2021-30/09/2021</v>
      </c>
      <c r="B202" s="361">
        <f>'monitoring results'!B12</f>
        <v>112096</v>
      </c>
      <c r="C202" s="361">
        <f>'monitoring results'!C12</f>
        <v>192049</v>
      </c>
      <c r="D202" s="485"/>
      <c r="E202" s="491"/>
    </row>
    <row r="203" spans="1:5" x14ac:dyDescent="0.25">
      <c r="A203" s="43" t="str">
        <f t="shared" si="16"/>
        <v>01/10/2021-31/10/2021</v>
      </c>
      <c r="B203" s="361">
        <f>'monitoring results'!B13</f>
        <v>112096</v>
      </c>
      <c r="C203" s="361">
        <f>'monitoring results'!C13</f>
        <v>191505</v>
      </c>
      <c r="D203" s="485"/>
      <c r="E203" s="491"/>
    </row>
    <row r="204" spans="1:5" x14ac:dyDescent="0.25">
      <c r="A204" s="43" t="str">
        <f t="shared" si="16"/>
        <v>01/11/2021-30/11/2021</v>
      </c>
      <c r="B204" s="361">
        <f>'monitoring results'!B14</f>
        <v>112096</v>
      </c>
      <c r="C204" s="361">
        <f>'monitoring results'!C14</f>
        <v>191467</v>
      </c>
      <c r="D204" s="485"/>
      <c r="E204" s="491"/>
    </row>
    <row r="205" spans="1:5" x14ac:dyDescent="0.25">
      <c r="A205" s="43" t="str">
        <f t="shared" si="16"/>
        <v>01/12/2021-31/12/2021</v>
      </c>
      <c r="B205" s="361">
        <f>'monitoring results'!B15</f>
        <v>112096</v>
      </c>
      <c r="C205" s="361">
        <f>'monitoring results'!C15</f>
        <v>191877</v>
      </c>
      <c r="D205" s="485"/>
      <c r="E205" s="491"/>
    </row>
    <row r="206" spans="1:5" x14ac:dyDescent="0.25">
      <c r="A206" s="43" t="str">
        <f t="shared" si="16"/>
        <v>01/01/2022-31/01/2022</v>
      </c>
      <c r="B206" s="361">
        <f>'monitoring results'!B16</f>
        <v>112096</v>
      </c>
      <c r="C206" s="361">
        <f>'monitoring results'!C16</f>
        <v>192033</v>
      </c>
      <c r="D206" s="485"/>
      <c r="E206" s="491"/>
    </row>
    <row r="207" spans="1:5" x14ac:dyDescent="0.25">
      <c r="A207" s="43" t="str">
        <f t="shared" si="16"/>
        <v>01/02/2022-28/02/2022</v>
      </c>
      <c r="B207" s="361">
        <f>'monitoring results'!B17</f>
        <v>112096</v>
      </c>
      <c r="C207" s="361">
        <f>'monitoring results'!C17</f>
        <v>191973</v>
      </c>
      <c r="D207" s="485"/>
      <c r="E207" s="491"/>
    </row>
    <row r="208" spans="1:5" x14ac:dyDescent="0.25">
      <c r="A208" s="43" t="str">
        <f t="shared" si="16"/>
        <v>01/03/2022-31/03/2022</v>
      </c>
      <c r="B208" s="361">
        <f>'monitoring results'!B18</f>
        <v>112096</v>
      </c>
      <c r="C208" s="361">
        <f>'monitoring results'!C18</f>
        <v>192076</v>
      </c>
      <c r="D208" s="485"/>
      <c r="E208" s="491"/>
    </row>
    <row r="209" spans="1:5" s="348" customFormat="1" x14ac:dyDescent="0.25">
      <c r="A209" s="43" t="s">
        <v>342</v>
      </c>
      <c r="B209" s="361">
        <f>'monitoring results'!B19</f>
        <v>112096</v>
      </c>
      <c r="C209" s="361">
        <f>'monitoring results'!C19</f>
        <v>191796</v>
      </c>
      <c r="D209" s="485"/>
      <c r="E209" s="491"/>
    </row>
    <row r="210" spans="1:5" s="348" customFormat="1" x14ac:dyDescent="0.25">
      <c r="A210" s="43" t="s">
        <v>343</v>
      </c>
      <c r="B210" s="361">
        <f>'monitoring results'!B20</f>
        <v>112096</v>
      </c>
      <c r="C210" s="361">
        <f>'monitoring results'!C20</f>
        <v>192046</v>
      </c>
      <c r="D210" s="485"/>
      <c r="E210" s="491"/>
    </row>
    <row r="211" spans="1:5" s="348" customFormat="1" x14ac:dyDescent="0.25">
      <c r="A211" s="43" t="s">
        <v>344</v>
      </c>
      <c r="B211" s="361">
        <f>'monitoring results'!B21</f>
        <v>112096</v>
      </c>
      <c r="C211" s="361">
        <f>'monitoring results'!C21</f>
        <v>191783</v>
      </c>
      <c r="D211" s="486"/>
      <c r="E211" s="492"/>
    </row>
    <row r="212" spans="1:5" ht="13.8" x14ac:dyDescent="0.3">
      <c r="A212" s="38" t="s">
        <v>174</v>
      </c>
      <c r="B212" s="373">
        <f>B76</f>
        <v>1</v>
      </c>
      <c r="C212" s="373">
        <f>C76</f>
        <v>1</v>
      </c>
      <c r="D212" s="310" t="str">
        <f>D76</f>
        <v>%</v>
      </c>
      <c r="E212" s="331" t="s">
        <v>27</v>
      </c>
    </row>
    <row r="213" spans="1:5" ht="15.6" x14ac:dyDescent="0.35">
      <c r="A213" s="66" t="s">
        <v>186</v>
      </c>
      <c r="B213" s="309"/>
      <c r="C213" s="309"/>
      <c r="D213" s="310"/>
      <c r="E213" s="333"/>
    </row>
    <row r="214" spans="1:5" ht="13.05" customHeight="1" x14ac:dyDescent="0.25">
      <c r="A214" s="43" t="str">
        <f t="shared" ref="A214:A228" si="17">A194</f>
        <v>01/01/2021-31/01/2021</v>
      </c>
      <c r="B214" s="310">
        <f t="shared" ref="B214:B231" si="18">ROUNDDOWN($B$132*B175*B194*$B$212,0)</f>
        <v>0</v>
      </c>
      <c r="C214" s="343">
        <f t="shared" ref="C214:C231" si="19">ROUNDDOWN($C$132*C175*C194*$C$212,0)</f>
        <v>0</v>
      </c>
      <c r="D214" s="484" t="s">
        <v>350</v>
      </c>
      <c r="E214" s="488" t="s">
        <v>346</v>
      </c>
    </row>
    <row r="215" spans="1:5" ht="13.05" customHeight="1" x14ac:dyDescent="0.25">
      <c r="A215" s="43" t="str">
        <f t="shared" si="17"/>
        <v>01/02/2021-28/02/2021</v>
      </c>
      <c r="B215" s="310">
        <f t="shared" si="18"/>
        <v>0</v>
      </c>
      <c r="C215" s="343">
        <f t="shared" si="19"/>
        <v>0</v>
      </c>
      <c r="D215" s="485"/>
      <c r="E215" s="488"/>
    </row>
    <row r="216" spans="1:5" ht="13.05" customHeight="1" x14ac:dyDescent="0.25">
      <c r="A216" s="43" t="str">
        <f t="shared" si="17"/>
        <v>01/03/2021-31/03/3021</v>
      </c>
      <c r="B216" s="310">
        <f t="shared" si="18"/>
        <v>0</v>
      </c>
      <c r="C216" s="343">
        <f t="shared" si="19"/>
        <v>0</v>
      </c>
      <c r="D216" s="485"/>
      <c r="E216" s="488"/>
    </row>
    <row r="217" spans="1:5" ht="13.05" customHeight="1" x14ac:dyDescent="0.25">
      <c r="A217" s="43" t="str">
        <f t="shared" si="17"/>
        <v>01/04/2021-30/04/2021</v>
      </c>
      <c r="B217" s="310">
        <f t="shared" si="18"/>
        <v>0</v>
      </c>
      <c r="C217" s="343">
        <f t="shared" si="19"/>
        <v>0</v>
      </c>
      <c r="D217" s="485"/>
      <c r="E217" s="488"/>
    </row>
    <row r="218" spans="1:5" ht="13.05" customHeight="1" x14ac:dyDescent="0.25">
      <c r="A218" s="43" t="str">
        <f t="shared" si="17"/>
        <v>01/05/2021-31/05/2021</v>
      </c>
      <c r="B218" s="310">
        <f t="shared" si="18"/>
        <v>0</v>
      </c>
      <c r="C218" s="343">
        <f t="shared" si="19"/>
        <v>0</v>
      </c>
      <c r="D218" s="485"/>
      <c r="E218" s="488"/>
    </row>
    <row r="219" spans="1:5" ht="13.05" customHeight="1" x14ac:dyDescent="0.25">
      <c r="A219" s="43" t="str">
        <f t="shared" si="17"/>
        <v>01/06/2021-30/06/2021</v>
      </c>
      <c r="B219" s="310">
        <f t="shared" si="18"/>
        <v>0</v>
      </c>
      <c r="C219" s="343">
        <f t="shared" si="19"/>
        <v>0</v>
      </c>
      <c r="D219" s="485"/>
      <c r="E219" s="488"/>
    </row>
    <row r="220" spans="1:5" ht="13.05" customHeight="1" x14ac:dyDescent="0.25">
      <c r="A220" s="43" t="str">
        <f t="shared" si="17"/>
        <v>01/07/2021-31/07/2021</v>
      </c>
      <c r="B220" s="310">
        <f t="shared" si="18"/>
        <v>0</v>
      </c>
      <c r="C220" s="343">
        <f t="shared" si="19"/>
        <v>0</v>
      </c>
      <c r="D220" s="485"/>
      <c r="E220" s="488"/>
    </row>
    <row r="221" spans="1:5" ht="13.05" customHeight="1" x14ac:dyDescent="0.25">
      <c r="A221" s="43" t="str">
        <f t="shared" si="17"/>
        <v>01/08/2021-31/08/2021</v>
      </c>
      <c r="B221" s="310">
        <f t="shared" si="18"/>
        <v>0</v>
      </c>
      <c r="C221" s="343">
        <f t="shared" si="19"/>
        <v>0</v>
      </c>
      <c r="D221" s="485"/>
      <c r="E221" s="488"/>
    </row>
    <row r="222" spans="1:5" ht="13.05" customHeight="1" x14ac:dyDescent="0.25">
      <c r="A222" s="43" t="str">
        <f t="shared" si="17"/>
        <v>01/09/2021-30/09/2021</v>
      </c>
      <c r="B222" s="310">
        <f t="shared" si="18"/>
        <v>0</v>
      </c>
      <c r="C222" s="343">
        <f t="shared" si="19"/>
        <v>0</v>
      </c>
      <c r="D222" s="485"/>
      <c r="E222" s="488"/>
    </row>
    <row r="223" spans="1:5" ht="13.05" customHeight="1" x14ac:dyDescent="0.25">
      <c r="A223" s="43" t="str">
        <f t="shared" si="17"/>
        <v>01/10/2021-31/10/2021</v>
      </c>
      <c r="B223" s="310">
        <f t="shared" si="18"/>
        <v>0</v>
      </c>
      <c r="C223" s="343">
        <f t="shared" si="19"/>
        <v>0</v>
      </c>
      <c r="D223" s="485"/>
      <c r="E223" s="488"/>
    </row>
    <row r="224" spans="1:5" ht="13.05" customHeight="1" x14ac:dyDescent="0.25">
      <c r="A224" s="43" t="str">
        <f t="shared" si="17"/>
        <v>01/11/2021-30/11/2021</v>
      </c>
      <c r="B224" s="310">
        <f t="shared" si="18"/>
        <v>0</v>
      </c>
      <c r="C224" s="343">
        <f t="shared" si="19"/>
        <v>0</v>
      </c>
      <c r="D224" s="485"/>
      <c r="E224" s="488"/>
    </row>
    <row r="225" spans="1:5" ht="13.05" customHeight="1" x14ac:dyDescent="0.25">
      <c r="A225" s="43" t="str">
        <f t="shared" si="17"/>
        <v>01/12/2021-31/12/2021</v>
      </c>
      <c r="B225" s="310">
        <f t="shared" si="18"/>
        <v>0</v>
      </c>
      <c r="C225" s="343">
        <f t="shared" si="19"/>
        <v>0</v>
      </c>
      <c r="D225" s="485"/>
      <c r="E225" s="488"/>
    </row>
    <row r="226" spans="1:5" ht="13.05" customHeight="1" x14ac:dyDescent="0.25">
      <c r="A226" s="43" t="str">
        <f t="shared" si="17"/>
        <v>01/01/2022-31/01/2022</v>
      </c>
      <c r="B226" s="310">
        <f t="shared" si="18"/>
        <v>0</v>
      </c>
      <c r="C226" s="343">
        <f t="shared" si="19"/>
        <v>0</v>
      </c>
      <c r="D226" s="485"/>
      <c r="E226" s="488"/>
    </row>
    <row r="227" spans="1:5" ht="13.05" customHeight="1" x14ac:dyDescent="0.25">
      <c r="A227" s="43" t="str">
        <f t="shared" si="17"/>
        <v>01/02/2022-28/02/2022</v>
      </c>
      <c r="B227" s="310">
        <f t="shared" si="18"/>
        <v>0</v>
      </c>
      <c r="C227" s="343">
        <f t="shared" si="19"/>
        <v>0</v>
      </c>
      <c r="D227" s="485"/>
      <c r="E227" s="488"/>
    </row>
    <row r="228" spans="1:5" ht="13.05" customHeight="1" x14ac:dyDescent="0.25">
      <c r="A228" s="43" t="str">
        <f t="shared" si="17"/>
        <v>01/03/2022-31/03/2022</v>
      </c>
      <c r="B228" s="310">
        <f t="shared" si="18"/>
        <v>0</v>
      </c>
      <c r="C228" s="343">
        <f t="shared" si="19"/>
        <v>0</v>
      </c>
      <c r="D228" s="485"/>
      <c r="E228" s="488"/>
    </row>
    <row r="229" spans="1:5" s="348" customFormat="1" ht="13.05" customHeight="1" x14ac:dyDescent="0.25">
      <c r="A229" s="43" t="s">
        <v>342</v>
      </c>
      <c r="B229" s="359">
        <f t="shared" si="18"/>
        <v>0</v>
      </c>
      <c r="C229" s="359">
        <f t="shared" si="19"/>
        <v>0</v>
      </c>
      <c r="D229" s="485"/>
      <c r="E229" s="488"/>
    </row>
    <row r="230" spans="1:5" s="348" customFormat="1" ht="13.05" customHeight="1" x14ac:dyDescent="0.25">
      <c r="A230" s="43" t="s">
        <v>343</v>
      </c>
      <c r="B230" s="359">
        <f t="shared" si="18"/>
        <v>0</v>
      </c>
      <c r="C230" s="359">
        <f t="shared" si="19"/>
        <v>0</v>
      </c>
      <c r="D230" s="485"/>
      <c r="E230" s="488"/>
    </row>
    <row r="231" spans="1:5" s="348" customFormat="1" ht="13.05" customHeight="1" x14ac:dyDescent="0.25">
      <c r="A231" s="43" t="s">
        <v>344</v>
      </c>
      <c r="B231" s="359">
        <f t="shared" si="18"/>
        <v>0</v>
      </c>
      <c r="C231" s="359">
        <f t="shared" si="19"/>
        <v>0</v>
      </c>
      <c r="D231" s="486"/>
      <c r="E231" s="488"/>
    </row>
    <row r="232" spans="1:5" ht="15.6" x14ac:dyDescent="0.35">
      <c r="A232" s="50" t="str">
        <f>A115</f>
        <v>01/01/2021-31/12/2021</v>
      </c>
      <c r="B232" s="487">
        <f>SUM(B214:C225)</f>
        <v>0</v>
      </c>
      <c r="C232" s="487"/>
      <c r="D232" s="310" t="s">
        <v>187</v>
      </c>
      <c r="E232" s="488"/>
    </row>
    <row r="233" spans="1:5" ht="15.6" x14ac:dyDescent="0.35">
      <c r="A233" s="50" t="str">
        <f>A116</f>
        <v>01/01/2022-30/06/2022</v>
      </c>
      <c r="B233" s="487">
        <f>SUM(B226:C231)</f>
        <v>0</v>
      </c>
      <c r="C233" s="487"/>
      <c r="D233" s="310" t="s">
        <v>187</v>
      </c>
      <c r="E233" s="488"/>
    </row>
    <row r="234" spans="1:5" ht="16.2" thickBot="1" x14ac:dyDescent="0.4">
      <c r="A234" s="67" t="s">
        <v>188</v>
      </c>
      <c r="B234" s="496">
        <f>B232+B233</f>
        <v>0</v>
      </c>
      <c r="C234" s="496"/>
      <c r="D234" s="68" t="s">
        <v>189</v>
      </c>
      <c r="E234" s="489"/>
    </row>
    <row r="235" spans="1:5" x14ac:dyDescent="0.25">
      <c r="A235" s="28"/>
      <c r="B235" s="69"/>
      <c r="C235" s="69"/>
      <c r="D235" s="70"/>
      <c r="E235" s="71"/>
    </row>
    <row r="237" spans="1:5" x14ac:dyDescent="0.25">
      <c r="A237" s="28" t="s">
        <v>11</v>
      </c>
    </row>
    <row r="238" spans="1:5" x14ac:dyDescent="0.25">
      <c r="B238" s="57"/>
      <c r="C238" s="28"/>
      <c r="D238" s="28"/>
      <c r="E238" s="30"/>
    </row>
    <row r="239" spans="1:5" x14ac:dyDescent="0.25">
      <c r="B239" s="57"/>
      <c r="C239" s="28"/>
      <c r="D239" s="28"/>
      <c r="E239" s="30"/>
    </row>
    <row r="240" spans="1:5" ht="13.8" thickBot="1" x14ac:dyDescent="0.3">
      <c r="B240" s="28"/>
      <c r="C240" s="28"/>
    </row>
    <row r="241" spans="1:5" x14ac:dyDescent="0.25">
      <c r="A241" s="59" t="s">
        <v>3</v>
      </c>
      <c r="B241" s="315" t="s">
        <v>9</v>
      </c>
      <c r="C241" s="315"/>
      <c r="D241" s="315" t="s">
        <v>2</v>
      </c>
      <c r="E241" s="316" t="s">
        <v>4</v>
      </c>
    </row>
    <row r="242" spans="1:5" x14ac:dyDescent="0.25">
      <c r="A242" s="61"/>
      <c r="B242" s="309" t="str">
        <f>B131</f>
        <v>Market Swine</v>
      </c>
      <c r="C242" s="309" t="str">
        <f>C131</f>
        <v>Breeding Swine</v>
      </c>
      <c r="D242" s="309"/>
      <c r="E242" s="320"/>
    </row>
    <row r="243" spans="1:5" ht="22.2" customHeight="1" x14ac:dyDescent="0.35">
      <c r="A243" s="45" t="s">
        <v>190</v>
      </c>
      <c r="B243" s="359">
        <v>0.01</v>
      </c>
      <c r="C243" s="103">
        <v>0.01</v>
      </c>
      <c r="D243" s="310" t="s">
        <v>191</v>
      </c>
      <c r="E243" s="311" t="s">
        <v>38</v>
      </c>
    </row>
    <row r="244" spans="1:5" ht="15.6" x14ac:dyDescent="0.35">
      <c r="A244" s="45" t="s">
        <v>192</v>
      </c>
      <c r="B244" s="373">
        <v>0.4</v>
      </c>
      <c r="C244" s="373">
        <v>0.4</v>
      </c>
      <c r="D244" s="310" t="s">
        <v>1</v>
      </c>
      <c r="E244" s="319" t="s">
        <v>71</v>
      </c>
    </row>
    <row r="245" spans="1:5" ht="15.6" x14ac:dyDescent="0.35">
      <c r="A245" s="65" t="s">
        <v>193</v>
      </c>
      <c r="B245" s="74"/>
      <c r="C245" s="74"/>
      <c r="D245" s="484" t="s">
        <v>123</v>
      </c>
      <c r="E245" s="493" t="s">
        <v>53</v>
      </c>
    </row>
    <row r="246" spans="1:5" x14ac:dyDescent="0.25">
      <c r="A246" s="43" t="str">
        <f t="shared" ref="A246:A260" si="20">A214</f>
        <v>01/01/2021-31/01/2021</v>
      </c>
      <c r="B246" s="378">
        <f t="shared" ref="B246:C260" si="21">B175</f>
        <v>0.66011399999999998</v>
      </c>
      <c r="C246" s="378">
        <f t="shared" si="21"/>
        <v>0.60338399999999992</v>
      </c>
      <c r="D246" s="485"/>
      <c r="E246" s="494"/>
    </row>
    <row r="247" spans="1:5" x14ac:dyDescent="0.25">
      <c r="A247" s="43" t="str">
        <f t="shared" si="20"/>
        <v>01/02/2021-28/02/2021</v>
      </c>
      <c r="B247" s="378">
        <f t="shared" si="21"/>
        <v>0.60211200000000009</v>
      </c>
      <c r="C247" s="378">
        <f t="shared" si="21"/>
        <v>0.55547520000000006</v>
      </c>
      <c r="D247" s="485"/>
      <c r="E247" s="494"/>
    </row>
    <row r="248" spans="1:5" x14ac:dyDescent="0.25">
      <c r="A248" s="43" t="str">
        <f t="shared" si="20"/>
        <v>01/03/2021-31/03/3021</v>
      </c>
      <c r="B248" s="378">
        <f t="shared" si="21"/>
        <v>0.66662400000000011</v>
      </c>
      <c r="C248" s="378">
        <f t="shared" si="21"/>
        <v>0.61022880000000002</v>
      </c>
      <c r="D248" s="485"/>
      <c r="E248" s="494"/>
    </row>
    <row r="249" spans="1:5" x14ac:dyDescent="0.25">
      <c r="A249" s="43" t="str">
        <f t="shared" si="20"/>
        <v>01/04/2021-30/04/2021</v>
      </c>
      <c r="B249" s="378">
        <f t="shared" si="21"/>
        <v>0.64007999999999998</v>
      </c>
      <c r="C249" s="378">
        <f t="shared" si="21"/>
        <v>0.59119199999999994</v>
      </c>
      <c r="D249" s="485"/>
      <c r="E249" s="494"/>
    </row>
    <row r="250" spans="1:5" x14ac:dyDescent="0.25">
      <c r="A250" s="43" t="str">
        <f t="shared" si="20"/>
        <v>01/05/2021-31/05/2021</v>
      </c>
      <c r="B250" s="378">
        <f t="shared" si="21"/>
        <v>0.66662400000000011</v>
      </c>
      <c r="C250" s="378">
        <f t="shared" si="21"/>
        <v>0.61231199999999997</v>
      </c>
      <c r="D250" s="485"/>
      <c r="E250" s="494"/>
    </row>
    <row r="251" spans="1:5" x14ac:dyDescent="0.25">
      <c r="A251" s="43" t="str">
        <f t="shared" si="20"/>
        <v>01/06/2021-30/06/2021</v>
      </c>
      <c r="B251" s="378">
        <f t="shared" si="21"/>
        <v>0.64889999999999992</v>
      </c>
      <c r="C251" s="378">
        <f t="shared" si="21"/>
        <v>0.59183999999999992</v>
      </c>
      <c r="D251" s="485"/>
      <c r="E251" s="494"/>
    </row>
    <row r="252" spans="1:5" x14ac:dyDescent="0.25">
      <c r="A252" s="43" t="str">
        <f t="shared" si="20"/>
        <v>01/07/2021-31/07/2021</v>
      </c>
      <c r="B252" s="378">
        <f t="shared" si="21"/>
        <v>0.66922799999999993</v>
      </c>
      <c r="C252" s="378">
        <f t="shared" si="21"/>
        <v>0.6143208</v>
      </c>
      <c r="D252" s="485"/>
      <c r="E252" s="494"/>
    </row>
    <row r="253" spans="1:5" x14ac:dyDescent="0.25">
      <c r="A253" s="43" t="str">
        <f t="shared" si="20"/>
        <v>01/08/2021-31/08/2021</v>
      </c>
      <c r="B253" s="378">
        <f t="shared" si="21"/>
        <v>0.66401999999999994</v>
      </c>
      <c r="C253" s="378">
        <f t="shared" si="21"/>
        <v>0.61231199999999997</v>
      </c>
      <c r="D253" s="485"/>
      <c r="E253" s="494"/>
    </row>
    <row r="254" spans="1:5" x14ac:dyDescent="0.25">
      <c r="A254" s="43" t="str">
        <f t="shared" si="20"/>
        <v>01/09/2021-30/09/2021</v>
      </c>
      <c r="B254" s="378">
        <f t="shared" si="21"/>
        <v>0.64637999999999995</v>
      </c>
      <c r="C254" s="378">
        <f t="shared" si="21"/>
        <v>0.59652000000000005</v>
      </c>
      <c r="D254" s="485"/>
      <c r="E254" s="494"/>
    </row>
    <row r="255" spans="1:5" x14ac:dyDescent="0.25">
      <c r="A255" s="43" t="str">
        <f t="shared" si="20"/>
        <v>01/10/2021-31/10/2021</v>
      </c>
      <c r="B255" s="378">
        <f t="shared" si="21"/>
        <v>0.66532199999999997</v>
      </c>
      <c r="C255" s="378">
        <f t="shared" si="21"/>
        <v>0.611568</v>
      </c>
      <c r="D255" s="485"/>
      <c r="E255" s="494"/>
    </row>
    <row r="256" spans="1:5" x14ac:dyDescent="0.25">
      <c r="A256" s="43" t="str">
        <f t="shared" si="20"/>
        <v>01/11/2021-30/11/2021</v>
      </c>
      <c r="B256" s="378">
        <f t="shared" si="21"/>
        <v>0.64134000000000002</v>
      </c>
      <c r="C256" s="378">
        <f t="shared" si="21"/>
        <v>0.59450399999999992</v>
      </c>
      <c r="D256" s="485"/>
      <c r="E256" s="494"/>
    </row>
    <row r="257" spans="1:5" x14ac:dyDescent="0.25">
      <c r="A257" s="43" t="str">
        <f t="shared" si="20"/>
        <v>01/12/2021-31/12/2021</v>
      </c>
      <c r="B257" s="378">
        <f t="shared" si="21"/>
        <v>0.66271800000000003</v>
      </c>
      <c r="C257" s="378">
        <f t="shared" si="21"/>
        <v>0.611568</v>
      </c>
      <c r="D257" s="485"/>
      <c r="E257" s="494"/>
    </row>
    <row r="258" spans="1:5" x14ac:dyDescent="0.25">
      <c r="A258" s="43" t="str">
        <f t="shared" si="20"/>
        <v>01/01/2022-31/01/2022</v>
      </c>
      <c r="B258" s="378">
        <f t="shared" si="21"/>
        <v>0.65620800000000001</v>
      </c>
      <c r="C258" s="378">
        <f t="shared" si="21"/>
        <v>0.61365119999999995</v>
      </c>
      <c r="D258" s="485"/>
      <c r="E258" s="494"/>
    </row>
    <row r="259" spans="1:5" x14ac:dyDescent="0.25">
      <c r="A259" s="43" t="str">
        <f t="shared" si="20"/>
        <v>01/02/2022-28/02/2022</v>
      </c>
      <c r="B259" s="378">
        <f t="shared" si="21"/>
        <v>0.59152799999999994</v>
      </c>
      <c r="C259" s="378">
        <f t="shared" si="21"/>
        <v>0.55487039999999999</v>
      </c>
      <c r="D259" s="485"/>
      <c r="E259" s="494"/>
    </row>
    <row r="260" spans="1:5" x14ac:dyDescent="0.25">
      <c r="A260" s="43" t="str">
        <f t="shared" si="20"/>
        <v>01/03/2022-31/03/2022</v>
      </c>
      <c r="B260" s="378">
        <f t="shared" si="21"/>
        <v>0.66401999999999994</v>
      </c>
      <c r="C260" s="378">
        <f t="shared" si="21"/>
        <v>0.60955919999999997</v>
      </c>
      <c r="D260" s="485"/>
      <c r="E260" s="494"/>
    </row>
    <row r="261" spans="1:5" s="348" customFormat="1" x14ac:dyDescent="0.25">
      <c r="A261" s="43" t="s">
        <v>342</v>
      </c>
      <c r="B261" s="378">
        <f t="shared" ref="B261:C261" si="22">B190</f>
        <v>0.64763999999999999</v>
      </c>
      <c r="C261" s="378">
        <f t="shared" si="22"/>
        <v>0.59320799999999985</v>
      </c>
      <c r="D261" s="485"/>
      <c r="E261" s="494"/>
    </row>
    <row r="262" spans="1:5" s="348" customFormat="1" x14ac:dyDescent="0.25">
      <c r="A262" s="43" t="s">
        <v>343</v>
      </c>
      <c r="B262" s="378">
        <f t="shared" ref="B262:C262" si="23">B191</f>
        <v>0.66271800000000003</v>
      </c>
      <c r="C262" s="378">
        <f t="shared" si="23"/>
        <v>0.611568</v>
      </c>
      <c r="D262" s="485"/>
      <c r="E262" s="494"/>
    </row>
    <row r="263" spans="1:5" s="348" customFormat="1" x14ac:dyDescent="0.25">
      <c r="A263" s="43" t="s">
        <v>344</v>
      </c>
      <c r="B263" s="378">
        <f t="shared" ref="B263:C263" si="24">B192</f>
        <v>0.64007999999999998</v>
      </c>
      <c r="C263" s="378">
        <f t="shared" si="24"/>
        <v>0.59255999999999998</v>
      </c>
      <c r="D263" s="486"/>
      <c r="E263" s="495"/>
    </row>
    <row r="264" spans="1:5" ht="13.5" customHeight="1" x14ac:dyDescent="0.3">
      <c r="A264" s="65" t="s">
        <v>185</v>
      </c>
      <c r="B264" s="42"/>
      <c r="C264" s="42"/>
      <c r="D264" s="484" t="str">
        <f>D193</f>
        <v>No of heads</v>
      </c>
      <c r="E264" s="490" t="str">
        <f>E193</f>
        <v>calculated as equatoin 5 in MR, of which NLT for marke swine and breeding swine is sourced from  "market swine production record" and " Breeding Pig stock record"</v>
      </c>
    </row>
    <row r="265" spans="1:5" x14ac:dyDescent="0.25">
      <c r="A265" s="43" t="str">
        <f t="shared" ref="A265:A279" si="25">A246</f>
        <v>01/01/2021-31/01/2021</v>
      </c>
      <c r="B265" s="361">
        <f t="shared" ref="B265:C279" si="26">B194</f>
        <v>112096</v>
      </c>
      <c r="C265" s="361">
        <f t="shared" si="26"/>
        <v>191546</v>
      </c>
      <c r="D265" s="485"/>
      <c r="E265" s="491"/>
    </row>
    <row r="266" spans="1:5" x14ac:dyDescent="0.25">
      <c r="A266" s="43" t="str">
        <f t="shared" si="25"/>
        <v>01/02/2021-28/02/2021</v>
      </c>
      <c r="B266" s="361">
        <f t="shared" si="26"/>
        <v>112096</v>
      </c>
      <c r="C266" s="361">
        <f t="shared" si="26"/>
        <v>192112</v>
      </c>
      <c r="D266" s="485"/>
      <c r="E266" s="491"/>
    </row>
    <row r="267" spans="1:5" x14ac:dyDescent="0.25">
      <c r="A267" s="43" t="str">
        <f t="shared" si="25"/>
        <v>01/03/2021-31/03/3021</v>
      </c>
      <c r="B267" s="361">
        <f t="shared" si="26"/>
        <v>112096</v>
      </c>
      <c r="C267" s="361">
        <f t="shared" si="26"/>
        <v>191422</v>
      </c>
      <c r="D267" s="485"/>
      <c r="E267" s="491"/>
    </row>
    <row r="268" spans="1:5" x14ac:dyDescent="0.25">
      <c r="A268" s="43" t="str">
        <f t="shared" si="25"/>
        <v>01/04/2021-30/04/2021</v>
      </c>
      <c r="B268" s="361">
        <f t="shared" si="26"/>
        <v>112096</v>
      </c>
      <c r="C268" s="361">
        <f t="shared" si="26"/>
        <v>192144</v>
      </c>
      <c r="D268" s="485"/>
      <c r="E268" s="491"/>
    </row>
    <row r="269" spans="1:5" x14ac:dyDescent="0.25">
      <c r="A269" s="43" t="str">
        <f t="shared" si="25"/>
        <v>01/05/2021-31/05/2021</v>
      </c>
      <c r="B269" s="361">
        <f t="shared" si="26"/>
        <v>112096</v>
      </c>
      <c r="C269" s="361">
        <f t="shared" si="26"/>
        <v>191903</v>
      </c>
      <c r="D269" s="485"/>
      <c r="E269" s="491"/>
    </row>
    <row r="270" spans="1:5" x14ac:dyDescent="0.25">
      <c r="A270" s="43" t="str">
        <f t="shared" si="25"/>
        <v>01/06/2021-30/06/2021</v>
      </c>
      <c r="B270" s="361">
        <f t="shared" si="26"/>
        <v>112096</v>
      </c>
      <c r="C270" s="361">
        <f t="shared" si="26"/>
        <v>191653</v>
      </c>
      <c r="D270" s="485"/>
      <c r="E270" s="491"/>
    </row>
    <row r="271" spans="1:5" x14ac:dyDescent="0.25">
      <c r="A271" s="43" t="str">
        <f t="shared" si="25"/>
        <v>01/07/2021-31/07/2021</v>
      </c>
      <c r="B271" s="361">
        <f t="shared" si="26"/>
        <v>112096</v>
      </c>
      <c r="C271" s="361">
        <f t="shared" si="26"/>
        <v>191783</v>
      </c>
      <c r="D271" s="485"/>
      <c r="E271" s="491"/>
    </row>
    <row r="272" spans="1:5" x14ac:dyDescent="0.25">
      <c r="A272" s="43" t="str">
        <f t="shared" si="25"/>
        <v>01/08/2021-31/08/2021</v>
      </c>
      <c r="B272" s="361">
        <f t="shared" si="26"/>
        <v>112096</v>
      </c>
      <c r="C272" s="361">
        <f t="shared" si="26"/>
        <v>191682</v>
      </c>
      <c r="D272" s="485"/>
      <c r="E272" s="491"/>
    </row>
    <row r="273" spans="1:5" x14ac:dyDescent="0.25">
      <c r="A273" s="43" t="str">
        <f t="shared" si="25"/>
        <v>01/09/2021-30/09/2021</v>
      </c>
      <c r="B273" s="361">
        <f t="shared" si="26"/>
        <v>112096</v>
      </c>
      <c r="C273" s="361">
        <f t="shared" si="26"/>
        <v>192049</v>
      </c>
      <c r="D273" s="485"/>
      <c r="E273" s="491"/>
    </row>
    <row r="274" spans="1:5" x14ac:dyDescent="0.25">
      <c r="A274" s="43" t="str">
        <f t="shared" si="25"/>
        <v>01/10/2021-31/10/2021</v>
      </c>
      <c r="B274" s="361">
        <f t="shared" si="26"/>
        <v>112096</v>
      </c>
      <c r="C274" s="361">
        <f t="shared" si="26"/>
        <v>191505</v>
      </c>
      <c r="D274" s="485"/>
      <c r="E274" s="491"/>
    </row>
    <row r="275" spans="1:5" x14ac:dyDescent="0.25">
      <c r="A275" s="43" t="str">
        <f t="shared" si="25"/>
        <v>01/11/2021-30/11/2021</v>
      </c>
      <c r="B275" s="361">
        <f t="shared" si="26"/>
        <v>112096</v>
      </c>
      <c r="C275" s="361">
        <f t="shared" si="26"/>
        <v>191467</v>
      </c>
      <c r="D275" s="485"/>
      <c r="E275" s="491"/>
    </row>
    <row r="276" spans="1:5" x14ac:dyDescent="0.25">
      <c r="A276" s="43" t="str">
        <f t="shared" si="25"/>
        <v>01/12/2021-31/12/2021</v>
      </c>
      <c r="B276" s="361">
        <f t="shared" si="26"/>
        <v>112096</v>
      </c>
      <c r="C276" s="361">
        <f t="shared" si="26"/>
        <v>191877</v>
      </c>
      <c r="D276" s="485"/>
      <c r="E276" s="491"/>
    </row>
    <row r="277" spans="1:5" x14ac:dyDescent="0.25">
      <c r="A277" s="43" t="str">
        <f t="shared" si="25"/>
        <v>01/01/2022-31/01/2022</v>
      </c>
      <c r="B277" s="361">
        <f t="shared" si="26"/>
        <v>112096</v>
      </c>
      <c r="C277" s="361">
        <f t="shared" si="26"/>
        <v>192033</v>
      </c>
      <c r="D277" s="485"/>
      <c r="E277" s="491"/>
    </row>
    <row r="278" spans="1:5" x14ac:dyDescent="0.25">
      <c r="A278" s="43" t="str">
        <f t="shared" si="25"/>
        <v>01/02/2022-28/02/2022</v>
      </c>
      <c r="B278" s="361">
        <f t="shared" si="26"/>
        <v>112096</v>
      </c>
      <c r="C278" s="361">
        <f t="shared" si="26"/>
        <v>191973</v>
      </c>
      <c r="D278" s="485"/>
      <c r="E278" s="491"/>
    </row>
    <row r="279" spans="1:5" x14ac:dyDescent="0.25">
      <c r="A279" s="43" t="str">
        <f t="shared" si="25"/>
        <v>01/03/2022-31/03/2022</v>
      </c>
      <c r="B279" s="361">
        <f t="shared" si="26"/>
        <v>112096</v>
      </c>
      <c r="C279" s="361">
        <f t="shared" si="26"/>
        <v>192076</v>
      </c>
      <c r="D279" s="485"/>
      <c r="E279" s="491"/>
    </row>
    <row r="280" spans="1:5" s="348" customFormat="1" x14ac:dyDescent="0.25">
      <c r="A280" s="43" t="s">
        <v>342</v>
      </c>
      <c r="B280" s="361">
        <f t="shared" ref="B280:C280" si="27">B209</f>
        <v>112096</v>
      </c>
      <c r="C280" s="361">
        <f t="shared" si="27"/>
        <v>191796</v>
      </c>
      <c r="D280" s="485"/>
      <c r="E280" s="491"/>
    </row>
    <row r="281" spans="1:5" s="348" customFormat="1" x14ac:dyDescent="0.25">
      <c r="A281" s="43" t="s">
        <v>343</v>
      </c>
      <c r="B281" s="361">
        <f t="shared" ref="B281:C281" si="28">B210</f>
        <v>112096</v>
      </c>
      <c r="C281" s="361">
        <f t="shared" si="28"/>
        <v>192046</v>
      </c>
      <c r="D281" s="485"/>
      <c r="E281" s="491"/>
    </row>
    <row r="282" spans="1:5" s="348" customFormat="1" x14ac:dyDescent="0.25">
      <c r="A282" s="43" t="s">
        <v>344</v>
      </c>
      <c r="B282" s="361">
        <f t="shared" ref="B282:C282" si="29">B211</f>
        <v>112096</v>
      </c>
      <c r="C282" s="361">
        <f t="shared" si="29"/>
        <v>191783</v>
      </c>
      <c r="D282" s="486"/>
      <c r="E282" s="492"/>
    </row>
    <row r="283" spans="1:5" ht="13.8" x14ac:dyDescent="0.3">
      <c r="A283" s="38" t="s">
        <v>174</v>
      </c>
      <c r="B283" s="373">
        <f>B212</f>
        <v>1</v>
      </c>
      <c r="C283" s="373">
        <f>C212</f>
        <v>1</v>
      </c>
      <c r="D283" s="310" t="str">
        <f>D212</f>
        <v>%</v>
      </c>
      <c r="E283" s="331" t="s">
        <v>111</v>
      </c>
    </row>
    <row r="284" spans="1:5" ht="25.05" customHeight="1" x14ac:dyDescent="0.35">
      <c r="A284" s="65" t="s">
        <v>194</v>
      </c>
      <c r="B284" s="379">
        <v>265</v>
      </c>
      <c r="C284" s="379">
        <v>265</v>
      </c>
      <c r="D284" s="310" t="s">
        <v>195</v>
      </c>
      <c r="E284" s="317" t="s">
        <v>121</v>
      </c>
    </row>
    <row r="285" spans="1:5" ht="15.6" x14ac:dyDescent="0.35">
      <c r="A285" s="65" t="s">
        <v>196</v>
      </c>
      <c r="B285" s="380">
        <f>44/28</f>
        <v>1.5714285714285714</v>
      </c>
      <c r="C285" s="380">
        <f>44/28</f>
        <v>1.5714285714285714</v>
      </c>
      <c r="D285" s="310" t="s">
        <v>197</v>
      </c>
      <c r="E285" s="331" t="s">
        <v>59</v>
      </c>
    </row>
    <row r="286" spans="1:5" ht="15.6" x14ac:dyDescent="0.35">
      <c r="A286" s="65" t="s">
        <v>202</v>
      </c>
      <c r="B286" s="74"/>
      <c r="C286" s="74"/>
      <c r="D286" s="310"/>
      <c r="E286" s="331"/>
    </row>
    <row r="287" spans="1:5" ht="13.2" customHeight="1" x14ac:dyDescent="0.25">
      <c r="A287" s="43" t="str">
        <f t="shared" ref="A287:A301" si="30">A265</f>
        <v>01/01/2021-31/01/2021</v>
      </c>
      <c r="B287" s="381">
        <f>ROUNDDOWN($B$243*$B$244*B246*B265*$B$283,0)</f>
        <v>295</v>
      </c>
      <c r="C287" s="382">
        <f>ROUNDDOWN($C$243*$C$244*C246*C265*$C$283,0)</f>
        <v>462</v>
      </c>
      <c r="D287" s="484" t="s">
        <v>350</v>
      </c>
      <c r="E287" s="482" t="s">
        <v>346</v>
      </c>
    </row>
    <row r="288" spans="1:5" x14ac:dyDescent="0.25">
      <c r="A288" s="43" t="str">
        <f t="shared" si="30"/>
        <v>01/02/2021-28/02/2021</v>
      </c>
      <c r="B288" s="381">
        <f t="shared" ref="B288:B303" si="31">ROUNDDOWN($B$243*$B$244*B247*B266*$B$283,0)</f>
        <v>269</v>
      </c>
      <c r="C288" s="382">
        <f t="shared" ref="C288:C304" si="32">ROUNDDOWN($C$243*$C$244*C247*C266*$C$283,0)</f>
        <v>426</v>
      </c>
      <c r="D288" s="485"/>
      <c r="E288" s="482"/>
    </row>
    <row r="289" spans="1:5" x14ac:dyDescent="0.25">
      <c r="A289" s="43" t="str">
        <f t="shared" si="30"/>
        <v>01/03/2021-31/03/3021</v>
      </c>
      <c r="B289" s="381">
        <f t="shared" si="31"/>
        <v>298</v>
      </c>
      <c r="C289" s="382">
        <f t="shared" si="32"/>
        <v>467</v>
      </c>
      <c r="D289" s="485"/>
      <c r="E289" s="482"/>
    </row>
    <row r="290" spans="1:5" x14ac:dyDescent="0.25">
      <c r="A290" s="43" t="str">
        <f t="shared" si="30"/>
        <v>01/04/2021-30/04/2021</v>
      </c>
      <c r="B290" s="381">
        <f t="shared" si="31"/>
        <v>287</v>
      </c>
      <c r="C290" s="382">
        <f t="shared" si="32"/>
        <v>454</v>
      </c>
      <c r="D290" s="485"/>
      <c r="E290" s="482"/>
    </row>
    <row r="291" spans="1:5" x14ac:dyDescent="0.25">
      <c r="A291" s="43" t="str">
        <f t="shared" si="30"/>
        <v>01/05/2021-31/05/2021</v>
      </c>
      <c r="B291" s="381">
        <f t="shared" si="31"/>
        <v>298</v>
      </c>
      <c r="C291" s="382">
        <f t="shared" si="32"/>
        <v>470</v>
      </c>
      <c r="D291" s="485"/>
      <c r="E291" s="482"/>
    </row>
    <row r="292" spans="1:5" x14ac:dyDescent="0.25">
      <c r="A292" s="43" t="str">
        <f t="shared" si="30"/>
        <v>01/06/2021-30/06/2021</v>
      </c>
      <c r="B292" s="381">
        <f t="shared" si="31"/>
        <v>290</v>
      </c>
      <c r="C292" s="382">
        <f t="shared" si="32"/>
        <v>453</v>
      </c>
      <c r="D292" s="485"/>
      <c r="E292" s="482"/>
    </row>
    <row r="293" spans="1:5" x14ac:dyDescent="0.25">
      <c r="A293" s="43" t="str">
        <f t="shared" si="30"/>
        <v>01/07/2021-31/07/2021</v>
      </c>
      <c r="B293" s="381">
        <f t="shared" si="31"/>
        <v>300</v>
      </c>
      <c r="C293" s="382">
        <f t="shared" si="32"/>
        <v>471</v>
      </c>
      <c r="D293" s="485"/>
      <c r="E293" s="482"/>
    </row>
    <row r="294" spans="1:5" x14ac:dyDescent="0.25">
      <c r="A294" s="43" t="str">
        <f t="shared" si="30"/>
        <v>01/08/2021-31/08/2021</v>
      </c>
      <c r="B294" s="381">
        <f t="shared" si="31"/>
        <v>297</v>
      </c>
      <c r="C294" s="382">
        <f t="shared" si="32"/>
        <v>469</v>
      </c>
      <c r="D294" s="485"/>
      <c r="E294" s="482"/>
    </row>
    <row r="295" spans="1:5" x14ac:dyDescent="0.25">
      <c r="A295" s="43" t="str">
        <f t="shared" si="30"/>
        <v>01/09/2021-30/09/2021</v>
      </c>
      <c r="B295" s="381">
        <f t="shared" si="31"/>
        <v>289</v>
      </c>
      <c r="C295" s="382">
        <f t="shared" si="32"/>
        <v>458</v>
      </c>
      <c r="D295" s="485"/>
      <c r="E295" s="482"/>
    </row>
    <row r="296" spans="1:5" x14ac:dyDescent="0.25">
      <c r="A296" s="43" t="str">
        <f t="shared" si="30"/>
        <v>01/10/2021-31/10/2021</v>
      </c>
      <c r="B296" s="381">
        <f t="shared" si="31"/>
        <v>298</v>
      </c>
      <c r="C296" s="382">
        <f t="shared" si="32"/>
        <v>468</v>
      </c>
      <c r="D296" s="485"/>
      <c r="E296" s="482"/>
    </row>
    <row r="297" spans="1:5" x14ac:dyDescent="0.25">
      <c r="A297" s="43" t="str">
        <f t="shared" si="30"/>
        <v>01/11/2021-30/11/2021</v>
      </c>
      <c r="B297" s="381">
        <f t="shared" si="31"/>
        <v>287</v>
      </c>
      <c r="C297" s="382">
        <f t="shared" si="32"/>
        <v>455</v>
      </c>
      <c r="D297" s="485"/>
      <c r="E297" s="482"/>
    </row>
    <row r="298" spans="1:5" x14ac:dyDescent="0.25">
      <c r="A298" s="43" t="str">
        <f t="shared" si="30"/>
        <v>01/12/2021-31/12/2021</v>
      </c>
      <c r="B298" s="381">
        <f t="shared" si="31"/>
        <v>297</v>
      </c>
      <c r="C298" s="382">
        <f t="shared" si="32"/>
        <v>469</v>
      </c>
      <c r="D298" s="485"/>
      <c r="E298" s="482"/>
    </row>
    <row r="299" spans="1:5" x14ac:dyDescent="0.25">
      <c r="A299" s="43" t="str">
        <f t="shared" si="30"/>
        <v>01/01/2022-31/01/2022</v>
      </c>
      <c r="B299" s="381">
        <f t="shared" si="31"/>
        <v>294</v>
      </c>
      <c r="C299" s="382">
        <f t="shared" si="32"/>
        <v>471</v>
      </c>
      <c r="D299" s="485"/>
      <c r="E299" s="482"/>
    </row>
    <row r="300" spans="1:5" x14ac:dyDescent="0.25">
      <c r="A300" s="43" t="str">
        <f t="shared" si="30"/>
        <v>01/02/2022-28/02/2022</v>
      </c>
      <c r="B300" s="381">
        <f t="shared" si="31"/>
        <v>265</v>
      </c>
      <c r="C300" s="382">
        <f t="shared" si="32"/>
        <v>426</v>
      </c>
      <c r="D300" s="485"/>
      <c r="E300" s="482"/>
    </row>
    <row r="301" spans="1:5" x14ac:dyDescent="0.25">
      <c r="A301" s="43" t="str">
        <f t="shared" si="30"/>
        <v>01/03/2022-31/03/2022</v>
      </c>
      <c r="B301" s="381">
        <f t="shared" si="31"/>
        <v>297</v>
      </c>
      <c r="C301" s="382">
        <f t="shared" si="32"/>
        <v>468</v>
      </c>
      <c r="D301" s="485"/>
      <c r="E301" s="482"/>
    </row>
    <row r="302" spans="1:5" s="348" customFormat="1" x14ac:dyDescent="0.25">
      <c r="A302" s="43" t="s">
        <v>342</v>
      </c>
      <c r="B302" s="381">
        <f t="shared" si="31"/>
        <v>290</v>
      </c>
      <c r="C302" s="382">
        <f t="shared" si="32"/>
        <v>455</v>
      </c>
      <c r="D302" s="485"/>
      <c r="E302" s="482"/>
    </row>
    <row r="303" spans="1:5" s="348" customFormat="1" x14ac:dyDescent="0.25">
      <c r="A303" s="43" t="s">
        <v>343</v>
      </c>
      <c r="B303" s="381">
        <f t="shared" si="31"/>
        <v>297</v>
      </c>
      <c r="C303" s="382">
        <f t="shared" si="32"/>
        <v>469</v>
      </c>
      <c r="D303" s="485"/>
      <c r="E303" s="482"/>
    </row>
    <row r="304" spans="1:5" s="348" customFormat="1" x14ac:dyDescent="0.25">
      <c r="A304" s="43" t="s">
        <v>344</v>
      </c>
      <c r="B304" s="381">
        <f>ROUNDDOWN($B$243*$B$244*B263*B282*$B$283,0)</f>
        <v>287</v>
      </c>
      <c r="C304" s="382">
        <f t="shared" si="32"/>
        <v>454</v>
      </c>
      <c r="D304" s="486"/>
      <c r="E304" s="482"/>
    </row>
    <row r="305" spans="1:6" ht="15.6" x14ac:dyDescent="0.35">
      <c r="A305" s="50" t="str">
        <f>A232</f>
        <v>01/01/2021-31/12/2021</v>
      </c>
      <c r="B305" s="481">
        <f>SUM(B287:C298)</f>
        <v>9027</v>
      </c>
      <c r="C305" s="487"/>
      <c r="D305" s="359" t="s">
        <v>189</v>
      </c>
      <c r="E305" s="482"/>
    </row>
    <row r="306" spans="1:6" ht="15.6" x14ac:dyDescent="0.35">
      <c r="A306" s="50" t="str">
        <f>A233</f>
        <v>01/01/2022-30/06/2022</v>
      </c>
      <c r="B306" s="481">
        <f>SUM(B299:C304)</f>
        <v>4473</v>
      </c>
      <c r="C306" s="487"/>
      <c r="D306" s="359" t="s">
        <v>189</v>
      </c>
      <c r="E306" s="482"/>
    </row>
    <row r="307" spans="1:6" ht="16.2" thickBot="1" x14ac:dyDescent="0.4">
      <c r="A307" s="67" t="s">
        <v>198</v>
      </c>
      <c r="B307" s="497">
        <f>B305+B306</f>
        <v>13500</v>
      </c>
      <c r="C307" s="497"/>
      <c r="D307" s="68" t="s">
        <v>187</v>
      </c>
      <c r="E307" s="483"/>
    </row>
    <row r="308" spans="1:6" x14ac:dyDescent="0.25">
      <c r="A308" s="28"/>
      <c r="B308" s="75"/>
      <c r="C308" s="75"/>
    </row>
    <row r="309" spans="1:6" ht="15.6" x14ac:dyDescent="0.3">
      <c r="A309" s="478" t="s">
        <v>199</v>
      </c>
      <c r="B309" s="479"/>
      <c r="C309" s="479"/>
      <c r="D309" s="479"/>
      <c r="E309" s="76">
        <f>B310+B311</f>
        <v>5621</v>
      </c>
      <c r="F309" s="459" t="s">
        <v>338</v>
      </c>
    </row>
    <row r="310" spans="1:6" s="28" customFormat="1" ht="13.2" customHeight="1" x14ac:dyDescent="0.25">
      <c r="A310" s="50" t="str">
        <f>A305</f>
        <v>01/01/2021-31/12/2021</v>
      </c>
      <c r="B310" s="326">
        <f>INT(B284*B285/1000*(B305+B232))</f>
        <v>3759</v>
      </c>
      <c r="C310" s="498" t="s">
        <v>328</v>
      </c>
    </row>
    <row r="311" spans="1:6" ht="13.8" thickBot="1" x14ac:dyDescent="0.3">
      <c r="A311" s="88" t="str">
        <f>A306</f>
        <v>01/01/2022-30/06/2022</v>
      </c>
      <c r="B311" s="327">
        <f>INT(B285*B284/1000*(B306+B233))</f>
        <v>1862</v>
      </c>
      <c r="C311" s="499"/>
    </row>
    <row r="312" spans="1:6" x14ac:dyDescent="0.25">
      <c r="A312" s="77"/>
      <c r="B312" s="78"/>
      <c r="C312" s="79"/>
      <c r="D312" s="70"/>
    </row>
    <row r="313" spans="1:6" ht="15.6" x14ac:dyDescent="0.3">
      <c r="A313" s="80" t="s">
        <v>97</v>
      </c>
      <c r="B313" s="81"/>
      <c r="C313" s="82" t="s">
        <v>200</v>
      </c>
      <c r="D313" s="83"/>
      <c r="E313" s="76">
        <f>B315+B316</f>
        <v>487973</v>
      </c>
      <c r="F313" s="459" t="s">
        <v>338</v>
      </c>
    </row>
    <row r="314" spans="1:6" x14ac:dyDescent="0.25">
      <c r="B314" s="84"/>
    </row>
    <row r="315" spans="1:6" ht="13.2" customHeight="1" x14ac:dyDescent="0.25">
      <c r="A315" s="50" t="str">
        <f>A310</f>
        <v>01/01/2021-31/12/2021</v>
      </c>
      <c r="B315" s="329">
        <f>ROUNDDOWN(B310+B115,0)</f>
        <v>326242</v>
      </c>
      <c r="C315" s="498" t="s">
        <v>351</v>
      </c>
      <c r="D315" s="85"/>
    </row>
    <row r="316" spans="1:6" ht="13.8" thickBot="1" x14ac:dyDescent="0.3">
      <c r="A316" s="88" t="str">
        <f>A311</f>
        <v>01/01/2022-30/06/2022</v>
      </c>
      <c r="B316" s="330">
        <f>ROUNDDOWN(B311+B116,0)</f>
        <v>161731</v>
      </c>
      <c r="C316" s="499"/>
      <c r="D316" s="85"/>
      <c r="E316" s="44"/>
    </row>
    <row r="317" spans="1:6" x14ac:dyDescent="0.25">
      <c r="A317" s="91"/>
      <c r="B317" s="328"/>
      <c r="C317" s="348"/>
    </row>
    <row r="318" spans="1:6" x14ac:dyDescent="0.25">
      <c r="A318" s="91"/>
      <c r="B318" s="91"/>
    </row>
    <row r="319" spans="1:6" x14ac:dyDescent="0.25">
      <c r="A319" s="91"/>
      <c r="B319" s="91"/>
    </row>
    <row r="322" spans="4:4" x14ac:dyDescent="0.25">
      <c r="D322" s="87"/>
    </row>
  </sheetData>
  <mergeCells count="37">
    <mergeCell ref="E245:E263"/>
    <mergeCell ref="D264:D282"/>
    <mergeCell ref="E264:E282"/>
    <mergeCell ref="C310:C311"/>
    <mergeCell ref="C315:C316"/>
    <mergeCell ref="B234:C234"/>
    <mergeCell ref="A309:D309"/>
    <mergeCell ref="B305:C305"/>
    <mergeCell ref="B306:C306"/>
    <mergeCell ref="B307:C307"/>
    <mergeCell ref="D245:D263"/>
    <mergeCell ref="B116:C116"/>
    <mergeCell ref="A120:D120"/>
    <mergeCell ref="E97:E117"/>
    <mergeCell ref="B115:C115"/>
    <mergeCell ref="E287:E307"/>
    <mergeCell ref="D287:D304"/>
    <mergeCell ref="B232:C232"/>
    <mergeCell ref="B233:C233"/>
    <mergeCell ref="D193:D211"/>
    <mergeCell ref="D214:D231"/>
    <mergeCell ref="E214:E234"/>
    <mergeCell ref="D134:D152"/>
    <mergeCell ref="E193:E211"/>
    <mergeCell ref="E134:E152"/>
    <mergeCell ref="D153:D171"/>
    <mergeCell ref="E153:E171"/>
    <mergeCell ref="D175:D192"/>
    <mergeCell ref="E175:E192"/>
    <mergeCell ref="D17:D35"/>
    <mergeCell ref="E17:E35"/>
    <mergeCell ref="D57:D75"/>
    <mergeCell ref="E57:E75"/>
    <mergeCell ref="D77:D95"/>
    <mergeCell ref="E77:E95"/>
    <mergeCell ref="D36:D54"/>
    <mergeCell ref="E36:E54"/>
  </mergeCells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8"/>
  <sheetViews>
    <sheetView zoomScaleNormal="100" workbookViewId="0">
      <selection activeCell="C336" sqref="C336"/>
    </sheetView>
  </sheetViews>
  <sheetFormatPr defaultColWidth="8.77734375" defaultRowHeight="13.2" x14ac:dyDescent="0.25"/>
  <cols>
    <col min="1" max="1" width="35.21875" style="29" customWidth="1"/>
    <col min="2" max="2" width="20.77734375" style="29" customWidth="1"/>
    <col min="3" max="3" width="24.44140625" style="29" customWidth="1"/>
    <col min="4" max="4" width="28" style="29" customWidth="1"/>
    <col min="5" max="5" width="47" style="29" customWidth="1"/>
    <col min="6" max="6" width="17.21875" style="29" customWidth="1"/>
    <col min="7" max="7" width="11.77734375" style="29" bestFit="1" customWidth="1"/>
    <col min="8" max="10" width="13" style="29" bestFit="1" customWidth="1"/>
    <col min="11" max="16384" width="8.77734375" style="29"/>
  </cols>
  <sheetData>
    <row r="1" spans="1:5" x14ac:dyDescent="0.25">
      <c r="A1" s="28" t="s">
        <v>43</v>
      </c>
    </row>
    <row r="3" spans="1:5" x14ac:dyDescent="0.25">
      <c r="E3" s="55"/>
    </row>
    <row r="4" spans="1:5" x14ac:dyDescent="0.25">
      <c r="A4" s="221" t="s">
        <v>19</v>
      </c>
    </row>
    <row r="5" spans="1:5" x14ac:dyDescent="0.25">
      <c r="A5" s="221"/>
    </row>
    <row r="6" spans="1:5" x14ac:dyDescent="0.25">
      <c r="A6" s="236" t="s">
        <v>40</v>
      </c>
      <c r="B6" s="236"/>
    </row>
    <row r="7" spans="1:5" x14ac:dyDescent="0.25">
      <c r="A7" s="28"/>
    </row>
    <row r="8" spans="1:5" x14ac:dyDescent="0.25">
      <c r="A8" s="237"/>
      <c r="B8" s="256"/>
      <c r="D8" s="238"/>
      <c r="E8" s="55"/>
    </row>
    <row r="9" spans="1:5" x14ac:dyDescent="0.25">
      <c r="A9" s="237"/>
      <c r="B9" s="256"/>
      <c r="C9" s="77"/>
      <c r="D9" s="77"/>
      <c r="E9" s="55"/>
    </row>
    <row r="10" spans="1:5" x14ac:dyDescent="0.25">
      <c r="A10" s="237"/>
      <c r="B10" s="256"/>
      <c r="C10" s="77"/>
      <c r="D10" s="77"/>
      <c r="E10" s="55"/>
    </row>
    <row r="11" spans="1:5" x14ac:dyDescent="0.25">
      <c r="B11" s="256"/>
      <c r="C11" s="77"/>
      <c r="D11" s="77"/>
      <c r="E11" s="55"/>
    </row>
    <row r="12" spans="1:5" ht="13.8" thickBot="1" x14ac:dyDescent="0.3">
      <c r="A12" s="237"/>
      <c r="B12" s="256"/>
      <c r="C12" s="77"/>
      <c r="D12" s="77"/>
    </row>
    <row r="13" spans="1:5" x14ac:dyDescent="0.25">
      <c r="A13" s="239" t="s">
        <v>65</v>
      </c>
      <c r="B13" s="60" t="s">
        <v>64</v>
      </c>
      <c r="C13" s="60" t="s">
        <v>62</v>
      </c>
      <c r="D13" s="548" t="s">
        <v>63</v>
      </c>
      <c r="E13" s="549"/>
    </row>
    <row r="14" spans="1:5" ht="15" customHeight="1" x14ac:dyDescent="0.35">
      <c r="A14" s="240" t="s">
        <v>281</v>
      </c>
      <c r="B14" s="89"/>
      <c r="C14" s="550" t="s">
        <v>112</v>
      </c>
      <c r="D14" s="529" t="s">
        <v>332</v>
      </c>
      <c r="E14" s="530"/>
    </row>
    <row r="15" spans="1:5" ht="15" customHeight="1" x14ac:dyDescent="0.25">
      <c r="A15" s="43" t="str">
        <f>'Baseline emission'!A287</f>
        <v>01/01/2021-31/01/2021</v>
      </c>
      <c r="B15" s="383">
        <f>'monitoring results'!B27</f>
        <v>95.962799999999987</v>
      </c>
      <c r="C15" s="551"/>
      <c r="D15" s="531"/>
      <c r="E15" s="532"/>
    </row>
    <row r="16" spans="1:5" ht="15" customHeight="1" x14ac:dyDescent="0.25">
      <c r="A16" s="43" t="str">
        <f>'Baseline emission'!A288</f>
        <v>01/02/2021-28/02/2021</v>
      </c>
      <c r="B16" s="383">
        <f>'monitoring results'!B28</f>
        <v>86.763599999999997</v>
      </c>
      <c r="C16" s="551"/>
      <c r="D16" s="531"/>
      <c r="E16" s="532"/>
    </row>
    <row r="17" spans="1:5" ht="15" customHeight="1" x14ac:dyDescent="0.25">
      <c r="A17" s="43" t="str">
        <f>'Baseline emission'!A289</f>
        <v>01/03/2021-31/03/3021</v>
      </c>
      <c r="B17" s="383">
        <f>'monitoring results'!B29</f>
        <v>96.149999999999991</v>
      </c>
      <c r="C17" s="551"/>
      <c r="D17" s="531"/>
      <c r="E17" s="532"/>
    </row>
    <row r="18" spans="1:5" ht="15" customHeight="1" x14ac:dyDescent="0.25">
      <c r="A18" s="43" t="str">
        <f>'Baseline emission'!A290</f>
        <v>01/04/2021-30/04/2021</v>
      </c>
      <c r="B18" s="383">
        <f>'monitoring results'!B30</f>
        <v>93.142799999999994</v>
      </c>
      <c r="C18" s="551"/>
      <c r="D18" s="531"/>
      <c r="E18" s="532"/>
    </row>
    <row r="19" spans="1:5" ht="15" customHeight="1" x14ac:dyDescent="0.25">
      <c r="A19" s="43" t="str">
        <f>'Baseline emission'!A291</f>
        <v>01/05/2021-31/05/2021</v>
      </c>
      <c r="B19" s="383">
        <f>'monitoring results'!B31</f>
        <v>96.341999999999999</v>
      </c>
      <c r="C19" s="551"/>
      <c r="D19" s="531"/>
      <c r="E19" s="532"/>
    </row>
    <row r="20" spans="1:5" ht="15" customHeight="1" x14ac:dyDescent="0.25">
      <c r="A20" s="43" t="str">
        <f>'Baseline emission'!A292</f>
        <v>01/06/2021-30/06/2021</v>
      </c>
      <c r="B20" s="383">
        <f>'monitoring results'!B32</f>
        <v>94.343999999999994</v>
      </c>
      <c r="C20" s="551"/>
      <c r="D20" s="531"/>
      <c r="E20" s="532"/>
    </row>
    <row r="21" spans="1:5" ht="15" customHeight="1" x14ac:dyDescent="0.25">
      <c r="A21" s="43" t="str">
        <f>'Baseline emission'!A293</f>
        <v>01/07/2021-31/07/2021</v>
      </c>
      <c r="B21" s="383">
        <f>'monitoring results'!B33</f>
        <v>96.531599999999997</v>
      </c>
      <c r="C21" s="551"/>
      <c r="D21" s="531"/>
      <c r="E21" s="532"/>
    </row>
    <row r="22" spans="1:5" ht="15" customHeight="1" x14ac:dyDescent="0.25">
      <c r="A22" s="43" t="str">
        <f>'Baseline emission'!A294</f>
        <v>01/08/2021-31/08/2021</v>
      </c>
      <c r="B22" s="383">
        <f>'monitoring results'!B34</f>
        <v>96.627599999999987</v>
      </c>
      <c r="C22" s="551"/>
      <c r="D22" s="531"/>
      <c r="E22" s="532"/>
    </row>
    <row r="23" spans="1:5" ht="15" customHeight="1" x14ac:dyDescent="0.25">
      <c r="A23" s="43" t="str">
        <f>'Baseline emission'!A295</f>
        <v>01/09/2021-30/09/2021</v>
      </c>
      <c r="B23" s="383">
        <f>'monitoring results'!B35</f>
        <v>93.6</v>
      </c>
      <c r="C23" s="551"/>
      <c r="D23" s="531"/>
      <c r="E23" s="532"/>
    </row>
    <row r="24" spans="1:5" ht="15" customHeight="1" x14ac:dyDescent="0.25">
      <c r="A24" s="43" t="str">
        <f>'Baseline emission'!A296</f>
        <v>01/10/2021-31/10/2021</v>
      </c>
      <c r="B24" s="383">
        <f>'monitoring results'!B36</f>
        <v>96.816000000000003</v>
      </c>
      <c r="C24" s="551"/>
      <c r="D24" s="531"/>
      <c r="E24" s="532"/>
    </row>
    <row r="25" spans="1:5" ht="15" customHeight="1" x14ac:dyDescent="0.25">
      <c r="A25" s="43" t="str">
        <f>'Baseline emission'!A297</f>
        <v>01/11/2021-30/11/2021</v>
      </c>
      <c r="B25" s="383">
        <f>'monitoring results'!B37</f>
        <v>93.786000000000001</v>
      </c>
      <c r="C25" s="551"/>
      <c r="D25" s="531"/>
      <c r="E25" s="532"/>
    </row>
    <row r="26" spans="1:5" ht="15" customHeight="1" x14ac:dyDescent="0.25">
      <c r="A26" s="43" t="str">
        <f>'Baseline emission'!A298</f>
        <v>01/12/2021-31/12/2021</v>
      </c>
      <c r="B26" s="383">
        <f>'monitoring results'!B38</f>
        <v>97.005600000000001</v>
      </c>
      <c r="C26" s="551"/>
      <c r="D26" s="531"/>
      <c r="E26" s="532"/>
    </row>
    <row r="27" spans="1:5" ht="15" customHeight="1" x14ac:dyDescent="0.25">
      <c r="A27" s="43" t="str">
        <f>'Baseline emission'!A299</f>
        <v>01/01/2022-31/01/2022</v>
      </c>
      <c r="B27" s="383">
        <f>'monitoring results'!B39</f>
        <v>97.100399999999993</v>
      </c>
      <c r="C27" s="551"/>
      <c r="D27" s="531"/>
      <c r="E27" s="532"/>
    </row>
    <row r="28" spans="1:5" ht="15" customHeight="1" x14ac:dyDescent="0.25">
      <c r="A28" s="43" t="str">
        <f>'Baseline emission'!A300</f>
        <v>01/02/2022-28/02/2022</v>
      </c>
      <c r="B28" s="383">
        <f>'monitoring results'!B40</f>
        <v>87.79079999999999</v>
      </c>
      <c r="C28" s="551"/>
      <c r="D28" s="531"/>
      <c r="E28" s="532"/>
    </row>
    <row r="29" spans="1:5" ht="15" customHeight="1" x14ac:dyDescent="0.25">
      <c r="A29" s="43" t="str">
        <f>'Baseline emission'!A301</f>
        <v>01/03/2022-31/03/2022</v>
      </c>
      <c r="B29" s="383">
        <f>'monitoring results'!B41</f>
        <v>97.287600000000012</v>
      </c>
      <c r="C29" s="551"/>
      <c r="D29" s="531"/>
      <c r="E29" s="532"/>
    </row>
    <row r="30" spans="1:5" s="348" customFormat="1" ht="15" customHeight="1" x14ac:dyDescent="0.25">
      <c r="A30" s="43" t="s">
        <v>342</v>
      </c>
      <c r="B30" s="383">
        <f>'monitoring results'!B42</f>
        <v>94.2864</v>
      </c>
      <c r="C30" s="551"/>
      <c r="D30" s="531"/>
      <c r="E30" s="532"/>
    </row>
    <row r="31" spans="1:5" s="348" customFormat="1" ht="15" customHeight="1" x14ac:dyDescent="0.25">
      <c r="A31" s="43" t="s">
        <v>343</v>
      </c>
      <c r="B31" s="383">
        <f>'monitoring results'!B43</f>
        <v>97.066799999999986</v>
      </c>
      <c r="C31" s="551"/>
      <c r="D31" s="531"/>
      <c r="E31" s="532"/>
    </row>
    <row r="32" spans="1:5" s="348" customFormat="1" ht="15" customHeight="1" x14ac:dyDescent="0.25">
      <c r="A32" s="43" t="s">
        <v>344</v>
      </c>
      <c r="B32" s="383">
        <f>'monitoring results'!B44</f>
        <v>94.492800000000003</v>
      </c>
      <c r="C32" s="552"/>
      <c r="D32" s="533"/>
      <c r="E32" s="534"/>
    </row>
    <row r="33" spans="1:5" ht="28.05" customHeight="1" x14ac:dyDescent="0.35">
      <c r="A33" s="240" t="s">
        <v>282</v>
      </c>
      <c r="B33" s="384">
        <f>0.8587*0.5+0.2854*0.5</f>
        <v>0.57204999999999995</v>
      </c>
      <c r="C33" s="210" t="s">
        <v>283</v>
      </c>
      <c r="D33" s="553" t="s">
        <v>124</v>
      </c>
      <c r="E33" s="554"/>
    </row>
    <row r="34" spans="1:5" ht="28.5" customHeight="1" x14ac:dyDescent="0.35">
      <c r="A34" s="240" t="s">
        <v>284</v>
      </c>
      <c r="B34" s="385">
        <v>0.2</v>
      </c>
      <c r="C34" s="210" t="s">
        <v>96</v>
      </c>
      <c r="D34" s="553" t="s">
        <v>125</v>
      </c>
      <c r="E34" s="554"/>
    </row>
    <row r="35" spans="1:5" ht="15" customHeight="1" x14ac:dyDescent="0.35">
      <c r="A35" s="241" t="s">
        <v>285</v>
      </c>
      <c r="B35" s="386">
        <f>B36+B37</f>
        <v>1171</v>
      </c>
      <c r="C35" s="210"/>
      <c r="D35" s="500" t="s">
        <v>346</v>
      </c>
      <c r="E35" s="501"/>
    </row>
    <row r="36" spans="1:5" ht="15" customHeight="1" x14ac:dyDescent="0.25">
      <c r="A36" s="242" t="str">
        <f>'Baseline emission'!A305</f>
        <v>01/01/2021-31/12/2021</v>
      </c>
      <c r="B36" s="386">
        <f>ROUNDUP(SUM(B15:B26)*B33*(1+B34),0)</f>
        <v>781</v>
      </c>
      <c r="C36" s="210" t="s">
        <v>253</v>
      </c>
      <c r="D36" s="502"/>
      <c r="E36" s="503"/>
    </row>
    <row r="37" spans="1:5" ht="15" customHeight="1" x14ac:dyDescent="0.25">
      <c r="A37" s="242" t="str">
        <f>'Baseline emission'!A306</f>
        <v>01/01/2022-30/06/2022</v>
      </c>
      <c r="B37" s="386">
        <f>ROUNDUP(SUM(B27:B32)*B33*(1+B34),0)</f>
        <v>390</v>
      </c>
      <c r="C37" s="210" t="s">
        <v>253</v>
      </c>
      <c r="D37" s="504"/>
      <c r="E37" s="505"/>
    </row>
    <row r="38" spans="1:5" ht="31.2" customHeight="1" thickBot="1" x14ac:dyDescent="0.4">
      <c r="A38" s="243" t="s">
        <v>286</v>
      </c>
      <c r="B38" s="387">
        <v>0</v>
      </c>
      <c r="C38" s="244" t="s">
        <v>253</v>
      </c>
      <c r="D38" s="541" t="s">
        <v>126</v>
      </c>
      <c r="E38" s="542"/>
    </row>
    <row r="39" spans="1:5" ht="23.55" customHeight="1" x14ac:dyDescent="0.25">
      <c r="A39" s="237"/>
      <c r="B39" s="257"/>
      <c r="C39" s="245"/>
      <c r="D39" s="246"/>
      <c r="E39" s="246"/>
    </row>
    <row r="40" spans="1:5" ht="23.55" customHeight="1" x14ac:dyDescent="0.25">
      <c r="A40" s="237"/>
      <c r="B40" s="257"/>
      <c r="C40" s="245"/>
      <c r="D40" s="246"/>
      <c r="E40" s="246"/>
    </row>
    <row r="41" spans="1:5" ht="15" customHeight="1" x14ac:dyDescent="0.25">
      <c r="A41" s="237"/>
      <c r="B41" s="256"/>
      <c r="C41" s="77"/>
      <c r="D41" s="77"/>
    </row>
    <row r="42" spans="1:5" ht="15" customHeight="1" x14ac:dyDescent="0.25">
      <c r="A42" s="237"/>
      <c r="B42" s="256"/>
      <c r="C42" s="77"/>
      <c r="D42" s="77"/>
    </row>
    <row r="43" spans="1:5" ht="13.8" thickBot="1" x14ac:dyDescent="0.3">
      <c r="A43" s="237"/>
      <c r="B43" s="256"/>
      <c r="C43" s="77"/>
      <c r="D43" s="77"/>
    </row>
    <row r="44" spans="1:5" x14ac:dyDescent="0.25">
      <c r="A44" s="281" t="s">
        <v>65</v>
      </c>
      <c r="B44" s="282" t="s">
        <v>127</v>
      </c>
      <c r="C44" s="282" t="s">
        <v>62</v>
      </c>
      <c r="D44" s="543" t="s">
        <v>4</v>
      </c>
      <c r="E44" s="544"/>
    </row>
    <row r="45" spans="1:5" ht="15.6" x14ac:dyDescent="0.35">
      <c r="A45" s="38" t="s">
        <v>287</v>
      </c>
      <c r="B45" s="359">
        <f>'Baseline emission'!B11</f>
        <v>28</v>
      </c>
      <c r="C45" s="63" t="s">
        <v>271</v>
      </c>
      <c r="D45" s="519" t="s">
        <v>128</v>
      </c>
      <c r="E45" s="520"/>
    </row>
    <row r="46" spans="1:5" ht="15.6" x14ac:dyDescent="0.35">
      <c r="A46" s="38" t="s">
        <v>288</v>
      </c>
      <c r="B46" s="388">
        <v>0.05</v>
      </c>
      <c r="C46" s="63" t="s">
        <v>289</v>
      </c>
      <c r="D46" s="519" t="s">
        <v>99</v>
      </c>
      <c r="E46" s="520"/>
    </row>
    <row r="47" spans="1:5" ht="15.45" customHeight="1" x14ac:dyDescent="0.25">
      <c r="A47" s="195" t="s">
        <v>290</v>
      </c>
      <c r="B47" s="389"/>
      <c r="C47" s="535" t="s">
        <v>105</v>
      </c>
      <c r="D47" s="529" t="s">
        <v>333</v>
      </c>
      <c r="E47" s="530"/>
    </row>
    <row r="48" spans="1:5" x14ac:dyDescent="0.25">
      <c r="A48" s="43" t="str">
        <f t="shared" ref="A48:A62" si="0">A15</f>
        <v>01/01/2021-31/01/2021</v>
      </c>
      <c r="B48" s="411">
        <f>'monitoring results'!M51</f>
        <v>954.88577959130998</v>
      </c>
      <c r="C48" s="536"/>
      <c r="D48" s="531"/>
      <c r="E48" s="532"/>
    </row>
    <row r="49" spans="1:10" x14ac:dyDescent="0.25">
      <c r="A49" s="43" t="str">
        <f t="shared" si="0"/>
        <v>01/02/2021-28/02/2021</v>
      </c>
      <c r="B49" s="411">
        <f>'monitoring results'!M52</f>
        <v>832.43815934139002</v>
      </c>
      <c r="C49" s="536"/>
      <c r="D49" s="531"/>
      <c r="E49" s="532"/>
    </row>
    <row r="50" spans="1:10" x14ac:dyDescent="0.25">
      <c r="A50" s="43" t="str">
        <f t="shared" si="0"/>
        <v>01/03/2021-31/03/3021</v>
      </c>
      <c r="B50" s="411">
        <f>'monitoring results'!M53</f>
        <v>967.73711724017994</v>
      </c>
      <c r="C50" s="536"/>
      <c r="D50" s="531"/>
      <c r="E50" s="532"/>
    </row>
    <row r="51" spans="1:10" x14ac:dyDescent="0.25">
      <c r="A51" s="43" t="str">
        <f t="shared" si="0"/>
        <v>01/04/2021-30/04/2021</v>
      </c>
      <c r="B51" s="411">
        <f>'monitoring results'!M54</f>
        <v>889.61832865710005</v>
      </c>
      <c r="C51" s="536"/>
      <c r="D51" s="531"/>
      <c r="E51" s="532"/>
    </row>
    <row r="52" spans="1:10" x14ac:dyDescent="0.25">
      <c r="A52" s="43" t="str">
        <f t="shared" si="0"/>
        <v>01/05/2021-31/05/2021</v>
      </c>
      <c r="B52" s="411">
        <f>'monitoring results'!M55</f>
        <v>952.47908037323987</v>
      </c>
      <c r="C52" s="536"/>
      <c r="D52" s="531"/>
      <c r="E52" s="532"/>
      <c r="G52" s="120"/>
      <c r="H52" s="120"/>
      <c r="I52" s="120"/>
      <c r="J52" s="120"/>
    </row>
    <row r="53" spans="1:10" x14ac:dyDescent="0.25">
      <c r="A53" s="43" t="str">
        <f t="shared" si="0"/>
        <v>01/06/2021-30/06/2021</v>
      </c>
      <c r="B53" s="411">
        <f>'monitoring results'!M56</f>
        <v>927.0299344282198</v>
      </c>
      <c r="C53" s="536"/>
      <c r="D53" s="531"/>
      <c r="E53" s="532"/>
    </row>
    <row r="54" spans="1:10" x14ac:dyDescent="0.25">
      <c r="A54" s="43" t="str">
        <f t="shared" si="0"/>
        <v>01/07/2021-31/07/2021</v>
      </c>
      <c r="B54" s="411">
        <f>'monitoring results'!M57</f>
        <v>911.80811205792008</v>
      </c>
      <c r="C54" s="536"/>
      <c r="D54" s="531"/>
      <c r="E54" s="532"/>
    </row>
    <row r="55" spans="1:10" x14ac:dyDescent="0.25">
      <c r="A55" s="43" t="str">
        <f t="shared" si="0"/>
        <v>01/08/2021-31/08/2021</v>
      </c>
      <c r="B55" s="411">
        <f>'monitoring results'!M58</f>
        <v>949.26356934254989</v>
      </c>
      <c r="C55" s="536"/>
      <c r="D55" s="531"/>
      <c r="E55" s="532"/>
    </row>
    <row r="56" spans="1:10" x14ac:dyDescent="0.25">
      <c r="A56" s="43" t="str">
        <f t="shared" si="0"/>
        <v>01/09/2021-30/09/2021</v>
      </c>
      <c r="B56" s="411">
        <f>'monitoring results'!M59</f>
        <v>896.87899914227989</v>
      </c>
      <c r="C56" s="536"/>
      <c r="D56" s="531"/>
      <c r="E56" s="532"/>
    </row>
    <row r="57" spans="1:10" x14ac:dyDescent="0.25">
      <c r="A57" s="43" t="str">
        <f t="shared" si="0"/>
        <v>01/10/2021-31/10/2021</v>
      </c>
      <c r="B57" s="411">
        <f>'monitoring results'!M60</f>
        <v>947.09081923596011</v>
      </c>
      <c r="C57" s="536"/>
      <c r="D57" s="531"/>
      <c r="E57" s="532"/>
    </row>
    <row r="58" spans="1:10" x14ac:dyDescent="0.25">
      <c r="A58" s="43" t="str">
        <f t="shared" si="0"/>
        <v>01/11/2021-30/11/2021</v>
      </c>
      <c r="B58" s="411">
        <f>'monitoring results'!M61</f>
        <v>907.68673016469006</v>
      </c>
      <c r="C58" s="536"/>
      <c r="D58" s="531"/>
      <c r="E58" s="532"/>
    </row>
    <row r="59" spans="1:10" x14ac:dyDescent="0.25">
      <c r="A59" s="43" t="str">
        <f t="shared" si="0"/>
        <v>01/12/2021-31/12/2021</v>
      </c>
      <c r="B59" s="411">
        <f>'monitoring results'!M62</f>
        <v>952.96961733245985</v>
      </c>
      <c r="C59" s="536"/>
      <c r="D59" s="531"/>
      <c r="E59" s="532"/>
    </row>
    <row r="60" spans="1:10" x14ac:dyDescent="0.25">
      <c r="A60" s="43" t="str">
        <f t="shared" si="0"/>
        <v>01/01/2022-31/01/2022</v>
      </c>
      <c r="B60" s="411">
        <f>'monitoring results'!M63</f>
        <v>946.60661479104022</v>
      </c>
      <c r="C60" s="536"/>
      <c r="D60" s="531"/>
      <c r="E60" s="532"/>
    </row>
    <row r="61" spans="1:10" x14ac:dyDescent="0.25">
      <c r="A61" s="43" t="str">
        <f t="shared" si="0"/>
        <v>01/02/2022-28/02/2022</v>
      </c>
      <c r="B61" s="411">
        <f>'monitoring results'!M64</f>
        <v>836.25028046847012</v>
      </c>
      <c r="C61" s="536"/>
      <c r="D61" s="531"/>
      <c r="E61" s="532"/>
    </row>
    <row r="62" spans="1:10" x14ac:dyDescent="0.25">
      <c r="A62" s="43" t="str">
        <f t="shared" si="0"/>
        <v>01/03/2022-31/03/2022</v>
      </c>
      <c r="B62" s="411">
        <f>'monitoring results'!M65</f>
        <v>934.40724241788007</v>
      </c>
      <c r="C62" s="536"/>
      <c r="D62" s="531"/>
      <c r="E62" s="532"/>
    </row>
    <row r="63" spans="1:10" s="348" customFormat="1" x14ac:dyDescent="0.25">
      <c r="A63" s="43" t="s">
        <v>342</v>
      </c>
      <c r="B63" s="411">
        <f>'monitoring results'!M66</f>
        <v>898.42805831078977</v>
      </c>
      <c r="C63" s="536"/>
      <c r="D63" s="531"/>
      <c r="E63" s="532"/>
    </row>
    <row r="64" spans="1:10" s="348" customFormat="1" x14ac:dyDescent="0.25">
      <c r="A64" s="43" t="s">
        <v>343</v>
      </c>
      <c r="B64" s="411">
        <f>'monitoring results'!M67</f>
        <v>909.17274271823999</v>
      </c>
      <c r="C64" s="536"/>
      <c r="D64" s="531"/>
      <c r="E64" s="532"/>
    </row>
    <row r="65" spans="1:5" s="348" customFormat="1" x14ac:dyDescent="0.25">
      <c r="A65" s="43" t="s">
        <v>344</v>
      </c>
      <c r="B65" s="411">
        <f>'monitoring results'!M68</f>
        <v>913.16277752238011</v>
      </c>
      <c r="C65" s="537"/>
      <c r="D65" s="533"/>
      <c r="E65" s="534"/>
    </row>
    <row r="66" spans="1:5" ht="15" customHeight="1" x14ac:dyDescent="0.25">
      <c r="A66" s="247" t="s">
        <v>291</v>
      </c>
      <c r="B66" s="390">
        <f>B67+B68</f>
        <v>23139</v>
      </c>
      <c r="C66" s="248" t="s">
        <v>253</v>
      </c>
      <c r="D66" s="529" t="s">
        <v>66</v>
      </c>
      <c r="E66" s="530"/>
    </row>
    <row r="67" spans="1:5" ht="15" customHeight="1" x14ac:dyDescent="0.25">
      <c r="A67" s="50" t="str">
        <f>A36</f>
        <v>01/01/2021-31/12/2021</v>
      </c>
      <c r="B67" s="390">
        <f>INT(SUM(B48:B59)*B45*B46)</f>
        <v>15525</v>
      </c>
      <c r="C67" s="248" t="s">
        <v>253</v>
      </c>
      <c r="D67" s="531"/>
      <c r="E67" s="532"/>
    </row>
    <row r="68" spans="1:5" ht="15" customHeight="1" thickBot="1" x14ac:dyDescent="0.3">
      <c r="A68" s="88" t="str">
        <f>A37</f>
        <v>01/01/2022-30/06/2022</v>
      </c>
      <c r="B68" s="391">
        <f>ROUNDUP(SUM(B60:B65)*B45*B46,0)</f>
        <v>7614</v>
      </c>
      <c r="C68" s="249" t="s">
        <v>253</v>
      </c>
      <c r="D68" s="546"/>
      <c r="E68" s="547"/>
    </row>
    <row r="69" spans="1:5" x14ac:dyDescent="0.25">
      <c r="A69" s="250"/>
      <c r="B69" s="75"/>
      <c r="C69" s="28"/>
      <c r="D69" s="28"/>
      <c r="E69" s="28"/>
    </row>
    <row r="70" spans="1:5" x14ac:dyDescent="0.25">
      <c r="A70" s="250"/>
      <c r="B70" s="75"/>
      <c r="C70" s="28"/>
      <c r="D70" s="28"/>
      <c r="E70" s="28"/>
    </row>
    <row r="71" spans="1:5" x14ac:dyDescent="0.25">
      <c r="A71" s="250"/>
      <c r="B71" s="75"/>
      <c r="C71" s="28"/>
      <c r="D71" s="251"/>
      <c r="E71" s="28"/>
    </row>
    <row r="72" spans="1:5" x14ac:dyDescent="0.25">
      <c r="A72" s="250"/>
      <c r="B72" s="75"/>
      <c r="C72" s="28"/>
      <c r="D72" s="28"/>
      <c r="E72" s="28"/>
    </row>
    <row r="73" spans="1:5" x14ac:dyDescent="0.25">
      <c r="A73" s="250"/>
      <c r="B73" s="75"/>
      <c r="C73" s="28"/>
      <c r="D73" s="28"/>
      <c r="E73" s="28"/>
    </row>
    <row r="74" spans="1:5" x14ac:dyDescent="0.25">
      <c r="A74" s="250"/>
      <c r="B74" s="75"/>
      <c r="C74" s="28"/>
      <c r="D74" s="28"/>
      <c r="E74" s="28"/>
    </row>
    <row r="75" spans="1:5" ht="13.8" thickBot="1" x14ac:dyDescent="0.3">
      <c r="A75" s="250"/>
      <c r="B75" s="75"/>
      <c r="C75" s="28"/>
      <c r="D75" s="28"/>
      <c r="E75" s="28"/>
    </row>
    <row r="76" spans="1:5" x14ac:dyDescent="0.25">
      <c r="A76" s="59" t="s">
        <v>65</v>
      </c>
      <c r="B76" s="60" t="s">
        <v>116</v>
      </c>
      <c r="C76" s="60" t="s">
        <v>62</v>
      </c>
      <c r="D76" s="548" t="s">
        <v>4</v>
      </c>
      <c r="E76" s="549"/>
    </row>
    <row r="77" spans="1:5" x14ac:dyDescent="0.25">
      <c r="A77" s="61"/>
      <c r="B77" s="62"/>
      <c r="C77" s="62"/>
      <c r="D77" s="487"/>
      <c r="E77" s="545"/>
    </row>
    <row r="78" spans="1:5" ht="15.6" x14ac:dyDescent="0.35">
      <c r="A78" s="38" t="s">
        <v>287</v>
      </c>
      <c r="B78" s="406">
        <f>'Baseline emission'!B11</f>
        <v>28</v>
      </c>
      <c r="C78" s="63" t="s">
        <v>271</v>
      </c>
      <c r="D78" s="519" t="s">
        <v>128</v>
      </c>
      <c r="E78" s="520"/>
    </row>
    <row r="79" spans="1:5" ht="15.6" x14ac:dyDescent="0.25">
      <c r="A79" s="277" t="s">
        <v>311</v>
      </c>
      <c r="B79" s="406"/>
      <c r="C79" s="63"/>
      <c r="D79" s="519"/>
      <c r="E79" s="520"/>
    </row>
    <row r="80" spans="1:5" x14ac:dyDescent="0.25">
      <c r="A80" s="43" t="str">
        <f t="shared" ref="A80:A94" si="1">A48</f>
        <v>01/01/2021-31/01/2021</v>
      </c>
      <c r="B80" s="412">
        <f>'monitoring results'!P51</f>
        <v>0</v>
      </c>
      <c r="C80" s="538" t="s">
        <v>352</v>
      </c>
      <c r="D80" s="529" t="str">
        <f>D47</f>
        <v>calculated, biogas flow, temperature and pressure is sourced from DCS system. CH4 is calculated as equation 19 in MR.</v>
      </c>
      <c r="E80" s="530"/>
    </row>
    <row r="81" spans="1:5" x14ac:dyDescent="0.25">
      <c r="A81" s="43" t="str">
        <f t="shared" si="1"/>
        <v>01/02/2021-28/02/2021</v>
      </c>
      <c r="B81" s="412">
        <f>'monitoring results'!P52</f>
        <v>0</v>
      </c>
      <c r="C81" s="539"/>
      <c r="D81" s="531"/>
      <c r="E81" s="532"/>
    </row>
    <row r="82" spans="1:5" x14ac:dyDescent="0.25">
      <c r="A82" s="43" t="str">
        <f t="shared" si="1"/>
        <v>01/03/2021-31/03/3021</v>
      </c>
      <c r="B82" s="412">
        <f>'monitoring results'!P53</f>
        <v>0</v>
      </c>
      <c r="C82" s="539"/>
      <c r="D82" s="531"/>
      <c r="E82" s="532"/>
    </row>
    <row r="83" spans="1:5" x14ac:dyDescent="0.25">
      <c r="A83" s="43" t="str">
        <f t="shared" si="1"/>
        <v>01/04/2021-30/04/2021</v>
      </c>
      <c r="B83" s="412">
        <f>'monitoring results'!P54</f>
        <v>0</v>
      </c>
      <c r="C83" s="539"/>
      <c r="D83" s="531"/>
      <c r="E83" s="532"/>
    </row>
    <row r="84" spans="1:5" x14ac:dyDescent="0.25">
      <c r="A84" s="43" t="str">
        <f t="shared" si="1"/>
        <v>01/05/2021-31/05/2021</v>
      </c>
      <c r="B84" s="412">
        <f>'monitoring results'!P55</f>
        <v>0</v>
      </c>
      <c r="C84" s="539"/>
      <c r="D84" s="531"/>
      <c r="E84" s="532"/>
    </row>
    <row r="85" spans="1:5" x14ac:dyDescent="0.25">
      <c r="A85" s="43" t="str">
        <f t="shared" si="1"/>
        <v>01/06/2021-30/06/2021</v>
      </c>
      <c r="B85" s="412">
        <f>'monitoring results'!P56</f>
        <v>0</v>
      </c>
      <c r="C85" s="539"/>
      <c r="D85" s="531"/>
      <c r="E85" s="532"/>
    </row>
    <row r="86" spans="1:5" x14ac:dyDescent="0.25">
      <c r="A86" s="43" t="str">
        <f t="shared" si="1"/>
        <v>01/07/2021-31/07/2021</v>
      </c>
      <c r="B86" s="412">
        <f>'monitoring results'!P57</f>
        <v>0</v>
      </c>
      <c r="C86" s="539"/>
      <c r="D86" s="531"/>
      <c r="E86" s="532"/>
    </row>
    <row r="87" spans="1:5" x14ac:dyDescent="0.25">
      <c r="A87" s="43" t="str">
        <f t="shared" si="1"/>
        <v>01/08/2021-31/08/2021</v>
      </c>
      <c r="B87" s="412">
        <f>'monitoring results'!P58</f>
        <v>0</v>
      </c>
      <c r="C87" s="539"/>
      <c r="D87" s="531"/>
      <c r="E87" s="532"/>
    </row>
    <row r="88" spans="1:5" x14ac:dyDescent="0.25">
      <c r="A88" s="43" t="str">
        <f t="shared" si="1"/>
        <v>01/09/2021-30/09/2021</v>
      </c>
      <c r="B88" s="412">
        <f>'monitoring results'!P59</f>
        <v>0</v>
      </c>
      <c r="C88" s="539"/>
      <c r="D88" s="531"/>
      <c r="E88" s="532"/>
    </row>
    <row r="89" spans="1:5" x14ac:dyDescent="0.25">
      <c r="A89" s="43" t="str">
        <f t="shared" si="1"/>
        <v>01/10/2021-31/10/2021</v>
      </c>
      <c r="B89" s="412">
        <f>'monitoring results'!P60</f>
        <v>0</v>
      </c>
      <c r="C89" s="539"/>
      <c r="D89" s="531"/>
      <c r="E89" s="532"/>
    </row>
    <row r="90" spans="1:5" x14ac:dyDescent="0.25">
      <c r="A90" s="43" t="str">
        <f t="shared" si="1"/>
        <v>01/11/2021-30/11/2021</v>
      </c>
      <c r="B90" s="412">
        <f>'monitoring results'!P61</f>
        <v>0</v>
      </c>
      <c r="C90" s="539"/>
      <c r="D90" s="531"/>
      <c r="E90" s="532"/>
    </row>
    <row r="91" spans="1:5" x14ac:dyDescent="0.25">
      <c r="A91" s="43" t="str">
        <f t="shared" si="1"/>
        <v>01/12/2021-31/12/2021</v>
      </c>
      <c r="B91" s="412">
        <f>'monitoring results'!P62</f>
        <v>0</v>
      </c>
      <c r="C91" s="539"/>
      <c r="D91" s="531"/>
      <c r="E91" s="532"/>
    </row>
    <row r="92" spans="1:5" x14ac:dyDescent="0.25">
      <c r="A92" s="43" t="str">
        <f t="shared" si="1"/>
        <v>01/01/2022-31/01/2022</v>
      </c>
      <c r="B92" s="412">
        <f>'monitoring results'!P63</f>
        <v>0</v>
      </c>
      <c r="C92" s="539"/>
      <c r="D92" s="531"/>
      <c r="E92" s="532"/>
    </row>
    <row r="93" spans="1:5" x14ac:dyDescent="0.25">
      <c r="A93" s="43" t="str">
        <f t="shared" si="1"/>
        <v>01/02/2022-28/02/2022</v>
      </c>
      <c r="B93" s="412">
        <f>'monitoring results'!P64</f>
        <v>0</v>
      </c>
      <c r="C93" s="539"/>
      <c r="D93" s="531"/>
      <c r="E93" s="532"/>
    </row>
    <row r="94" spans="1:5" x14ac:dyDescent="0.25">
      <c r="A94" s="43" t="str">
        <f t="shared" si="1"/>
        <v>01/03/2022-31/03/2022</v>
      </c>
      <c r="B94" s="412">
        <f>'monitoring results'!P65</f>
        <v>0</v>
      </c>
      <c r="C94" s="539"/>
      <c r="D94" s="531"/>
      <c r="E94" s="532"/>
    </row>
    <row r="95" spans="1:5" s="348" customFormat="1" x14ac:dyDescent="0.25">
      <c r="A95" s="43" t="s">
        <v>342</v>
      </c>
      <c r="B95" s="412">
        <f>'monitoring results'!P66</f>
        <v>0</v>
      </c>
      <c r="C95" s="539"/>
      <c r="D95" s="531"/>
      <c r="E95" s="532"/>
    </row>
    <row r="96" spans="1:5" s="348" customFormat="1" x14ac:dyDescent="0.25">
      <c r="A96" s="43" t="s">
        <v>343</v>
      </c>
      <c r="B96" s="412">
        <f>'monitoring results'!P67</f>
        <v>0</v>
      </c>
      <c r="C96" s="539"/>
      <c r="D96" s="531"/>
      <c r="E96" s="532"/>
    </row>
    <row r="97" spans="1:5" s="348" customFormat="1" x14ac:dyDescent="0.25">
      <c r="A97" s="43" t="s">
        <v>344</v>
      </c>
      <c r="B97" s="412">
        <f>'monitoring results'!P68</f>
        <v>0</v>
      </c>
      <c r="C97" s="540"/>
      <c r="D97" s="533"/>
      <c r="E97" s="534"/>
    </row>
    <row r="98" spans="1:5" ht="15.6" x14ac:dyDescent="0.35">
      <c r="A98" s="43" t="s">
        <v>292</v>
      </c>
      <c r="B98" s="413">
        <v>0</v>
      </c>
      <c r="C98" s="253" t="s">
        <v>96</v>
      </c>
      <c r="D98" s="527" t="s">
        <v>117</v>
      </c>
      <c r="E98" s="528"/>
    </row>
    <row r="99" spans="1:5" ht="15.6" x14ac:dyDescent="0.35">
      <c r="A99" s="43" t="s">
        <v>293</v>
      </c>
      <c r="B99" s="252"/>
      <c r="C99" s="253"/>
      <c r="D99" s="521"/>
      <c r="E99" s="522"/>
    </row>
    <row r="100" spans="1:5" x14ac:dyDescent="0.25">
      <c r="A100" s="50" t="str">
        <f>A67</f>
        <v>01/01/2021-31/12/2021</v>
      </c>
      <c r="B100" s="413">
        <f>ROUNDUP(B78*SUM(B80:B91)*(1-B98)/1000,0)</f>
        <v>0</v>
      </c>
      <c r="C100" s="516"/>
      <c r="D100" s="523" t="s">
        <v>348</v>
      </c>
      <c r="E100" s="524"/>
    </row>
    <row r="101" spans="1:5" x14ac:dyDescent="0.25">
      <c r="A101" s="50" t="str">
        <f>A68</f>
        <v>01/01/2022-30/06/2022</v>
      </c>
      <c r="B101" s="413">
        <f>ROUNDUP(SUM(B92:B97)*B78*(1-B98)/1000,0)</f>
        <v>0</v>
      </c>
      <c r="C101" s="516"/>
      <c r="D101" s="523"/>
      <c r="E101" s="524"/>
    </row>
    <row r="102" spans="1:5" ht="15.6" x14ac:dyDescent="0.25">
      <c r="A102" s="254" t="s">
        <v>294</v>
      </c>
      <c r="B102" s="413">
        <f>B103+B104</f>
        <v>24310</v>
      </c>
      <c r="C102" s="517" t="s">
        <v>328</v>
      </c>
      <c r="D102" s="523"/>
      <c r="E102" s="524"/>
    </row>
    <row r="103" spans="1:5" x14ac:dyDescent="0.25">
      <c r="A103" s="255" t="str">
        <f>A100</f>
        <v>01/01/2021-31/12/2021</v>
      </c>
      <c r="B103" s="413">
        <f>B36+B67+B100</f>
        <v>16306</v>
      </c>
      <c r="C103" s="517"/>
      <c r="D103" s="523"/>
      <c r="E103" s="524"/>
    </row>
    <row r="104" spans="1:5" ht="13.8" thickBot="1" x14ac:dyDescent="0.3">
      <c r="A104" s="67" t="str">
        <f>A101</f>
        <v>01/01/2022-30/06/2022</v>
      </c>
      <c r="B104" s="405">
        <f>B37+B68+B101</f>
        <v>8004</v>
      </c>
      <c r="C104" s="518"/>
      <c r="D104" s="525"/>
      <c r="E104" s="526"/>
    </row>
    <row r="105" spans="1:5" x14ac:dyDescent="0.25">
      <c r="A105" s="217"/>
      <c r="B105" s="285"/>
      <c r="C105" s="286"/>
      <c r="D105" s="286"/>
      <c r="E105" s="286"/>
    </row>
    <row r="106" spans="1:5" x14ac:dyDescent="0.25">
      <c r="A106" s="217"/>
      <c r="B106" s="285"/>
      <c r="C106" s="286"/>
      <c r="D106" s="286"/>
      <c r="E106" s="286"/>
    </row>
    <row r="107" spans="1:5" x14ac:dyDescent="0.25">
      <c r="A107" s="286"/>
      <c r="B107" s="285"/>
      <c r="C107" s="286"/>
      <c r="D107" s="286"/>
      <c r="E107" s="286"/>
    </row>
    <row r="108" spans="1:5" ht="15.6" x14ac:dyDescent="0.25">
      <c r="A108" s="287" t="s">
        <v>334</v>
      </c>
      <c r="B108" s="288"/>
      <c r="C108" s="91"/>
      <c r="D108" s="91"/>
      <c r="E108" s="91"/>
    </row>
    <row r="109" spans="1:5" x14ac:dyDescent="0.25">
      <c r="A109" s="289"/>
      <c r="B109" s="91"/>
      <c r="C109" s="91"/>
      <c r="D109" s="91"/>
      <c r="E109" s="91"/>
    </row>
    <row r="110" spans="1:5" x14ac:dyDescent="0.25">
      <c r="A110" s="289"/>
      <c r="B110" s="91"/>
      <c r="C110" s="91"/>
      <c r="D110" s="91"/>
      <c r="E110" s="290"/>
    </row>
    <row r="111" spans="1:5" x14ac:dyDescent="0.25">
      <c r="A111" s="289"/>
      <c r="B111" s="91"/>
      <c r="C111" s="91"/>
      <c r="D111" s="91"/>
      <c r="E111" s="91"/>
    </row>
    <row r="112" spans="1:5" x14ac:dyDescent="0.25">
      <c r="A112" s="289"/>
      <c r="B112" s="91"/>
      <c r="C112" s="91"/>
      <c r="D112" s="91"/>
      <c r="E112" s="91"/>
    </row>
    <row r="113" spans="1:7" x14ac:dyDescent="0.25">
      <c r="A113" s="289"/>
      <c r="B113" s="91"/>
      <c r="C113" s="91"/>
      <c r="D113" s="91"/>
      <c r="E113" s="91"/>
    </row>
    <row r="114" spans="1:7" ht="13.8" thickBot="1" x14ac:dyDescent="0.3">
      <c r="A114" s="291"/>
      <c r="B114" s="292"/>
      <c r="C114" s="292"/>
      <c r="D114" s="91"/>
      <c r="E114" s="91"/>
    </row>
    <row r="115" spans="1:7" x14ac:dyDescent="0.25">
      <c r="A115" s="258" t="s">
        <v>3</v>
      </c>
      <c r="B115" s="259" t="s">
        <v>18</v>
      </c>
      <c r="C115" s="259"/>
      <c r="D115" s="97" t="s">
        <v>2</v>
      </c>
      <c r="E115" s="100" t="s">
        <v>4</v>
      </c>
    </row>
    <row r="116" spans="1:7" x14ac:dyDescent="0.25">
      <c r="A116" s="247"/>
      <c r="B116" s="260" t="s">
        <v>32</v>
      </c>
      <c r="C116" s="260" t="s">
        <v>33</v>
      </c>
      <c r="D116" s="89"/>
      <c r="E116" s="261"/>
    </row>
    <row r="117" spans="1:7" ht="15.6" x14ac:dyDescent="0.35">
      <c r="A117" s="195" t="s">
        <v>295</v>
      </c>
      <c r="B117" s="393">
        <f>'Baseline emission'!B11</f>
        <v>28</v>
      </c>
      <c r="C117" s="393">
        <f>B117</f>
        <v>28</v>
      </c>
      <c r="D117" s="63" t="s">
        <v>271</v>
      </c>
      <c r="E117" s="192" t="s">
        <v>128</v>
      </c>
    </row>
    <row r="118" spans="1:7" ht="15.6" x14ac:dyDescent="0.25">
      <c r="A118" s="195" t="s">
        <v>296</v>
      </c>
      <c r="B118" s="394">
        <f>'[3]Baseline Emission'!B13</f>
        <v>6.7000000000000002E-4</v>
      </c>
      <c r="C118" s="394">
        <f>'[3]Baseline Emission'!C13</f>
        <v>6.7000000000000002E-4</v>
      </c>
      <c r="D118" s="63" t="s">
        <v>264</v>
      </c>
      <c r="E118" s="263" t="s">
        <v>100</v>
      </c>
    </row>
    <row r="119" spans="1:7" x14ac:dyDescent="0.25">
      <c r="A119" s="195"/>
      <c r="B119" s="395">
        <v>1E-3</v>
      </c>
      <c r="C119" s="395">
        <v>1E-3</v>
      </c>
      <c r="D119" s="63" t="s">
        <v>96</v>
      </c>
      <c r="E119" s="263"/>
    </row>
    <row r="120" spans="1:7" ht="15.6" x14ac:dyDescent="0.25">
      <c r="A120" s="195" t="s">
        <v>297</v>
      </c>
      <c r="B120" s="396">
        <v>1</v>
      </c>
      <c r="C120" s="396">
        <v>1</v>
      </c>
      <c r="D120" s="63" t="s">
        <v>96</v>
      </c>
      <c r="E120" s="263"/>
      <c r="F120" s="110"/>
      <c r="G120" s="110"/>
    </row>
    <row r="121" spans="1:7" ht="15.6" x14ac:dyDescent="0.25">
      <c r="A121" s="195" t="s">
        <v>298</v>
      </c>
      <c r="B121" s="396">
        <f>(1-2%)*(1-45%)</f>
        <v>0.53900000000000003</v>
      </c>
      <c r="C121" s="396">
        <f>(1-2%)*(1-45%)</f>
        <v>0.53900000000000003</v>
      </c>
      <c r="D121" s="63" t="s">
        <v>96</v>
      </c>
      <c r="E121" s="192" t="s">
        <v>132</v>
      </c>
      <c r="F121" s="436"/>
      <c r="G121" s="110"/>
    </row>
    <row r="122" spans="1:7" ht="16.8" x14ac:dyDescent="0.35">
      <c r="A122" s="195" t="s">
        <v>299</v>
      </c>
      <c r="B122" s="393">
        <f>'[3]Baseline Emission'!B17</f>
        <v>0.28999999999999998</v>
      </c>
      <c r="C122" s="393">
        <f>'[3]Baseline Emission'!C17</f>
        <v>0.28999999999999998</v>
      </c>
      <c r="D122" s="63" t="s">
        <v>300</v>
      </c>
      <c r="E122" s="265" t="s">
        <v>101</v>
      </c>
    </row>
    <row r="123" spans="1:7" ht="15.6" customHeight="1" x14ac:dyDescent="0.25">
      <c r="A123" s="195" t="s">
        <v>301</v>
      </c>
      <c r="B123" s="266"/>
      <c r="C123" s="266"/>
      <c r="D123" s="484" t="str">
        <f>'[3]Baseline Emission'!D18</f>
        <v>No of heads</v>
      </c>
      <c r="E123" s="508" t="s">
        <v>331</v>
      </c>
    </row>
    <row r="124" spans="1:7" x14ac:dyDescent="0.25">
      <c r="A124" s="43" t="str">
        <f t="shared" ref="A124:A138" si="2">A80</f>
        <v>01/01/2021-31/01/2021</v>
      </c>
      <c r="B124" s="392">
        <f>'monitoring results'!B4</f>
        <v>112096</v>
      </c>
      <c r="C124" s="392">
        <f>'monitoring results'!C4</f>
        <v>191546</v>
      </c>
      <c r="D124" s="485"/>
      <c r="E124" s="509"/>
    </row>
    <row r="125" spans="1:7" x14ac:dyDescent="0.25">
      <c r="A125" s="43" t="str">
        <f t="shared" si="2"/>
        <v>01/02/2021-28/02/2021</v>
      </c>
      <c r="B125" s="392">
        <f>'monitoring results'!B5</f>
        <v>112096</v>
      </c>
      <c r="C125" s="392">
        <f>'monitoring results'!C5</f>
        <v>192112</v>
      </c>
      <c r="D125" s="485"/>
      <c r="E125" s="509"/>
    </row>
    <row r="126" spans="1:7" x14ac:dyDescent="0.25">
      <c r="A126" s="43" t="str">
        <f t="shared" si="2"/>
        <v>01/03/2021-31/03/3021</v>
      </c>
      <c r="B126" s="392">
        <f>'monitoring results'!B6</f>
        <v>112096</v>
      </c>
      <c r="C126" s="392">
        <f>'monitoring results'!C6</f>
        <v>191422</v>
      </c>
      <c r="D126" s="485"/>
      <c r="E126" s="509"/>
    </row>
    <row r="127" spans="1:7" x14ac:dyDescent="0.25">
      <c r="A127" s="43" t="str">
        <f t="shared" si="2"/>
        <v>01/04/2021-30/04/2021</v>
      </c>
      <c r="B127" s="392">
        <f>'monitoring results'!B7</f>
        <v>112096</v>
      </c>
      <c r="C127" s="392">
        <f>'monitoring results'!C7</f>
        <v>192144</v>
      </c>
      <c r="D127" s="485"/>
      <c r="E127" s="509"/>
    </row>
    <row r="128" spans="1:7" x14ac:dyDescent="0.25">
      <c r="A128" s="43" t="str">
        <f t="shared" si="2"/>
        <v>01/05/2021-31/05/2021</v>
      </c>
      <c r="B128" s="392">
        <f>'monitoring results'!B8</f>
        <v>112096</v>
      </c>
      <c r="C128" s="392">
        <f>'monitoring results'!C8</f>
        <v>191903</v>
      </c>
      <c r="D128" s="485"/>
      <c r="E128" s="509"/>
    </row>
    <row r="129" spans="1:5" x14ac:dyDescent="0.25">
      <c r="A129" s="43" t="str">
        <f t="shared" si="2"/>
        <v>01/06/2021-30/06/2021</v>
      </c>
      <c r="B129" s="392">
        <f>'monitoring results'!B9</f>
        <v>112096</v>
      </c>
      <c r="C129" s="392">
        <f>'monitoring results'!C9</f>
        <v>191653</v>
      </c>
      <c r="D129" s="485"/>
      <c r="E129" s="509"/>
    </row>
    <row r="130" spans="1:5" x14ac:dyDescent="0.25">
      <c r="A130" s="43" t="str">
        <f t="shared" si="2"/>
        <v>01/07/2021-31/07/2021</v>
      </c>
      <c r="B130" s="392">
        <f>'monitoring results'!B10</f>
        <v>112096</v>
      </c>
      <c r="C130" s="392">
        <f>'monitoring results'!C10</f>
        <v>191783</v>
      </c>
      <c r="D130" s="485"/>
      <c r="E130" s="509"/>
    </row>
    <row r="131" spans="1:5" x14ac:dyDescent="0.25">
      <c r="A131" s="43" t="str">
        <f t="shared" si="2"/>
        <v>01/08/2021-31/08/2021</v>
      </c>
      <c r="B131" s="392">
        <f>'monitoring results'!B11</f>
        <v>112096</v>
      </c>
      <c r="C131" s="392">
        <f>'monitoring results'!C11</f>
        <v>191682</v>
      </c>
      <c r="D131" s="485"/>
      <c r="E131" s="509"/>
    </row>
    <row r="132" spans="1:5" x14ac:dyDescent="0.25">
      <c r="A132" s="43" t="str">
        <f t="shared" si="2"/>
        <v>01/09/2021-30/09/2021</v>
      </c>
      <c r="B132" s="392">
        <f>'monitoring results'!B12</f>
        <v>112096</v>
      </c>
      <c r="C132" s="392">
        <f>'monitoring results'!C12</f>
        <v>192049</v>
      </c>
      <c r="D132" s="485"/>
      <c r="E132" s="509"/>
    </row>
    <row r="133" spans="1:5" x14ac:dyDescent="0.25">
      <c r="A133" s="43" t="str">
        <f t="shared" si="2"/>
        <v>01/10/2021-31/10/2021</v>
      </c>
      <c r="B133" s="392">
        <f>'monitoring results'!B13</f>
        <v>112096</v>
      </c>
      <c r="C133" s="392">
        <f>'monitoring results'!C13</f>
        <v>191505</v>
      </c>
      <c r="D133" s="485"/>
      <c r="E133" s="509"/>
    </row>
    <row r="134" spans="1:5" x14ac:dyDescent="0.25">
      <c r="A134" s="43" t="str">
        <f t="shared" si="2"/>
        <v>01/11/2021-30/11/2021</v>
      </c>
      <c r="B134" s="392">
        <f>'monitoring results'!B14</f>
        <v>112096</v>
      </c>
      <c r="C134" s="392">
        <f>'monitoring results'!C14</f>
        <v>191467</v>
      </c>
      <c r="D134" s="485"/>
      <c r="E134" s="509"/>
    </row>
    <row r="135" spans="1:5" x14ac:dyDescent="0.25">
      <c r="A135" s="43" t="str">
        <f t="shared" si="2"/>
        <v>01/12/2021-31/12/2021</v>
      </c>
      <c r="B135" s="392">
        <f>'monitoring results'!B15</f>
        <v>112096</v>
      </c>
      <c r="C135" s="392">
        <f>'monitoring results'!C15</f>
        <v>191877</v>
      </c>
      <c r="D135" s="485"/>
      <c r="E135" s="509"/>
    </row>
    <row r="136" spans="1:5" x14ac:dyDescent="0.25">
      <c r="A136" s="43" t="str">
        <f t="shared" si="2"/>
        <v>01/01/2022-31/01/2022</v>
      </c>
      <c r="B136" s="392">
        <f>'monitoring results'!B16</f>
        <v>112096</v>
      </c>
      <c r="C136" s="392">
        <f>'monitoring results'!C16</f>
        <v>192033</v>
      </c>
      <c r="D136" s="485"/>
      <c r="E136" s="509"/>
    </row>
    <row r="137" spans="1:5" x14ac:dyDescent="0.25">
      <c r="A137" s="43" t="str">
        <f t="shared" si="2"/>
        <v>01/02/2022-28/02/2022</v>
      </c>
      <c r="B137" s="392">
        <f>'monitoring results'!B17</f>
        <v>112096</v>
      </c>
      <c r="C137" s="392">
        <f>'monitoring results'!C17</f>
        <v>191973</v>
      </c>
      <c r="D137" s="485"/>
      <c r="E137" s="509"/>
    </row>
    <row r="138" spans="1:5" x14ac:dyDescent="0.25">
      <c r="A138" s="43" t="str">
        <f t="shared" si="2"/>
        <v>01/03/2022-31/03/2022</v>
      </c>
      <c r="B138" s="392">
        <f>'monitoring results'!B18</f>
        <v>112096</v>
      </c>
      <c r="C138" s="392">
        <f>'monitoring results'!C18</f>
        <v>192076</v>
      </c>
      <c r="D138" s="485"/>
      <c r="E138" s="509"/>
    </row>
    <row r="139" spans="1:5" s="348" customFormat="1" x14ac:dyDescent="0.25">
      <c r="A139" s="43" t="s">
        <v>342</v>
      </c>
      <c r="B139" s="392">
        <f>'monitoring results'!B19</f>
        <v>112096</v>
      </c>
      <c r="C139" s="392">
        <f>'monitoring results'!C19</f>
        <v>191796</v>
      </c>
      <c r="D139" s="485"/>
      <c r="E139" s="509"/>
    </row>
    <row r="140" spans="1:5" s="348" customFormat="1" x14ac:dyDescent="0.25">
      <c r="A140" s="43" t="s">
        <v>343</v>
      </c>
      <c r="B140" s="392">
        <f>'monitoring results'!B20</f>
        <v>112096</v>
      </c>
      <c r="C140" s="392">
        <f>'monitoring results'!C20</f>
        <v>192046</v>
      </c>
      <c r="D140" s="485"/>
      <c r="E140" s="509"/>
    </row>
    <row r="141" spans="1:5" s="348" customFormat="1" x14ac:dyDescent="0.25">
      <c r="A141" s="43" t="s">
        <v>344</v>
      </c>
      <c r="B141" s="392">
        <f>'monitoring results'!B21</f>
        <v>112096</v>
      </c>
      <c r="C141" s="392">
        <f>'monitoring results'!C21</f>
        <v>191783</v>
      </c>
      <c r="D141" s="486"/>
      <c r="E141" s="510"/>
    </row>
    <row r="142" spans="1:5" ht="15.6" x14ac:dyDescent="0.25">
      <c r="A142" s="195" t="s">
        <v>302</v>
      </c>
      <c r="B142" s="262"/>
      <c r="C142" s="262"/>
      <c r="D142" s="484" t="s">
        <v>98</v>
      </c>
      <c r="E142" s="493" t="s">
        <v>110</v>
      </c>
    </row>
    <row r="143" spans="1:5" x14ac:dyDescent="0.25">
      <c r="A143" s="43" t="str">
        <f t="shared" ref="A143:A157" si="3">A124</f>
        <v>01/01/2021-31/01/2021</v>
      </c>
      <c r="B143" s="393">
        <f>'Baseline emission'!B58</f>
        <v>16.839642857142856</v>
      </c>
      <c r="C143" s="393">
        <f>'Baseline emission'!C58</f>
        <v>26.936785714285712</v>
      </c>
      <c r="D143" s="485"/>
      <c r="E143" s="494"/>
    </row>
    <row r="144" spans="1:5" x14ac:dyDescent="0.25">
      <c r="A144" s="43" t="str">
        <f t="shared" si="3"/>
        <v>01/02/2021-28/02/2021</v>
      </c>
      <c r="B144" s="393">
        <f>'Baseline emission'!B59</f>
        <v>15.360000000000001</v>
      </c>
      <c r="C144" s="393">
        <f>'Baseline emission'!C59</f>
        <v>24.798000000000002</v>
      </c>
      <c r="D144" s="485"/>
      <c r="E144" s="494"/>
    </row>
    <row r="145" spans="1:5" x14ac:dyDescent="0.25">
      <c r="A145" s="43" t="str">
        <f t="shared" si="3"/>
        <v>01/03/2021-31/03/3021</v>
      </c>
      <c r="B145" s="393">
        <f>'Baseline emission'!B60</f>
        <v>17.005714285714287</v>
      </c>
      <c r="C145" s="393">
        <f>'Baseline emission'!C60</f>
        <v>27.242357142857145</v>
      </c>
      <c r="D145" s="485"/>
      <c r="E145" s="494"/>
    </row>
    <row r="146" spans="1:5" x14ac:dyDescent="0.25">
      <c r="A146" s="43" t="str">
        <f t="shared" si="3"/>
        <v>01/04/2021-30/04/2021</v>
      </c>
      <c r="B146" s="393">
        <f>'Baseline emission'!B61</f>
        <v>16.328571428571429</v>
      </c>
      <c r="C146" s="393">
        <f>'Baseline emission'!C61</f>
        <v>26.392500000000002</v>
      </c>
      <c r="D146" s="485"/>
      <c r="E146" s="494"/>
    </row>
    <row r="147" spans="1:5" x14ac:dyDescent="0.25">
      <c r="A147" s="43" t="str">
        <f t="shared" si="3"/>
        <v>01/05/2021-31/05/2021</v>
      </c>
      <c r="B147" s="393">
        <f>'Baseline emission'!B62</f>
        <v>17.005714285714287</v>
      </c>
      <c r="C147" s="393">
        <f>'Baseline emission'!C62</f>
        <v>27.335357142857141</v>
      </c>
      <c r="D147" s="485"/>
      <c r="E147" s="494"/>
    </row>
    <row r="148" spans="1:5" x14ac:dyDescent="0.25">
      <c r="A148" s="43" t="str">
        <f t="shared" si="3"/>
        <v>01/06/2021-30/06/2021</v>
      </c>
      <c r="B148" s="393">
        <f>'Baseline emission'!B63</f>
        <v>16.553571428571427</v>
      </c>
      <c r="C148" s="393">
        <f>'Baseline emission'!C63</f>
        <v>26.421428571428574</v>
      </c>
      <c r="D148" s="485"/>
      <c r="E148" s="494"/>
    </row>
    <row r="149" spans="1:5" x14ac:dyDescent="0.25">
      <c r="A149" s="43" t="str">
        <f t="shared" si="3"/>
        <v>01/07/2021-31/07/2021</v>
      </c>
      <c r="B149" s="393">
        <f>'Baseline emission'!B64</f>
        <v>17.072142857142858</v>
      </c>
      <c r="C149" s="393">
        <f>'Baseline emission'!C64</f>
        <v>27.425035714285713</v>
      </c>
      <c r="D149" s="485"/>
      <c r="E149" s="494"/>
    </row>
    <row r="150" spans="1:5" x14ac:dyDescent="0.25">
      <c r="A150" s="43" t="str">
        <f t="shared" si="3"/>
        <v>01/08/2021-31/08/2021</v>
      </c>
      <c r="B150" s="393">
        <f>'Baseline emission'!B65</f>
        <v>16.939285714285713</v>
      </c>
      <c r="C150" s="393">
        <f>'Baseline emission'!C65</f>
        <v>27.335357142857141</v>
      </c>
      <c r="D150" s="485"/>
      <c r="E150" s="494"/>
    </row>
    <row r="151" spans="1:5" x14ac:dyDescent="0.25">
      <c r="A151" s="43" t="str">
        <f t="shared" si="3"/>
        <v>01/09/2021-30/09/2021</v>
      </c>
      <c r="B151" s="393">
        <f>'Baseline emission'!B66</f>
        <v>16.489285714285714</v>
      </c>
      <c r="C151" s="393">
        <f>'Baseline emission'!C66</f>
        <v>26.630357142857147</v>
      </c>
      <c r="D151" s="485"/>
      <c r="E151" s="494"/>
    </row>
    <row r="152" spans="1:5" x14ac:dyDescent="0.25">
      <c r="A152" s="43" t="str">
        <f t="shared" si="3"/>
        <v>01/10/2021-31/10/2021</v>
      </c>
      <c r="B152" s="393">
        <f>'Baseline emission'!B67</f>
        <v>16.9725</v>
      </c>
      <c r="C152" s="393">
        <f>'Baseline emission'!C67</f>
        <v>27.302142857142858</v>
      </c>
      <c r="D152" s="485"/>
      <c r="E152" s="494"/>
    </row>
    <row r="153" spans="1:5" x14ac:dyDescent="0.25">
      <c r="A153" s="43" t="str">
        <f t="shared" si="3"/>
        <v>01/11/2021-30/11/2021</v>
      </c>
      <c r="B153" s="393">
        <f>'Baseline emission'!B68</f>
        <v>16.360714285714288</v>
      </c>
      <c r="C153" s="393">
        <f>'Baseline emission'!C68</f>
        <v>26.540357142857143</v>
      </c>
      <c r="D153" s="485"/>
      <c r="E153" s="494"/>
    </row>
    <row r="154" spans="1:5" x14ac:dyDescent="0.25">
      <c r="A154" s="43" t="str">
        <f t="shared" si="3"/>
        <v>01/12/2021-31/12/2021</v>
      </c>
      <c r="B154" s="393">
        <f>'Baseline emission'!B69</f>
        <v>16.90607142857143</v>
      </c>
      <c r="C154" s="393">
        <f>'Baseline emission'!C69</f>
        <v>27.302142857142858</v>
      </c>
      <c r="D154" s="485"/>
      <c r="E154" s="494"/>
    </row>
    <row r="155" spans="1:5" x14ac:dyDescent="0.25">
      <c r="A155" s="43" t="str">
        <f t="shared" si="3"/>
        <v>01/01/2022-31/01/2022</v>
      </c>
      <c r="B155" s="393">
        <f>'Baseline emission'!B70</f>
        <v>16.740000000000002</v>
      </c>
      <c r="C155" s="393">
        <f>'Baseline emission'!C70</f>
        <v>27.395142857142854</v>
      </c>
      <c r="D155" s="485"/>
      <c r="E155" s="494"/>
    </row>
    <row r="156" spans="1:5" x14ac:dyDescent="0.25">
      <c r="A156" s="43" t="str">
        <f t="shared" si="3"/>
        <v>01/02/2022-28/02/2022</v>
      </c>
      <c r="B156" s="393">
        <f>'Baseline emission'!B71</f>
        <v>15.089999999999996</v>
      </c>
      <c r="C156" s="393">
        <f>'Baseline emission'!C71</f>
        <v>24.771000000000001</v>
      </c>
      <c r="D156" s="485"/>
      <c r="E156" s="494"/>
    </row>
    <row r="157" spans="1:5" x14ac:dyDescent="0.25">
      <c r="A157" s="43" t="str">
        <f t="shared" si="3"/>
        <v>01/03/2022-31/03/2022</v>
      </c>
      <c r="B157" s="393">
        <f>'Baseline emission'!B72</f>
        <v>16.939285714285713</v>
      </c>
      <c r="C157" s="393">
        <f>'Baseline emission'!C72</f>
        <v>27.212464285714287</v>
      </c>
      <c r="D157" s="485"/>
      <c r="E157" s="494"/>
    </row>
    <row r="158" spans="1:5" s="348" customFormat="1" x14ac:dyDescent="0.25">
      <c r="A158" s="43" t="s">
        <v>342</v>
      </c>
      <c r="B158" s="393">
        <f>'Baseline emission'!B73</f>
        <v>16.521428571428572</v>
      </c>
      <c r="C158" s="393">
        <f>'Baseline emission'!C73</f>
        <v>26.482499999999998</v>
      </c>
      <c r="D158" s="485"/>
      <c r="E158" s="494"/>
    </row>
    <row r="159" spans="1:5" s="348" customFormat="1" x14ac:dyDescent="0.25">
      <c r="A159" s="43" t="s">
        <v>343</v>
      </c>
      <c r="B159" s="393">
        <f>'Baseline emission'!B74</f>
        <v>16.90607142857143</v>
      </c>
      <c r="C159" s="393">
        <f>'Baseline emission'!C74</f>
        <v>27.302142857142858</v>
      </c>
      <c r="D159" s="485"/>
      <c r="E159" s="494"/>
    </row>
    <row r="160" spans="1:5" s="348" customFormat="1" x14ac:dyDescent="0.25">
      <c r="A160" s="43" t="s">
        <v>344</v>
      </c>
      <c r="B160" s="393">
        <f>'Baseline emission'!B75</f>
        <v>16.328571428571429</v>
      </c>
      <c r="C160" s="393">
        <f>'Baseline emission'!C75</f>
        <v>26.453571428571429</v>
      </c>
      <c r="D160" s="486"/>
      <c r="E160" s="495"/>
    </row>
    <row r="161" spans="1:5" ht="15.6" x14ac:dyDescent="0.25">
      <c r="A161" s="195" t="s">
        <v>303</v>
      </c>
      <c r="B161" s="396">
        <v>1</v>
      </c>
      <c r="C161" s="396">
        <v>1</v>
      </c>
      <c r="D161" s="63" t="s">
        <v>96</v>
      </c>
      <c r="E161" s="263" t="s">
        <v>129</v>
      </c>
    </row>
    <row r="162" spans="1:5" ht="15.6" x14ac:dyDescent="0.25">
      <c r="A162" s="195" t="s">
        <v>304</v>
      </c>
      <c r="B162" s="264"/>
      <c r="C162" s="264"/>
      <c r="D162" s="63"/>
      <c r="E162" s="263"/>
    </row>
    <row r="163" spans="1:5" ht="13.2" customHeight="1" x14ac:dyDescent="0.25">
      <c r="A163" s="43" t="str">
        <f t="shared" ref="A163:A177" si="4">A143</f>
        <v>01/01/2021-31/01/2021</v>
      </c>
      <c r="B163" s="393">
        <f>ROUNDUP($B$117*$B$118*$B$119*$B$120*$B$121*$B$122*B124*B143*$B$161,0)</f>
        <v>6</v>
      </c>
      <c r="C163" s="397">
        <f t="shared" ref="C163:C180" si="5">ROUNDUP($C$117*$C$118*$C$119*$C$120*$C$121*$C$122*C124*C143*$C$161,0)</f>
        <v>16</v>
      </c>
      <c r="D163" s="484" t="s">
        <v>353</v>
      </c>
      <c r="E163" s="493" t="s">
        <v>348</v>
      </c>
    </row>
    <row r="164" spans="1:5" x14ac:dyDescent="0.25">
      <c r="A164" s="43" t="str">
        <f t="shared" si="4"/>
        <v>01/02/2021-28/02/2021</v>
      </c>
      <c r="B164" s="393">
        <f t="shared" ref="B164:B180" si="6">ROUNDUP($B$117*$B$118*$B$119*$B$120*$B$121*$B$122*B125*B144*$B$161,0)</f>
        <v>6</v>
      </c>
      <c r="C164" s="397">
        <f t="shared" si="5"/>
        <v>14</v>
      </c>
      <c r="D164" s="485"/>
      <c r="E164" s="494"/>
    </row>
    <row r="165" spans="1:5" x14ac:dyDescent="0.25">
      <c r="A165" s="43" t="str">
        <f t="shared" si="4"/>
        <v>01/03/2021-31/03/3021</v>
      </c>
      <c r="B165" s="393">
        <f t="shared" si="6"/>
        <v>6</v>
      </c>
      <c r="C165" s="397">
        <f t="shared" si="5"/>
        <v>16</v>
      </c>
      <c r="D165" s="485"/>
      <c r="E165" s="494"/>
    </row>
    <row r="166" spans="1:5" x14ac:dyDescent="0.25">
      <c r="A166" s="43" t="str">
        <f t="shared" si="4"/>
        <v>01/04/2021-30/04/2021</v>
      </c>
      <c r="B166" s="393">
        <f t="shared" si="6"/>
        <v>6</v>
      </c>
      <c r="C166" s="397">
        <f t="shared" si="5"/>
        <v>15</v>
      </c>
      <c r="D166" s="485"/>
      <c r="E166" s="494"/>
    </row>
    <row r="167" spans="1:5" x14ac:dyDescent="0.25">
      <c r="A167" s="43" t="str">
        <f t="shared" si="4"/>
        <v>01/05/2021-31/05/2021</v>
      </c>
      <c r="B167" s="393">
        <f t="shared" si="6"/>
        <v>6</v>
      </c>
      <c r="C167" s="397">
        <f t="shared" si="5"/>
        <v>16</v>
      </c>
      <c r="D167" s="485"/>
      <c r="E167" s="494"/>
    </row>
    <row r="168" spans="1:5" x14ac:dyDescent="0.25">
      <c r="A168" s="43" t="str">
        <f t="shared" si="4"/>
        <v>01/06/2021-30/06/2021</v>
      </c>
      <c r="B168" s="393">
        <f t="shared" si="6"/>
        <v>6</v>
      </c>
      <c r="C168" s="397">
        <f t="shared" si="5"/>
        <v>15</v>
      </c>
      <c r="D168" s="485"/>
      <c r="E168" s="494"/>
    </row>
    <row r="169" spans="1:5" x14ac:dyDescent="0.25">
      <c r="A169" s="43" t="str">
        <f t="shared" si="4"/>
        <v>01/07/2021-31/07/2021</v>
      </c>
      <c r="B169" s="393">
        <f t="shared" si="6"/>
        <v>6</v>
      </c>
      <c r="C169" s="397">
        <f t="shared" si="5"/>
        <v>16</v>
      </c>
      <c r="D169" s="485"/>
      <c r="E169" s="494"/>
    </row>
    <row r="170" spans="1:5" x14ac:dyDescent="0.25">
      <c r="A170" s="43" t="str">
        <f t="shared" si="4"/>
        <v>01/08/2021-31/08/2021</v>
      </c>
      <c r="B170" s="393">
        <f t="shared" si="6"/>
        <v>6</v>
      </c>
      <c r="C170" s="397">
        <f t="shared" si="5"/>
        <v>16</v>
      </c>
      <c r="D170" s="485"/>
      <c r="E170" s="494"/>
    </row>
    <row r="171" spans="1:5" x14ac:dyDescent="0.25">
      <c r="A171" s="43" t="str">
        <f t="shared" si="4"/>
        <v>01/09/2021-30/09/2021</v>
      </c>
      <c r="B171" s="393">
        <f t="shared" si="6"/>
        <v>6</v>
      </c>
      <c r="C171" s="397">
        <f t="shared" si="5"/>
        <v>15</v>
      </c>
      <c r="D171" s="485"/>
      <c r="E171" s="494"/>
    </row>
    <row r="172" spans="1:5" x14ac:dyDescent="0.25">
      <c r="A172" s="43" t="str">
        <f t="shared" si="4"/>
        <v>01/10/2021-31/10/2021</v>
      </c>
      <c r="B172" s="393">
        <f t="shared" si="6"/>
        <v>6</v>
      </c>
      <c r="C172" s="397">
        <f t="shared" si="5"/>
        <v>16</v>
      </c>
      <c r="D172" s="485"/>
      <c r="E172" s="494"/>
    </row>
    <row r="173" spans="1:5" x14ac:dyDescent="0.25">
      <c r="A173" s="43" t="str">
        <f t="shared" si="4"/>
        <v>01/11/2021-30/11/2021</v>
      </c>
      <c r="B173" s="393">
        <f t="shared" si="6"/>
        <v>6</v>
      </c>
      <c r="C173" s="397">
        <f t="shared" si="5"/>
        <v>15</v>
      </c>
      <c r="D173" s="485"/>
      <c r="E173" s="494"/>
    </row>
    <row r="174" spans="1:5" x14ac:dyDescent="0.25">
      <c r="A174" s="43" t="str">
        <f t="shared" si="4"/>
        <v>01/12/2021-31/12/2021</v>
      </c>
      <c r="B174" s="393">
        <f t="shared" si="6"/>
        <v>6</v>
      </c>
      <c r="C174" s="397">
        <f t="shared" si="5"/>
        <v>16</v>
      </c>
      <c r="D174" s="485"/>
      <c r="E174" s="494"/>
    </row>
    <row r="175" spans="1:5" x14ac:dyDescent="0.25">
      <c r="A175" s="43" t="str">
        <f t="shared" si="4"/>
        <v>01/01/2022-31/01/2022</v>
      </c>
      <c r="B175" s="393">
        <f t="shared" si="6"/>
        <v>6</v>
      </c>
      <c r="C175" s="397">
        <f t="shared" si="5"/>
        <v>16</v>
      </c>
      <c r="D175" s="485"/>
      <c r="E175" s="494"/>
    </row>
    <row r="176" spans="1:5" x14ac:dyDescent="0.25">
      <c r="A176" s="43" t="str">
        <f t="shared" si="4"/>
        <v>01/02/2022-28/02/2022</v>
      </c>
      <c r="B176" s="393">
        <f t="shared" si="6"/>
        <v>5</v>
      </c>
      <c r="C176" s="397">
        <f t="shared" si="5"/>
        <v>14</v>
      </c>
      <c r="D176" s="485"/>
      <c r="E176" s="494"/>
    </row>
    <row r="177" spans="1:5" x14ac:dyDescent="0.25">
      <c r="A177" s="43" t="str">
        <f t="shared" si="4"/>
        <v>01/03/2022-31/03/2022</v>
      </c>
      <c r="B177" s="393">
        <f t="shared" si="6"/>
        <v>6</v>
      </c>
      <c r="C177" s="397">
        <f t="shared" si="5"/>
        <v>16</v>
      </c>
      <c r="D177" s="485"/>
      <c r="E177" s="494"/>
    </row>
    <row r="178" spans="1:5" s="348" customFormat="1" x14ac:dyDescent="0.25">
      <c r="A178" s="43" t="s">
        <v>342</v>
      </c>
      <c r="B178" s="393">
        <f t="shared" si="6"/>
        <v>6</v>
      </c>
      <c r="C178" s="397">
        <f t="shared" si="5"/>
        <v>15</v>
      </c>
      <c r="D178" s="485"/>
      <c r="E178" s="494"/>
    </row>
    <row r="179" spans="1:5" s="348" customFormat="1" x14ac:dyDescent="0.25">
      <c r="A179" s="43" t="s">
        <v>343</v>
      </c>
      <c r="B179" s="393">
        <f t="shared" si="6"/>
        <v>6</v>
      </c>
      <c r="C179" s="397">
        <f t="shared" si="5"/>
        <v>16</v>
      </c>
      <c r="D179" s="485"/>
      <c r="E179" s="494"/>
    </row>
    <row r="180" spans="1:5" s="348" customFormat="1" x14ac:dyDescent="0.25">
      <c r="A180" s="43" t="s">
        <v>344</v>
      </c>
      <c r="B180" s="393">
        <f t="shared" si="6"/>
        <v>6</v>
      </c>
      <c r="C180" s="397">
        <f t="shared" si="5"/>
        <v>15</v>
      </c>
      <c r="D180" s="486"/>
      <c r="E180" s="495"/>
    </row>
    <row r="181" spans="1:5" ht="15.6" x14ac:dyDescent="0.35">
      <c r="A181" s="50" t="str">
        <f>A103</f>
        <v>01/01/2021-31/12/2021</v>
      </c>
      <c r="B181" s="512">
        <f>SUM(B163:C174)</f>
        <v>258</v>
      </c>
      <c r="C181" s="512"/>
      <c r="D181" s="63" t="s">
        <v>253</v>
      </c>
      <c r="E181" s="90" t="s">
        <v>110</v>
      </c>
    </row>
    <row r="182" spans="1:5" ht="15.6" x14ac:dyDescent="0.35">
      <c r="A182" s="50" t="str">
        <f>A104</f>
        <v>01/01/2022-30/06/2022</v>
      </c>
      <c r="B182" s="512">
        <f>SUM(B175:C180)</f>
        <v>127</v>
      </c>
      <c r="C182" s="512"/>
      <c r="D182" s="63" t="s">
        <v>253</v>
      </c>
      <c r="E182" s="90" t="s">
        <v>110</v>
      </c>
    </row>
    <row r="183" spans="1:5" ht="16.2" thickBot="1" x14ac:dyDescent="0.4">
      <c r="A183" s="267" t="s">
        <v>305</v>
      </c>
      <c r="B183" s="513">
        <f>B181+B182</f>
        <v>385</v>
      </c>
      <c r="C183" s="513"/>
      <c r="D183" s="68" t="s">
        <v>253</v>
      </c>
      <c r="E183" s="268" t="s">
        <v>110</v>
      </c>
    </row>
    <row r="184" spans="1:5" x14ac:dyDescent="0.25">
      <c r="A184" s="256"/>
    </row>
    <row r="185" spans="1:5" x14ac:dyDescent="0.25">
      <c r="A185" s="269" t="s">
        <v>41</v>
      </c>
    </row>
    <row r="186" spans="1:5" x14ac:dyDescent="0.25">
      <c r="A186" s="256"/>
    </row>
    <row r="187" spans="1:5" x14ac:dyDescent="0.25">
      <c r="A187" s="256"/>
      <c r="D187" s="30"/>
    </row>
    <row r="188" spans="1:5" x14ac:dyDescent="0.25">
      <c r="A188" s="28"/>
      <c r="D188" s="30"/>
    </row>
    <row r="189" spans="1:5" x14ac:dyDescent="0.25">
      <c r="A189" s="28"/>
      <c r="D189" s="30"/>
    </row>
    <row r="190" spans="1:5" x14ac:dyDescent="0.25">
      <c r="A190" s="28"/>
      <c r="D190" s="30"/>
    </row>
    <row r="191" spans="1:5" x14ac:dyDescent="0.25">
      <c r="A191" s="28"/>
      <c r="D191" s="30"/>
    </row>
    <row r="192" spans="1:5" ht="15.6" x14ac:dyDescent="0.35">
      <c r="A192" s="270" t="s">
        <v>306</v>
      </c>
      <c r="B192" s="223"/>
    </row>
    <row r="193" spans="1:9" ht="13.8" thickBot="1" x14ac:dyDescent="0.3">
      <c r="A193" s="237"/>
    </row>
    <row r="194" spans="1:9" x14ac:dyDescent="0.25">
      <c r="A194" s="59" t="s">
        <v>3</v>
      </c>
      <c r="B194" s="315" t="s">
        <v>18</v>
      </c>
      <c r="C194" s="315"/>
      <c r="D194" s="315" t="s">
        <v>2</v>
      </c>
      <c r="E194" s="316" t="s">
        <v>4</v>
      </c>
    </row>
    <row r="195" spans="1:9" s="35" customFormat="1" x14ac:dyDescent="0.25">
      <c r="A195" s="61"/>
      <c r="B195" s="309" t="s">
        <v>32</v>
      </c>
      <c r="C195" s="309" t="s">
        <v>33</v>
      </c>
      <c r="D195" s="309"/>
      <c r="E195" s="320"/>
      <c r="F195" s="29"/>
      <c r="G195" s="29"/>
      <c r="H195" s="29"/>
      <c r="I195" s="29"/>
    </row>
    <row r="196" spans="1:9" ht="36.450000000000003" customHeight="1" x14ac:dyDescent="0.25">
      <c r="A196" s="195" t="s">
        <v>312</v>
      </c>
      <c r="B196" s="271">
        <v>0</v>
      </c>
      <c r="C196" s="271">
        <v>0</v>
      </c>
      <c r="D196" s="318" t="s">
        <v>180</v>
      </c>
      <c r="E196" s="321" t="s">
        <v>67</v>
      </c>
    </row>
    <row r="197" spans="1:9" ht="15.6" x14ac:dyDescent="0.25">
      <c r="A197" s="195" t="s">
        <v>329</v>
      </c>
      <c r="B197" s="272"/>
      <c r="C197" s="272"/>
      <c r="D197" s="484" t="s">
        <v>72</v>
      </c>
      <c r="E197" s="493" t="s">
        <v>113</v>
      </c>
    </row>
    <row r="198" spans="1:9" x14ac:dyDescent="0.25">
      <c r="A198" s="43" t="str">
        <f t="shared" ref="A198:A212" si="7">A163</f>
        <v>01/01/2021-31/01/2021</v>
      </c>
      <c r="B198" s="398">
        <f>'Baseline emission'!B175</f>
        <v>0.66011399999999998</v>
      </c>
      <c r="C198" s="398">
        <f>'Baseline emission'!C175</f>
        <v>0.60338399999999992</v>
      </c>
      <c r="D198" s="485"/>
      <c r="E198" s="494"/>
    </row>
    <row r="199" spans="1:9" x14ac:dyDescent="0.25">
      <c r="A199" s="43" t="str">
        <f t="shared" si="7"/>
        <v>01/02/2021-28/02/2021</v>
      </c>
      <c r="B199" s="398">
        <f>'Baseline emission'!B176</f>
        <v>0.60211200000000009</v>
      </c>
      <c r="C199" s="398">
        <f>'Baseline emission'!C176</f>
        <v>0.55547520000000006</v>
      </c>
      <c r="D199" s="485"/>
      <c r="E199" s="494"/>
    </row>
    <row r="200" spans="1:9" x14ac:dyDescent="0.25">
      <c r="A200" s="43" t="str">
        <f t="shared" si="7"/>
        <v>01/03/2021-31/03/3021</v>
      </c>
      <c r="B200" s="398">
        <f>'Baseline emission'!B177</f>
        <v>0.66662400000000011</v>
      </c>
      <c r="C200" s="398">
        <f>'Baseline emission'!C177</f>
        <v>0.61022880000000002</v>
      </c>
      <c r="D200" s="485"/>
      <c r="E200" s="494"/>
    </row>
    <row r="201" spans="1:9" x14ac:dyDescent="0.25">
      <c r="A201" s="43" t="str">
        <f t="shared" si="7"/>
        <v>01/04/2021-30/04/2021</v>
      </c>
      <c r="B201" s="398">
        <f>'Baseline emission'!B178</f>
        <v>0.64007999999999998</v>
      </c>
      <c r="C201" s="398">
        <f>'Baseline emission'!C178</f>
        <v>0.59119199999999994</v>
      </c>
      <c r="D201" s="485"/>
      <c r="E201" s="494"/>
    </row>
    <row r="202" spans="1:9" x14ac:dyDescent="0.25">
      <c r="A202" s="43" t="str">
        <f t="shared" si="7"/>
        <v>01/05/2021-31/05/2021</v>
      </c>
      <c r="B202" s="398">
        <f>'Baseline emission'!B179</f>
        <v>0.66662400000000011</v>
      </c>
      <c r="C202" s="398">
        <f>'Baseline emission'!C179</f>
        <v>0.61231199999999997</v>
      </c>
      <c r="D202" s="485"/>
      <c r="E202" s="494"/>
    </row>
    <row r="203" spans="1:9" x14ac:dyDescent="0.25">
      <c r="A203" s="43" t="str">
        <f t="shared" si="7"/>
        <v>01/06/2021-30/06/2021</v>
      </c>
      <c r="B203" s="398">
        <f>'Baseline emission'!B180</f>
        <v>0.64889999999999992</v>
      </c>
      <c r="C203" s="398">
        <f>'Baseline emission'!C180</f>
        <v>0.59183999999999992</v>
      </c>
      <c r="D203" s="485"/>
      <c r="E203" s="494"/>
    </row>
    <row r="204" spans="1:9" x14ac:dyDescent="0.25">
      <c r="A204" s="43" t="str">
        <f t="shared" si="7"/>
        <v>01/07/2021-31/07/2021</v>
      </c>
      <c r="B204" s="398">
        <f>'Baseline emission'!B181</f>
        <v>0.66922799999999993</v>
      </c>
      <c r="C204" s="398">
        <f>'Baseline emission'!C181</f>
        <v>0.6143208</v>
      </c>
      <c r="D204" s="485"/>
      <c r="E204" s="494"/>
    </row>
    <row r="205" spans="1:9" x14ac:dyDescent="0.25">
      <c r="A205" s="43" t="str">
        <f t="shared" si="7"/>
        <v>01/08/2021-31/08/2021</v>
      </c>
      <c r="B205" s="398">
        <f>'Baseline emission'!B182</f>
        <v>0.66401999999999994</v>
      </c>
      <c r="C205" s="398">
        <f>'Baseline emission'!C182</f>
        <v>0.61231199999999997</v>
      </c>
      <c r="D205" s="485"/>
      <c r="E205" s="494"/>
    </row>
    <row r="206" spans="1:9" x14ac:dyDescent="0.25">
      <c r="A206" s="43" t="str">
        <f t="shared" si="7"/>
        <v>01/09/2021-30/09/2021</v>
      </c>
      <c r="B206" s="398">
        <f>'Baseline emission'!B183</f>
        <v>0.64637999999999995</v>
      </c>
      <c r="C206" s="398">
        <f>'Baseline emission'!C183</f>
        <v>0.59652000000000005</v>
      </c>
      <c r="D206" s="485"/>
      <c r="E206" s="494"/>
    </row>
    <row r="207" spans="1:9" x14ac:dyDescent="0.25">
      <c r="A207" s="43" t="str">
        <f t="shared" si="7"/>
        <v>01/10/2021-31/10/2021</v>
      </c>
      <c r="B207" s="398">
        <f>'Baseline emission'!B184</f>
        <v>0.66532199999999997</v>
      </c>
      <c r="C207" s="398">
        <f>'Baseline emission'!C184</f>
        <v>0.611568</v>
      </c>
      <c r="D207" s="485"/>
      <c r="E207" s="494"/>
    </row>
    <row r="208" spans="1:9" x14ac:dyDescent="0.25">
      <c r="A208" s="43" t="str">
        <f t="shared" si="7"/>
        <v>01/11/2021-30/11/2021</v>
      </c>
      <c r="B208" s="398">
        <f>'Baseline emission'!B185</f>
        <v>0.64134000000000002</v>
      </c>
      <c r="C208" s="398">
        <f>'Baseline emission'!C185</f>
        <v>0.59450399999999992</v>
      </c>
      <c r="D208" s="485"/>
      <c r="E208" s="494"/>
    </row>
    <row r="209" spans="1:5" x14ac:dyDescent="0.25">
      <c r="A209" s="43" t="str">
        <f t="shared" si="7"/>
        <v>01/12/2021-31/12/2021</v>
      </c>
      <c r="B209" s="398">
        <f>'Baseline emission'!B186</f>
        <v>0.66271800000000003</v>
      </c>
      <c r="C209" s="398">
        <f>'Baseline emission'!C186</f>
        <v>0.611568</v>
      </c>
      <c r="D209" s="485"/>
      <c r="E209" s="494"/>
    </row>
    <row r="210" spans="1:5" x14ac:dyDescent="0.25">
      <c r="A210" s="43" t="str">
        <f t="shared" si="7"/>
        <v>01/01/2022-31/01/2022</v>
      </c>
      <c r="B210" s="398">
        <f>'Baseline emission'!B187</f>
        <v>0.65620800000000001</v>
      </c>
      <c r="C210" s="398">
        <f>'Baseline emission'!C187</f>
        <v>0.61365119999999995</v>
      </c>
      <c r="D210" s="485"/>
      <c r="E210" s="494"/>
    </row>
    <row r="211" spans="1:5" x14ac:dyDescent="0.25">
      <c r="A211" s="43" t="str">
        <f t="shared" si="7"/>
        <v>01/02/2022-28/02/2022</v>
      </c>
      <c r="B211" s="398">
        <f>'Baseline emission'!B188</f>
        <v>0.59152799999999994</v>
      </c>
      <c r="C211" s="398">
        <f>'Baseline emission'!C188</f>
        <v>0.55487039999999999</v>
      </c>
      <c r="D211" s="485"/>
      <c r="E211" s="494"/>
    </row>
    <row r="212" spans="1:5" x14ac:dyDescent="0.25">
      <c r="A212" s="43" t="str">
        <f t="shared" si="7"/>
        <v>01/03/2022-31/03/2022</v>
      </c>
      <c r="B212" s="398">
        <f>'Baseline emission'!B189</f>
        <v>0.66401999999999994</v>
      </c>
      <c r="C212" s="398">
        <f>'Baseline emission'!C189</f>
        <v>0.60955919999999997</v>
      </c>
      <c r="D212" s="485"/>
      <c r="E212" s="494"/>
    </row>
    <row r="213" spans="1:5" s="348" customFormat="1" x14ac:dyDescent="0.25">
      <c r="A213" s="43" t="s">
        <v>342</v>
      </c>
      <c r="B213" s="398">
        <f>'Baseline emission'!B190</f>
        <v>0.64763999999999999</v>
      </c>
      <c r="C213" s="398">
        <f>'Baseline emission'!C190</f>
        <v>0.59320799999999985</v>
      </c>
      <c r="D213" s="485"/>
      <c r="E213" s="494"/>
    </row>
    <row r="214" spans="1:5" s="348" customFormat="1" x14ac:dyDescent="0.25">
      <c r="A214" s="43" t="s">
        <v>343</v>
      </c>
      <c r="B214" s="398">
        <f>'Baseline emission'!B191</f>
        <v>0.66271800000000003</v>
      </c>
      <c r="C214" s="398">
        <f>'Baseline emission'!C191</f>
        <v>0.611568</v>
      </c>
      <c r="D214" s="485"/>
      <c r="E214" s="494"/>
    </row>
    <row r="215" spans="1:5" s="348" customFormat="1" x14ac:dyDescent="0.25">
      <c r="A215" s="43" t="s">
        <v>344</v>
      </c>
      <c r="B215" s="398">
        <f>'Baseline emission'!B192</f>
        <v>0.64007999999999998</v>
      </c>
      <c r="C215" s="398">
        <f>'Baseline emission'!C192</f>
        <v>0.59255999999999998</v>
      </c>
      <c r="D215" s="486"/>
      <c r="E215" s="495"/>
    </row>
    <row r="216" spans="1:5" x14ac:dyDescent="0.25">
      <c r="A216" s="195" t="s">
        <v>42</v>
      </c>
      <c r="B216" s="414">
        <v>1</v>
      </c>
      <c r="C216" s="414">
        <f>B216</f>
        <v>1</v>
      </c>
      <c r="D216" s="310" t="s">
        <v>96</v>
      </c>
      <c r="E216" s="331" t="s">
        <v>337</v>
      </c>
    </row>
    <row r="217" spans="1:5" ht="15.6" x14ac:dyDescent="0.25">
      <c r="A217" s="195" t="s">
        <v>307</v>
      </c>
      <c r="B217" s="273"/>
      <c r="C217" s="273"/>
      <c r="D217" s="310"/>
      <c r="E217" s="331"/>
    </row>
    <row r="218" spans="1:5" x14ac:dyDescent="0.25">
      <c r="A218" s="43" t="str">
        <f t="shared" ref="A218:A232" si="8">A198</f>
        <v>01/01/2021-31/01/2021</v>
      </c>
      <c r="B218" s="399">
        <f t="shared" ref="B218:B235" si="9">$B$196*B198*B124*$B$216</f>
        <v>0</v>
      </c>
      <c r="C218" s="399">
        <f t="shared" ref="C218:C235" si="10">$C$196*C198*C124*$C$216</f>
        <v>0</v>
      </c>
      <c r="D218" s="485" t="s">
        <v>349</v>
      </c>
      <c r="E218" s="482" t="s">
        <v>346</v>
      </c>
    </row>
    <row r="219" spans="1:5" x14ac:dyDescent="0.25">
      <c r="A219" s="43" t="str">
        <f t="shared" si="8"/>
        <v>01/02/2021-28/02/2021</v>
      </c>
      <c r="B219" s="399">
        <f t="shared" si="9"/>
        <v>0</v>
      </c>
      <c r="C219" s="399">
        <f t="shared" si="10"/>
        <v>0</v>
      </c>
      <c r="D219" s="485"/>
      <c r="E219" s="482"/>
    </row>
    <row r="220" spans="1:5" x14ac:dyDescent="0.25">
      <c r="A220" s="43" t="str">
        <f t="shared" si="8"/>
        <v>01/03/2021-31/03/3021</v>
      </c>
      <c r="B220" s="399">
        <f t="shared" si="9"/>
        <v>0</v>
      </c>
      <c r="C220" s="399">
        <f t="shared" si="10"/>
        <v>0</v>
      </c>
      <c r="D220" s="485"/>
      <c r="E220" s="482"/>
    </row>
    <row r="221" spans="1:5" x14ac:dyDescent="0.25">
      <c r="A221" s="43" t="str">
        <f t="shared" si="8"/>
        <v>01/04/2021-30/04/2021</v>
      </c>
      <c r="B221" s="399">
        <f t="shared" si="9"/>
        <v>0</v>
      </c>
      <c r="C221" s="399">
        <f t="shared" si="10"/>
        <v>0</v>
      </c>
      <c r="D221" s="485"/>
      <c r="E221" s="482"/>
    </row>
    <row r="222" spans="1:5" x14ac:dyDescent="0.25">
      <c r="A222" s="43" t="str">
        <f t="shared" si="8"/>
        <v>01/05/2021-31/05/2021</v>
      </c>
      <c r="B222" s="399">
        <f t="shared" si="9"/>
        <v>0</v>
      </c>
      <c r="C222" s="399">
        <f t="shared" si="10"/>
        <v>0</v>
      </c>
      <c r="D222" s="485"/>
      <c r="E222" s="482"/>
    </row>
    <row r="223" spans="1:5" x14ac:dyDescent="0.25">
      <c r="A223" s="43" t="str">
        <f t="shared" si="8"/>
        <v>01/06/2021-30/06/2021</v>
      </c>
      <c r="B223" s="399">
        <f t="shared" si="9"/>
        <v>0</v>
      </c>
      <c r="C223" s="399">
        <f t="shared" si="10"/>
        <v>0</v>
      </c>
      <c r="D223" s="485"/>
      <c r="E223" s="482"/>
    </row>
    <row r="224" spans="1:5" x14ac:dyDescent="0.25">
      <c r="A224" s="43" t="str">
        <f t="shared" si="8"/>
        <v>01/07/2021-31/07/2021</v>
      </c>
      <c r="B224" s="399">
        <f t="shared" si="9"/>
        <v>0</v>
      </c>
      <c r="C224" s="399">
        <f t="shared" si="10"/>
        <v>0</v>
      </c>
      <c r="D224" s="485"/>
      <c r="E224" s="482"/>
    </row>
    <row r="225" spans="1:5" x14ac:dyDescent="0.25">
      <c r="A225" s="43" t="str">
        <f t="shared" si="8"/>
        <v>01/08/2021-31/08/2021</v>
      </c>
      <c r="B225" s="399">
        <f t="shared" si="9"/>
        <v>0</v>
      </c>
      <c r="C225" s="399">
        <f t="shared" si="10"/>
        <v>0</v>
      </c>
      <c r="D225" s="485"/>
      <c r="E225" s="482"/>
    </row>
    <row r="226" spans="1:5" x14ac:dyDescent="0.25">
      <c r="A226" s="43" t="str">
        <f t="shared" si="8"/>
        <v>01/09/2021-30/09/2021</v>
      </c>
      <c r="B226" s="399">
        <f t="shared" si="9"/>
        <v>0</v>
      </c>
      <c r="C226" s="399">
        <f t="shared" si="10"/>
        <v>0</v>
      </c>
      <c r="D226" s="485"/>
      <c r="E226" s="482"/>
    </row>
    <row r="227" spans="1:5" x14ac:dyDescent="0.25">
      <c r="A227" s="43" t="str">
        <f t="shared" si="8"/>
        <v>01/10/2021-31/10/2021</v>
      </c>
      <c r="B227" s="399">
        <f t="shared" si="9"/>
        <v>0</v>
      </c>
      <c r="C227" s="399">
        <f t="shared" si="10"/>
        <v>0</v>
      </c>
      <c r="D227" s="485"/>
      <c r="E227" s="482"/>
    </row>
    <row r="228" spans="1:5" x14ac:dyDescent="0.25">
      <c r="A228" s="43" t="str">
        <f t="shared" si="8"/>
        <v>01/11/2021-30/11/2021</v>
      </c>
      <c r="B228" s="399">
        <f t="shared" si="9"/>
        <v>0</v>
      </c>
      <c r="C228" s="399">
        <f t="shared" si="10"/>
        <v>0</v>
      </c>
      <c r="D228" s="485"/>
      <c r="E228" s="482"/>
    </row>
    <row r="229" spans="1:5" x14ac:dyDescent="0.25">
      <c r="A229" s="43" t="str">
        <f t="shared" si="8"/>
        <v>01/12/2021-31/12/2021</v>
      </c>
      <c r="B229" s="399">
        <f t="shared" si="9"/>
        <v>0</v>
      </c>
      <c r="C229" s="399">
        <f t="shared" si="10"/>
        <v>0</v>
      </c>
      <c r="D229" s="485"/>
      <c r="E229" s="482"/>
    </row>
    <row r="230" spans="1:5" x14ac:dyDescent="0.25">
      <c r="A230" s="43" t="str">
        <f t="shared" si="8"/>
        <v>01/01/2022-31/01/2022</v>
      </c>
      <c r="B230" s="399">
        <f t="shared" si="9"/>
        <v>0</v>
      </c>
      <c r="C230" s="399">
        <f t="shared" si="10"/>
        <v>0</v>
      </c>
      <c r="D230" s="485"/>
      <c r="E230" s="482"/>
    </row>
    <row r="231" spans="1:5" x14ac:dyDescent="0.25">
      <c r="A231" s="43" t="str">
        <f t="shared" si="8"/>
        <v>01/02/2022-28/02/2022</v>
      </c>
      <c r="B231" s="399">
        <f t="shared" si="9"/>
        <v>0</v>
      </c>
      <c r="C231" s="399">
        <f t="shared" si="10"/>
        <v>0</v>
      </c>
      <c r="D231" s="485"/>
      <c r="E231" s="482"/>
    </row>
    <row r="232" spans="1:5" x14ac:dyDescent="0.25">
      <c r="A232" s="43" t="str">
        <f t="shared" si="8"/>
        <v>01/03/2022-31/03/2022</v>
      </c>
      <c r="B232" s="399">
        <f t="shared" si="9"/>
        <v>0</v>
      </c>
      <c r="C232" s="399">
        <f t="shared" si="10"/>
        <v>0</v>
      </c>
      <c r="D232" s="485"/>
      <c r="E232" s="482"/>
    </row>
    <row r="233" spans="1:5" s="348" customFormat="1" x14ac:dyDescent="0.25">
      <c r="A233" s="43" t="s">
        <v>342</v>
      </c>
      <c r="B233" s="399">
        <f t="shared" si="9"/>
        <v>0</v>
      </c>
      <c r="C233" s="399">
        <f t="shared" si="10"/>
        <v>0</v>
      </c>
      <c r="D233" s="485"/>
      <c r="E233" s="482"/>
    </row>
    <row r="234" spans="1:5" s="348" customFormat="1" x14ac:dyDescent="0.25">
      <c r="A234" s="43" t="s">
        <v>343</v>
      </c>
      <c r="B234" s="399">
        <f t="shared" si="9"/>
        <v>0</v>
      </c>
      <c r="C234" s="399">
        <f t="shared" si="10"/>
        <v>0</v>
      </c>
      <c r="D234" s="485"/>
      <c r="E234" s="482"/>
    </row>
    <row r="235" spans="1:5" s="348" customFormat="1" x14ac:dyDescent="0.25">
      <c r="A235" s="43" t="s">
        <v>344</v>
      </c>
      <c r="B235" s="399">
        <f t="shared" si="9"/>
        <v>0</v>
      </c>
      <c r="C235" s="399">
        <f t="shared" si="10"/>
        <v>0</v>
      </c>
      <c r="D235" s="485"/>
      <c r="E235" s="482"/>
    </row>
    <row r="236" spans="1:5" x14ac:dyDescent="0.25">
      <c r="A236" s="50" t="str">
        <f>A181</f>
        <v>01/01/2021-31/12/2021</v>
      </c>
      <c r="B236" s="511">
        <f>SUM(B218:C229)</f>
        <v>0</v>
      </c>
      <c r="C236" s="511"/>
      <c r="D236" s="485"/>
      <c r="E236" s="482"/>
    </row>
    <row r="237" spans="1:5" x14ac:dyDescent="0.25">
      <c r="A237" s="50" t="str">
        <f>A182</f>
        <v>01/01/2022-30/06/2022</v>
      </c>
      <c r="B237" s="511">
        <f>SUM(B230:C232)</f>
        <v>0</v>
      </c>
      <c r="C237" s="511"/>
      <c r="D237" s="485"/>
      <c r="E237" s="482"/>
    </row>
    <row r="238" spans="1:5" ht="15.6" x14ac:dyDescent="0.25">
      <c r="A238" s="247" t="s">
        <v>188</v>
      </c>
      <c r="B238" s="514">
        <f>B236+B237</f>
        <v>0</v>
      </c>
      <c r="C238" s="515"/>
      <c r="D238" s="486"/>
      <c r="E238" s="507"/>
    </row>
    <row r="239" spans="1:5" ht="27.45" customHeight="1" x14ac:dyDescent="0.25">
      <c r="A239" s="195" t="s">
        <v>312</v>
      </c>
      <c r="B239" s="415">
        <v>6.0000000000000001E-3</v>
      </c>
      <c r="C239" s="415">
        <v>6.0000000000000001E-3</v>
      </c>
      <c r="D239" s="318" t="s">
        <v>308</v>
      </c>
      <c r="E239" s="319" t="s">
        <v>339</v>
      </c>
    </row>
    <row r="240" spans="1:5" x14ac:dyDescent="0.25">
      <c r="A240" s="195" t="s">
        <v>42</v>
      </c>
      <c r="B240" s="396">
        <v>1</v>
      </c>
      <c r="C240" s="396">
        <v>1</v>
      </c>
      <c r="D240" s="310" t="s">
        <v>96</v>
      </c>
      <c r="E240" s="331" t="s">
        <v>337</v>
      </c>
    </row>
    <row r="241" spans="1:5" ht="15.6" x14ac:dyDescent="0.25">
      <c r="A241" s="195" t="s">
        <v>307</v>
      </c>
      <c r="B241" s="264"/>
      <c r="C241" s="264"/>
      <c r="D241" s="463" t="s">
        <v>189</v>
      </c>
      <c r="E241" s="506" t="s">
        <v>113</v>
      </c>
    </row>
    <row r="242" spans="1:5" x14ac:dyDescent="0.25">
      <c r="A242" s="43" t="str">
        <f t="shared" ref="A242:A256" si="11">A218</f>
        <v>01/01/2021-31/01/2021</v>
      </c>
      <c r="B242" s="400">
        <f>$B$239*$B$240*B198*B124</f>
        <v>443.97683366399997</v>
      </c>
      <c r="C242" s="401">
        <f>$C$239*$C$240*C198*C124</f>
        <v>693.45474998399993</v>
      </c>
      <c r="D242" s="463"/>
      <c r="E242" s="506"/>
    </row>
    <row r="243" spans="1:5" x14ac:dyDescent="0.25">
      <c r="A243" s="43" t="str">
        <f t="shared" si="11"/>
        <v>01/02/2021-28/02/2021</v>
      </c>
      <c r="B243" s="400">
        <f t="shared" ref="B243:B259" si="12">$B$239*$B$240*B199*B125</f>
        <v>404.96608051200008</v>
      </c>
      <c r="C243" s="401">
        <f t="shared" ref="C243:C259" si="13">$C$239*$C$240*C199*C125</f>
        <v>640.28070973440003</v>
      </c>
      <c r="D243" s="463"/>
      <c r="E243" s="506"/>
    </row>
    <row r="244" spans="1:5" x14ac:dyDescent="0.25">
      <c r="A244" s="43" t="str">
        <f t="shared" si="11"/>
        <v>01/03/2021-31/03/3021</v>
      </c>
      <c r="B244" s="400">
        <f t="shared" si="12"/>
        <v>448.35530342400006</v>
      </c>
      <c r="C244" s="401">
        <f t="shared" si="13"/>
        <v>700.8673041216</v>
      </c>
      <c r="D244" s="463"/>
      <c r="E244" s="506"/>
    </row>
    <row r="245" spans="1:5" x14ac:dyDescent="0.25">
      <c r="A245" s="43" t="str">
        <f t="shared" si="11"/>
        <v>01/04/2021-30/04/2021</v>
      </c>
      <c r="B245" s="400">
        <f t="shared" si="12"/>
        <v>430.50244607999997</v>
      </c>
      <c r="C245" s="401">
        <f t="shared" si="13"/>
        <v>681.56397388799996</v>
      </c>
      <c r="D245" s="463"/>
      <c r="E245" s="506"/>
    </row>
    <row r="246" spans="1:5" x14ac:dyDescent="0.25">
      <c r="A246" s="43" t="str">
        <f t="shared" si="11"/>
        <v>01/05/2021-31/05/2021</v>
      </c>
      <c r="B246" s="400">
        <f t="shared" si="12"/>
        <v>448.35530342400006</v>
      </c>
      <c r="C246" s="401">
        <f t="shared" si="13"/>
        <v>705.02705841599993</v>
      </c>
      <c r="D246" s="463"/>
      <c r="E246" s="506"/>
    </row>
    <row r="247" spans="1:5" x14ac:dyDescent="0.25">
      <c r="A247" s="43" t="str">
        <f t="shared" si="11"/>
        <v>01/06/2021-30/06/2021</v>
      </c>
      <c r="B247" s="400">
        <f t="shared" si="12"/>
        <v>436.43456639999994</v>
      </c>
      <c r="C247" s="401">
        <f t="shared" si="13"/>
        <v>680.56746911999994</v>
      </c>
      <c r="D247" s="463"/>
      <c r="E247" s="506"/>
    </row>
    <row r="248" spans="1:5" x14ac:dyDescent="0.25">
      <c r="A248" s="43" t="str">
        <f t="shared" si="11"/>
        <v>01/07/2021-31/07/2021</v>
      </c>
      <c r="B248" s="400">
        <f t="shared" si="12"/>
        <v>450.10669132800001</v>
      </c>
      <c r="C248" s="401">
        <f t="shared" si="13"/>
        <v>706.89771591839997</v>
      </c>
      <c r="D248" s="463"/>
      <c r="E248" s="506"/>
    </row>
    <row r="249" spans="1:5" x14ac:dyDescent="0.25">
      <c r="A249" s="43" t="str">
        <f t="shared" si="11"/>
        <v>01/08/2021-31/08/2021</v>
      </c>
      <c r="B249" s="400">
        <f t="shared" si="12"/>
        <v>446.60391551999999</v>
      </c>
      <c r="C249" s="401">
        <f t="shared" si="13"/>
        <v>704.21513270399998</v>
      </c>
      <c r="D249" s="463"/>
      <c r="E249" s="506"/>
    </row>
    <row r="250" spans="1:5" x14ac:dyDescent="0.25">
      <c r="A250" s="43" t="str">
        <f t="shared" si="11"/>
        <v>01/09/2021-30/09/2021</v>
      </c>
      <c r="B250" s="400">
        <f t="shared" si="12"/>
        <v>434.73967488</v>
      </c>
      <c r="C250" s="401">
        <f t="shared" si="13"/>
        <v>687.36641688000009</v>
      </c>
      <c r="D250" s="463"/>
      <c r="E250" s="506"/>
    </row>
    <row r="251" spans="1:5" x14ac:dyDescent="0.25">
      <c r="A251" s="43" t="str">
        <f t="shared" si="11"/>
        <v>01/10/2021-31/10/2021</v>
      </c>
      <c r="B251" s="400">
        <f t="shared" si="12"/>
        <v>447.47960947199999</v>
      </c>
      <c r="C251" s="401">
        <f t="shared" si="13"/>
        <v>702.70997904000001</v>
      </c>
      <c r="D251" s="463"/>
      <c r="E251" s="506"/>
    </row>
    <row r="252" spans="1:5" x14ac:dyDescent="0.25">
      <c r="A252" s="43" t="str">
        <f t="shared" si="11"/>
        <v>01/11/2021-30/11/2021</v>
      </c>
      <c r="B252" s="400">
        <f t="shared" si="12"/>
        <v>431.34989184</v>
      </c>
      <c r="C252" s="401">
        <f t="shared" si="13"/>
        <v>682.967384208</v>
      </c>
      <c r="D252" s="463"/>
      <c r="E252" s="506"/>
    </row>
    <row r="253" spans="1:5" x14ac:dyDescent="0.25">
      <c r="A253" s="43" t="str">
        <f t="shared" si="11"/>
        <v>01/12/2021-31/12/2021</v>
      </c>
      <c r="B253" s="400">
        <f t="shared" si="12"/>
        <v>445.72822156800004</v>
      </c>
      <c r="C253" s="401">
        <f t="shared" si="13"/>
        <v>704.07499881599995</v>
      </c>
      <c r="D253" s="463"/>
      <c r="E253" s="506"/>
    </row>
    <row r="254" spans="1:5" x14ac:dyDescent="0.25">
      <c r="A254" s="43" t="str">
        <f t="shared" si="11"/>
        <v>01/01/2022-31/01/2022</v>
      </c>
      <c r="B254" s="400">
        <f t="shared" si="12"/>
        <v>441.34975180800001</v>
      </c>
      <c r="C254" s="401">
        <f t="shared" si="13"/>
        <v>707.0476853376</v>
      </c>
      <c r="D254" s="463"/>
      <c r="E254" s="506"/>
    </row>
    <row r="255" spans="1:5" x14ac:dyDescent="0.25">
      <c r="A255" s="43" t="str">
        <f t="shared" si="11"/>
        <v>01/02/2022-28/02/2022</v>
      </c>
      <c r="B255" s="400">
        <f t="shared" si="12"/>
        <v>397.84753612799994</v>
      </c>
      <c r="C255" s="401">
        <f t="shared" si="13"/>
        <v>639.12081179519998</v>
      </c>
      <c r="D255" s="463"/>
      <c r="E255" s="506"/>
    </row>
    <row r="256" spans="1:5" x14ac:dyDescent="0.25">
      <c r="A256" s="43" t="str">
        <f t="shared" si="11"/>
        <v>01/03/2022-31/03/2022</v>
      </c>
      <c r="B256" s="400">
        <f t="shared" si="12"/>
        <v>446.60391551999999</v>
      </c>
      <c r="C256" s="401">
        <f t="shared" si="13"/>
        <v>702.49015739519996</v>
      </c>
      <c r="D256" s="463"/>
      <c r="E256" s="506"/>
    </row>
    <row r="257" spans="1:9" s="348" customFormat="1" x14ac:dyDescent="0.25">
      <c r="A257" s="43" t="s">
        <v>342</v>
      </c>
      <c r="B257" s="400">
        <f t="shared" si="12"/>
        <v>435.58712064000002</v>
      </c>
      <c r="C257" s="401">
        <f t="shared" si="13"/>
        <v>682.64952940799981</v>
      </c>
      <c r="D257" s="463"/>
      <c r="E257" s="506"/>
    </row>
    <row r="258" spans="1:9" s="348" customFormat="1" x14ac:dyDescent="0.25">
      <c r="A258" s="43" t="s">
        <v>343</v>
      </c>
      <c r="B258" s="400">
        <f t="shared" si="12"/>
        <v>445.72822156800004</v>
      </c>
      <c r="C258" s="401">
        <f t="shared" si="13"/>
        <v>704.69512876800002</v>
      </c>
      <c r="D258" s="463"/>
      <c r="E258" s="506"/>
    </row>
    <row r="259" spans="1:9" s="348" customFormat="1" x14ac:dyDescent="0.25">
      <c r="A259" s="43" t="s">
        <v>344</v>
      </c>
      <c r="B259" s="400">
        <f t="shared" si="12"/>
        <v>430.50244607999997</v>
      </c>
      <c r="C259" s="401">
        <f t="shared" si="13"/>
        <v>681.85760688000005</v>
      </c>
      <c r="D259" s="463"/>
      <c r="E259" s="506"/>
    </row>
    <row r="260" spans="1:9" x14ac:dyDescent="0.25">
      <c r="A260" s="50" t="str">
        <f>A236</f>
        <v>01/01/2021-31/12/2021</v>
      </c>
      <c r="B260" s="555">
        <f>ROUNDUP(SUM(B242:C253),0)</f>
        <v>13559</v>
      </c>
      <c r="C260" s="556"/>
      <c r="D260" s="559"/>
      <c r="E260" s="557"/>
    </row>
    <row r="261" spans="1:9" x14ac:dyDescent="0.25">
      <c r="A261" s="50" t="str">
        <f>A237</f>
        <v>01/01/2022-30/06/2022</v>
      </c>
      <c r="B261" s="561">
        <f>ROUNDUP(SUM(B254:C259),0)</f>
        <v>6716</v>
      </c>
      <c r="C261" s="561"/>
      <c r="D261" s="559"/>
      <c r="E261" s="557"/>
    </row>
    <row r="262" spans="1:9" ht="16.2" thickBot="1" x14ac:dyDescent="0.3">
      <c r="A262" s="267" t="s">
        <v>188</v>
      </c>
      <c r="B262" s="562">
        <f>B261+B260</f>
        <v>20275</v>
      </c>
      <c r="C262" s="562"/>
      <c r="D262" s="560"/>
      <c r="E262" s="558"/>
    </row>
    <row r="264" spans="1:9" x14ac:dyDescent="0.25">
      <c r="A264" s="221" t="s">
        <v>21</v>
      </c>
      <c r="B264" s="223"/>
      <c r="C264" s="223"/>
      <c r="D264" s="30"/>
      <c r="E264" s="223"/>
    </row>
    <row r="265" spans="1:9" x14ac:dyDescent="0.25">
      <c r="A265" s="221"/>
      <c r="B265" s="223"/>
      <c r="C265" s="223"/>
      <c r="D265" s="30"/>
      <c r="E265" s="223"/>
    </row>
    <row r="266" spans="1:9" ht="13.8" thickBot="1" x14ac:dyDescent="0.3">
      <c r="A266" s="221" t="s">
        <v>313</v>
      </c>
      <c r="B266" s="223"/>
      <c r="C266" s="223"/>
      <c r="D266" s="223"/>
      <c r="E266" s="223"/>
    </row>
    <row r="267" spans="1:9" x14ac:dyDescent="0.25">
      <c r="A267" s="274" t="s">
        <v>3</v>
      </c>
      <c r="B267" s="60" t="s">
        <v>18</v>
      </c>
      <c r="C267" s="60"/>
      <c r="D267" s="60" t="s">
        <v>2</v>
      </c>
      <c r="E267" s="186" t="s">
        <v>4</v>
      </c>
    </row>
    <row r="268" spans="1:9" x14ac:dyDescent="0.25">
      <c r="A268" s="61"/>
      <c r="B268" s="62" t="str">
        <f>B195</f>
        <v>Market Swine</v>
      </c>
      <c r="C268" s="62" t="str">
        <f>C195</f>
        <v>Breeding Swine</v>
      </c>
      <c r="D268" s="62"/>
      <c r="E268" s="187"/>
    </row>
    <row r="269" spans="1:9" s="35" customFormat="1" ht="15.6" x14ac:dyDescent="0.35">
      <c r="A269" s="195" t="s">
        <v>314</v>
      </c>
      <c r="B269" s="403">
        <v>0.01</v>
      </c>
      <c r="C269" s="403">
        <f>B269</f>
        <v>0.01</v>
      </c>
      <c r="D269" s="63" t="s">
        <v>308</v>
      </c>
      <c r="E269" s="192" t="s">
        <v>58</v>
      </c>
      <c r="F269" s="29"/>
      <c r="G269" s="29"/>
      <c r="H269" s="29"/>
      <c r="I269" s="29"/>
    </row>
    <row r="270" spans="1:9" ht="39.6" x14ac:dyDescent="0.25">
      <c r="A270" s="195" t="s">
        <v>309</v>
      </c>
      <c r="B270" s="384">
        <v>0.4</v>
      </c>
      <c r="C270" s="384">
        <v>0.4</v>
      </c>
      <c r="D270" s="73" t="s">
        <v>96</v>
      </c>
      <c r="E270" s="194" t="s">
        <v>60</v>
      </c>
    </row>
    <row r="271" spans="1:9" x14ac:dyDescent="0.25">
      <c r="A271" s="195" t="s">
        <v>42</v>
      </c>
      <c r="B271" s="414">
        <v>1</v>
      </c>
      <c r="C271" s="414">
        <f>B271</f>
        <v>1</v>
      </c>
      <c r="D271" s="63" t="s">
        <v>114</v>
      </c>
      <c r="E271" s="213"/>
    </row>
    <row r="272" spans="1:9" ht="15.6" x14ac:dyDescent="0.25">
      <c r="A272" s="195" t="s">
        <v>202</v>
      </c>
      <c r="B272" s="39"/>
      <c r="C272" s="39"/>
      <c r="D272" s="463" t="s">
        <v>189</v>
      </c>
      <c r="E272" s="523" t="s">
        <v>113</v>
      </c>
    </row>
    <row r="273" spans="1:5" x14ac:dyDescent="0.25">
      <c r="A273" s="43" t="str">
        <f t="shared" ref="A273:A287" si="14">A242</f>
        <v>01/01/2021-31/01/2021</v>
      </c>
      <c r="B273" s="402">
        <f>ROUNDUP($B$269*$B$270*$B$271*B198*B124,0)</f>
        <v>296</v>
      </c>
      <c r="C273" s="402">
        <f>ROUNDUP($C$269*$C$270*$C$271*C198*C124,0)</f>
        <v>463</v>
      </c>
      <c r="D273" s="463"/>
      <c r="E273" s="523"/>
    </row>
    <row r="274" spans="1:5" x14ac:dyDescent="0.25">
      <c r="A274" s="43" t="str">
        <f t="shared" si="14"/>
        <v>01/02/2021-28/02/2021</v>
      </c>
      <c r="B274" s="402">
        <f t="shared" ref="B274:B290" si="15">ROUNDUP($B$269*$B$270*$B$271*B199*B125,0)</f>
        <v>270</v>
      </c>
      <c r="C274" s="402">
        <f t="shared" ref="C274:C290" si="16">ROUNDUP($C$269*$C$270*$C$271*C199*C125,0)</f>
        <v>427</v>
      </c>
      <c r="D274" s="463"/>
      <c r="E274" s="523"/>
    </row>
    <row r="275" spans="1:5" x14ac:dyDescent="0.25">
      <c r="A275" s="43" t="str">
        <f t="shared" si="14"/>
        <v>01/03/2021-31/03/3021</v>
      </c>
      <c r="B275" s="402">
        <f t="shared" si="15"/>
        <v>299</v>
      </c>
      <c r="C275" s="402">
        <f t="shared" si="16"/>
        <v>468</v>
      </c>
      <c r="D275" s="463"/>
      <c r="E275" s="523"/>
    </row>
    <row r="276" spans="1:5" x14ac:dyDescent="0.25">
      <c r="A276" s="43" t="str">
        <f t="shared" si="14"/>
        <v>01/04/2021-30/04/2021</v>
      </c>
      <c r="B276" s="402">
        <f t="shared" si="15"/>
        <v>288</v>
      </c>
      <c r="C276" s="402">
        <f t="shared" si="16"/>
        <v>455</v>
      </c>
      <c r="D276" s="463"/>
      <c r="E276" s="523"/>
    </row>
    <row r="277" spans="1:5" x14ac:dyDescent="0.25">
      <c r="A277" s="43" t="str">
        <f t="shared" si="14"/>
        <v>01/05/2021-31/05/2021</v>
      </c>
      <c r="B277" s="402">
        <f t="shared" si="15"/>
        <v>299</v>
      </c>
      <c r="C277" s="402">
        <f t="shared" si="16"/>
        <v>471</v>
      </c>
      <c r="D277" s="463"/>
      <c r="E277" s="523"/>
    </row>
    <row r="278" spans="1:5" x14ac:dyDescent="0.25">
      <c r="A278" s="43" t="str">
        <f t="shared" si="14"/>
        <v>01/06/2021-30/06/2021</v>
      </c>
      <c r="B278" s="402">
        <f t="shared" si="15"/>
        <v>291</v>
      </c>
      <c r="C278" s="402">
        <f t="shared" si="16"/>
        <v>454</v>
      </c>
      <c r="D278" s="463"/>
      <c r="E278" s="523"/>
    </row>
    <row r="279" spans="1:5" x14ac:dyDescent="0.25">
      <c r="A279" s="43" t="str">
        <f t="shared" si="14"/>
        <v>01/07/2021-31/07/2021</v>
      </c>
      <c r="B279" s="402">
        <f t="shared" si="15"/>
        <v>301</v>
      </c>
      <c r="C279" s="402">
        <f t="shared" si="16"/>
        <v>472</v>
      </c>
      <c r="D279" s="463"/>
      <c r="E279" s="523"/>
    </row>
    <row r="280" spans="1:5" x14ac:dyDescent="0.25">
      <c r="A280" s="43" t="str">
        <f t="shared" si="14"/>
        <v>01/08/2021-31/08/2021</v>
      </c>
      <c r="B280" s="402">
        <f t="shared" si="15"/>
        <v>298</v>
      </c>
      <c r="C280" s="402">
        <f t="shared" si="16"/>
        <v>470</v>
      </c>
      <c r="D280" s="463"/>
      <c r="E280" s="523"/>
    </row>
    <row r="281" spans="1:5" x14ac:dyDescent="0.25">
      <c r="A281" s="43" t="str">
        <f t="shared" si="14"/>
        <v>01/09/2021-30/09/2021</v>
      </c>
      <c r="B281" s="402">
        <f t="shared" si="15"/>
        <v>290</v>
      </c>
      <c r="C281" s="402">
        <f t="shared" si="16"/>
        <v>459</v>
      </c>
      <c r="D281" s="463"/>
      <c r="E281" s="523"/>
    </row>
    <row r="282" spans="1:5" x14ac:dyDescent="0.25">
      <c r="A282" s="43" t="str">
        <f t="shared" si="14"/>
        <v>01/10/2021-31/10/2021</v>
      </c>
      <c r="B282" s="402">
        <f t="shared" si="15"/>
        <v>299</v>
      </c>
      <c r="C282" s="402">
        <f t="shared" si="16"/>
        <v>469</v>
      </c>
      <c r="D282" s="463"/>
      <c r="E282" s="523"/>
    </row>
    <row r="283" spans="1:5" x14ac:dyDescent="0.25">
      <c r="A283" s="43" t="str">
        <f t="shared" si="14"/>
        <v>01/11/2021-30/11/2021</v>
      </c>
      <c r="B283" s="402">
        <f t="shared" si="15"/>
        <v>288</v>
      </c>
      <c r="C283" s="402">
        <f t="shared" si="16"/>
        <v>456</v>
      </c>
      <c r="D283" s="463"/>
      <c r="E283" s="523"/>
    </row>
    <row r="284" spans="1:5" x14ac:dyDescent="0.25">
      <c r="A284" s="43" t="str">
        <f t="shared" si="14"/>
        <v>01/12/2021-31/12/2021</v>
      </c>
      <c r="B284" s="402">
        <f t="shared" si="15"/>
        <v>298</v>
      </c>
      <c r="C284" s="402">
        <f t="shared" si="16"/>
        <v>470</v>
      </c>
      <c r="D284" s="463"/>
      <c r="E284" s="523"/>
    </row>
    <row r="285" spans="1:5" x14ac:dyDescent="0.25">
      <c r="A285" s="43" t="str">
        <f t="shared" si="14"/>
        <v>01/01/2022-31/01/2022</v>
      </c>
      <c r="B285" s="402">
        <f t="shared" si="15"/>
        <v>295</v>
      </c>
      <c r="C285" s="402">
        <f t="shared" si="16"/>
        <v>472</v>
      </c>
      <c r="D285" s="463"/>
      <c r="E285" s="523"/>
    </row>
    <row r="286" spans="1:5" x14ac:dyDescent="0.25">
      <c r="A286" s="43" t="str">
        <f t="shared" si="14"/>
        <v>01/02/2022-28/02/2022</v>
      </c>
      <c r="B286" s="402">
        <f t="shared" si="15"/>
        <v>266</v>
      </c>
      <c r="C286" s="402">
        <f t="shared" si="16"/>
        <v>427</v>
      </c>
      <c r="D286" s="463"/>
      <c r="E286" s="523"/>
    </row>
    <row r="287" spans="1:5" x14ac:dyDescent="0.25">
      <c r="A287" s="43" t="str">
        <f t="shared" si="14"/>
        <v>01/03/2022-31/03/2022</v>
      </c>
      <c r="B287" s="402">
        <f t="shared" si="15"/>
        <v>298</v>
      </c>
      <c r="C287" s="402">
        <f t="shared" si="16"/>
        <v>469</v>
      </c>
      <c r="D287" s="463"/>
      <c r="E287" s="523"/>
    </row>
    <row r="288" spans="1:5" s="348" customFormat="1" x14ac:dyDescent="0.25">
      <c r="A288" s="43" t="s">
        <v>342</v>
      </c>
      <c r="B288" s="402">
        <f t="shared" si="15"/>
        <v>291</v>
      </c>
      <c r="C288" s="402">
        <f t="shared" si="16"/>
        <v>456</v>
      </c>
      <c r="D288" s="463"/>
      <c r="E288" s="523"/>
    </row>
    <row r="289" spans="1:5" s="348" customFormat="1" x14ac:dyDescent="0.25">
      <c r="A289" s="43" t="s">
        <v>343</v>
      </c>
      <c r="B289" s="402">
        <f t="shared" si="15"/>
        <v>298</v>
      </c>
      <c r="C289" s="402">
        <f t="shared" si="16"/>
        <v>470</v>
      </c>
      <c r="D289" s="463"/>
      <c r="E289" s="523"/>
    </row>
    <row r="290" spans="1:5" s="348" customFormat="1" x14ac:dyDescent="0.25">
      <c r="A290" s="43" t="s">
        <v>344</v>
      </c>
      <c r="B290" s="402">
        <f t="shared" si="15"/>
        <v>288</v>
      </c>
      <c r="C290" s="402">
        <f t="shared" si="16"/>
        <v>455</v>
      </c>
      <c r="D290" s="463"/>
      <c r="E290" s="523"/>
    </row>
    <row r="291" spans="1:5" ht="13.05" customHeight="1" x14ac:dyDescent="0.25">
      <c r="A291" s="50" t="str">
        <f>A260</f>
        <v>01/01/2021-31/12/2021</v>
      </c>
      <c r="B291" s="566">
        <f>SUM(B273:C284)</f>
        <v>9051</v>
      </c>
      <c r="C291" s="567"/>
      <c r="D291" s="485"/>
      <c r="E291" s="491"/>
    </row>
    <row r="292" spans="1:5" x14ac:dyDescent="0.25">
      <c r="A292" s="50" t="str">
        <f>A261</f>
        <v>01/01/2022-30/06/2022</v>
      </c>
      <c r="B292" s="566">
        <f>SUM(B285:C290)</f>
        <v>4485</v>
      </c>
      <c r="C292" s="567"/>
      <c r="D292" s="485"/>
      <c r="E292" s="491"/>
    </row>
    <row r="293" spans="1:5" s="70" customFormat="1" ht="16.2" thickBot="1" x14ac:dyDescent="0.3">
      <c r="A293" s="283" t="s">
        <v>198</v>
      </c>
      <c r="B293" s="568">
        <f>B291+B292</f>
        <v>13536</v>
      </c>
      <c r="C293" s="568"/>
      <c r="D293" s="564"/>
      <c r="E293" s="565"/>
    </row>
    <row r="294" spans="1:5" ht="13.8" thickBot="1" x14ac:dyDescent="0.3">
      <c r="A294" s="223"/>
      <c r="B294" s="223"/>
      <c r="C294" s="223"/>
      <c r="D294" s="223"/>
      <c r="E294" s="223"/>
    </row>
    <row r="295" spans="1:5" x14ac:dyDescent="0.25">
      <c r="A295" s="274" t="s">
        <v>3</v>
      </c>
      <c r="B295" s="315" t="s">
        <v>18</v>
      </c>
      <c r="C295" s="315"/>
      <c r="D295" s="315" t="s">
        <v>2</v>
      </c>
      <c r="E295" s="316" t="s">
        <v>4</v>
      </c>
    </row>
    <row r="296" spans="1:5" x14ac:dyDescent="0.25">
      <c r="A296" s="61"/>
      <c r="B296" s="309" t="s">
        <v>32</v>
      </c>
      <c r="C296" s="309" t="s">
        <v>33</v>
      </c>
      <c r="D296" s="309"/>
      <c r="E296" s="320"/>
    </row>
    <row r="297" spans="1:5" ht="15.6" x14ac:dyDescent="0.35">
      <c r="A297" s="195" t="s">
        <v>314</v>
      </c>
      <c r="B297" s="403">
        <v>0.01</v>
      </c>
      <c r="C297" s="403">
        <f>B297</f>
        <v>0.01</v>
      </c>
      <c r="D297" s="310" t="s">
        <v>308</v>
      </c>
      <c r="E297" s="321" t="s">
        <v>58</v>
      </c>
    </row>
    <row r="298" spans="1:5" ht="39.6" x14ac:dyDescent="0.25">
      <c r="A298" s="195" t="s">
        <v>309</v>
      </c>
      <c r="B298" s="384">
        <v>0.45</v>
      </c>
      <c r="C298" s="384">
        <v>0.45</v>
      </c>
      <c r="D298" s="310" t="s">
        <v>96</v>
      </c>
      <c r="E298" s="312" t="s">
        <v>60</v>
      </c>
    </row>
    <row r="299" spans="1:5" x14ac:dyDescent="0.25">
      <c r="A299" s="195" t="s">
        <v>42</v>
      </c>
      <c r="B299" s="373">
        <v>1</v>
      </c>
      <c r="C299" s="373">
        <f>B299</f>
        <v>1</v>
      </c>
      <c r="D299" s="310" t="s">
        <v>1</v>
      </c>
      <c r="E299" s="317"/>
    </row>
    <row r="300" spans="1:5" ht="15.6" x14ac:dyDescent="0.35">
      <c r="A300" s="195" t="s">
        <v>194</v>
      </c>
      <c r="B300" s="103">
        <f>'Baseline emission'!B284</f>
        <v>265</v>
      </c>
      <c r="C300" s="103">
        <f>B300</f>
        <v>265</v>
      </c>
      <c r="D300" s="310" t="s">
        <v>310</v>
      </c>
      <c r="E300" s="312" t="s">
        <v>128</v>
      </c>
    </row>
    <row r="301" spans="1:5" ht="15.6" x14ac:dyDescent="0.25">
      <c r="A301" s="195" t="s">
        <v>202</v>
      </c>
      <c r="B301" s="72"/>
      <c r="C301" s="72"/>
      <c r="D301" s="310"/>
      <c r="E301" s="312"/>
    </row>
    <row r="302" spans="1:5" x14ac:dyDescent="0.25">
      <c r="A302" s="43" t="str">
        <f t="shared" ref="A302:A316" si="17">A273</f>
        <v>01/01/2021-31/01/2021</v>
      </c>
      <c r="B302" s="358">
        <f>ROUNDUP($B$297*$B$298*$B$299*B198*B124,0)</f>
        <v>333</v>
      </c>
      <c r="C302" s="358">
        <f>ROUNDUP($C$297*$C$298*$C$299*C198*C124,0)</f>
        <v>521</v>
      </c>
      <c r="D302" s="463" t="s">
        <v>350</v>
      </c>
      <c r="E302" s="523" t="s">
        <v>346</v>
      </c>
    </row>
    <row r="303" spans="1:5" x14ac:dyDescent="0.25">
      <c r="A303" s="43" t="str">
        <f t="shared" si="17"/>
        <v>01/02/2021-28/02/2021</v>
      </c>
      <c r="B303" s="358">
        <f t="shared" ref="B303:B319" si="18">ROUNDUP($B$297*$B$298*$B$299*B199*B125,0)</f>
        <v>304</v>
      </c>
      <c r="C303" s="358">
        <f t="shared" ref="C303:C319" si="19">ROUNDUP($C$297*$C$298*$C$299*C199*C125,0)</f>
        <v>481</v>
      </c>
      <c r="D303" s="463"/>
      <c r="E303" s="523"/>
    </row>
    <row r="304" spans="1:5" x14ac:dyDescent="0.25">
      <c r="A304" s="43" t="str">
        <f t="shared" si="17"/>
        <v>01/03/2021-31/03/3021</v>
      </c>
      <c r="B304" s="358">
        <f t="shared" si="18"/>
        <v>337</v>
      </c>
      <c r="C304" s="358">
        <f t="shared" si="19"/>
        <v>526</v>
      </c>
      <c r="D304" s="463"/>
      <c r="E304" s="523"/>
    </row>
    <row r="305" spans="1:5" x14ac:dyDescent="0.25">
      <c r="A305" s="43" t="str">
        <f t="shared" si="17"/>
        <v>01/04/2021-30/04/2021</v>
      </c>
      <c r="B305" s="358">
        <f t="shared" si="18"/>
        <v>323</v>
      </c>
      <c r="C305" s="358">
        <f t="shared" si="19"/>
        <v>512</v>
      </c>
      <c r="D305" s="463"/>
      <c r="E305" s="523"/>
    </row>
    <row r="306" spans="1:5" x14ac:dyDescent="0.25">
      <c r="A306" s="43" t="str">
        <f t="shared" si="17"/>
        <v>01/05/2021-31/05/2021</v>
      </c>
      <c r="B306" s="358">
        <f t="shared" si="18"/>
        <v>337</v>
      </c>
      <c r="C306" s="358">
        <f t="shared" si="19"/>
        <v>529</v>
      </c>
      <c r="D306" s="463"/>
      <c r="E306" s="523"/>
    </row>
    <row r="307" spans="1:5" x14ac:dyDescent="0.25">
      <c r="A307" s="43" t="str">
        <f t="shared" si="17"/>
        <v>01/06/2021-30/06/2021</v>
      </c>
      <c r="B307" s="358">
        <f t="shared" si="18"/>
        <v>328</v>
      </c>
      <c r="C307" s="358">
        <f t="shared" si="19"/>
        <v>511</v>
      </c>
      <c r="D307" s="463"/>
      <c r="E307" s="523"/>
    </row>
    <row r="308" spans="1:5" x14ac:dyDescent="0.25">
      <c r="A308" s="43" t="str">
        <f t="shared" si="17"/>
        <v>01/07/2021-31/07/2021</v>
      </c>
      <c r="B308" s="358">
        <f t="shared" si="18"/>
        <v>338</v>
      </c>
      <c r="C308" s="358">
        <f t="shared" si="19"/>
        <v>531</v>
      </c>
      <c r="D308" s="463"/>
      <c r="E308" s="523"/>
    </row>
    <row r="309" spans="1:5" x14ac:dyDescent="0.25">
      <c r="A309" s="43" t="str">
        <f t="shared" si="17"/>
        <v>01/08/2021-31/08/2021</v>
      </c>
      <c r="B309" s="358">
        <f t="shared" si="18"/>
        <v>335</v>
      </c>
      <c r="C309" s="358">
        <f t="shared" si="19"/>
        <v>529</v>
      </c>
      <c r="D309" s="463"/>
      <c r="E309" s="523"/>
    </row>
    <row r="310" spans="1:5" x14ac:dyDescent="0.25">
      <c r="A310" s="43" t="str">
        <f t="shared" si="17"/>
        <v>01/09/2021-30/09/2021</v>
      </c>
      <c r="B310" s="358">
        <f t="shared" si="18"/>
        <v>327</v>
      </c>
      <c r="C310" s="358">
        <f t="shared" si="19"/>
        <v>516</v>
      </c>
      <c r="D310" s="463"/>
      <c r="E310" s="523"/>
    </row>
    <row r="311" spans="1:5" x14ac:dyDescent="0.25">
      <c r="A311" s="43" t="str">
        <f t="shared" si="17"/>
        <v>01/10/2021-31/10/2021</v>
      </c>
      <c r="B311" s="358">
        <f t="shared" si="18"/>
        <v>336</v>
      </c>
      <c r="C311" s="358">
        <f t="shared" si="19"/>
        <v>528</v>
      </c>
      <c r="D311" s="463"/>
      <c r="E311" s="523"/>
    </row>
    <row r="312" spans="1:5" x14ac:dyDescent="0.25">
      <c r="A312" s="43" t="str">
        <f t="shared" si="17"/>
        <v>01/11/2021-30/11/2021</v>
      </c>
      <c r="B312" s="358">
        <f t="shared" si="18"/>
        <v>324</v>
      </c>
      <c r="C312" s="358">
        <f t="shared" si="19"/>
        <v>513</v>
      </c>
      <c r="D312" s="463"/>
      <c r="E312" s="523"/>
    </row>
    <row r="313" spans="1:5" x14ac:dyDescent="0.25">
      <c r="A313" s="43" t="str">
        <f t="shared" si="17"/>
        <v>01/12/2021-31/12/2021</v>
      </c>
      <c r="B313" s="358">
        <f t="shared" si="18"/>
        <v>335</v>
      </c>
      <c r="C313" s="358">
        <f t="shared" si="19"/>
        <v>529</v>
      </c>
      <c r="D313" s="463"/>
      <c r="E313" s="523"/>
    </row>
    <row r="314" spans="1:5" x14ac:dyDescent="0.25">
      <c r="A314" s="43" t="str">
        <f t="shared" si="17"/>
        <v>01/01/2022-31/01/2022</v>
      </c>
      <c r="B314" s="358">
        <f t="shared" si="18"/>
        <v>332</v>
      </c>
      <c r="C314" s="358">
        <f t="shared" si="19"/>
        <v>531</v>
      </c>
      <c r="D314" s="463"/>
      <c r="E314" s="523"/>
    </row>
    <row r="315" spans="1:5" x14ac:dyDescent="0.25">
      <c r="A315" s="43" t="str">
        <f t="shared" si="17"/>
        <v>01/02/2022-28/02/2022</v>
      </c>
      <c r="B315" s="358">
        <f t="shared" si="18"/>
        <v>299</v>
      </c>
      <c r="C315" s="358">
        <f t="shared" si="19"/>
        <v>480</v>
      </c>
      <c r="D315" s="463"/>
      <c r="E315" s="523"/>
    </row>
    <row r="316" spans="1:5" x14ac:dyDescent="0.25">
      <c r="A316" s="43" t="str">
        <f t="shared" si="17"/>
        <v>01/03/2022-31/03/2022</v>
      </c>
      <c r="B316" s="358">
        <f t="shared" si="18"/>
        <v>335</v>
      </c>
      <c r="C316" s="358">
        <f t="shared" si="19"/>
        <v>527</v>
      </c>
      <c r="D316" s="463"/>
      <c r="E316" s="523"/>
    </row>
    <row r="317" spans="1:5" s="348" customFormat="1" x14ac:dyDescent="0.25">
      <c r="A317" s="43" t="s">
        <v>342</v>
      </c>
      <c r="B317" s="358">
        <f t="shared" si="18"/>
        <v>327</v>
      </c>
      <c r="C317" s="358">
        <f t="shared" si="19"/>
        <v>512</v>
      </c>
      <c r="D317" s="463"/>
      <c r="E317" s="523"/>
    </row>
    <row r="318" spans="1:5" s="348" customFormat="1" x14ac:dyDescent="0.25">
      <c r="A318" s="43" t="s">
        <v>343</v>
      </c>
      <c r="B318" s="358">
        <f t="shared" si="18"/>
        <v>335</v>
      </c>
      <c r="C318" s="358">
        <f t="shared" si="19"/>
        <v>529</v>
      </c>
      <c r="D318" s="463"/>
      <c r="E318" s="523"/>
    </row>
    <row r="319" spans="1:5" s="348" customFormat="1" x14ac:dyDescent="0.25">
      <c r="A319" s="43" t="s">
        <v>344</v>
      </c>
      <c r="B319" s="358">
        <f t="shared" si="18"/>
        <v>323</v>
      </c>
      <c r="C319" s="358">
        <f t="shared" si="19"/>
        <v>512</v>
      </c>
      <c r="D319" s="463"/>
      <c r="E319" s="523"/>
    </row>
    <row r="320" spans="1:5" ht="13.05" customHeight="1" x14ac:dyDescent="0.25">
      <c r="A320" s="50" t="str">
        <f>A291</f>
        <v>01/01/2021-31/12/2021</v>
      </c>
      <c r="B320" s="563">
        <f>SUM(B302:C313)</f>
        <v>10183</v>
      </c>
      <c r="C320" s="563"/>
      <c r="D320" s="485"/>
      <c r="E320" s="491"/>
    </row>
    <row r="321" spans="1:5" x14ac:dyDescent="0.25">
      <c r="A321" s="50" t="str">
        <f>A292</f>
        <v>01/01/2022-30/06/2022</v>
      </c>
      <c r="B321" s="563">
        <f>SUM(B314:C319)</f>
        <v>5042</v>
      </c>
      <c r="C321" s="563"/>
      <c r="D321" s="485"/>
      <c r="E321" s="491"/>
    </row>
    <row r="322" spans="1:5" ht="16.2" thickBot="1" x14ac:dyDescent="0.4">
      <c r="A322" s="86" t="s">
        <v>198</v>
      </c>
      <c r="B322" s="572">
        <f>B320+B321</f>
        <v>15225</v>
      </c>
      <c r="C322" s="572"/>
      <c r="D322" s="564"/>
      <c r="E322" s="565"/>
    </row>
    <row r="323" spans="1:5" x14ac:dyDescent="0.25">
      <c r="A323" s="416"/>
      <c r="B323" s="417"/>
      <c r="C323" s="417"/>
      <c r="D323" s="418"/>
      <c r="E323" s="223"/>
    </row>
    <row r="324" spans="1:5" ht="15.6" x14ac:dyDescent="0.35">
      <c r="A324" s="419" t="s">
        <v>315</v>
      </c>
      <c r="B324" s="91"/>
      <c r="C324" s="420">
        <f>B326+B325</f>
        <v>20419</v>
      </c>
      <c r="D324" s="421" t="s">
        <v>416</v>
      </c>
      <c r="E324" s="224"/>
    </row>
    <row r="325" spans="1:5" x14ac:dyDescent="0.25">
      <c r="A325" s="43" t="str">
        <f>A320</f>
        <v>01/01/2021-31/12/2021</v>
      </c>
      <c r="B325" s="481">
        <f>INT(B300*44/28*1/1000*(B236+B260+B291+B320))</f>
        <v>13655</v>
      </c>
      <c r="C325" s="481"/>
      <c r="D325" s="569" t="s">
        <v>417</v>
      </c>
      <c r="E325" s="224"/>
    </row>
    <row r="326" spans="1:5" ht="13.8" thickBot="1" x14ac:dyDescent="0.3">
      <c r="A326" s="284" t="str">
        <f>A321</f>
        <v>01/01/2022-30/06/2022</v>
      </c>
      <c r="B326" s="571">
        <f>INT(B300*44/28*1/1000*(B237+B261+B292+B321))</f>
        <v>6764</v>
      </c>
      <c r="C326" s="571"/>
      <c r="D326" s="570"/>
      <c r="E326" s="224"/>
    </row>
    <row r="327" spans="1:5" ht="27" customHeight="1" x14ac:dyDescent="0.25">
      <c r="A327" s="224"/>
      <c r="B327" s="224"/>
      <c r="C327" s="224"/>
      <c r="D327" s="224"/>
      <c r="E327" s="224"/>
    </row>
    <row r="328" spans="1:5" x14ac:dyDescent="0.25">
      <c r="D328" s="44"/>
    </row>
    <row r="330" spans="1:5" ht="15.6" x14ac:dyDescent="0.35">
      <c r="A330" s="28" t="s">
        <v>316</v>
      </c>
      <c r="B330" s="275">
        <f>B332+B331</f>
        <v>45114</v>
      </c>
    </row>
    <row r="331" spans="1:5" x14ac:dyDescent="0.25">
      <c r="A331" s="43" t="str">
        <f>A325</f>
        <v>01/01/2021-31/12/2021</v>
      </c>
      <c r="B331" s="407">
        <f>B325+B181+B103</f>
        <v>30219</v>
      </c>
      <c r="C331" s="569" t="s">
        <v>417</v>
      </c>
    </row>
    <row r="332" spans="1:5" ht="13.8" thickBot="1" x14ac:dyDescent="0.3">
      <c r="A332" s="284" t="str">
        <f>A326</f>
        <v>01/01/2022-30/06/2022</v>
      </c>
      <c r="B332" s="422">
        <f>B326+B182+B104</f>
        <v>14895</v>
      </c>
      <c r="C332" s="570"/>
    </row>
    <row r="333" spans="1:5" x14ac:dyDescent="0.25">
      <c r="A333" s="276"/>
      <c r="B333" s="276"/>
      <c r="C333" s="276"/>
      <c r="D333" s="276"/>
    </row>
    <row r="334" spans="1:5" x14ac:dyDescent="0.25">
      <c r="C334" s="44"/>
    </row>
    <row r="336" spans="1:5" x14ac:dyDescent="0.25">
      <c r="C336" s="87"/>
    </row>
    <row r="337" spans="3:4" x14ac:dyDescent="0.25">
      <c r="C337" s="87"/>
    </row>
    <row r="338" spans="3:4" x14ac:dyDescent="0.25">
      <c r="D338" s="87"/>
    </row>
  </sheetData>
  <mergeCells count="65">
    <mergeCell ref="C331:C332"/>
    <mergeCell ref="D325:D326"/>
    <mergeCell ref="B326:C326"/>
    <mergeCell ref="B321:C321"/>
    <mergeCell ref="B322:C322"/>
    <mergeCell ref="B325:C325"/>
    <mergeCell ref="D272:D290"/>
    <mergeCell ref="E272:E290"/>
    <mergeCell ref="D302:D319"/>
    <mergeCell ref="E302:E319"/>
    <mergeCell ref="B320:C320"/>
    <mergeCell ref="D291:D293"/>
    <mergeCell ref="E291:E293"/>
    <mergeCell ref="D320:D322"/>
    <mergeCell ref="E320:E322"/>
    <mergeCell ref="B291:C291"/>
    <mergeCell ref="B292:C292"/>
    <mergeCell ref="B293:C293"/>
    <mergeCell ref="B260:C260"/>
    <mergeCell ref="E260:E262"/>
    <mergeCell ref="D260:D262"/>
    <mergeCell ref="B261:C261"/>
    <mergeCell ref="B262:C262"/>
    <mergeCell ref="C14:C32"/>
    <mergeCell ref="D14:E32"/>
    <mergeCell ref="D13:E13"/>
    <mergeCell ref="D33:E33"/>
    <mergeCell ref="D34:E34"/>
    <mergeCell ref="C47:C65"/>
    <mergeCell ref="D47:E65"/>
    <mergeCell ref="C80:C97"/>
    <mergeCell ref="D38:E38"/>
    <mergeCell ref="D44:E44"/>
    <mergeCell ref="D77:E77"/>
    <mergeCell ref="D66:E68"/>
    <mergeCell ref="D76:E76"/>
    <mergeCell ref="D45:E45"/>
    <mergeCell ref="D46:E46"/>
    <mergeCell ref="D78:E78"/>
    <mergeCell ref="C100:C101"/>
    <mergeCell ref="C102:C104"/>
    <mergeCell ref="D79:E79"/>
    <mergeCell ref="D99:E99"/>
    <mergeCell ref="D100:E104"/>
    <mergeCell ref="D98:E98"/>
    <mergeCell ref="D80:E97"/>
    <mergeCell ref="B236:C236"/>
    <mergeCell ref="B181:C181"/>
    <mergeCell ref="B183:C183"/>
    <mergeCell ref="B182:C182"/>
    <mergeCell ref="D218:D238"/>
    <mergeCell ref="B237:C237"/>
    <mergeCell ref="B238:C238"/>
    <mergeCell ref="D197:D215"/>
    <mergeCell ref="D35:E37"/>
    <mergeCell ref="E197:E215"/>
    <mergeCell ref="D241:D259"/>
    <mergeCell ref="E241:E259"/>
    <mergeCell ref="E218:E238"/>
    <mergeCell ref="D123:D141"/>
    <mergeCell ref="E123:E141"/>
    <mergeCell ref="D142:D160"/>
    <mergeCell ref="E142:E160"/>
    <mergeCell ref="D163:D180"/>
    <mergeCell ref="E163:E180"/>
  </mergeCells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2"/>
  <sheetViews>
    <sheetView zoomScaleNormal="100" workbookViewId="0">
      <selection activeCell="D351" sqref="D351"/>
    </sheetView>
  </sheetViews>
  <sheetFormatPr defaultColWidth="8.77734375" defaultRowHeight="13.2" x14ac:dyDescent="0.25"/>
  <cols>
    <col min="1" max="1" width="34.6640625" style="29" customWidth="1"/>
    <col min="2" max="2" width="19.21875" style="70" customWidth="1"/>
    <col min="3" max="3" width="17.5546875" style="70" customWidth="1"/>
    <col min="4" max="4" width="25.5546875" style="29" customWidth="1"/>
    <col min="5" max="5" width="44" style="29" customWidth="1"/>
    <col min="6" max="6" width="38.77734375" style="29" bestFit="1" customWidth="1"/>
    <col min="7" max="16384" width="8.77734375" style="29"/>
  </cols>
  <sheetData>
    <row r="1" spans="1:4" ht="15.6" x14ac:dyDescent="0.3">
      <c r="A1" s="27" t="s">
        <v>22</v>
      </c>
    </row>
    <row r="2" spans="1:4" x14ac:dyDescent="0.25">
      <c r="A2" s="28"/>
      <c r="B2" s="32"/>
    </row>
    <row r="3" spans="1:4" x14ac:dyDescent="0.25">
      <c r="A3" s="28"/>
    </row>
    <row r="4" spans="1:4" x14ac:dyDescent="0.25">
      <c r="A4" s="29" t="s">
        <v>44</v>
      </c>
    </row>
    <row r="5" spans="1:4" x14ac:dyDescent="0.25">
      <c r="A5" s="28"/>
      <c r="D5" s="55"/>
    </row>
    <row r="6" spans="1:4" x14ac:dyDescent="0.25">
      <c r="A6" s="28"/>
      <c r="D6" s="55"/>
    </row>
    <row r="7" spans="1:4" x14ac:dyDescent="0.25">
      <c r="A7" s="28"/>
      <c r="D7" s="55"/>
    </row>
    <row r="8" spans="1:4" x14ac:dyDescent="0.25">
      <c r="A8" s="28"/>
      <c r="D8" s="55"/>
    </row>
    <row r="9" spans="1:4" x14ac:dyDescent="0.25">
      <c r="A9" s="28"/>
      <c r="D9" s="55"/>
    </row>
    <row r="10" spans="1:4" x14ac:dyDescent="0.25">
      <c r="A10" s="28"/>
      <c r="D10" s="55"/>
    </row>
    <row r="11" spans="1:4" x14ac:dyDescent="0.25">
      <c r="A11" s="28"/>
      <c r="D11" s="55"/>
    </row>
    <row r="12" spans="1:4" x14ac:dyDescent="0.25">
      <c r="A12" s="28"/>
      <c r="D12" s="55"/>
    </row>
    <row r="13" spans="1:4" x14ac:dyDescent="0.25">
      <c r="A13" s="28"/>
      <c r="D13" s="55"/>
    </row>
    <row r="14" spans="1:4" x14ac:dyDescent="0.25">
      <c r="A14" s="28"/>
      <c r="D14" s="55"/>
    </row>
    <row r="15" spans="1:4" x14ac:dyDescent="0.25">
      <c r="A15" s="28"/>
      <c r="D15" s="55"/>
    </row>
    <row r="16" spans="1:4" x14ac:dyDescent="0.25">
      <c r="A16" s="28"/>
      <c r="D16" s="55"/>
    </row>
    <row r="17" spans="1:5" x14ac:dyDescent="0.25">
      <c r="A17" s="28"/>
      <c r="D17" s="55"/>
    </row>
    <row r="18" spans="1:5" x14ac:dyDescent="0.25">
      <c r="A18" s="28"/>
    </row>
    <row r="19" spans="1:5" x14ac:dyDescent="0.25">
      <c r="A19" s="28"/>
    </row>
    <row r="20" spans="1:5" ht="13.8" thickBot="1" x14ac:dyDescent="0.3">
      <c r="A20" s="28"/>
    </row>
    <row r="21" spans="1:5" x14ac:dyDescent="0.25">
      <c r="A21" s="59" t="s">
        <v>3</v>
      </c>
      <c r="B21" s="60" t="s">
        <v>18</v>
      </c>
      <c r="C21" s="60"/>
      <c r="D21" s="60" t="s">
        <v>2</v>
      </c>
      <c r="E21" s="186" t="s">
        <v>4</v>
      </c>
    </row>
    <row r="22" spans="1:5" x14ac:dyDescent="0.25">
      <c r="A22" s="61"/>
      <c r="B22" s="62" t="str">
        <f>B355</f>
        <v>Market Swine</v>
      </c>
      <c r="C22" s="62" t="str">
        <f>C355</f>
        <v>Breeding Swine</v>
      </c>
      <c r="D22" s="62"/>
      <c r="E22" s="187"/>
    </row>
    <row r="23" spans="1:5" s="35" customFormat="1" ht="13.2" customHeight="1" x14ac:dyDescent="0.25">
      <c r="A23" s="188" t="s">
        <v>241</v>
      </c>
      <c r="B23" s="189"/>
      <c r="C23" s="189"/>
      <c r="D23" s="484" t="s">
        <v>73</v>
      </c>
      <c r="E23" s="589" t="s">
        <v>330</v>
      </c>
    </row>
    <row r="24" spans="1:5" s="35" customFormat="1" x14ac:dyDescent="0.25">
      <c r="A24" s="43" t="str">
        <f>'Project emission'!A15</f>
        <v>01/01/2021-31/01/2021</v>
      </c>
      <c r="B24" s="189">
        <f>'monitoring results'!B4</f>
        <v>112096</v>
      </c>
      <c r="C24" s="189">
        <f>'monitoring results'!C4</f>
        <v>191546</v>
      </c>
      <c r="D24" s="485"/>
      <c r="E24" s="590"/>
    </row>
    <row r="25" spans="1:5" s="35" customFormat="1" x14ac:dyDescent="0.25">
      <c r="A25" s="43" t="str">
        <f>'Project emission'!A16</f>
        <v>01/02/2021-28/02/2021</v>
      </c>
      <c r="B25" s="189">
        <f>'monitoring results'!B5</f>
        <v>112096</v>
      </c>
      <c r="C25" s="189">
        <f>'monitoring results'!C5</f>
        <v>192112</v>
      </c>
      <c r="D25" s="485"/>
      <c r="E25" s="590"/>
    </row>
    <row r="26" spans="1:5" s="35" customFormat="1" x14ac:dyDescent="0.25">
      <c r="A26" s="43" t="str">
        <f>'Project emission'!A17</f>
        <v>01/03/2021-31/03/3021</v>
      </c>
      <c r="B26" s="189">
        <f>'monitoring results'!B6</f>
        <v>112096</v>
      </c>
      <c r="C26" s="189">
        <f>'monitoring results'!C6</f>
        <v>191422</v>
      </c>
      <c r="D26" s="485"/>
      <c r="E26" s="590"/>
    </row>
    <row r="27" spans="1:5" s="35" customFormat="1" x14ac:dyDescent="0.25">
      <c r="A27" s="43" t="str">
        <f>'Project emission'!A18</f>
        <v>01/04/2021-30/04/2021</v>
      </c>
      <c r="B27" s="189">
        <f>'monitoring results'!B7</f>
        <v>112096</v>
      </c>
      <c r="C27" s="189">
        <f>'monitoring results'!C7</f>
        <v>192144</v>
      </c>
      <c r="D27" s="485"/>
      <c r="E27" s="590"/>
    </row>
    <row r="28" spans="1:5" s="35" customFormat="1" x14ac:dyDescent="0.25">
      <c r="A28" s="43" t="str">
        <f>'Project emission'!A19</f>
        <v>01/05/2021-31/05/2021</v>
      </c>
      <c r="B28" s="189">
        <f>'monitoring results'!B8</f>
        <v>112096</v>
      </c>
      <c r="C28" s="189">
        <f>'monitoring results'!C8</f>
        <v>191903</v>
      </c>
      <c r="D28" s="485"/>
      <c r="E28" s="590"/>
    </row>
    <row r="29" spans="1:5" s="35" customFormat="1" x14ac:dyDescent="0.25">
      <c r="A29" s="43" t="str">
        <f>'Project emission'!A20</f>
        <v>01/06/2021-30/06/2021</v>
      </c>
      <c r="B29" s="189">
        <f>'monitoring results'!B9</f>
        <v>112096</v>
      </c>
      <c r="C29" s="189">
        <f>'monitoring results'!C9</f>
        <v>191653</v>
      </c>
      <c r="D29" s="485"/>
      <c r="E29" s="590"/>
    </row>
    <row r="30" spans="1:5" s="35" customFormat="1" x14ac:dyDescent="0.25">
      <c r="A30" s="43" t="str">
        <f>'Project emission'!A21</f>
        <v>01/07/2021-31/07/2021</v>
      </c>
      <c r="B30" s="189">
        <f>'monitoring results'!B10</f>
        <v>112096</v>
      </c>
      <c r="C30" s="189">
        <f>'monitoring results'!C10</f>
        <v>191783</v>
      </c>
      <c r="D30" s="485"/>
      <c r="E30" s="590"/>
    </row>
    <row r="31" spans="1:5" s="35" customFormat="1" x14ac:dyDescent="0.25">
      <c r="A31" s="43" t="str">
        <f>'Project emission'!A22</f>
        <v>01/08/2021-31/08/2021</v>
      </c>
      <c r="B31" s="189">
        <f>'monitoring results'!B11</f>
        <v>112096</v>
      </c>
      <c r="C31" s="189">
        <f>'monitoring results'!C11</f>
        <v>191682</v>
      </c>
      <c r="D31" s="485"/>
      <c r="E31" s="590"/>
    </row>
    <row r="32" spans="1:5" s="35" customFormat="1" x14ac:dyDescent="0.25">
      <c r="A32" s="43" t="str">
        <f>'Project emission'!A23</f>
        <v>01/09/2021-30/09/2021</v>
      </c>
      <c r="B32" s="189">
        <f>'monitoring results'!B12</f>
        <v>112096</v>
      </c>
      <c r="C32" s="189">
        <f>'monitoring results'!C12</f>
        <v>192049</v>
      </c>
      <c r="D32" s="485"/>
      <c r="E32" s="590"/>
    </row>
    <row r="33" spans="1:5" s="35" customFormat="1" x14ac:dyDescent="0.25">
      <c r="A33" s="43" t="str">
        <f>'Project emission'!A24</f>
        <v>01/10/2021-31/10/2021</v>
      </c>
      <c r="B33" s="189">
        <f>'monitoring results'!B13</f>
        <v>112096</v>
      </c>
      <c r="C33" s="189">
        <f>'monitoring results'!C13</f>
        <v>191505</v>
      </c>
      <c r="D33" s="485"/>
      <c r="E33" s="590"/>
    </row>
    <row r="34" spans="1:5" s="35" customFormat="1" x14ac:dyDescent="0.25">
      <c r="A34" s="43" t="str">
        <f>'Project emission'!A25</f>
        <v>01/11/2021-30/11/2021</v>
      </c>
      <c r="B34" s="189">
        <f>'monitoring results'!B14</f>
        <v>112096</v>
      </c>
      <c r="C34" s="189">
        <f>'monitoring results'!C14</f>
        <v>191467</v>
      </c>
      <c r="D34" s="485"/>
      <c r="E34" s="590"/>
    </row>
    <row r="35" spans="1:5" s="35" customFormat="1" x14ac:dyDescent="0.25">
      <c r="A35" s="43" t="str">
        <f>'Project emission'!A26</f>
        <v>01/12/2021-31/12/2021</v>
      </c>
      <c r="B35" s="189">
        <f>'monitoring results'!B15</f>
        <v>112096</v>
      </c>
      <c r="C35" s="189">
        <f>'monitoring results'!C15</f>
        <v>191877</v>
      </c>
      <c r="D35" s="485"/>
      <c r="E35" s="590"/>
    </row>
    <row r="36" spans="1:5" s="35" customFormat="1" x14ac:dyDescent="0.25">
      <c r="A36" s="43" t="str">
        <f>'Project emission'!A27</f>
        <v>01/01/2022-31/01/2022</v>
      </c>
      <c r="B36" s="189">
        <f>'monitoring results'!B16</f>
        <v>112096</v>
      </c>
      <c r="C36" s="189">
        <f>'monitoring results'!C16</f>
        <v>192033</v>
      </c>
      <c r="D36" s="485"/>
      <c r="E36" s="590"/>
    </row>
    <row r="37" spans="1:5" s="35" customFormat="1" x14ac:dyDescent="0.25">
      <c r="A37" s="43" t="str">
        <f>'Project emission'!A28</f>
        <v>01/02/2022-28/02/2022</v>
      </c>
      <c r="B37" s="189">
        <f>'monitoring results'!B17</f>
        <v>112096</v>
      </c>
      <c r="C37" s="189">
        <f>'monitoring results'!C17</f>
        <v>191973</v>
      </c>
      <c r="D37" s="485"/>
      <c r="E37" s="590"/>
    </row>
    <row r="38" spans="1:5" s="35" customFormat="1" x14ac:dyDescent="0.25">
      <c r="A38" s="43" t="str">
        <f>'Project emission'!A29</f>
        <v>01/03/2022-31/03/2022</v>
      </c>
      <c r="B38" s="189">
        <f>'monitoring results'!B18</f>
        <v>112096</v>
      </c>
      <c r="C38" s="189">
        <f>'monitoring results'!C18</f>
        <v>192076</v>
      </c>
      <c r="D38" s="485"/>
      <c r="E38" s="590"/>
    </row>
    <row r="39" spans="1:5" s="35" customFormat="1" x14ac:dyDescent="0.25">
      <c r="A39" s="43" t="s">
        <v>342</v>
      </c>
      <c r="B39" s="361">
        <f>'monitoring results'!B19</f>
        <v>112096</v>
      </c>
      <c r="C39" s="361">
        <f>'monitoring results'!C19</f>
        <v>191796</v>
      </c>
      <c r="D39" s="485"/>
      <c r="E39" s="590"/>
    </row>
    <row r="40" spans="1:5" s="35" customFormat="1" x14ac:dyDescent="0.25">
      <c r="A40" s="43" t="s">
        <v>343</v>
      </c>
      <c r="B40" s="361">
        <f>'monitoring results'!B20</f>
        <v>112096</v>
      </c>
      <c r="C40" s="361">
        <f>'monitoring results'!C20</f>
        <v>192046</v>
      </c>
      <c r="D40" s="485"/>
      <c r="E40" s="590"/>
    </row>
    <row r="41" spans="1:5" s="35" customFormat="1" x14ac:dyDescent="0.25">
      <c r="A41" s="43" t="s">
        <v>344</v>
      </c>
      <c r="B41" s="361">
        <f>'monitoring results'!B21</f>
        <v>112096</v>
      </c>
      <c r="C41" s="361">
        <f>'monitoring results'!C21</f>
        <v>191783</v>
      </c>
      <c r="D41" s="486"/>
      <c r="E41" s="591"/>
    </row>
    <row r="42" spans="1:5" x14ac:dyDescent="0.25">
      <c r="A42" s="188" t="s">
        <v>242</v>
      </c>
      <c r="B42" s="190"/>
      <c r="C42" s="190"/>
      <c r="D42" s="484" t="s">
        <v>48</v>
      </c>
      <c r="E42" s="490" t="s">
        <v>28</v>
      </c>
    </row>
    <row r="43" spans="1:5" x14ac:dyDescent="0.25">
      <c r="A43" s="43" t="str">
        <f t="shared" ref="A43:A57" si="0">A24</f>
        <v>01/01/2021-31/01/2021</v>
      </c>
      <c r="B43" s="190">
        <f>'Baseline emission'!B175</f>
        <v>0.66011399999999998</v>
      </c>
      <c r="C43" s="190">
        <f>'Baseline emission'!C175</f>
        <v>0.60338399999999992</v>
      </c>
      <c r="D43" s="485"/>
      <c r="E43" s="491"/>
    </row>
    <row r="44" spans="1:5" x14ac:dyDescent="0.25">
      <c r="A44" s="43" t="str">
        <f t="shared" si="0"/>
        <v>01/02/2021-28/02/2021</v>
      </c>
      <c r="B44" s="190">
        <f>'Baseline emission'!B176</f>
        <v>0.60211200000000009</v>
      </c>
      <c r="C44" s="190">
        <f>'Baseline emission'!C176</f>
        <v>0.55547520000000006</v>
      </c>
      <c r="D44" s="485"/>
      <c r="E44" s="491"/>
    </row>
    <row r="45" spans="1:5" x14ac:dyDescent="0.25">
      <c r="A45" s="43" t="str">
        <f t="shared" si="0"/>
        <v>01/03/2021-31/03/3021</v>
      </c>
      <c r="B45" s="190">
        <f>'Baseline emission'!B177</f>
        <v>0.66662400000000011</v>
      </c>
      <c r="C45" s="190">
        <f>'Baseline emission'!C177</f>
        <v>0.61022880000000002</v>
      </c>
      <c r="D45" s="485"/>
      <c r="E45" s="491"/>
    </row>
    <row r="46" spans="1:5" x14ac:dyDescent="0.25">
      <c r="A46" s="43" t="str">
        <f t="shared" si="0"/>
        <v>01/04/2021-30/04/2021</v>
      </c>
      <c r="B46" s="190">
        <f>'Baseline emission'!B178</f>
        <v>0.64007999999999998</v>
      </c>
      <c r="C46" s="190">
        <f>'Baseline emission'!C178</f>
        <v>0.59119199999999994</v>
      </c>
      <c r="D46" s="485"/>
      <c r="E46" s="491"/>
    </row>
    <row r="47" spans="1:5" x14ac:dyDescent="0.25">
      <c r="A47" s="43" t="str">
        <f t="shared" si="0"/>
        <v>01/05/2021-31/05/2021</v>
      </c>
      <c r="B47" s="190">
        <f>'Baseline emission'!B179</f>
        <v>0.66662400000000011</v>
      </c>
      <c r="C47" s="190">
        <f>'Baseline emission'!C179</f>
        <v>0.61231199999999997</v>
      </c>
      <c r="D47" s="485"/>
      <c r="E47" s="491"/>
    </row>
    <row r="48" spans="1:5" x14ac:dyDescent="0.25">
      <c r="A48" s="43" t="str">
        <f t="shared" si="0"/>
        <v>01/06/2021-30/06/2021</v>
      </c>
      <c r="B48" s="190">
        <f>'Baseline emission'!B180</f>
        <v>0.64889999999999992</v>
      </c>
      <c r="C48" s="190">
        <f>'Baseline emission'!C180</f>
        <v>0.59183999999999992</v>
      </c>
      <c r="D48" s="485"/>
      <c r="E48" s="491"/>
    </row>
    <row r="49" spans="1:8" x14ac:dyDescent="0.25">
      <c r="A49" s="43" t="str">
        <f t="shared" si="0"/>
        <v>01/07/2021-31/07/2021</v>
      </c>
      <c r="B49" s="190">
        <f>'Baseline emission'!B181</f>
        <v>0.66922799999999993</v>
      </c>
      <c r="C49" s="190">
        <f>'Baseline emission'!C181</f>
        <v>0.6143208</v>
      </c>
      <c r="D49" s="485"/>
      <c r="E49" s="491"/>
    </row>
    <row r="50" spans="1:8" x14ac:dyDescent="0.25">
      <c r="A50" s="43" t="str">
        <f t="shared" si="0"/>
        <v>01/08/2021-31/08/2021</v>
      </c>
      <c r="B50" s="190">
        <f>'Baseline emission'!B182</f>
        <v>0.66401999999999994</v>
      </c>
      <c r="C50" s="190">
        <f>'Baseline emission'!C182</f>
        <v>0.61231199999999997</v>
      </c>
      <c r="D50" s="485"/>
      <c r="E50" s="491"/>
    </row>
    <row r="51" spans="1:8" x14ac:dyDescent="0.25">
      <c r="A51" s="43" t="str">
        <f t="shared" si="0"/>
        <v>01/09/2021-30/09/2021</v>
      </c>
      <c r="B51" s="190">
        <f>'Baseline emission'!B183</f>
        <v>0.64637999999999995</v>
      </c>
      <c r="C51" s="190">
        <f>'Baseline emission'!C183</f>
        <v>0.59652000000000005</v>
      </c>
      <c r="D51" s="485"/>
      <c r="E51" s="491"/>
    </row>
    <row r="52" spans="1:8" x14ac:dyDescent="0.25">
      <c r="A52" s="43" t="str">
        <f t="shared" si="0"/>
        <v>01/10/2021-31/10/2021</v>
      </c>
      <c r="B52" s="190">
        <f>'Baseline emission'!B184</f>
        <v>0.66532199999999997</v>
      </c>
      <c r="C52" s="190">
        <f>'Baseline emission'!C184</f>
        <v>0.611568</v>
      </c>
      <c r="D52" s="485"/>
      <c r="E52" s="491"/>
    </row>
    <row r="53" spans="1:8" x14ac:dyDescent="0.25">
      <c r="A53" s="43" t="str">
        <f t="shared" si="0"/>
        <v>01/11/2021-30/11/2021</v>
      </c>
      <c r="B53" s="190">
        <f>'Baseline emission'!B185</f>
        <v>0.64134000000000002</v>
      </c>
      <c r="C53" s="190">
        <f>'Baseline emission'!C185</f>
        <v>0.59450399999999992</v>
      </c>
      <c r="D53" s="485"/>
      <c r="E53" s="491"/>
    </row>
    <row r="54" spans="1:8" x14ac:dyDescent="0.25">
      <c r="A54" s="43" t="str">
        <f t="shared" si="0"/>
        <v>01/12/2021-31/12/2021</v>
      </c>
      <c r="B54" s="190">
        <f>'Baseline emission'!B186</f>
        <v>0.66271800000000003</v>
      </c>
      <c r="C54" s="190">
        <f>'Baseline emission'!C186</f>
        <v>0.611568</v>
      </c>
      <c r="D54" s="485"/>
      <c r="E54" s="491"/>
    </row>
    <row r="55" spans="1:8" x14ac:dyDescent="0.25">
      <c r="A55" s="43" t="str">
        <f t="shared" si="0"/>
        <v>01/01/2022-31/01/2022</v>
      </c>
      <c r="B55" s="190">
        <f>'Baseline emission'!B187</f>
        <v>0.65620800000000001</v>
      </c>
      <c r="C55" s="190">
        <f>'Baseline emission'!C187</f>
        <v>0.61365119999999995</v>
      </c>
      <c r="D55" s="485"/>
      <c r="E55" s="491"/>
    </row>
    <row r="56" spans="1:8" x14ac:dyDescent="0.25">
      <c r="A56" s="43" t="str">
        <f t="shared" si="0"/>
        <v>01/02/2022-28/02/2022</v>
      </c>
      <c r="B56" s="190">
        <f>'Baseline emission'!B188</f>
        <v>0.59152799999999994</v>
      </c>
      <c r="C56" s="190">
        <f>'Baseline emission'!C188</f>
        <v>0.55487039999999999</v>
      </c>
      <c r="D56" s="485"/>
      <c r="E56" s="491"/>
    </row>
    <row r="57" spans="1:8" x14ac:dyDescent="0.25">
      <c r="A57" s="43" t="str">
        <f t="shared" si="0"/>
        <v>01/03/2022-31/03/2022</v>
      </c>
      <c r="B57" s="190">
        <f>'Baseline emission'!B189</f>
        <v>0.66401999999999994</v>
      </c>
      <c r="C57" s="190">
        <f>'Baseline emission'!C189</f>
        <v>0.60955919999999997</v>
      </c>
      <c r="D57" s="485"/>
      <c r="E57" s="491"/>
    </row>
    <row r="58" spans="1:8" s="348" customFormat="1" x14ac:dyDescent="0.25">
      <c r="A58" s="43" t="s">
        <v>342</v>
      </c>
      <c r="B58" s="190">
        <f>'Baseline emission'!B190</f>
        <v>0.64763999999999999</v>
      </c>
      <c r="C58" s="190">
        <f>'Baseline emission'!C190</f>
        <v>0.59320799999999985</v>
      </c>
      <c r="D58" s="485"/>
      <c r="E58" s="491"/>
    </row>
    <row r="59" spans="1:8" s="348" customFormat="1" x14ac:dyDescent="0.25">
      <c r="A59" s="43" t="s">
        <v>343</v>
      </c>
      <c r="B59" s="190">
        <f>'Baseline emission'!B191</f>
        <v>0.66271800000000003</v>
      </c>
      <c r="C59" s="190">
        <f>'Baseline emission'!C191</f>
        <v>0.611568</v>
      </c>
      <c r="D59" s="485"/>
      <c r="E59" s="491"/>
    </row>
    <row r="60" spans="1:8" s="348" customFormat="1" x14ac:dyDescent="0.25">
      <c r="A60" s="43" t="s">
        <v>344</v>
      </c>
      <c r="B60" s="190">
        <f>'Baseline emission'!B192</f>
        <v>0.64007999999999998</v>
      </c>
      <c r="C60" s="190">
        <f>'Baseline emission'!C192</f>
        <v>0.59255999999999998</v>
      </c>
      <c r="D60" s="486"/>
      <c r="E60" s="492"/>
    </row>
    <row r="61" spans="1:8" s="35" customFormat="1" x14ac:dyDescent="0.25">
      <c r="A61" s="188" t="s">
        <v>243</v>
      </c>
      <c r="B61" s="191">
        <v>0.8</v>
      </c>
      <c r="C61" s="191">
        <v>0.8</v>
      </c>
      <c r="D61" s="73" t="s">
        <v>0</v>
      </c>
      <c r="E61" s="192" t="s">
        <v>131</v>
      </c>
      <c r="F61" s="341"/>
      <c r="G61" s="342"/>
      <c r="H61" s="342"/>
    </row>
    <row r="62" spans="1:8" ht="15.6" x14ac:dyDescent="0.35">
      <c r="A62" s="188" t="s">
        <v>13</v>
      </c>
      <c r="B62" s="193">
        <v>0.01</v>
      </c>
      <c r="C62" s="193">
        <v>0.01</v>
      </c>
      <c r="D62" s="63" t="s">
        <v>180</v>
      </c>
      <c r="E62" s="194" t="s">
        <v>46</v>
      </c>
      <c r="G62" s="91"/>
      <c r="H62" s="91"/>
    </row>
    <row r="63" spans="1:8" ht="15.6" x14ac:dyDescent="0.35">
      <c r="A63" s="188" t="s">
        <v>14</v>
      </c>
      <c r="B63" s="193">
        <v>7.4999999999999997E-3</v>
      </c>
      <c r="C63" s="193">
        <v>7.4999999999999997E-3</v>
      </c>
      <c r="D63" s="63" t="s">
        <v>180</v>
      </c>
      <c r="E63" s="194" t="s">
        <v>31</v>
      </c>
      <c r="G63" s="91"/>
      <c r="H63" s="91"/>
    </row>
    <row r="64" spans="1:8" ht="15.6" x14ac:dyDescent="0.35">
      <c r="A64" s="188" t="s">
        <v>12</v>
      </c>
      <c r="B64" s="193">
        <v>0.01</v>
      </c>
      <c r="C64" s="193">
        <v>0.01</v>
      </c>
      <c r="D64" s="63" t="s">
        <v>244</v>
      </c>
      <c r="E64" s="194" t="s">
        <v>31</v>
      </c>
      <c r="F64" s="341"/>
      <c r="G64" s="91"/>
      <c r="H64" s="91"/>
    </row>
    <row r="65" spans="1:5" ht="15.6" x14ac:dyDescent="0.25">
      <c r="A65" s="188" t="s">
        <v>245</v>
      </c>
      <c r="B65" s="193">
        <v>0.3</v>
      </c>
      <c r="C65" s="193">
        <v>0.3</v>
      </c>
      <c r="D65" s="63" t="s">
        <v>96</v>
      </c>
      <c r="E65" s="194" t="s">
        <v>31</v>
      </c>
    </row>
    <row r="66" spans="1:5" ht="15.6" x14ac:dyDescent="0.25">
      <c r="A66" s="188" t="s">
        <v>246</v>
      </c>
      <c r="B66" s="193">
        <v>0.2</v>
      </c>
      <c r="C66" s="193">
        <v>0.2</v>
      </c>
      <c r="D66" s="63" t="s">
        <v>96</v>
      </c>
      <c r="E66" s="194" t="s">
        <v>68</v>
      </c>
    </row>
    <row r="67" spans="1:5" ht="15.6" x14ac:dyDescent="0.35">
      <c r="A67" s="195" t="s">
        <v>194</v>
      </c>
      <c r="B67" s="103">
        <f>'Baseline emission'!B284</f>
        <v>265</v>
      </c>
      <c r="C67" s="103">
        <f>'Baseline emission'!C284</f>
        <v>265</v>
      </c>
      <c r="D67" s="63" t="s">
        <v>247</v>
      </c>
      <c r="E67" s="192" t="s">
        <v>128</v>
      </c>
    </row>
    <row r="68" spans="1:5" ht="15.6" x14ac:dyDescent="0.25">
      <c r="A68" s="196" t="s">
        <v>248</v>
      </c>
      <c r="B68" s="197"/>
      <c r="C68" s="197"/>
      <c r="D68" s="484" t="s">
        <v>249</v>
      </c>
      <c r="E68" s="490" t="s">
        <v>29</v>
      </c>
    </row>
    <row r="69" spans="1:5" x14ac:dyDescent="0.25">
      <c r="A69" s="43" t="str">
        <f t="shared" ref="A69:A83" si="1">A43</f>
        <v>01/01/2021-31/01/2021</v>
      </c>
      <c r="B69" s="190">
        <f>ROUNDDOWN($B$62*(1-$B$61)*B43*B24,0)</f>
        <v>147</v>
      </c>
      <c r="C69" s="190">
        <f>ROUNDUP($C$62*(1-$C$61)*C43*C24,0)</f>
        <v>232</v>
      </c>
      <c r="D69" s="485"/>
      <c r="E69" s="491"/>
    </row>
    <row r="70" spans="1:5" x14ac:dyDescent="0.25">
      <c r="A70" s="43" t="str">
        <f t="shared" si="1"/>
        <v>01/02/2021-28/02/2021</v>
      </c>
      <c r="B70" s="190">
        <f t="shared" ref="B70:B86" si="2">ROUNDDOWN($B$62*(1-$B$61)*B44*B25,0)</f>
        <v>134</v>
      </c>
      <c r="C70" s="190">
        <f t="shared" ref="C70:C86" si="3">ROUNDUP($C$62*(1-$C$61)*C44*C25,0)</f>
        <v>214</v>
      </c>
      <c r="D70" s="485"/>
      <c r="E70" s="491"/>
    </row>
    <row r="71" spans="1:5" x14ac:dyDescent="0.25">
      <c r="A71" s="43" t="str">
        <f t="shared" si="1"/>
        <v>01/03/2021-31/03/3021</v>
      </c>
      <c r="B71" s="190">
        <f t="shared" si="2"/>
        <v>149</v>
      </c>
      <c r="C71" s="190">
        <f t="shared" si="3"/>
        <v>234</v>
      </c>
      <c r="D71" s="485"/>
      <c r="E71" s="491"/>
    </row>
    <row r="72" spans="1:5" x14ac:dyDescent="0.25">
      <c r="A72" s="43" t="str">
        <f t="shared" si="1"/>
        <v>01/04/2021-30/04/2021</v>
      </c>
      <c r="B72" s="190">
        <f t="shared" si="2"/>
        <v>143</v>
      </c>
      <c r="C72" s="190">
        <f t="shared" si="3"/>
        <v>228</v>
      </c>
      <c r="D72" s="485"/>
      <c r="E72" s="491"/>
    </row>
    <row r="73" spans="1:5" x14ac:dyDescent="0.25">
      <c r="A73" s="43" t="str">
        <f t="shared" si="1"/>
        <v>01/05/2021-31/05/2021</v>
      </c>
      <c r="B73" s="190">
        <f t="shared" si="2"/>
        <v>149</v>
      </c>
      <c r="C73" s="190">
        <f t="shared" si="3"/>
        <v>236</v>
      </c>
      <c r="D73" s="485"/>
      <c r="E73" s="491"/>
    </row>
    <row r="74" spans="1:5" x14ac:dyDescent="0.25">
      <c r="A74" s="43" t="str">
        <f t="shared" si="1"/>
        <v>01/06/2021-30/06/2021</v>
      </c>
      <c r="B74" s="190">
        <f t="shared" si="2"/>
        <v>145</v>
      </c>
      <c r="C74" s="190">
        <f t="shared" si="3"/>
        <v>227</v>
      </c>
      <c r="D74" s="485"/>
      <c r="E74" s="491"/>
    </row>
    <row r="75" spans="1:5" x14ac:dyDescent="0.25">
      <c r="A75" s="43" t="str">
        <f t="shared" si="1"/>
        <v>01/07/2021-31/07/2021</v>
      </c>
      <c r="B75" s="190">
        <f t="shared" si="2"/>
        <v>150</v>
      </c>
      <c r="C75" s="190">
        <f t="shared" si="3"/>
        <v>236</v>
      </c>
      <c r="D75" s="485"/>
      <c r="E75" s="491"/>
    </row>
    <row r="76" spans="1:5" x14ac:dyDescent="0.25">
      <c r="A76" s="43" t="str">
        <f t="shared" si="1"/>
        <v>01/08/2021-31/08/2021</v>
      </c>
      <c r="B76" s="190">
        <f t="shared" si="2"/>
        <v>148</v>
      </c>
      <c r="C76" s="190">
        <f t="shared" si="3"/>
        <v>235</v>
      </c>
      <c r="D76" s="485"/>
      <c r="E76" s="491"/>
    </row>
    <row r="77" spans="1:5" x14ac:dyDescent="0.25">
      <c r="A77" s="43" t="str">
        <f t="shared" si="1"/>
        <v>01/09/2021-30/09/2021</v>
      </c>
      <c r="B77" s="190">
        <f t="shared" si="2"/>
        <v>144</v>
      </c>
      <c r="C77" s="190">
        <f t="shared" si="3"/>
        <v>230</v>
      </c>
      <c r="D77" s="485"/>
      <c r="E77" s="491"/>
    </row>
    <row r="78" spans="1:5" x14ac:dyDescent="0.25">
      <c r="A78" s="43" t="str">
        <f t="shared" si="1"/>
        <v>01/10/2021-31/10/2021</v>
      </c>
      <c r="B78" s="190">
        <f t="shared" si="2"/>
        <v>149</v>
      </c>
      <c r="C78" s="190">
        <f t="shared" si="3"/>
        <v>235</v>
      </c>
      <c r="D78" s="485"/>
      <c r="E78" s="491"/>
    </row>
    <row r="79" spans="1:5" x14ac:dyDescent="0.25">
      <c r="A79" s="43" t="str">
        <f t="shared" si="1"/>
        <v>01/11/2021-30/11/2021</v>
      </c>
      <c r="B79" s="190">
        <f t="shared" si="2"/>
        <v>143</v>
      </c>
      <c r="C79" s="190">
        <f t="shared" si="3"/>
        <v>228</v>
      </c>
      <c r="D79" s="485"/>
      <c r="E79" s="491"/>
    </row>
    <row r="80" spans="1:5" x14ac:dyDescent="0.25">
      <c r="A80" s="43" t="str">
        <f t="shared" si="1"/>
        <v>01/12/2021-31/12/2021</v>
      </c>
      <c r="B80" s="190">
        <f t="shared" si="2"/>
        <v>148</v>
      </c>
      <c r="C80" s="190">
        <f t="shared" si="3"/>
        <v>235</v>
      </c>
      <c r="D80" s="485"/>
      <c r="E80" s="491"/>
    </row>
    <row r="81" spans="1:5" x14ac:dyDescent="0.25">
      <c r="A81" s="43" t="str">
        <f t="shared" si="1"/>
        <v>01/01/2022-31/01/2022</v>
      </c>
      <c r="B81" s="190">
        <f t="shared" si="2"/>
        <v>147</v>
      </c>
      <c r="C81" s="190">
        <f t="shared" si="3"/>
        <v>236</v>
      </c>
      <c r="D81" s="485"/>
      <c r="E81" s="491"/>
    </row>
    <row r="82" spans="1:5" x14ac:dyDescent="0.25">
      <c r="A82" s="43" t="str">
        <f t="shared" si="1"/>
        <v>01/02/2022-28/02/2022</v>
      </c>
      <c r="B82" s="190">
        <f t="shared" si="2"/>
        <v>132</v>
      </c>
      <c r="C82" s="190">
        <f t="shared" si="3"/>
        <v>214</v>
      </c>
      <c r="D82" s="485"/>
      <c r="E82" s="491"/>
    </row>
    <row r="83" spans="1:5" x14ac:dyDescent="0.25">
      <c r="A83" s="43" t="str">
        <f t="shared" si="1"/>
        <v>01/03/2022-31/03/2022</v>
      </c>
      <c r="B83" s="190">
        <f t="shared" si="2"/>
        <v>148</v>
      </c>
      <c r="C83" s="190">
        <f t="shared" si="3"/>
        <v>235</v>
      </c>
      <c r="D83" s="485"/>
      <c r="E83" s="491"/>
    </row>
    <row r="84" spans="1:5" s="348" customFormat="1" x14ac:dyDescent="0.25">
      <c r="A84" s="43" t="s">
        <v>342</v>
      </c>
      <c r="B84" s="190">
        <f t="shared" si="2"/>
        <v>145</v>
      </c>
      <c r="C84" s="190">
        <f t="shared" si="3"/>
        <v>228</v>
      </c>
      <c r="D84" s="485"/>
      <c r="E84" s="491"/>
    </row>
    <row r="85" spans="1:5" s="348" customFormat="1" x14ac:dyDescent="0.25">
      <c r="A85" s="43" t="s">
        <v>343</v>
      </c>
      <c r="B85" s="190">
        <f t="shared" si="2"/>
        <v>148</v>
      </c>
      <c r="C85" s="190">
        <f t="shared" si="3"/>
        <v>235</v>
      </c>
      <c r="D85" s="485"/>
      <c r="E85" s="491"/>
    </row>
    <row r="86" spans="1:5" s="348" customFormat="1" x14ac:dyDescent="0.25">
      <c r="A86" s="43" t="s">
        <v>344</v>
      </c>
      <c r="B86" s="190">
        <f t="shared" si="2"/>
        <v>143</v>
      </c>
      <c r="C86" s="190">
        <f t="shared" si="3"/>
        <v>228</v>
      </c>
      <c r="D86" s="485"/>
      <c r="E86" s="491"/>
    </row>
    <row r="87" spans="1:5" x14ac:dyDescent="0.25">
      <c r="A87" s="50" t="str">
        <f>'Project emission'!A36</f>
        <v>01/01/2021-31/12/2021</v>
      </c>
      <c r="B87" s="581">
        <f>SUM(B69:C80)</f>
        <v>4519</v>
      </c>
      <c r="C87" s="582"/>
      <c r="D87" s="485"/>
      <c r="E87" s="491"/>
    </row>
    <row r="88" spans="1:5" x14ac:dyDescent="0.25">
      <c r="A88" s="50" t="str">
        <f>'Project emission'!A37</f>
        <v>01/01/2022-30/06/2022</v>
      </c>
      <c r="B88" s="581">
        <f>SUM(B81:C86)</f>
        <v>2239</v>
      </c>
      <c r="C88" s="582"/>
      <c r="D88" s="485"/>
      <c r="E88" s="491"/>
    </row>
    <row r="89" spans="1:5" x14ac:dyDescent="0.25">
      <c r="A89" s="196" t="s">
        <v>335</v>
      </c>
      <c r="B89" s="583">
        <f>B87+B88</f>
        <v>6758</v>
      </c>
      <c r="C89" s="584"/>
      <c r="D89" s="486"/>
      <c r="E89" s="492"/>
    </row>
    <row r="90" spans="1:5" ht="15.6" x14ac:dyDescent="0.25">
      <c r="A90" s="196" t="s">
        <v>250</v>
      </c>
      <c r="B90" s="592"/>
      <c r="C90" s="593"/>
      <c r="D90" s="484" t="s">
        <v>251</v>
      </c>
      <c r="E90" s="490" t="s">
        <v>29</v>
      </c>
    </row>
    <row r="91" spans="1:5" x14ac:dyDescent="0.25">
      <c r="A91" s="43" t="str">
        <f t="shared" ref="A91:A105" si="4">A69</f>
        <v>01/01/2021-31/01/2021</v>
      </c>
      <c r="B91" s="198">
        <f>ROUNDDOWN($B$63*$B$65*(1-$B$61)*B24*B43,0)</f>
        <v>33</v>
      </c>
      <c r="C91" s="198">
        <f>ROUNDDOWN($C$63*$C$65*(1-$C$61)*C24*C43,0)</f>
        <v>52</v>
      </c>
      <c r="D91" s="485"/>
      <c r="E91" s="491"/>
    </row>
    <row r="92" spans="1:5" x14ac:dyDescent="0.25">
      <c r="A92" s="43" t="str">
        <f t="shared" si="4"/>
        <v>01/02/2021-28/02/2021</v>
      </c>
      <c r="B92" s="198">
        <f t="shared" ref="B92:B108" si="5">ROUNDDOWN($B$63*$B$65*(1-$B$61)*B25*B44,0)</f>
        <v>30</v>
      </c>
      <c r="C92" s="198">
        <f t="shared" ref="C92:C108" si="6">ROUNDDOWN($C$63*$C$65*(1-$C$61)*C25*C44,0)</f>
        <v>48</v>
      </c>
      <c r="D92" s="485"/>
      <c r="E92" s="491"/>
    </row>
    <row r="93" spans="1:5" x14ac:dyDescent="0.25">
      <c r="A93" s="43" t="str">
        <f t="shared" si="4"/>
        <v>01/03/2021-31/03/3021</v>
      </c>
      <c r="B93" s="198">
        <f t="shared" si="5"/>
        <v>33</v>
      </c>
      <c r="C93" s="198">
        <f t="shared" si="6"/>
        <v>52</v>
      </c>
      <c r="D93" s="485"/>
      <c r="E93" s="491"/>
    </row>
    <row r="94" spans="1:5" x14ac:dyDescent="0.25">
      <c r="A94" s="43" t="str">
        <f t="shared" si="4"/>
        <v>01/04/2021-30/04/2021</v>
      </c>
      <c r="B94" s="198">
        <f t="shared" si="5"/>
        <v>32</v>
      </c>
      <c r="C94" s="198">
        <f t="shared" si="6"/>
        <v>51</v>
      </c>
      <c r="D94" s="485"/>
      <c r="E94" s="491"/>
    </row>
    <row r="95" spans="1:5" x14ac:dyDescent="0.25">
      <c r="A95" s="43" t="str">
        <f t="shared" si="4"/>
        <v>01/05/2021-31/05/2021</v>
      </c>
      <c r="B95" s="198">
        <f t="shared" si="5"/>
        <v>33</v>
      </c>
      <c r="C95" s="198">
        <f t="shared" si="6"/>
        <v>52</v>
      </c>
      <c r="D95" s="485"/>
      <c r="E95" s="491"/>
    </row>
    <row r="96" spans="1:5" x14ac:dyDescent="0.25">
      <c r="A96" s="43" t="str">
        <f t="shared" si="4"/>
        <v>01/06/2021-30/06/2021</v>
      </c>
      <c r="B96" s="198">
        <f t="shared" si="5"/>
        <v>32</v>
      </c>
      <c r="C96" s="198">
        <f t="shared" si="6"/>
        <v>51</v>
      </c>
      <c r="D96" s="485"/>
      <c r="E96" s="491"/>
    </row>
    <row r="97" spans="1:5" x14ac:dyDescent="0.25">
      <c r="A97" s="43" t="str">
        <f t="shared" si="4"/>
        <v>01/07/2021-31/07/2021</v>
      </c>
      <c r="B97" s="198">
        <f t="shared" si="5"/>
        <v>33</v>
      </c>
      <c r="C97" s="198">
        <f t="shared" si="6"/>
        <v>53</v>
      </c>
      <c r="D97" s="485"/>
      <c r="E97" s="491"/>
    </row>
    <row r="98" spans="1:5" x14ac:dyDescent="0.25">
      <c r="A98" s="43" t="str">
        <f t="shared" si="4"/>
        <v>01/08/2021-31/08/2021</v>
      </c>
      <c r="B98" s="198">
        <f t="shared" si="5"/>
        <v>33</v>
      </c>
      <c r="C98" s="198">
        <f t="shared" si="6"/>
        <v>52</v>
      </c>
      <c r="D98" s="485"/>
      <c r="E98" s="491"/>
    </row>
    <row r="99" spans="1:5" x14ac:dyDescent="0.25">
      <c r="A99" s="43" t="str">
        <f t="shared" si="4"/>
        <v>01/09/2021-30/09/2021</v>
      </c>
      <c r="B99" s="198">
        <f t="shared" si="5"/>
        <v>32</v>
      </c>
      <c r="C99" s="198">
        <f t="shared" si="6"/>
        <v>51</v>
      </c>
      <c r="D99" s="485"/>
      <c r="E99" s="491"/>
    </row>
    <row r="100" spans="1:5" x14ac:dyDescent="0.25">
      <c r="A100" s="43" t="str">
        <f t="shared" si="4"/>
        <v>01/10/2021-31/10/2021</v>
      </c>
      <c r="B100" s="198">
        <f t="shared" si="5"/>
        <v>33</v>
      </c>
      <c r="C100" s="198">
        <f t="shared" si="6"/>
        <v>52</v>
      </c>
      <c r="D100" s="485"/>
      <c r="E100" s="491"/>
    </row>
    <row r="101" spans="1:5" x14ac:dyDescent="0.25">
      <c r="A101" s="43" t="str">
        <f t="shared" si="4"/>
        <v>01/11/2021-30/11/2021</v>
      </c>
      <c r="B101" s="198">
        <f t="shared" si="5"/>
        <v>32</v>
      </c>
      <c r="C101" s="198">
        <f t="shared" si="6"/>
        <v>51</v>
      </c>
      <c r="D101" s="485"/>
      <c r="E101" s="491"/>
    </row>
    <row r="102" spans="1:5" x14ac:dyDescent="0.25">
      <c r="A102" s="43" t="str">
        <f t="shared" si="4"/>
        <v>01/12/2021-31/12/2021</v>
      </c>
      <c r="B102" s="198">
        <f t="shared" si="5"/>
        <v>33</v>
      </c>
      <c r="C102" s="198">
        <f t="shared" si="6"/>
        <v>52</v>
      </c>
      <c r="D102" s="485"/>
      <c r="E102" s="491"/>
    </row>
    <row r="103" spans="1:5" x14ac:dyDescent="0.25">
      <c r="A103" s="43" t="str">
        <f t="shared" si="4"/>
        <v>01/01/2022-31/01/2022</v>
      </c>
      <c r="B103" s="198">
        <f t="shared" si="5"/>
        <v>33</v>
      </c>
      <c r="C103" s="198">
        <f t="shared" si="6"/>
        <v>53</v>
      </c>
      <c r="D103" s="485"/>
      <c r="E103" s="491"/>
    </row>
    <row r="104" spans="1:5" x14ac:dyDescent="0.25">
      <c r="A104" s="43" t="str">
        <f t="shared" si="4"/>
        <v>01/02/2022-28/02/2022</v>
      </c>
      <c r="B104" s="198">
        <f t="shared" si="5"/>
        <v>29</v>
      </c>
      <c r="C104" s="198">
        <f t="shared" si="6"/>
        <v>47</v>
      </c>
      <c r="D104" s="485"/>
      <c r="E104" s="491"/>
    </row>
    <row r="105" spans="1:5" x14ac:dyDescent="0.25">
      <c r="A105" s="43" t="str">
        <f t="shared" si="4"/>
        <v>01/03/2022-31/03/2022</v>
      </c>
      <c r="B105" s="198">
        <f t="shared" si="5"/>
        <v>33</v>
      </c>
      <c r="C105" s="198">
        <f t="shared" si="6"/>
        <v>52</v>
      </c>
      <c r="D105" s="485"/>
      <c r="E105" s="491"/>
    </row>
    <row r="106" spans="1:5" s="348" customFormat="1" x14ac:dyDescent="0.25">
      <c r="A106" s="43" t="s">
        <v>342</v>
      </c>
      <c r="B106" s="198">
        <f t="shared" si="5"/>
        <v>32</v>
      </c>
      <c r="C106" s="198">
        <f t="shared" si="6"/>
        <v>51</v>
      </c>
      <c r="D106" s="485"/>
      <c r="E106" s="491"/>
    </row>
    <row r="107" spans="1:5" s="348" customFormat="1" x14ac:dyDescent="0.25">
      <c r="A107" s="43" t="s">
        <v>343</v>
      </c>
      <c r="B107" s="198">
        <f t="shared" si="5"/>
        <v>33</v>
      </c>
      <c r="C107" s="198">
        <f t="shared" si="6"/>
        <v>52</v>
      </c>
      <c r="D107" s="485"/>
      <c r="E107" s="491"/>
    </row>
    <row r="108" spans="1:5" s="348" customFormat="1" x14ac:dyDescent="0.25">
      <c r="A108" s="43" t="s">
        <v>344</v>
      </c>
      <c r="B108" s="198">
        <f t="shared" si="5"/>
        <v>32</v>
      </c>
      <c r="C108" s="198">
        <f t="shared" si="6"/>
        <v>51</v>
      </c>
      <c r="D108" s="485"/>
      <c r="E108" s="491"/>
    </row>
    <row r="109" spans="1:5" x14ac:dyDescent="0.25">
      <c r="A109" s="50" t="str">
        <f>A87</f>
        <v>01/01/2021-31/12/2021</v>
      </c>
      <c r="B109" s="587">
        <f>SUM(B91:C102)</f>
        <v>1006</v>
      </c>
      <c r="C109" s="588"/>
      <c r="D109" s="485"/>
      <c r="E109" s="491"/>
    </row>
    <row r="110" spans="1:5" x14ac:dyDescent="0.25">
      <c r="A110" s="50" t="str">
        <f>A88</f>
        <v>01/01/2022-30/06/2022</v>
      </c>
      <c r="B110" s="587">
        <f>SUM(B103:C108)</f>
        <v>498</v>
      </c>
      <c r="C110" s="588"/>
      <c r="D110" s="485"/>
      <c r="E110" s="491"/>
    </row>
    <row r="111" spans="1:5" x14ac:dyDescent="0.25">
      <c r="A111" s="196" t="s">
        <v>335</v>
      </c>
      <c r="B111" s="583">
        <f>B109+B110</f>
        <v>1504</v>
      </c>
      <c r="C111" s="584"/>
      <c r="D111" s="486"/>
      <c r="E111" s="492"/>
    </row>
    <row r="112" spans="1:5" ht="15.6" x14ac:dyDescent="0.25">
      <c r="A112" s="196" t="s">
        <v>252</v>
      </c>
      <c r="B112" s="595"/>
      <c r="C112" s="596"/>
      <c r="D112" s="484" t="s">
        <v>251</v>
      </c>
      <c r="E112" s="490" t="s">
        <v>29</v>
      </c>
    </row>
    <row r="113" spans="1:5" x14ac:dyDescent="0.25">
      <c r="A113" s="43" t="str">
        <f t="shared" ref="A113:A127" si="7">A91</f>
        <v>01/01/2021-31/01/2021</v>
      </c>
      <c r="B113" s="197">
        <f>ROUNDDOWN($B$64*(1-$B$61)*$B$66*B24*B43,0)</f>
        <v>29</v>
      </c>
      <c r="C113" s="197">
        <f>ROUNDDOWN($C$64*(1-$C$61)*$C$66*C24*C43,0)</f>
        <v>46</v>
      </c>
      <c r="D113" s="485"/>
      <c r="E113" s="491"/>
    </row>
    <row r="114" spans="1:5" x14ac:dyDescent="0.25">
      <c r="A114" s="43" t="str">
        <f t="shared" si="7"/>
        <v>01/02/2021-28/02/2021</v>
      </c>
      <c r="B114" s="197">
        <f t="shared" ref="B114:B130" si="8">ROUNDDOWN($B$64*(1-$B$61)*$B$66*B25*B44,0)</f>
        <v>26</v>
      </c>
      <c r="C114" s="197">
        <f t="shared" ref="C114:C130" si="9">ROUNDDOWN($C$64*(1-$C$61)*$C$66*C25*C44,0)</f>
        <v>42</v>
      </c>
      <c r="D114" s="485"/>
      <c r="E114" s="491"/>
    </row>
    <row r="115" spans="1:5" x14ac:dyDescent="0.25">
      <c r="A115" s="43" t="str">
        <f t="shared" si="7"/>
        <v>01/03/2021-31/03/3021</v>
      </c>
      <c r="B115" s="197">
        <f t="shared" si="8"/>
        <v>29</v>
      </c>
      <c r="C115" s="197">
        <f t="shared" si="9"/>
        <v>46</v>
      </c>
      <c r="D115" s="485"/>
      <c r="E115" s="491"/>
    </row>
    <row r="116" spans="1:5" x14ac:dyDescent="0.25">
      <c r="A116" s="43" t="str">
        <f t="shared" si="7"/>
        <v>01/04/2021-30/04/2021</v>
      </c>
      <c r="B116" s="197">
        <f t="shared" si="8"/>
        <v>28</v>
      </c>
      <c r="C116" s="197">
        <f t="shared" si="9"/>
        <v>45</v>
      </c>
      <c r="D116" s="485"/>
      <c r="E116" s="491"/>
    </row>
    <row r="117" spans="1:5" x14ac:dyDescent="0.25">
      <c r="A117" s="43" t="str">
        <f t="shared" si="7"/>
        <v>01/05/2021-31/05/2021</v>
      </c>
      <c r="B117" s="197">
        <f t="shared" si="8"/>
        <v>29</v>
      </c>
      <c r="C117" s="197">
        <f t="shared" si="9"/>
        <v>47</v>
      </c>
      <c r="D117" s="485"/>
      <c r="E117" s="491"/>
    </row>
    <row r="118" spans="1:5" x14ac:dyDescent="0.25">
      <c r="A118" s="43" t="str">
        <f t="shared" si="7"/>
        <v>01/06/2021-30/06/2021</v>
      </c>
      <c r="B118" s="197">
        <f t="shared" si="8"/>
        <v>29</v>
      </c>
      <c r="C118" s="197">
        <f t="shared" si="9"/>
        <v>45</v>
      </c>
      <c r="D118" s="485"/>
      <c r="E118" s="491"/>
    </row>
    <row r="119" spans="1:5" x14ac:dyDescent="0.25">
      <c r="A119" s="43" t="str">
        <f t="shared" si="7"/>
        <v>01/07/2021-31/07/2021</v>
      </c>
      <c r="B119" s="197">
        <f t="shared" si="8"/>
        <v>30</v>
      </c>
      <c r="C119" s="197">
        <f t="shared" si="9"/>
        <v>47</v>
      </c>
      <c r="D119" s="485"/>
      <c r="E119" s="491"/>
    </row>
    <row r="120" spans="1:5" x14ac:dyDescent="0.25">
      <c r="A120" s="43" t="str">
        <f t="shared" si="7"/>
        <v>01/08/2021-31/08/2021</v>
      </c>
      <c r="B120" s="197">
        <f t="shared" si="8"/>
        <v>29</v>
      </c>
      <c r="C120" s="197">
        <f t="shared" si="9"/>
        <v>46</v>
      </c>
      <c r="D120" s="485"/>
      <c r="E120" s="491"/>
    </row>
    <row r="121" spans="1:5" x14ac:dyDescent="0.25">
      <c r="A121" s="43" t="str">
        <f t="shared" si="7"/>
        <v>01/09/2021-30/09/2021</v>
      </c>
      <c r="B121" s="197">
        <f t="shared" si="8"/>
        <v>28</v>
      </c>
      <c r="C121" s="197">
        <f t="shared" si="9"/>
        <v>45</v>
      </c>
      <c r="D121" s="485"/>
      <c r="E121" s="491"/>
    </row>
    <row r="122" spans="1:5" x14ac:dyDescent="0.25">
      <c r="A122" s="43" t="str">
        <f t="shared" si="7"/>
        <v>01/10/2021-31/10/2021</v>
      </c>
      <c r="B122" s="197">
        <f t="shared" si="8"/>
        <v>29</v>
      </c>
      <c r="C122" s="197">
        <f t="shared" si="9"/>
        <v>46</v>
      </c>
      <c r="D122" s="485"/>
      <c r="E122" s="491"/>
    </row>
    <row r="123" spans="1:5" x14ac:dyDescent="0.25">
      <c r="A123" s="43" t="str">
        <f t="shared" si="7"/>
        <v>01/11/2021-30/11/2021</v>
      </c>
      <c r="B123" s="197">
        <f t="shared" si="8"/>
        <v>28</v>
      </c>
      <c r="C123" s="197">
        <f t="shared" si="9"/>
        <v>45</v>
      </c>
      <c r="D123" s="485"/>
      <c r="E123" s="491"/>
    </row>
    <row r="124" spans="1:5" x14ac:dyDescent="0.25">
      <c r="A124" s="43" t="str">
        <f t="shared" si="7"/>
        <v>01/12/2021-31/12/2021</v>
      </c>
      <c r="B124" s="197">
        <f t="shared" si="8"/>
        <v>29</v>
      </c>
      <c r="C124" s="197">
        <f t="shared" si="9"/>
        <v>46</v>
      </c>
      <c r="D124" s="485"/>
      <c r="E124" s="491"/>
    </row>
    <row r="125" spans="1:5" x14ac:dyDescent="0.25">
      <c r="A125" s="43" t="str">
        <f t="shared" si="7"/>
        <v>01/01/2022-31/01/2022</v>
      </c>
      <c r="B125" s="197">
        <f t="shared" si="8"/>
        <v>29</v>
      </c>
      <c r="C125" s="197">
        <f t="shared" si="9"/>
        <v>47</v>
      </c>
      <c r="D125" s="485"/>
      <c r="E125" s="491"/>
    </row>
    <row r="126" spans="1:5" x14ac:dyDescent="0.25">
      <c r="A126" s="43" t="str">
        <f t="shared" si="7"/>
        <v>01/02/2022-28/02/2022</v>
      </c>
      <c r="B126" s="197">
        <f t="shared" si="8"/>
        <v>26</v>
      </c>
      <c r="C126" s="197">
        <f t="shared" si="9"/>
        <v>42</v>
      </c>
      <c r="D126" s="485"/>
      <c r="E126" s="491"/>
    </row>
    <row r="127" spans="1:5" x14ac:dyDescent="0.25">
      <c r="A127" s="43" t="str">
        <f t="shared" si="7"/>
        <v>01/03/2022-31/03/2022</v>
      </c>
      <c r="B127" s="197">
        <f t="shared" si="8"/>
        <v>29</v>
      </c>
      <c r="C127" s="197">
        <f t="shared" si="9"/>
        <v>46</v>
      </c>
      <c r="D127" s="485"/>
      <c r="E127" s="491"/>
    </row>
    <row r="128" spans="1:5" s="348" customFormat="1" x14ac:dyDescent="0.25">
      <c r="A128" s="43" t="s">
        <v>342</v>
      </c>
      <c r="B128" s="197">
        <f t="shared" si="8"/>
        <v>29</v>
      </c>
      <c r="C128" s="197">
        <f t="shared" si="9"/>
        <v>45</v>
      </c>
      <c r="D128" s="485"/>
      <c r="E128" s="491"/>
    </row>
    <row r="129" spans="1:5" s="348" customFormat="1" x14ac:dyDescent="0.25">
      <c r="A129" s="43" t="s">
        <v>343</v>
      </c>
      <c r="B129" s="197">
        <f t="shared" si="8"/>
        <v>29</v>
      </c>
      <c r="C129" s="197">
        <f t="shared" si="9"/>
        <v>46</v>
      </c>
      <c r="D129" s="485"/>
      <c r="E129" s="491"/>
    </row>
    <row r="130" spans="1:5" s="348" customFormat="1" x14ac:dyDescent="0.25">
      <c r="A130" s="43" t="s">
        <v>344</v>
      </c>
      <c r="B130" s="197">
        <f t="shared" si="8"/>
        <v>28</v>
      </c>
      <c r="C130" s="197">
        <f t="shared" si="9"/>
        <v>45</v>
      </c>
      <c r="D130" s="485"/>
      <c r="E130" s="491"/>
    </row>
    <row r="131" spans="1:5" x14ac:dyDescent="0.25">
      <c r="A131" s="50" t="str">
        <f>A109</f>
        <v>01/01/2021-31/12/2021</v>
      </c>
      <c r="B131" s="587">
        <f>SUM(B113:C124)</f>
        <v>889</v>
      </c>
      <c r="C131" s="588"/>
      <c r="D131" s="485"/>
      <c r="E131" s="491"/>
    </row>
    <row r="132" spans="1:5" x14ac:dyDescent="0.25">
      <c r="A132" s="50" t="str">
        <f>A110</f>
        <v>01/01/2022-30/06/2022</v>
      </c>
      <c r="B132" s="587">
        <f>SUM(B125:C130)</f>
        <v>441</v>
      </c>
      <c r="C132" s="588"/>
      <c r="D132" s="485"/>
      <c r="E132" s="491"/>
    </row>
    <row r="133" spans="1:5" x14ac:dyDescent="0.25">
      <c r="A133" s="43" t="s">
        <v>335</v>
      </c>
      <c r="B133" s="583">
        <f>B131+B132</f>
        <v>1330</v>
      </c>
      <c r="C133" s="584"/>
      <c r="D133" s="486"/>
      <c r="E133" s="492"/>
    </row>
    <row r="134" spans="1:5" ht="15.45" customHeight="1" x14ac:dyDescent="0.25">
      <c r="A134" s="50" t="str">
        <f>A131</f>
        <v>01/01/2021-31/12/2021</v>
      </c>
      <c r="B134" s="583">
        <f>ROUNDDOWN(B67*44/28*1/1000*(B87+B109+B131),0)</f>
        <v>2670</v>
      </c>
      <c r="C134" s="584"/>
      <c r="D134" s="485" t="s">
        <v>253</v>
      </c>
      <c r="E134" s="590" t="s">
        <v>29</v>
      </c>
    </row>
    <row r="135" spans="1:5" x14ac:dyDescent="0.25">
      <c r="A135" s="50" t="str">
        <f>A132</f>
        <v>01/01/2022-30/06/2022</v>
      </c>
      <c r="B135" s="583">
        <f>ROUNDDOWN(B67*44/28*1/1000*(B88+B110+B132),0)</f>
        <v>1323</v>
      </c>
      <c r="C135" s="584"/>
      <c r="D135" s="485"/>
      <c r="E135" s="590"/>
    </row>
    <row r="136" spans="1:5" ht="16.2" thickBot="1" x14ac:dyDescent="0.3">
      <c r="A136" s="199" t="s">
        <v>254</v>
      </c>
      <c r="B136" s="585">
        <f>B134+B135</f>
        <v>3993</v>
      </c>
      <c r="C136" s="586"/>
      <c r="D136" s="564"/>
      <c r="E136" s="594"/>
    </row>
    <row r="137" spans="1:5" x14ac:dyDescent="0.25">
      <c r="A137" s="200"/>
      <c r="B137" s="201"/>
      <c r="C137" s="201"/>
    </row>
    <row r="138" spans="1:5" x14ac:dyDescent="0.25">
      <c r="A138" s="200"/>
      <c r="B138" s="201"/>
      <c r="C138" s="201"/>
    </row>
    <row r="139" spans="1:5" x14ac:dyDescent="0.25">
      <c r="A139" s="200"/>
      <c r="B139" s="201"/>
      <c r="C139" s="201"/>
      <c r="D139" s="55"/>
    </row>
    <row r="140" spans="1:5" x14ac:dyDescent="0.25">
      <c r="A140" s="200"/>
      <c r="B140" s="201"/>
      <c r="C140" s="201"/>
      <c r="D140" s="55"/>
    </row>
    <row r="141" spans="1:5" x14ac:dyDescent="0.25">
      <c r="A141" s="200"/>
      <c r="B141" s="201"/>
      <c r="C141" s="201"/>
      <c r="D141" s="55"/>
    </row>
    <row r="142" spans="1:5" x14ac:dyDescent="0.25">
      <c r="A142" s="200"/>
      <c r="B142" s="201"/>
      <c r="C142" s="201"/>
      <c r="D142" s="55"/>
    </row>
    <row r="143" spans="1:5" x14ac:dyDescent="0.25">
      <c r="A143" s="200"/>
      <c r="B143" s="201"/>
      <c r="C143" s="201"/>
      <c r="D143" s="55"/>
    </row>
    <row r="144" spans="1:5" x14ac:dyDescent="0.25">
      <c r="A144" s="200"/>
      <c r="B144" s="201"/>
      <c r="C144" s="201"/>
      <c r="D144" s="55"/>
    </row>
    <row r="145" spans="1:6" x14ac:dyDescent="0.25">
      <c r="A145" s="200"/>
      <c r="B145" s="201"/>
      <c r="C145" s="201"/>
      <c r="D145" s="55"/>
    </row>
    <row r="146" spans="1:6" x14ac:dyDescent="0.25">
      <c r="A146" s="200"/>
      <c r="B146" s="201"/>
      <c r="C146" s="201"/>
      <c r="D146" s="55"/>
    </row>
    <row r="147" spans="1:6" x14ac:dyDescent="0.25">
      <c r="A147" s="200"/>
      <c r="B147" s="201"/>
      <c r="C147" s="201"/>
      <c r="D147" s="55"/>
    </row>
    <row r="148" spans="1:6" x14ac:dyDescent="0.25">
      <c r="A148" s="200"/>
      <c r="B148" s="201"/>
      <c r="C148" s="201"/>
      <c r="D148" s="55"/>
    </row>
    <row r="149" spans="1:6" x14ac:dyDescent="0.25">
      <c r="A149" s="200"/>
      <c r="B149" s="201"/>
      <c r="C149" s="201"/>
      <c r="D149" s="55"/>
    </row>
    <row r="150" spans="1:6" x14ac:dyDescent="0.25">
      <c r="A150" s="200"/>
      <c r="B150" s="201"/>
      <c r="C150" s="201"/>
      <c r="D150" s="55"/>
    </row>
    <row r="151" spans="1:6" x14ac:dyDescent="0.25">
      <c r="A151" s="200"/>
      <c r="B151" s="201"/>
      <c r="C151" s="201"/>
      <c r="D151" s="55"/>
    </row>
    <row r="152" spans="1:6" ht="13.8" thickBot="1" x14ac:dyDescent="0.3">
      <c r="A152" s="200"/>
      <c r="B152" s="201"/>
      <c r="C152" s="201"/>
    </row>
    <row r="153" spans="1:6" x14ac:dyDescent="0.25">
      <c r="A153" s="59" t="s">
        <v>3</v>
      </c>
      <c r="B153" s="60" t="s">
        <v>18</v>
      </c>
      <c r="C153" s="60"/>
      <c r="D153" s="60" t="s">
        <v>2</v>
      </c>
      <c r="E153" s="186" t="s">
        <v>4</v>
      </c>
    </row>
    <row r="154" spans="1:6" x14ac:dyDescent="0.25">
      <c r="A154" s="188" t="s">
        <v>255</v>
      </c>
      <c r="B154" s="191">
        <v>0.25</v>
      </c>
      <c r="C154" s="191">
        <f>B154</f>
        <v>0.25</v>
      </c>
      <c r="D154" s="73" t="s">
        <v>0</v>
      </c>
      <c r="E154" s="194" t="s">
        <v>131</v>
      </c>
      <c r="F154" s="202"/>
    </row>
    <row r="155" spans="1:6" ht="15.6" x14ac:dyDescent="0.35">
      <c r="A155" s="188" t="s">
        <v>13</v>
      </c>
      <c r="B155" s="193">
        <v>0.01</v>
      </c>
      <c r="C155" s="193">
        <v>0.01</v>
      </c>
      <c r="D155" s="63" t="s">
        <v>256</v>
      </c>
      <c r="E155" s="194" t="s">
        <v>46</v>
      </c>
      <c r="F155" s="202"/>
    </row>
    <row r="156" spans="1:6" ht="15.6" x14ac:dyDescent="0.35">
      <c r="A156" s="188" t="s">
        <v>14</v>
      </c>
      <c r="B156" s="193">
        <v>7.4999999999999997E-3</v>
      </c>
      <c r="C156" s="193">
        <v>7.4999999999999997E-3</v>
      </c>
      <c r="D156" s="63" t="s">
        <v>256</v>
      </c>
      <c r="E156" s="194" t="s">
        <v>31</v>
      </c>
      <c r="F156" s="202"/>
    </row>
    <row r="157" spans="1:6" ht="15.6" x14ac:dyDescent="0.35">
      <c r="A157" s="188" t="s">
        <v>12</v>
      </c>
      <c r="B157" s="193">
        <v>0.01</v>
      </c>
      <c r="C157" s="193">
        <v>0.01</v>
      </c>
      <c r="D157" s="63" t="s">
        <v>244</v>
      </c>
      <c r="E157" s="194" t="s">
        <v>31</v>
      </c>
      <c r="F157" s="202"/>
    </row>
    <row r="158" spans="1:6" ht="15.6" x14ac:dyDescent="0.25">
      <c r="A158" s="188" t="s">
        <v>245</v>
      </c>
      <c r="B158" s="193">
        <v>0.3</v>
      </c>
      <c r="C158" s="193">
        <v>0.3</v>
      </c>
      <c r="D158" s="63" t="s">
        <v>96</v>
      </c>
      <c r="E158" s="194" t="s">
        <v>31</v>
      </c>
      <c r="F158" s="202"/>
    </row>
    <row r="159" spans="1:6" ht="52.8" x14ac:dyDescent="0.25">
      <c r="A159" s="188" t="s">
        <v>246</v>
      </c>
      <c r="B159" s="193">
        <v>0.2</v>
      </c>
      <c r="C159" s="193">
        <v>0.2</v>
      </c>
      <c r="D159" s="73" t="s">
        <v>96</v>
      </c>
      <c r="E159" s="194" t="s">
        <v>61</v>
      </c>
      <c r="F159" s="202"/>
    </row>
    <row r="160" spans="1:6" ht="15.6" x14ac:dyDescent="0.25">
      <c r="A160" s="196" t="s">
        <v>257</v>
      </c>
      <c r="B160" s="73"/>
      <c r="C160" s="73"/>
      <c r="D160" s="484" t="s">
        <v>251</v>
      </c>
      <c r="E160" s="491" t="s">
        <v>113</v>
      </c>
      <c r="F160" s="202"/>
    </row>
    <row r="161" spans="1:6" x14ac:dyDescent="0.25">
      <c r="A161" s="43" t="str">
        <f t="shared" ref="A161:A175" si="10">A113</f>
        <v>01/01/2021-31/01/2021</v>
      </c>
      <c r="B161" s="198">
        <f>ROUNDUP($B$155*(1-$B$154)*B24*B43,0)</f>
        <v>555</v>
      </c>
      <c r="C161" s="198">
        <f>ROUNDUP($C$155*(1-$C$154)*C43*C24,0)</f>
        <v>867</v>
      </c>
      <c r="D161" s="485"/>
      <c r="E161" s="491"/>
      <c r="F161" s="202"/>
    </row>
    <row r="162" spans="1:6" x14ac:dyDescent="0.25">
      <c r="A162" s="43" t="str">
        <f t="shared" si="10"/>
        <v>01/02/2021-28/02/2021</v>
      </c>
      <c r="B162" s="198">
        <f t="shared" ref="B162:B178" si="11">ROUNDUP($B$155*(1-$B$154)*B25*B44,0)</f>
        <v>507</v>
      </c>
      <c r="C162" s="198">
        <f t="shared" ref="C162:C178" si="12">ROUNDUP($C$155*(1-$C$154)*C44*C25,0)</f>
        <v>801</v>
      </c>
      <c r="D162" s="485"/>
      <c r="E162" s="491"/>
      <c r="F162" s="202"/>
    </row>
    <row r="163" spans="1:6" x14ac:dyDescent="0.25">
      <c r="A163" s="43" t="str">
        <f t="shared" si="10"/>
        <v>01/03/2021-31/03/3021</v>
      </c>
      <c r="B163" s="198">
        <f t="shared" si="11"/>
        <v>561</v>
      </c>
      <c r="C163" s="198">
        <f t="shared" si="12"/>
        <v>877</v>
      </c>
      <c r="D163" s="485"/>
      <c r="E163" s="491"/>
      <c r="F163" s="202"/>
    </row>
    <row r="164" spans="1:6" x14ac:dyDescent="0.25">
      <c r="A164" s="43" t="str">
        <f t="shared" si="10"/>
        <v>01/04/2021-30/04/2021</v>
      </c>
      <c r="B164" s="198">
        <f t="shared" si="11"/>
        <v>539</v>
      </c>
      <c r="C164" s="198">
        <f t="shared" si="12"/>
        <v>852</v>
      </c>
      <c r="D164" s="485"/>
      <c r="E164" s="491"/>
      <c r="F164" s="202"/>
    </row>
    <row r="165" spans="1:6" x14ac:dyDescent="0.25">
      <c r="A165" s="43" t="str">
        <f t="shared" si="10"/>
        <v>01/05/2021-31/05/2021</v>
      </c>
      <c r="B165" s="198">
        <f t="shared" si="11"/>
        <v>561</v>
      </c>
      <c r="C165" s="198">
        <f t="shared" si="12"/>
        <v>882</v>
      </c>
      <c r="D165" s="485"/>
      <c r="E165" s="491"/>
      <c r="F165" s="202"/>
    </row>
    <row r="166" spans="1:6" x14ac:dyDescent="0.25">
      <c r="A166" s="43" t="str">
        <f t="shared" si="10"/>
        <v>01/06/2021-30/06/2021</v>
      </c>
      <c r="B166" s="198">
        <f t="shared" si="11"/>
        <v>546</v>
      </c>
      <c r="C166" s="198">
        <f t="shared" si="12"/>
        <v>851</v>
      </c>
      <c r="D166" s="485"/>
      <c r="E166" s="491"/>
      <c r="F166" s="202"/>
    </row>
    <row r="167" spans="1:6" x14ac:dyDescent="0.25">
      <c r="A167" s="43" t="str">
        <f t="shared" si="10"/>
        <v>01/07/2021-31/07/2021</v>
      </c>
      <c r="B167" s="198">
        <f t="shared" si="11"/>
        <v>563</v>
      </c>
      <c r="C167" s="198">
        <f t="shared" si="12"/>
        <v>884</v>
      </c>
      <c r="D167" s="485"/>
      <c r="E167" s="491"/>
      <c r="F167" s="202"/>
    </row>
    <row r="168" spans="1:6" x14ac:dyDescent="0.25">
      <c r="A168" s="43" t="str">
        <f t="shared" si="10"/>
        <v>01/08/2021-31/08/2021</v>
      </c>
      <c r="B168" s="198">
        <f t="shared" si="11"/>
        <v>559</v>
      </c>
      <c r="C168" s="198">
        <f t="shared" si="12"/>
        <v>881</v>
      </c>
      <c r="D168" s="485"/>
      <c r="E168" s="491"/>
      <c r="F168" s="202"/>
    </row>
    <row r="169" spans="1:6" x14ac:dyDescent="0.25">
      <c r="A169" s="43" t="str">
        <f t="shared" si="10"/>
        <v>01/09/2021-30/09/2021</v>
      </c>
      <c r="B169" s="198">
        <f t="shared" si="11"/>
        <v>544</v>
      </c>
      <c r="C169" s="198">
        <f t="shared" si="12"/>
        <v>860</v>
      </c>
      <c r="D169" s="485"/>
      <c r="E169" s="491"/>
      <c r="F169" s="202"/>
    </row>
    <row r="170" spans="1:6" x14ac:dyDescent="0.25">
      <c r="A170" s="43" t="str">
        <f t="shared" si="10"/>
        <v>01/10/2021-31/10/2021</v>
      </c>
      <c r="B170" s="198">
        <f t="shared" si="11"/>
        <v>560</v>
      </c>
      <c r="C170" s="198">
        <f t="shared" si="12"/>
        <v>879</v>
      </c>
      <c r="D170" s="485"/>
      <c r="E170" s="491"/>
      <c r="F170" s="202"/>
    </row>
    <row r="171" spans="1:6" x14ac:dyDescent="0.25">
      <c r="A171" s="43" t="str">
        <f t="shared" si="10"/>
        <v>01/11/2021-30/11/2021</v>
      </c>
      <c r="B171" s="198">
        <f t="shared" si="11"/>
        <v>540</v>
      </c>
      <c r="C171" s="198">
        <f t="shared" si="12"/>
        <v>854</v>
      </c>
      <c r="D171" s="485"/>
      <c r="E171" s="491"/>
      <c r="F171" s="202"/>
    </row>
    <row r="172" spans="1:6" x14ac:dyDescent="0.25">
      <c r="A172" s="43" t="str">
        <f t="shared" si="10"/>
        <v>01/12/2021-31/12/2021</v>
      </c>
      <c r="B172" s="198">
        <f t="shared" si="11"/>
        <v>558</v>
      </c>
      <c r="C172" s="198">
        <f t="shared" si="12"/>
        <v>881</v>
      </c>
      <c r="D172" s="485"/>
      <c r="E172" s="491"/>
      <c r="F172" s="202"/>
    </row>
    <row r="173" spans="1:6" x14ac:dyDescent="0.25">
      <c r="A173" s="43" t="str">
        <f t="shared" si="10"/>
        <v>01/01/2022-31/01/2022</v>
      </c>
      <c r="B173" s="198">
        <f t="shared" si="11"/>
        <v>552</v>
      </c>
      <c r="C173" s="198">
        <f t="shared" si="12"/>
        <v>884</v>
      </c>
      <c r="D173" s="485"/>
      <c r="E173" s="491"/>
      <c r="F173" s="202"/>
    </row>
    <row r="174" spans="1:6" x14ac:dyDescent="0.25">
      <c r="A174" s="43" t="str">
        <f t="shared" si="10"/>
        <v>01/02/2022-28/02/2022</v>
      </c>
      <c r="B174" s="198">
        <f t="shared" si="11"/>
        <v>498</v>
      </c>
      <c r="C174" s="198">
        <f t="shared" si="12"/>
        <v>799</v>
      </c>
      <c r="D174" s="485"/>
      <c r="E174" s="491"/>
      <c r="F174" s="202"/>
    </row>
    <row r="175" spans="1:6" x14ac:dyDescent="0.25">
      <c r="A175" s="43" t="str">
        <f t="shared" si="10"/>
        <v>01/03/2022-31/03/2022</v>
      </c>
      <c r="B175" s="198">
        <f t="shared" si="11"/>
        <v>559</v>
      </c>
      <c r="C175" s="198">
        <f t="shared" si="12"/>
        <v>879</v>
      </c>
      <c r="D175" s="485"/>
      <c r="E175" s="491"/>
      <c r="F175" s="202"/>
    </row>
    <row r="176" spans="1:6" s="348" customFormat="1" x14ac:dyDescent="0.25">
      <c r="A176" s="43" t="s">
        <v>342</v>
      </c>
      <c r="B176" s="198">
        <f t="shared" si="11"/>
        <v>545</v>
      </c>
      <c r="C176" s="198">
        <f t="shared" si="12"/>
        <v>854</v>
      </c>
      <c r="D176" s="485"/>
      <c r="E176" s="491"/>
      <c r="F176" s="202"/>
    </row>
    <row r="177" spans="1:6" s="348" customFormat="1" x14ac:dyDescent="0.25">
      <c r="A177" s="43" t="s">
        <v>343</v>
      </c>
      <c r="B177" s="198">
        <f t="shared" si="11"/>
        <v>558</v>
      </c>
      <c r="C177" s="198">
        <f t="shared" si="12"/>
        <v>881</v>
      </c>
      <c r="D177" s="485"/>
      <c r="E177" s="491"/>
      <c r="F177" s="202"/>
    </row>
    <row r="178" spans="1:6" s="348" customFormat="1" x14ac:dyDescent="0.25">
      <c r="A178" s="43" t="s">
        <v>344</v>
      </c>
      <c r="B178" s="198">
        <f t="shared" si="11"/>
        <v>539</v>
      </c>
      <c r="C178" s="198">
        <f t="shared" si="12"/>
        <v>853</v>
      </c>
      <c r="D178" s="485"/>
      <c r="E178" s="491"/>
      <c r="F178" s="202"/>
    </row>
    <row r="179" spans="1:6" x14ac:dyDescent="0.25">
      <c r="A179" s="50" t="str">
        <f>A131</f>
        <v>01/01/2021-31/12/2021</v>
      </c>
      <c r="B179" s="604">
        <f>SUM(B161:C172)</f>
        <v>16962</v>
      </c>
      <c r="C179" s="604"/>
      <c r="D179" s="485"/>
      <c r="E179" s="491"/>
      <c r="F179" s="202"/>
    </row>
    <row r="180" spans="1:6" x14ac:dyDescent="0.25">
      <c r="A180" s="50" t="str">
        <f>A132</f>
        <v>01/01/2022-30/06/2022</v>
      </c>
      <c r="B180" s="604">
        <f>SUM(B173:C178)</f>
        <v>8401</v>
      </c>
      <c r="C180" s="604"/>
      <c r="D180" s="485"/>
      <c r="E180" s="491"/>
      <c r="F180" s="202"/>
    </row>
    <row r="181" spans="1:6" x14ac:dyDescent="0.25">
      <c r="A181" s="29" t="s">
        <v>336</v>
      </c>
      <c r="B181" s="600">
        <f>B179+B180</f>
        <v>25363</v>
      </c>
      <c r="C181" s="600"/>
      <c r="D181" s="485"/>
      <c r="E181" s="491"/>
      <c r="F181" s="202"/>
    </row>
    <row r="182" spans="1:6" ht="15.6" x14ac:dyDescent="0.35">
      <c r="A182" s="203" t="s">
        <v>258</v>
      </c>
      <c r="B182" s="197"/>
      <c r="C182" s="197"/>
      <c r="D182" s="485"/>
      <c r="E182" s="491"/>
      <c r="F182" s="202"/>
    </row>
    <row r="183" spans="1:6" x14ac:dyDescent="0.25">
      <c r="A183" s="43" t="str">
        <f t="shared" ref="A183:A197" si="13">A161</f>
        <v>01/01/2021-31/01/2021</v>
      </c>
      <c r="B183" s="425">
        <f>ROUNDUP($B$156*$B$158*(1-$B$154)*B43*B24,0)</f>
        <v>125</v>
      </c>
      <c r="C183" s="425">
        <f>ROUNDUP($C$156*$C$158*(1-$C$154)*C43*C24,0)</f>
        <v>196</v>
      </c>
      <c r="D183" s="485"/>
      <c r="E183" s="491"/>
      <c r="F183" s="202"/>
    </row>
    <row r="184" spans="1:6" x14ac:dyDescent="0.25">
      <c r="A184" s="43" t="str">
        <f t="shared" si="13"/>
        <v>01/02/2021-28/02/2021</v>
      </c>
      <c r="B184" s="425">
        <f t="shared" ref="B184:B200" si="14">ROUNDUP($B$156*$B$158*(1-$B$154)*B44*B25,0)</f>
        <v>114</v>
      </c>
      <c r="C184" s="425">
        <f t="shared" ref="C184:C200" si="15">ROUNDUP($C$156*$C$158*(1-$C$154)*C44*C25,0)</f>
        <v>181</v>
      </c>
      <c r="D184" s="485"/>
      <c r="E184" s="491"/>
      <c r="F184" s="202"/>
    </row>
    <row r="185" spans="1:6" x14ac:dyDescent="0.25">
      <c r="A185" s="43" t="str">
        <f t="shared" si="13"/>
        <v>01/03/2021-31/03/3021</v>
      </c>
      <c r="B185" s="425">
        <f t="shared" si="14"/>
        <v>127</v>
      </c>
      <c r="C185" s="425">
        <f t="shared" si="15"/>
        <v>198</v>
      </c>
      <c r="D185" s="485"/>
      <c r="E185" s="491"/>
      <c r="F185" s="202"/>
    </row>
    <row r="186" spans="1:6" x14ac:dyDescent="0.25">
      <c r="A186" s="43" t="str">
        <f t="shared" si="13"/>
        <v>01/04/2021-30/04/2021</v>
      </c>
      <c r="B186" s="425">
        <f t="shared" si="14"/>
        <v>122</v>
      </c>
      <c r="C186" s="425">
        <f t="shared" si="15"/>
        <v>192</v>
      </c>
      <c r="D186" s="485"/>
      <c r="E186" s="491"/>
      <c r="F186" s="202"/>
    </row>
    <row r="187" spans="1:6" x14ac:dyDescent="0.25">
      <c r="A187" s="43" t="str">
        <f t="shared" si="13"/>
        <v>01/05/2021-31/05/2021</v>
      </c>
      <c r="B187" s="425">
        <f t="shared" si="14"/>
        <v>127</v>
      </c>
      <c r="C187" s="425">
        <f t="shared" si="15"/>
        <v>199</v>
      </c>
      <c r="D187" s="485"/>
      <c r="E187" s="491"/>
      <c r="F187" s="202"/>
    </row>
    <row r="188" spans="1:6" x14ac:dyDescent="0.25">
      <c r="A188" s="43" t="str">
        <f t="shared" si="13"/>
        <v>01/06/2021-30/06/2021</v>
      </c>
      <c r="B188" s="425">
        <f t="shared" si="14"/>
        <v>123</v>
      </c>
      <c r="C188" s="425">
        <f t="shared" si="15"/>
        <v>192</v>
      </c>
      <c r="D188" s="485"/>
      <c r="E188" s="491"/>
      <c r="F188" s="202"/>
    </row>
    <row r="189" spans="1:6" x14ac:dyDescent="0.25">
      <c r="A189" s="43" t="str">
        <f t="shared" si="13"/>
        <v>01/07/2021-31/07/2021</v>
      </c>
      <c r="B189" s="425">
        <f t="shared" si="14"/>
        <v>127</v>
      </c>
      <c r="C189" s="425">
        <f t="shared" si="15"/>
        <v>199</v>
      </c>
      <c r="D189" s="485"/>
      <c r="E189" s="491"/>
      <c r="F189" s="202"/>
    </row>
    <row r="190" spans="1:6" x14ac:dyDescent="0.25">
      <c r="A190" s="43" t="str">
        <f t="shared" si="13"/>
        <v>01/08/2021-31/08/2021</v>
      </c>
      <c r="B190" s="425">
        <f t="shared" si="14"/>
        <v>126</v>
      </c>
      <c r="C190" s="425">
        <f t="shared" si="15"/>
        <v>199</v>
      </c>
      <c r="D190" s="485"/>
      <c r="E190" s="491"/>
      <c r="F190" s="202"/>
    </row>
    <row r="191" spans="1:6" x14ac:dyDescent="0.25">
      <c r="A191" s="43" t="str">
        <f t="shared" si="13"/>
        <v>01/09/2021-30/09/2021</v>
      </c>
      <c r="B191" s="425">
        <f t="shared" si="14"/>
        <v>123</v>
      </c>
      <c r="C191" s="425">
        <f t="shared" si="15"/>
        <v>194</v>
      </c>
      <c r="D191" s="485"/>
      <c r="E191" s="491"/>
      <c r="F191" s="202"/>
    </row>
    <row r="192" spans="1:6" x14ac:dyDescent="0.25">
      <c r="A192" s="43" t="str">
        <f t="shared" si="13"/>
        <v>01/10/2021-31/10/2021</v>
      </c>
      <c r="B192" s="425">
        <f t="shared" si="14"/>
        <v>126</v>
      </c>
      <c r="C192" s="425">
        <f t="shared" si="15"/>
        <v>198</v>
      </c>
      <c r="D192" s="485"/>
      <c r="E192" s="491"/>
      <c r="F192" s="202"/>
    </row>
    <row r="193" spans="1:6" x14ac:dyDescent="0.25">
      <c r="A193" s="43" t="str">
        <f t="shared" si="13"/>
        <v>01/11/2021-30/11/2021</v>
      </c>
      <c r="B193" s="425">
        <f t="shared" si="14"/>
        <v>122</v>
      </c>
      <c r="C193" s="425">
        <f t="shared" si="15"/>
        <v>193</v>
      </c>
      <c r="D193" s="485"/>
      <c r="E193" s="491"/>
      <c r="F193" s="202"/>
    </row>
    <row r="194" spans="1:6" x14ac:dyDescent="0.25">
      <c r="A194" s="43" t="str">
        <f t="shared" si="13"/>
        <v>01/12/2021-31/12/2021</v>
      </c>
      <c r="B194" s="425">
        <f t="shared" si="14"/>
        <v>126</v>
      </c>
      <c r="C194" s="425">
        <f t="shared" si="15"/>
        <v>199</v>
      </c>
      <c r="D194" s="485"/>
      <c r="E194" s="491"/>
      <c r="F194" s="202"/>
    </row>
    <row r="195" spans="1:6" x14ac:dyDescent="0.25">
      <c r="A195" s="43" t="str">
        <f t="shared" si="13"/>
        <v>01/01/2022-31/01/2022</v>
      </c>
      <c r="B195" s="425">
        <f t="shared" si="14"/>
        <v>125</v>
      </c>
      <c r="C195" s="425">
        <f t="shared" si="15"/>
        <v>199</v>
      </c>
      <c r="D195" s="485"/>
      <c r="E195" s="491"/>
      <c r="F195" s="202"/>
    </row>
    <row r="196" spans="1:6" x14ac:dyDescent="0.25">
      <c r="A196" s="43" t="str">
        <f t="shared" si="13"/>
        <v>01/02/2022-28/02/2022</v>
      </c>
      <c r="B196" s="425">
        <f t="shared" si="14"/>
        <v>112</v>
      </c>
      <c r="C196" s="425">
        <f t="shared" si="15"/>
        <v>180</v>
      </c>
      <c r="D196" s="485"/>
      <c r="E196" s="491"/>
      <c r="F196" s="202"/>
    </row>
    <row r="197" spans="1:6" x14ac:dyDescent="0.25">
      <c r="A197" s="43" t="str">
        <f t="shared" si="13"/>
        <v>01/03/2022-31/03/2022</v>
      </c>
      <c r="B197" s="425">
        <f t="shared" si="14"/>
        <v>126</v>
      </c>
      <c r="C197" s="425">
        <f t="shared" si="15"/>
        <v>198</v>
      </c>
      <c r="D197" s="485"/>
      <c r="E197" s="491"/>
      <c r="F197" s="202"/>
    </row>
    <row r="198" spans="1:6" s="348" customFormat="1" x14ac:dyDescent="0.25">
      <c r="A198" s="43" t="s">
        <v>342</v>
      </c>
      <c r="B198" s="425">
        <f t="shared" si="14"/>
        <v>123</v>
      </c>
      <c r="C198" s="425">
        <f t="shared" si="15"/>
        <v>192</v>
      </c>
      <c r="D198" s="485"/>
      <c r="E198" s="491"/>
      <c r="F198" s="202"/>
    </row>
    <row r="199" spans="1:6" s="348" customFormat="1" x14ac:dyDescent="0.25">
      <c r="A199" s="43" t="s">
        <v>343</v>
      </c>
      <c r="B199" s="425">
        <f t="shared" si="14"/>
        <v>126</v>
      </c>
      <c r="C199" s="425">
        <f t="shared" si="15"/>
        <v>199</v>
      </c>
      <c r="D199" s="485"/>
      <c r="E199" s="491"/>
      <c r="F199" s="202"/>
    </row>
    <row r="200" spans="1:6" s="348" customFormat="1" x14ac:dyDescent="0.25">
      <c r="A200" s="43" t="s">
        <v>344</v>
      </c>
      <c r="B200" s="425">
        <f t="shared" si="14"/>
        <v>122</v>
      </c>
      <c r="C200" s="425">
        <f t="shared" si="15"/>
        <v>192</v>
      </c>
      <c r="D200" s="485"/>
      <c r="E200" s="491"/>
      <c r="F200" s="202"/>
    </row>
    <row r="201" spans="1:6" x14ac:dyDescent="0.25">
      <c r="A201" s="50" t="str">
        <f>A179</f>
        <v>01/01/2021-31/12/2021</v>
      </c>
      <c r="B201" s="598">
        <f>SUM(B183:C194)</f>
        <v>3828</v>
      </c>
      <c r="C201" s="599"/>
      <c r="D201" s="485"/>
      <c r="E201" s="491"/>
      <c r="F201" s="202"/>
    </row>
    <row r="202" spans="1:6" x14ac:dyDescent="0.25">
      <c r="A202" s="50" t="str">
        <f>A180</f>
        <v>01/01/2022-30/06/2022</v>
      </c>
      <c r="B202" s="598">
        <f>SUM(B195:C200)</f>
        <v>1894</v>
      </c>
      <c r="C202" s="599"/>
      <c r="D202" s="485"/>
      <c r="E202" s="491"/>
      <c r="F202" s="202"/>
    </row>
    <row r="203" spans="1:6" x14ac:dyDescent="0.25">
      <c r="A203" s="50" t="s">
        <v>335</v>
      </c>
      <c r="B203" s="598">
        <f>B201+B202</f>
        <v>5722</v>
      </c>
      <c r="C203" s="599"/>
      <c r="D203" s="485"/>
      <c r="E203" s="491"/>
      <c r="F203" s="202"/>
    </row>
    <row r="204" spans="1:6" ht="15.6" x14ac:dyDescent="0.25">
      <c r="A204" s="196" t="s">
        <v>259</v>
      </c>
      <c r="B204" s="204"/>
      <c r="C204" s="205"/>
      <c r="D204" s="485"/>
      <c r="E204" s="491"/>
      <c r="F204" s="202"/>
    </row>
    <row r="205" spans="1:6" x14ac:dyDescent="0.25">
      <c r="A205" s="43" t="str">
        <f t="shared" ref="A205:A219" si="16">A183</f>
        <v>01/01/2021-31/01/2021</v>
      </c>
      <c r="B205" s="340">
        <f>ROUNDUP($B$157*(1-$B$154)*$B$159*B43*B24,0)</f>
        <v>111</v>
      </c>
      <c r="C205" s="340">
        <f>ROUNDUP($C$157*$C$159*(1-$C$154)*C43*C24,0)</f>
        <v>174</v>
      </c>
      <c r="D205" s="485"/>
      <c r="E205" s="491"/>
      <c r="F205" s="202"/>
    </row>
    <row r="206" spans="1:6" x14ac:dyDescent="0.25">
      <c r="A206" s="43" t="str">
        <f t="shared" si="16"/>
        <v>01/02/2021-28/02/2021</v>
      </c>
      <c r="B206" s="340">
        <f t="shared" ref="B206:B222" si="17">ROUNDUP($B$157*(1-$B$154)*$B$159*B44*B25,0)</f>
        <v>102</v>
      </c>
      <c r="C206" s="340">
        <f t="shared" ref="C206:C222" si="18">ROUNDUP($C$157*$C$159*(1-$C$154)*C44*C25,0)</f>
        <v>161</v>
      </c>
      <c r="D206" s="485"/>
      <c r="E206" s="491"/>
      <c r="F206" s="202"/>
    </row>
    <row r="207" spans="1:6" x14ac:dyDescent="0.25">
      <c r="A207" s="43" t="str">
        <f t="shared" si="16"/>
        <v>01/03/2021-31/03/3021</v>
      </c>
      <c r="B207" s="340">
        <f t="shared" si="17"/>
        <v>113</v>
      </c>
      <c r="C207" s="340">
        <f t="shared" si="18"/>
        <v>176</v>
      </c>
      <c r="D207" s="485"/>
      <c r="E207" s="491"/>
      <c r="F207" s="202"/>
    </row>
    <row r="208" spans="1:6" x14ac:dyDescent="0.25">
      <c r="A208" s="43" t="str">
        <f t="shared" si="16"/>
        <v>01/04/2021-30/04/2021</v>
      </c>
      <c r="B208" s="340">
        <f t="shared" si="17"/>
        <v>108</v>
      </c>
      <c r="C208" s="340">
        <f t="shared" si="18"/>
        <v>171</v>
      </c>
      <c r="D208" s="485"/>
      <c r="E208" s="491"/>
      <c r="F208" s="202"/>
    </row>
    <row r="209" spans="1:6" x14ac:dyDescent="0.25">
      <c r="A209" s="43" t="str">
        <f t="shared" si="16"/>
        <v>01/05/2021-31/05/2021</v>
      </c>
      <c r="B209" s="340">
        <f t="shared" si="17"/>
        <v>113</v>
      </c>
      <c r="C209" s="340">
        <f t="shared" si="18"/>
        <v>177</v>
      </c>
      <c r="D209" s="485"/>
      <c r="E209" s="491"/>
      <c r="F209" s="202"/>
    </row>
    <row r="210" spans="1:6" x14ac:dyDescent="0.25">
      <c r="A210" s="43" t="str">
        <f t="shared" si="16"/>
        <v>01/06/2021-30/06/2021</v>
      </c>
      <c r="B210" s="340">
        <f t="shared" si="17"/>
        <v>110</v>
      </c>
      <c r="C210" s="340">
        <f t="shared" si="18"/>
        <v>171</v>
      </c>
      <c r="D210" s="485"/>
      <c r="E210" s="491"/>
      <c r="F210" s="202"/>
    </row>
    <row r="211" spans="1:6" x14ac:dyDescent="0.25">
      <c r="A211" s="43" t="str">
        <f t="shared" si="16"/>
        <v>01/07/2021-31/07/2021</v>
      </c>
      <c r="B211" s="340">
        <f t="shared" si="17"/>
        <v>113</v>
      </c>
      <c r="C211" s="340">
        <f t="shared" si="18"/>
        <v>177</v>
      </c>
      <c r="D211" s="485"/>
      <c r="E211" s="491"/>
      <c r="F211" s="202"/>
    </row>
    <row r="212" spans="1:6" x14ac:dyDescent="0.25">
      <c r="A212" s="43" t="str">
        <f t="shared" si="16"/>
        <v>01/08/2021-31/08/2021</v>
      </c>
      <c r="B212" s="340">
        <f t="shared" si="17"/>
        <v>112</v>
      </c>
      <c r="C212" s="340">
        <f t="shared" si="18"/>
        <v>177</v>
      </c>
      <c r="D212" s="485"/>
      <c r="E212" s="491"/>
      <c r="F212" s="202"/>
    </row>
    <row r="213" spans="1:6" x14ac:dyDescent="0.25">
      <c r="A213" s="43" t="str">
        <f t="shared" si="16"/>
        <v>01/09/2021-30/09/2021</v>
      </c>
      <c r="B213" s="340">
        <f t="shared" si="17"/>
        <v>109</v>
      </c>
      <c r="C213" s="340">
        <f t="shared" si="18"/>
        <v>172</v>
      </c>
      <c r="D213" s="485"/>
      <c r="E213" s="491"/>
      <c r="F213" s="202"/>
    </row>
    <row r="214" spans="1:6" x14ac:dyDescent="0.25">
      <c r="A214" s="43" t="str">
        <f t="shared" si="16"/>
        <v>01/10/2021-31/10/2021</v>
      </c>
      <c r="B214" s="340">
        <f t="shared" si="17"/>
        <v>112</v>
      </c>
      <c r="C214" s="340">
        <f t="shared" si="18"/>
        <v>176</v>
      </c>
      <c r="D214" s="485"/>
      <c r="E214" s="491"/>
      <c r="F214" s="202"/>
    </row>
    <row r="215" spans="1:6" x14ac:dyDescent="0.25">
      <c r="A215" s="43" t="str">
        <f t="shared" si="16"/>
        <v>01/11/2021-30/11/2021</v>
      </c>
      <c r="B215" s="340">
        <f t="shared" si="17"/>
        <v>108</v>
      </c>
      <c r="C215" s="340">
        <f t="shared" si="18"/>
        <v>171</v>
      </c>
      <c r="D215" s="485"/>
      <c r="E215" s="491"/>
      <c r="F215" s="202"/>
    </row>
    <row r="216" spans="1:6" x14ac:dyDescent="0.25">
      <c r="A216" s="43" t="str">
        <f t="shared" si="16"/>
        <v>01/12/2021-31/12/2021</v>
      </c>
      <c r="B216" s="340">
        <f t="shared" si="17"/>
        <v>112</v>
      </c>
      <c r="C216" s="340">
        <f t="shared" si="18"/>
        <v>177</v>
      </c>
      <c r="D216" s="485"/>
      <c r="E216" s="491"/>
      <c r="F216" s="202"/>
    </row>
    <row r="217" spans="1:6" x14ac:dyDescent="0.25">
      <c r="A217" s="43" t="str">
        <f t="shared" si="16"/>
        <v>01/01/2022-31/01/2022</v>
      </c>
      <c r="B217" s="340">
        <f t="shared" si="17"/>
        <v>111</v>
      </c>
      <c r="C217" s="340">
        <f t="shared" si="18"/>
        <v>177</v>
      </c>
      <c r="D217" s="485"/>
      <c r="E217" s="491"/>
      <c r="F217" s="202"/>
    </row>
    <row r="218" spans="1:6" x14ac:dyDescent="0.25">
      <c r="A218" s="43" t="str">
        <f t="shared" si="16"/>
        <v>01/02/2022-28/02/2022</v>
      </c>
      <c r="B218" s="340">
        <f t="shared" si="17"/>
        <v>100</v>
      </c>
      <c r="C218" s="340">
        <f t="shared" si="18"/>
        <v>160</v>
      </c>
      <c r="D218" s="485"/>
      <c r="E218" s="491"/>
      <c r="F218" s="202"/>
    </row>
    <row r="219" spans="1:6" x14ac:dyDescent="0.25">
      <c r="A219" s="43" t="str">
        <f t="shared" si="16"/>
        <v>01/03/2022-31/03/2022</v>
      </c>
      <c r="B219" s="340">
        <f t="shared" si="17"/>
        <v>112</v>
      </c>
      <c r="C219" s="340">
        <f t="shared" si="18"/>
        <v>176</v>
      </c>
      <c r="D219" s="485"/>
      <c r="E219" s="491"/>
      <c r="F219" s="202"/>
    </row>
    <row r="220" spans="1:6" s="348" customFormat="1" x14ac:dyDescent="0.25">
      <c r="A220" s="43" t="s">
        <v>342</v>
      </c>
      <c r="B220" s="340">
        <f t="shared" si="17"/>
        <v>109</v>
      </c>
      <c r="C220" s="340">
        <f t="shared" si="18"/>
        <v>171</v>
      </c>
      <c r="D220" s="485"/>
      <c r="E220" s="491"/>
      <c r="F220" s="202"/>
    </row>
    <row r="221" spans="1:6" s="348" customFormat="1" x14ac:dyDescent="0.25">
      <c r="A221" s="43" t="s">
        <v>343</v>
      </c>
      <c r="B221" s="340">
        <f t="shared" si="17"/>
        <v>112</v>
      </c>
      <c r="C221" s="340">
        <f t="shared" si="18"/>
        <v>177</v>
      </c>
      <c r="D221" s="485"/>
      <c r="E221" s="491"/>
      <c r="F221" s="202"/>
    </row>
    <row r="222" spans="1:6" s="348" customFormat="1" x14ac:dyDescent="0.25">
      <c r="A222" s="43" t="s">
        <v>344</v>
      </c>
      <c r="B222" s="340">
        <f t="shared" si="17"/>
        <v>108</v>
      </c>
      <c r="C222" s="340">
        <f t="shared" si="18"/>
        <v>171</v>
      </c>
      <c r="D222" s="485"/>
      <c r="E222" s="491"/>
      <c r="F222" s="202"/>
    </row>
    <row r="223" spans="1:6" x14ac:dyDescent="0.25">
      <c r="A223" s="50" t="str">
        <f>A201</f>
        <v>01/01/2021-31/12/2021</v>
      </c>
      <c r="B223" s="598">
        <f>SUM(B205:C216)</f>
        <v>3403</v>
      </c>
      <c r="C223" s="599"/>
      <c r="D223" s="485"/>
      <c r="E223" s="491"/>
      <c r="F223" s="202"/>
    </row>
    <row r="224" spans="1:6" x14ac:dyDescent="0.25">
      <c r="A224" s="50" t="str">
        <f>A202</f>
        <v>01/01/2022-30/06/2022</v>
      </c>
      <c r="B224" s="598">
        <f>SUM(B217:C222)</f>
        <v>1684</v>
      </c>
      <c r="C224" s="599"/>
      <c r="D224" s="485"/>
      <c r="E224" s="491"/>
      <c r="F224" s="202"/>
    </row>
    <row r="225" spans="1:6" x14ac:dyDescent="0.25">
      <c r="A225" s="50" t="s">
        <v>393</v>
      </c>
      <c r="B225" s="598">
        <f>B223+B224</f>
        <v>5087</v>
      </c>
      <c r="C225" s="599"/>
      <c r="D225" s="486"/>
      <c r="E225" s="491"/>
      <c r="F225" s="202"/>
    </row>
    <row r="226" spans="1:6" x14ac:dyDescent="0.25">
      <c r="A226" s="206" t="str">
        <f>A223</f>
        <v>01/01/2021-31/12/2021</v>
      </c>
      <c r="B226" s="600">
        <f>ROUNDUP(B67*44/28*1/1000*(B179+B201+B223),0)</f>
        <v>10075</v>
      </c>
      <c r="C226" s="600"/>
      <c r="D226" s="485" t="s">
        <v>354</v>
      </c>
      <c r="E226" s="491"/>
      <c r="F226" s="202"/>
    </row>
    <row r="227" spans="1:6" ht="13.05" customHeight="1" x14ac:dyDescent="0.25">
      <c r="A227" s="206" t="str">
        <f>A224</f>
        <v>01/01/2022-30/06/2022</v>
      </c>
      <c r="B227" s="600">
        <f>ROUNDUP(B67*44/28*1/1000*(B180+B202+B224),0)</f>
        <v>4989</v>
      </c>
      <c r="C227" s="600"/>
      <c r="D227" s="485"/>
      <c r="E227" s="491"/>
      <c r="F227" s="202"/>
    </row>
    <row r="228" spans="1:6" ht="16.2" thickBot="1" x14ac:dyDescent="0.3">
      <c r="A228" s="199" t="s">
        <v>260</v>
      </c>
      <c r="B228" s="597">
        <f>B226+B227</f>
        <v>15064</v>
      </c>
      <c r="C228" s="597"/>
      <c r="D228" s="564"/>
      <c r="E228" s="565"/>
      <c r="F228" s="202"/>
    </row>
    <row r="229" spans="1:6" x14ac:dyDescent="0.25">
      <c r="A229" s="200"/>
      <c r="B229" s="201"/>
      <c r="C229" s="201"/>
    </row>
    <row r="230" spans="1:6" x14ac:dyDescent="0.25">
      <c r="A230" s="200"/>
      <c r="B230" s="201"/>
      <c r="C230" s="201"/>
    </row>
    <row r="232" spans="1:6" x14ac:dyDescent="0.25">
      <c r="A232" s="29" t="s">
        <v>45</v>
      </c>
    </row>
    <row r="234" spans="1:6" x14ac:dyDescent="0.25">
      <c r="E234" s="55"/>
    </row>
    <row r="235" spans="1:6" x14ac:dyDescent="0.25">
      <c r="E235" s="55"/>
    </row>
    <row r="236" spans="1:6" x14ac:dyDescent="0.25">
      <c r="E236" s="55"/>
    </row>
    <row r="237" spans="1:6" x14ac:dyDescent="0.25">
      <c r="E237" s="55"/>
    </row>
    <row r="238" spans="1:6" x14ac:dyDescent="0.25">
      <c r="E238" s="55"/>
    </row>
    <row r="239" spans="1:6" x14ac:dyDescent="0.25">
      <c r="E239" s="426"/>
      <c r="F239" s="110"/>
    </row>
    <row r="240" spans="1:6" x14ac:dyDescent="0.25">
      <c r="A240" s="28"/>
      <c r="E240" s="110"/>
      <c r="F240" s="110"/>
    </row>
    <row r="241" spans="1:6" ht="13.8" thickBot="1" x14ac:dyDescent="0.3">
      <c r="A241" s="28"/>
      <c r="E241" s="110"/>
      <c r="F241" s="110"/>
    </row>
    <row r="242" spans="1:6" x14ac:dyDescent="0.25">
      <c r="A242" s="59" t="s">
        <v>3</v>
      </c>
      <c r="B242" s="60" t="s">
        <v>18</v>
      </c>
      <c r="C242" s="60"/>
      <c r="D242" s="60" t="s">
        <v>2</v>
      </c>
      <c r="E242" s="427" t="s">
        <v>4</v>
      </c>
      <c r="F242" s="110"/>
    </row>
    <row r="243" spans="1:6" ht="15.6" x14ac:dyDescent="0.35">
      <c r="A243" s="207" t="s">
        <v>261</v>
      </c>
      <c r="B243" s="63">
        <f>'Baseline emission'!B11</f>
        <v>28</v>
      </c>
      <c r="C243" s="63">
        <f>B243</f>
        <v>28</v>
      </c>
      <c r="D243" s="63" t="s">
        <v>262</v>
      </c>
      <c r="E243" s="428" t="s">
        <v>128</v>
      </c>
      <c r="F243" s="110"/>
    </row>
    <row r="244" spans="1:6" ht="15.6" x14ac:dyDescent="0.25">
      <c r="A244" s="207" t="s">
        <v>263</v>
      </c>
      <c r="B244" s="63">
        <f>'[3]Baseline Emission'!B13</f>
        <v>6.7000000000000002E-4</v>
      </c>
      <c r="C244" s="63">
        <f>'[3]Baseline Emission'!C13</f>
        <v>6.7000000000000002E-4</v>
      </c>
      <c r="D244" s="63" t="s">
        <v>264</v>
      </c>
      <c r="E244" s="428" t="s">
        <v>54</v>
      </c>
      <c r="F244" s="110"/>
    </row>
    <row r="245" spans="1:6" x14ac:dyDescent="0.25">
      <c r="A245" s="208" t="s">
        <v>23</v>
      </c>
      <c r="B245" s="193">
        <v>1</v>
      </c>
      <c r="C245" s="193">
        <v>1</v>
      </c>
      <c r="D245" s="63" t="s">
        <v>96</v>
      </c>
      <c r="E245" s="428" t="s">
        <v>54</v>
      </c>
      <c r="F245" s="110"/>
    </row>
    <row r="246" spans="1:6" x14ac:dyDescent="0.25">
      <c r="A246" s="188" t="s">
        <v>265</v>
      </c>
      <c r="B246" s="209"/>
      <c r="C246" s="209"/>
      <c r="D246" s="573" t="s">
        <v>130</v>
      </c>
      <c r="E246" s="576" t="s">
        <v>113</v>
      </c>
      <c r="F246" s="110"/>
    </row>
    <row r="247" spans="1:6" x14ac:dyDescent="0.25">
      <c r="A247" s="43" t="str">
        <f t="shared" ref="A247:A261" si="19">A205</f>
        <v>01/01/2021-31/01/2021</v>
      </c>
      <c r="B247" s="209">
        <f>'Baseline emission'!B58</f>
        <v>16.839642857142856</v>
      </c>
      <c r="C247" s="209">
        <f>'Baseline emission'!C58</f>
        <v>26.936785714285712</v>
      </c>
      <c r="D247" s="574"/>
      <c r="E247" s="577"/>
      <c r="F247" s="110"/>
    </row>
    <row r="248" spans="1:6" x14ac:dyDescent="0.25">
      <c r="A248" s="43" t="str">
        <f t="shared" si="19"/>
        <v>01/02/2021-28/02/2021</v>
      </c>
      <c r="B248" s="209">
        <f>'Baseline emission'!B59</f>
        <v>15.360000000000001</v>
      </c>
      <c r="C248" s="209">
        <f>'Baseline emission'!C59</f>
        <v>24.798000000000002</v>
      </c>
      <c r="D248" s="574"/>
      <c r="E248" s="577"/>
      <c r="F248" s="110"/>
    </row>
    <row r="249" spans="1:6" x14ac:dyDescent="0.25">
      <c r="A249" s="43" t="str">
        <f t="shared" si="19"/>
        <v>01/03/2021-31/03/3021</v>
      </c>
      <c r="B249" s="209">
        <f>'Baseline emission'!B60</f>
        <v>17.005714285714287</v>
      </c>
      <c r="C249" s="209">
        <f>'Baseline emission'!C60</f>
        <v>27.242357142857145</v>
      </c>
      <c r="D249" s="574"/>
      <c r="E249" s="577"/>
      <c r="F249" s="110"/>
    </row>
    <row r="250" spans="1:6" x14ac:dyDescent="0.25">
      <c r="A250" s="43" t="str">
        <f t="shared" si="19"/>
        <v>01/04/2021-30/04/2021</v>
      </c>
      <c r="B250" s="209">
        <f>'Baseline emission'!B61</f>
        <v>16.328571428571429</v>
      </c>
      <c r="C250" s="209">
        <f>'Baseline emission'!C61</f>
        <v>26.392500000000002</v>
      </c>
      <c r="D250" s="574"/>
      <c r="E250" s="577"/>
      <c r="F250" s="110"/>
    </row>
    <row r="251" spans="1:6" x14ac:dyDescent="0.25">
      <c r="A251" s="43" t="str">
        <f t="shared" si="19"/>
        <v>01/05/2021-31/05/2021</v>
      </c>
      <c r="B251" s="209">
        <f>'Baseline emission'!B62</f>
        <v>17.005714285714287</v>
      </c>
      <c r="C251" s="209">
        <f>'Baseline emission'!C62</f>
        <v>27.335357142857141</v>
      </c>
      <c r="D251" s="574"/>
      <c r="E251" s="577"/>
      <c r="F251" s="110"/>
    </row>
    <row r="252" spans="1:6" x14ac:dyDescent="0.25">
      <c r="A252" s="43" t="str">
        <f t="shared" si="19"/>
        <v>01/06/2021-30/06/2021</v>
      </c>
      <c r="B252" s="209">
        <f>'Baseline emission'!B63</f>
        <v>16.553571428571427</v>
      </c>
      <c r="C252" s="209">
        <f>'Baseline emission'!C63</f>
        <v>26.421428571428574</v>
      </c>
      <c r="D252" s="574"/>
      <c r="E252" s="577"/>
      <c r="F252" s="110"/>
    </row>
    <row r="253" spans="1:6" x14ac:dyDescent="0.25">
      <c r="A253" s="43" t="str">
        <f t="shared" si="19"/>
        <v>01/07/2021-31/07/2021</v>
      </c>
      <c r="B253" s="209">
        <f>'Baseline emission'!B64</f>
        <v>17.072142857142858</v>
      </c>
      <c r="C253" s="209">
        <f>'Baseline emission'!C64</f>
        <v>27.425035714285713</v>
      </c>
      <c r="D253" s="574"/>
      <c r="E253" s="577"/>
      <c r="F253" s="110"/>
    </row>
    <row r="254" spans="1:6" x14ac:dyDescent="0.25">
      <c r="A254" s="43" t="str">
        <f t="shared" si="19"/>
        <v>01/08/2021-31/08/2021</v>
      </c>
      <c r="B254" s="209">
        <f>'Baseline emission'!B65</f>
        <v>16.939285714285713</v>
      </c>
      <c r="C254" s="209">
        <f>'Baseline emission'!C65</f>
        <v>27.335357142857141</v>
      </c>
      <c r="D254" s="574"/>
      <c r="E254" s="577"/>
      <c r="F254" s="110"/>
    </row>
    <row r="255" spans="1:6" x14ac:dyDescent="0.25">
      <c r="A255" s="43" t="str">
        <f t="shared" si="19"/>
        <v>01/09/2021-30/09/2021</v>
      </c>
      <c r="B255" s="209">
        <f>'Baseline emission'!B66</f>
        <v>16.489285714285714</v>
      </c>
      <c r="C255" s="209">
        <f>'Baseline emission'!C66</f>
        <v>26.630357142857147</v>
      </c>
      <c r="D255" s="574"/>
      <c r="E255" s="577"/>
      <c r="F255" s="110"/>
    </row>
    <row r="256" spans="1:6" x14ac:dyDescent="0.25">
      <c r="A256" s="43" t="str">
        <f t="shared" si="19"/>
        <v>01/10/2021-31/10/2021</v>
      </c>
      <c r="B256" s="209">
        <f>'Baseline emission'!B67</f>
        <v>16.9725</v>
      </c>
      <c r="C256" s="209">
        <f>'Baseline emission'!C67</f>
        <v>27.302142857142858</v>
      </c>
      <c r="D256" s="574"/>
      <c r="E256" s="577"/>
      <c r="F256" s="110"/>
    </row>
    <row r="257" spans="1:6" x14ac:dyDescent="0.25">
      <c r="A257" s="43" t="str">
        <f t="shared" si="19"/>
        <v>01/11/2021-30/11/2021</v>
      </c>
      <c r="B257" s="209">
        <f>'Baseline emission'!B68</f>
        <v>16.360714285714288</v>
      </c>
      <c r="C257" s="209">
        <f>'Baseline emission'!C68</f>
        <v>26.540357142857143</v>
      </c>
      <c r="D257" s="574"/>
      <c r="E257" s="577"/>
      <c r="F257" s="110"/>
    </row>
    <row r="258" spans="1:6" x14ac:dyDescent="0.25">
      <c r="A258" s="43" t="str">
        <f t="shared" si="19"/>
        <v>01/12/2021-31/12/2021</v>
      </c>
      <c r="B258" s="209">
        <f>'Baseline emission'!B69</f>
        <v>16.90607142857143</v>
      </c>
      <c r="C258" s="209">
        <f>'Baseline emission'!C69</f>
        <v>27.302142857142858</v>
      </c>
      <c r="D258" s="574"/>
      <c r="E258" s="577"/>
      <c r="F258" s="110"/>
    </row>
    <row r="259" spans="1:6" x14ac:dyDescent="0.25">
      <c r="A259" s="43" t="str">
        <f t="shared" si="19"/>
        <v>01/01/2022-31/01/2022</v>
      </c>
      <c r="B259" s="209">
        <f>'Baseline emission'!B70</f>
        <v>16.740000000000002</v>
      </c>
      <c r="C259" s="209">
        <f>'Baseline emission'!C70</f>
        <v>27.395142857142854</v>
      </c>
      <c r="D259" s="574"/>
      <c r="E259" s="577"/>
      <c r="F259" s="110"/>
    </row>
    <row r="260" spans="1:6" x14ac:dyDescent="0.25">
      <c r="A260" s="43" t="str">
        <f t="shared" si="19"/>
        <v>01/02/2022-28/02/2022</v>
      </c>
      <c r="B260" s="209">
        <f>'Baseline emission'!B71</f>
        <v>15.089999999999996</v>
      </c>
      <c r="C260" s="209">
        <f>'Baseline emission'!C71</f>
        <v>24.771000000000001</v>
      </c>
      <c r="D260" s="574"/>
      <c r="E260" s="577"/>
      <c r="F260" s="110"/>
    </row>
    <row r="261" spans="1:6" x14ac:dyDescent="0.25">
      <c r="A261" s="43" t="str">
        <f t="shared" si="19"/>
        <v>01/03/2022-31/03/2022</v>
      </c>
      <c r="B261" s="209">
        <f>'Baseline emission'!B72</f>
        <v>16.939285714285713</v>
      </c>
      <c r="C261" s="209">
        <f>'Baseline emission'!C72</f>
        <v>27.212464285714287</v>
      </c>
      <c r="D261" s="574"/>
      <c r="E261" s="577"/>
      <c r="F261" s="110"/>
    </row>
    <row r="262" spans="1:6" s="348" customFormat="1" x14ac:dyDescent="0.25">
      <c r="A262" s="43" t="s">
        <v>342</v>
      </c>
      <c r="B262" s="209">
        <f>'Baseline emission'!B73</f>
        <v>16.521428571428572</v>
      </c>
      <c r="C262" s="209">
        <f>'Baseline emission'!C73</f>
        <v>26.482499999999998</v>
      </c>
      <c r="D262" s="574"/>
      <c r="E262" s="577"/>
      <c r="F262" s="110"/>
    </row>
    <row r="263" spans="1:6" s="348" customFormat="1" x14ac:dyDescent="0.25">
      <c r="A263" s="43" t="s">
        <v>343</v>
      </c>
      <c r="B263" s="209">
        <f>'Baseline emission'!B74</f>
        <v>16.90607142857143</v>
      </c>
      <c r="C263" s="209">
        <f>'Baseline emission'!C74</f>
        <v>27.302142857142858</v>
      </c>
      <c r="D263" s="574"/>
      <c r="E263" s="577"/>
      <c r="F263" s="110"/>
    </row>
    <row r="264" spans="1:6" s="348" customFormat="1" x14ac:dyDescent="0.25">
      <c r="A264" s="43" t="s">
        <v>344</v>
      </c>
      <c r="B264" s="209">
        <f>'Baseline emission'!B75</f>
        <v>16.328571428571429</v>
      </c>
      <c r="C264" s="209">
        <f>'Baseline emission'!C75</f>
        <v>26.453571428571429</v>
      </c>
      <c r="D264" s="575"/>
      <c r="E264" s="578"/>
      <c r="F264" s="110"/>
    </row>
    <row r="265" spans="1:6" ht="15.6" x14ac:dyDescent="0.25">
      <c r="A265" s="188" t="s">
        <v>266</v>
      </c>
      <c r="B265" s="210">
        <v>0.28999999999999998</v>
      </c>
      <c r="C265" s="193">
        <v>0.28999999999999998</v>
      </c>
      <c r="D265" s="63" t="s">
        <v>267</v>
      </c>
      <c r="E265" s="194" t="s">
        <v>7</v>
      </c>
    </row>
    <row r="266" spans="1:6" s="35" customFormat="1" ht="15.6" x14ac:dyDescent="0.25">
      <c r="A266" s="208" t="s">
        <v>268</v>
      </c>
      <c r="B266" s="191">
        <v>0.85</v>
      </c>
      <c r="C266" s="191">
        <v>0.85</v>
      </c>
      <c r="D266" s="211" t="s">
        <v>96</v>
      </c>
      <c r="E266" s="194" t="s">
        <v>131</v>
      </c>
    </row>
    <row r="267" spans="1:6" ht="15.45" customHeight="1" x14ac:dyDescent="0.25">
      <c r="A267" s="208" t="s">
        <v>42</v>
      </c>
      <c r="B267" s="212">
        <v>1</v>
      </c>
      <c r="C267" s="212">
        <f>B267</f>
        <v>1</v>
      </c>
      <c r="D267" s="193" t="s">
        <v>96</v>
      </c>
      <c r="E267" s="213" t="s">
        <v>129</v>
      </c>
    </row>
    <row r="268" spans="1:6" ht="15.45" customHeight="1" x14ac:dyDescent="0.25">
      <c r="A268" s="208" t="s">
        <v>269</v>
      </c>
      <c r="B268" s="212"/>
      <c r="C268" s="212"/>
      <c r="D268" s="193"/>
      <c r="E268" s="213"/>
    </row>
    <row r="269" spans="1:6" x14ac:dyDescent="0.25">
      <c r="A269" s="43" t="str">
        <f t="shared" ref="A269:A283" si="20">A247</f>
        <v>01/01/2021-31/01/2021</v>
      </c>
      <c r="B269" s="189">
        <f>ROUNDDOWN($B$243*$B$244*$B$245*(1-$B$266)*$B$265*$B$267*B247*B24,0)</f>
        <v>1540</v>
      </c>
      <c r="C269" s="189">
        <f>ROUNDDOWN($C$243*$C$244*$C$245*(1-$C$266)*$C$265*$C$267*C247*C24,0)</f>
        <v>4210</v>
      </c>
      <c r="D269" s="463" t="s">
        <v>354</v>
      </c>
      <c r="E269" s="609" t="s">
        <v>355</v>
      </c>
    </row>
    <row r="270" spans="1:6" x14ac:dyDescent="0.25">
      <c r="A270" s="43" t="str">
        <f t="shared" si="20"/>
        <v>01/02/2021-28/02/2021</v>
      </c>
      <c r="B270" s="189">
        <f t="shared" ref="B270:B286" si="21">ROUNDDOWN($B$243*$B$244*$B$245*(1-$B$266)*$B$265*$B$267*B248*B25,0)</f>
        <v>1405</v>
      </c>
      <c r="C270" s="189">
        <f t="shared" ref="C270:C286" si="22">ROUNDDOWN($C$243*$C$244*$C$245*(1-$C$266)*$C$265*$C$267*C248*C25,0)</f>
        <v>3887</v>
      </c>
      <c r="D270" s="463"/>
      <c r="E270" s="609"/>
    </row>
    <row r="271" spans="1:6" x14ac:dyDescent="0.25">
      <c r="A271" s="43" t="str">
        <f t="shared" si="20"/>
        <v>01/03/2021-31/03/3021</v>
      </c>
      <c r="B271" s="189">
        <f t="shared" si="21"/>
        <v>1555</v>
      </c>
      <c r="C271" s="189">
        <f t="shared" si="22"/>
        <v>4255</v>
      </c>
      <c r="D271" s="463"/>
      <c r="E271" s="609"/>
    </row>
    <row r="272" spans="1:6" x14ac:dyDescent="0.25">
      <c r="A272" s="43" t="str">
        <f t="shared" si="20"/>
        <v>01/04/2021-30/04/2021</v>
      </c>
      <c r="B272" s="189">
        <f t="shared" si="21"/>
        <v>1493</v>
      </c>
      <c r="C272" s="189">
        <f t="shared" si="22"/>
        <v>4138</v>
      </c>
      <c r="D272" s="463"/>
      <c r="E272" s="609"/>
    </row>
    <row r="273" spans="1:5" x14ac:dyDescent="0.25">
      <c r="A273" s="43" t="str">
        <f t="shared" si="20"/>
        <v>01/05/2021-31/05/2021</v>
      </c>
      <c r="B273" s="189">
        <f t="shared" si="21"/>
        <v>1555</v>
      </c>
      <c r="C273" s="189">
        <f t="shared" si="22"/>
        <v>4280</v>
      </c>
      <c r="D273" s="463"/>
      <c r="E273" s="609"/>
    </row>
    <row r="274" spans="1:5" x14ac:dyDescent="0.25">
      <c r="A274" s="43" t="str">
        <f t="shared" si="20"/>
        <v>01/06/2021-30/06/2021</v>
      </c>
      <c r="B274" s="189">
        <f t="shared" si="21"/>
        <v>1514</v>
      </c>
      <c r="C274" s="189">
        <f t="shared" si="22"/>
        <v>4132</v>
      </c>
      <c r="D274" s="463"/>
      <c r="E274" s="609"/>
    </row>
    <row r="275" spans="1:5" x14ac:dyDescent="0.25">
      <c r="A275" s="43" t="str">
        <f t="shared" si="20"/>
        <v>01/07/2021-31/07/2021</v>
      </c>
      <c r="B275" s="189">
        <f t="shared" si="21"/>
        <v>1561</v>
      </c>
      <c r="C275" s="189">
        <f t="shared" si="22"/>
        <v>4292</v>
      </c>
      <c r="D275" s="463"/>
      <c r="E275" s="609"/>
    </row>
    <row r="276" spans="1:5" x14ac:dyDescent="0.25">
      <c r="A276" s="43" t="str">
        <f t="shared" si="20"/>
        <v>01/08/2021-31/08/2021</v>
      </c>
      <c r="B276" s="189">
        <f t="shared" si="21"/>
        <v>1549</v>
      </c>
      <c r="C276" s="189">
        <f t="shared" si="22"/>
        <v>4275</v>
      </c>
      <c r="D276" s="463"/>
      <c r="E276" s="609"/>
    </row>
    <row r="277" spans="1:5" x14ac:dyDescent="0.25">
      <c r="A277" s="43" t="str">
        <f t="shared" si="20"/>
        <v>01/09/2021-30/09/2021</v>
      </c>
      <c r="B277" s="189">
        <f t="shared" si="21"/>
        <v>1508</v>
      </c>
      <c r="C277" s="189">
        <f t="shared" si="22"/>
        <v>4173</v>
      </c>
      <c r="D277" s="463"/>
      <c r="E277" s="609"/>
    </row>
    <row r="278" spans="1:5" x14ac:dyDescent="0.25">
      <c r="A278" s="43" t="str">
        <f t="shared" si="20"/>
        <v>01/10/2021-31/10/2021</v>
      </c>
      <c r="B278" s="189">
        <f t="shared" si="21"/>
        <v>1552</v>
      </c>
      <c r="C278" s="189">
        <f t="shared" si="22"/>
        <v>4266</v>
      </c>
      <c r="D278" s="463"/>
      <c r="E278" s="609"/>
    </row>
    <row r="279" spans="1:5" x14ac:dyDescent="0.25">
      <c r="A279" s="43" t="str">
        <f t="shared" si="20"/>
        <v>01/11/2021-30/11/2021</v>
      </c>
      <c r="B279" s="189">
        <f t="shared" si="21"/>
        <v>1496</v>
      </c>
      <c r="C279" s="189">
        <f t="shared" si="22"/>
        <v>4146</v>
      </c>
      <c r="D279" s="463"/>
      <c r="E279" s="609"/>
    </row>
    <row r="280" spans="1:5" x14ac:dyDescent="0.25">
      <c r="A280" s="43" t="str">
        <f t="shared" si="20"/>
        <v>01/12/2021-31/12/2021</v>
      </c>
      <c r="B280" s="189">
        <f t="shared" si="21"/>
        <v>1546</v>
      </c>
      <c r="C280" s="189">
        <f t="shared" si="22"/>
        <v>4275</v>
      </c>
      <c r="D280" s="463"/>
      <c r="E280" s="609"/>
    </row>
    <row r="281" spans="1:5" x14ac:dyDescent="0.25">
      <c r="A281" s="43" t="str">
        <f t="shared" si="20"/>
        <v>01/01/2022-31/01/2022</v>
      </c>
      <c r="B281" s="189">
        <f t="shared" si="21"/>
        <v>1531</v>
      </c>
      <c r="C281" s="189">
        <f t="shared" si="22"/>
        <v>4293</v>
      </c>
      <c r="D281" s="463"/>
      <c r="E281" s="609"/>
    </row>
    <row r="282" spans="1:5" x14ac:dyDescent="0.25">
      <c r="A282" s="43" t="str">
        <f t="shared" si="20"/>
        <v>01/02/2022-28/02/2022</v>
      </c>
      <c r="B282" s="189">
        <f t="shared" si="21"/>
        <v>1380</v>
      </c>
      <c r="C282" s="189">
        <f t="shared" si="22"/>
        <v>3880</v>
      </c>
      <c r="D282" s="463"/>
      <c r="E282" s="609"/>
    </row>
    <row r="283" spans="1:5" x14ac:dyDescent="0.25">
      <c r="A283" s="43" t="str">
        <f t="shared" si="20"/>
        <v>01/03/2022-31/03/2022</v>
      </c>
      <c r="B283" s="189">
        <f t="shared" si="21"/>
        <v>1549</v>
      </c>
      <c r="C283" s="189">
        <f t="shared" si="22"/>
        <v>4265</v>
      </c>
      <c r="D283" s="463"/>
      <c r="E283" s="609"/>
    </row>
    <row r="284" spans="1:5" s="348" customFormat="1" x14ac:dyDescent="0.25">
      <c r="A284" s="43" t="s">
        <v>342</v>
      </c>
      <c r="B284" s="361">
        <f t="shared" si="21"/>
        <v>1511</v>
      </c>
      <c r="C284" s="361">
        <f t="shared" si="22"/>
        <v>4144</v>
      </c>
      <c r="D284" s="463"/>
      <c r="E284" s="609"/>
    </row>
    <row r="285" spans="1:5" s="348" customFormat="1" x14ac:dyDescent="0.25">
      <c r="A285" s="43" t="s">
        <v>343</v>
      </c>
      <c r="B285" s="361">
        <f t="shared" si="21"/>
        <v>1546</v>
      </c>
      <c r="C285" s="361">
        <f t="shared" si="22"/>
        <v>4278</v>
      </c>
      <c r="D285" s="463"/>
      <c r="E285" s="609"/>
    </row>
    <row r="286" spans="1:5" s="348" customFormat="1" x14ac:dyDescent="0.25">
      <c r="A286" s="43" t="s">
        <v>344</v>
      </c>
      <c r="B286" s="361">
        <f t="shared" si="21"/>
        <v>1493</v>
      </c>
      <c r="C286" s="361">
        <f t="shared" si="22"/>
        <v>4140</v>
      </c>
      <c r="D286" s="463"/>
      <c r="E286" s="609"/>
    </row>
    <row r="287" spans="1:5" x14ac:dyDescent="0.25">
      <c r="A287" s="50" t="str">
        <f>A226</f>
        <v>01/01/2021-31/12/2021</v>
      </c>
      <c r="B287" s="607">
        <f>SUM(B269:C280)</f>
        <v>68603</v>
      </c>
      <c r="C287" s="607"/>
      <c r="D287" s="463"/>
      <c r="E287" s="609"/>
    </row>
    <row r="288" spans="1:5" x14ac:dyDescent="0.25">
      <c r="A288" s="50" t="str">
        <f>A227</f>
        <v>01/01/2022-30/06/2022</v>
      </c>
      <c r="B288" s="607">
        <f>SUM(B281:C286)</f>
        <v>34010</v>
      </c>
      <c r="C288" s="607"/>
      <c r="D288" s="463"/>
      <c r="E288" s="609"/>
    </row>
    <row r="289" spans="1:5" ht="16.2" thickBot="1" x14ac:dyDescent="0.4">
      <c r="A289" s="67" t="s">
        <v>270</v>
      </c>
      <c r="B289" s="597">
        <f>B287+B288</f>
        <v>102613</v>
      </c>
      <c r="C289" s="597"/>
      <c r="D289" s="608"/>
      <c r="E289" s="610"/>
    </row>
    <row r="290" spans="1:5" x14ac:dyDescent="0.25">
      <c r="A290" s="28"/>
    </row>
    <row r="291" spans="1:5" ht="13.8" thickBot="1" x14ac:dyDescent="0.3">
      <c r="A291" s="28"/>
    </row>
    <row r="292" spans="1:5" x14ac:dyDescent="0.25">
      <c r="A292" s="59" t="s">
        <v>3</v>
      </c>
      <c r="B292" s="60" t="s">
        <v>18</v>
      </c>
      <c r="C292" s="60"/>
      <c r="D292" s="60" t="s">
        <v>2</v>
      </c>
      <c r="E292" s="186" t="s">
        <v>4</v>
      </c>
    </row>
    <row r="293" spans="1:5" ht="15.6" x14ac:dyDescent="0.35">
      <c r="A293" s="207" t="s">
        <v>261</v>
      </c>
      <c r="B293" s="63">
        <f>B243</f>
        <v>28</v>
      </c>
      <c r="C293" s="63">
        <f>C243</f>
        <v>28</v>
      </c>
      <c r="D293" s="63" t="s">
        <v>271</v>
      </c>
      <c r="E293" s="90" t="s">
        <v>128</v>
      </c>
    </row>
    <row r="294" spans="1:5" ht="15.6" x14ac:dyDescent="0.25">
      <c r="A294" s="207" t="s">
        <v>263</v>
      </c>
      <c r="B294" s="63">
        <f>'[3]Baseline Emission'!B13</f>
        <v>6.7000000000000002E-4</v>
      </c>
      <c r="C294" s="63">
        <f>'[3]Baseline Emission'!C13</f>
        <v>6.7000000000000002E-4</v>
      </c>
      <c r="D294" s="63" t="s">
        <v>264</v>
      </c>
      <c r="E294" s="90" t="s">
        <v>54</v>
      </c>
    </row>
    <row r="295" spans="1:5" x14ac:dyDescent="0.25">
      <c r="A295" s="208" t="s">
        <v>23</v>
      </c>
      <c r="B295" s="193">
        <v>1</v>
      </c>
      <c r="C295" s="193">
        <v>1</v>
      </c>
      <c r="D295" s="63" t="s">
        <v>96</v>
      </c>
      <c r="E295" s="90" t="s">
        <v>54</v>
      </c>
    </row>
    <row r="296" spans="1:5" ht="15.6" x14ac:dyDescent="0.25">
      <c r="A296" s="188" t="s">
        <v>272</v>
      </c>
      <c r="B296" s="210">
        <v>0.28999999999999998</v>
      </c>
      <c r="C296" s="193">
        <v>0.28999999999999998</v>
      </c>
      <c r="D296" s="63" t="s">
        <v>267</v>
      </c>
      <c r="E296" s="90" t="s">
        <v>7</v>
      </c>
    </row>
    <row r="297" spans="1:5" x14ac:dyDescent="0.25">
      <c r="A297" s="208" t="s">
        <v>273</v>
      </c>
      <c r="B297" s="423">
        <v>0.02</v>
      </c>
      <c r="C297" s="424">
        <v>0.02</v>
      </c>
      <c r="D297" s="63" t="s">
        <v>96</v>
      </c>
      <c r="E297" s="90" t="s">
        <v>131</v>
      </c>
    </row>
    <row r="298" spans="1:5" x14ac:dyDescent="0.25">
      <c r="A298" s="208" t="s">
        <v>273</v>
      </c>
      <c r="B298" s="423">
        <v>0.45</v>
      </c>
      <c r="C298" s="423">
        <v>0.45</v>
      </c>
      <c r="D298" s="193" t="s">
        <v>96</v>
      </c>
      <c r="E298" s="430" t="s">
        <v>129</v>
      </c>
    </row>
    <row r="299" spans="1:5" s="404" customFormat="1" x14ac:dyDescent="0.25">
      <c r="A299" s="208" t="s">
        <v>273</v>
      </c>
      <c r="B299" s="423">
        <v>0.35</v>
      </c>
      <c r="C299" s="423">
        <v>0.35</v>
      </c>
      <c r="D299" s="408"/>
      <c r="E299" s="430" t="s">
        <v>129</v>
      </c>
    </row>
    <row r="300" spans="1:5" x14ac:dyDescent="0.25">
      <c r="A300" s="208" t="s">
        <v>42</v>
      </c>
      <c r="B300" s="191">
        <v>1</v>
      </c>
      <c r="C300" s="191">
        <v>1</v>
      </c>
      <c r="D300" s="193" t="s">
        <v>96</v>
      </c>
      <c r="E300" s="90" t="s">
        <v>129</v>
      </c>
    </row>
    <row r="301" spans="1:5" ht="15.6" x14ac:dyDescent="0.25">
      <c r="A301" s="208" t="s">
        <v>274</v>
      </c>
      <c r="B301" s="191"/>
      <c r="C301" s="191"/>
      <c r="D301" s="193"/>
      <c r="E301" s="90"/>
    </row>
    <row r="302" spans="1:5" ht="12.45" customHeight="1" x14ac:dyDescent="0.25">
      <c r="A302" s="43" t="str">
        <f t="shared" ref="A302:A316" si="23">A269</f>
        <v>01/01/2021-31/01/2021</v>
      </c>
      <c r="B302" s="189">
        <f>ROUNDUP($B$293*$B$294*$B$295*(1-$B$297)*(1-$B$298)*(1-$B$299)*$B$296*$B$300*B247*B24,0)</f>
        <v>3598</v>
      </c>
      <c r="C302" s="189">
        <f>ROUNDUP($C$293*$C$294*$C$295*(1-$C$297)*(1-$C$298)*(1-$C$299)*$C$296*$C$300*C247*C24,0)</f>
        <v>9835</v>
      </c>
      <c r="D302" s="579" t="s">
        <v>354</v>
      </c>
      <c r="E302" s="605" t="s">
        <v>355</v>
      </c>
    </row>
    <row r="303" spans="1:5" ht="12.45" customHeight="1" x14ac:dyDescent="0.25">
      <c r="A303" s="43" t="str">
        <f t="shared" si="23"/>
        <v>01/02/2021-28/02/2021</v>
      </c>
      <c r="B303" s="409">
        <f t="shared" ref="B303:B319" si="24">ROUNDUP($B$293*$B$294*$B$295*(1-$B$297)*(1-$B$298)*(1-$B$299)*$B$296*$B$300*B248*B25,0)</f>
        <v>3282</v>
      </c>
      <c r="C303" s="409">
        <f t="shared" ref="C303:C319" si="25">ROUNDUP($C$293*$C$294*$C$295*(1-$C$297)*(1-$C$298)*(1-$C$299)*$C$296*$C$300*C248*C25,0)</f>
        <v>9081</v>
      </c>
      <c r="D303" s="579"/>
      <c r="E303" s="605"/>
    </row>
    <row r="304" spans="1:5" ht="12.45" customHeight="1" x14ac:dyDescent="0.25">
      <c r="A304" s="43" t="str">
        <f t="shared" si="23"/>
        <v>01/03/2021-31/03/3021</v>
      </c>
      <c r="B304" s="409">
        <f t="shared" si="24"/>
        <v>3634</v>
      </c>
      <c r="C304" s="409">
        <f t="shared" si="25"/>
        <v>9940</v>
      </c>
      <c r="D304" s="579"/>
      <c r="E304" s="605"/>
    </row>
    <row r="305" spans="1:5" ht="12.45" customHeight="1" x14ac:dyDescent="0.25">
      <c r="A305" s="43" t="str">
        <f t="shared" si="23"/>
        <v>01/04/2021-30/04/2021</v>
      </c>
      <c r="B305" s="409">
        <f t="shared" si="24"/>
        <v>3489</v>
      </c>
      <c r="C305" s="409">
        <f t="shared" si="25"/>
        <v>9666</v>
      </c>
      <c r="D305" s="579"/>
      <c r="E305" s="605"/>
    </row>
    <row r="306" spans="1:5" ht="12.45" customHeight="1" x14ac:dyDescent="0.25">
      <c r="A306" s="43" t="str">
        <f t="shared" si="23"/>
        <v>01/05/2021-31/05/2021</v>
      </c>
      <c r="B306" s="409">
        <f t="shared" si="24"/>
        <v>3634</v>
      </c>
      <c r="C306" s="409">
        <f t="shared" si="25"/>
        <v>9999</v>
      </c>
      <c r="D306" s="579"/>
      <c r="E306" s="605"/>
    </row>
    <row r="307" spans="1:5" ht="12.45" customHeight="1" x14ac:dyDescent="0.25">
      <c r="A307" s="43" t="str">
        <f t="shared" si="23"/>
        <v>01/06/2021-30/06/2021</v>
      </c>
      <c r="B307" s="409">
        <f t="shared" si="24"/>
        <v>3537</v>
      </c>
      <c r="C307" s="409">
        <f t="shared" si="25"/>
        <v>9652</v>
      </c>
      <c r="D307" s="579"/>
      <c r="E307" s="605"/>
    </row>
    <row r="308" spans="1:5" ht="12.45" customHeight="1" x14ac:dyDescent="0.25">
      <c r="A308" s="43" t="str">
        <f t="shared" si="23"/>
        <v>01/07/2021-31/07/2021</v>
      </c>
      <c r="B308" s="409">
        <f t="shared" si="24"/>
        <v>3648</v>
      </c>
      <c r="C308" s="409">
        <f t="shared" si="25"/>
        <v>10026</v>
      </c>
      <c r="D308" s="579"/>
      <c r="E308" s="605"/>
    </row>
    <row r="309" spans="1:5" ht="12.45" customHeight="1" x14ac:dyDescent="0.25">
      <c r="A309" s="43" t="str">
        <f t="shared" si="23"/>
        <v>01/08/2021-31/08/2021</v>
      </c>
      <c r="B309" s="409">
        <f t="shared" si="24"/>
        <v>3620</v>
      </c>
      <c r="C309" s="409">
        <f t="shared" si="25"/>
        <v>9988</v>
      </c>
      <c r="D309" s="579"/>
      <c r="E309" s="605"/>
    </row>
    <row r="310" spans="1:5" ht="12.45" customHeight="1" x14ac:dyDescent="0.25">
      <c r="A310" s="43" t="str">
        <f t="shared" si="23"/>
        <v>01/09/2021-30/09/2021</v>
      </c>
      <c r="B310" s="409">
        <f t="shared" si="24"/>
        <v>3524</v>
      </c>
      <c r="C310" s="409">
        <f t="shared" si="25"/>
        <v>9749</v>
      </c>
      <c r="D310" s="579"/>
      <c r="E310" s="605"/>
    </row>
    <row r="311" spans="1:5" ht="12.45" customHeight="1" x14ac:dyDescent="0.25">
      <c r="A311" s="43" t="str">
        <f t="shared" si="23"/>
        <v>01/10/2021-31/10/2021</v>
      </c>
      <c r="B311" s="409">
        <f t="shared" si="24"/>
        <v>3627</v>
      </c>
      <c r="C311" s="409">
        <f t="shared" si="25"/>
        <v>9966</v>
      </c>
      <c r="D311" s="579"/>
      <c r="E311" s="605"/>
    </row>
    <row r="312" spans="1:5" ht="12.45" customHeight="1" x14ac:dyDescent="0.25">
      <c r="A312" s="43" t="str">
        <f t="shared" si="23"/>
        <v>01/11/2021-30/11/2021</v>
      </c>
      <c r="B312" s="409">
        <f t="shared" si="24"/>
        <v>3496</v>
      </c>
      <c r="C312" s="409">
        <f t="shared" si="25"/>
        <v>9686</v>
      </c>
      <c r="D312" s="579"/>
      <c r="E312" s="605"/>
    </row>
    <row r="313" spans="1:5" ht="12.45" customHeight="1" x14ac:dyDescent="0.25">
      <c r="A313" s="43" t="str">
        <f t="shared" si="23"/>
        <v>01/12/2021-31/12/2021</v>
      </c>
      <c r="B313" s="409">
        <f t="shared" si="24"/>
        <v>3613</v>
      </c>
      <c r="C313" s="409">
        <f t="shared" si="25"/>
        <v>9986</v>
      </c>
      <c r="D313" s="579"/>
      <c r="E313" s="605"/>
    </row>
    <row r="314" spans="1:5" ht="12.45" customHeight="1" x14ac:dyDescent="0.25">
      <c r="A314" s="43" t="str">
        <f t="shared" si="23"/>
        <v>01/01/2022-31/01/2022</v>
      </c>
      <c r="B314" s="409">
        <f t="shared" si="24"/>
        <v>3577</v>
      </c>
      <c r="C314" s="409">
        <f t="shared" si="25"/>
        <v>10028</v>
      </c>
      <c r="D314" s="579"/>
      <c r="E314" s="605"/>
    </row>
    <row r="315" spans="1:5" ht="12.45" customHeight="1" x14ac:dyDescent="0.25">
      <c r="A315" s="43" t="str">
        <f t="shared" si="23"/>
        <v>01/02/2022-28/02/2022</v>
      </c>
      <c r="B315" s="409">
        <f t="shared" si="24"/>
        <v>3225</v>
      </c>
      <c r="C315" s="409">
        <f t="shared" si="25"/>
        <v>9064</v>
      </c>
      <c r="D315" s="579"/>
      <c r="E315" s="605"/>
    </row>
    <row r="316" spans="1:5" ht="12.45" customHeight="1" x14ac:dyDescent="0.25">
      <c r="A316" s="43" t="str">
        <f t="shared" si="23"/>
        <v>01/03/2022-31/03/2022</v>
      </c>
      <c r="B316" s="409">
        <f t="shared" si="24"/>
        <v>3620</v>
      </c>
      <c r="C316" s="409">
        <f t="shared" si="25"/>
        <v>9963</v>
      </c>
      <c r="D316" s="579"/>
      <c r="E316" s="605"/>
    </row>
    <row r="317" spans="1:5" s="348" customFormat="1" ht="12.45" customHeight="1" x14ac:dyDescent="0.25">
      <c r="A317" s="43" t="s">
        <v>342</v>
      </c>
      <c r="B317" s="409">
        <f t="shared" si="24"/>
        <v>3530</v>
      </c>
      <c r="C317" s="409">
        <f t="shared" si="25"/>
        <v>9682</v>
      </c>
      <c r="D317" s="579"/>
      <c r="E317" s="605"/>
    </row>
    <row r="318" spans="1:5" s="348" customFormat="1" ht="12.45" customHeight="1" x14ac:dyDescent="0.25">
      <c r="A318" s="43" t="s">
        <v>343</v>
      </c>
      <c r="B318" s="409">
        <f t="shared" si="24"/>
        <v>3613</v>
      </c>
      <c r="C318" s="409">
        <f t="shared" si="25"/>
        <v>9994</v>
      </c>
      <c r="D318" s="579"/>
      <c r="E318" s="605"/>
    </row>
    <row r="319" spans="1:5" s="348" customFormat="1" ht="12.45" customHeight="1" x14ac:dyDescent="0.25">
      <c r="A319" s="43" t="s">
        <v>344</v>
      </c>
      <c r="B319" s="409">
        <f t="shared" si="24"/>
        <v>3489</v>
      </c>
      <c r="C319" s="409">
        <f t="shared" si="25"/>
        <v>9671</v>
      </c>
      <c r="D319" s="579"/>
      <c r="E319" s="605"/>
    </row>
    <row r="320" spans="1:5" ht="12.45" customHeight="1" x14ac:dyDescent="0.25">
      <c r="A320" s="50" t="str">
        <f>A287</f>
        <v>01/01/2021-31/12/2021</v>
      </c>
      <c r="B320" s="607">
        <f>SUM(B302:C313)</f>
        <v>160276</v>
      </c>
      <c r="C320" s="607"/>
      <c r="D320" s="579"/>
      <c r="E320" s="605"/>
    </row>
    <row r="321" spans="1:6" ht="12.45" customHeight="1" x14ac:dyDescent="0.25">
      <c r="A321" s="50" t="str">
        <f>A288</f>
        <v>01/01/2022-30/06/2022</v>
      </c>
      <c r="B321" s="607">
        <f>SUM(B314:C319)</f>
        <v>79456</v>
      </c>
      <c r="C321" s="607"/>
      <c r="D321" s="579"/>
      <c r="E321" s="605"/>
    </row>
    <row r="322" spans="1:6" ht="16.2" thickBot="1" x14ac:dyDescent="0.4">
      <c r="A322" s="67" t="s">
        <v>275</v>
      </c>
      <c r="B322" s="597">
        <f>B320+B321</f>
        <v>239732</v>
      </c>
      <c r="C322" s="597"/>
      <c r="D322" s="580"/>
      <c r="E322" s="606"/>
    </row>
    <row r="323" spans="1:6" x14ac:dyDescent="0.25">
      <c r="A323" s="28"/>
    </row>
    <row r="324" spans="1:6" ht="13.8" thickBot="1" x14ac:dyDescent="0.3"/>
    <row r="325" spans="1:6" ht="15" customHeight="1" x14ac:dyDescent="0.35">
      <c r="A325" s="214" t="s">
        <v>270</v>
      </c>
      <c r="B325" s="313">
        <f>B326+B327</f>
        <v>102613</v>
      </c>
      <c r="C325" s="601" t="s">
        <v>253</v>
      </c>
      <c r="D325" s="123"/>
    </row>
    <row r="326" spans="1:6" x14ac:dyDescent="0.25">
      <c r="A326" s="66" t="str">
        <f>A320</f>
        <v>01/01/2021-31/12/2021</v>
      </c>
      <c r="B326" s="308">
        <f>B287</f>
        <v>68603</v>
      </c>
      <c r="C326" s="602"/>
      <c r="D326" s="123"/>
    </row>
    <row r="327" spans="1:6" x14ac:dyDescent="0.25">
      <c r="A327" s="66" t="str">
        <f>A321</f>
        <v>01/01/2022-30/06/2022</v>
      </c>
      <c r="B327" s="308">
        <f>B288</f>
        <v>34010</v>
      </c>
      <c r="C327" s="602"/>
      <c r="D327" s="123"/>
    </row>
    <row r="328" spans="1:6" ht="15.6" x14ac:dyDescent="0.35">
      <c r="A328" s="215" t="s">
        <v>276</v>
      </c>
      <c r="B328" s="308">
        <f>B329+B330</f>
        <v>239732</v>
      </c>
      <c r="C328" s="602"/>
      <c r="D328" s="123"/>
      <c r="F328" s="114"/>
    </row>
    <row r="329" spans="1:6" x14ac:dyDescent="0.25">
      <c r="A329" s="66" t="str">
        <f>A326</f>
        <v>01/01/2021-31/12/2021</v>
      </c>
      <c r="B329" s="308">
        <f>B320</f>
        <v>160276</v>
      </c>
      <c r="C329" s="602"/>
      <c r="D329" s="123"/>
      <c r="F329" s="114"/>
    </row>
    <row r="330" spans="1:6" x14ac:dyDescent="0.25">
      <c r="A330" s="66" t="str">
        <f>A327</f>
        <v>01/01/2022-30/06/2022</v>
      </c>
      <c r="B330" s="308">
        <f>B321</f>
        <v>79456</v>
      </c>
      <c r="C330" s="602"/>
      <c r="D330" s="123"/>
      <c r="F330" s="114"/>
    </row>
    <row r="331" spans="1:6" ht="15.6" x14ac:dyDescent="0.35">
      <c r="A331" s="215" t="s">
        <v>254</v>
      </c>
      <c r="B331" s="308">
        <f>B332+B333</f>
        <v>3993</v>
      </c>
      <c r="C331" s="602"/>
      <c r="D331" s="123"/>
      <c r="E331" s="216"/>
    </row>
    <row r="332" spans="1:6" x14ac:dyDescent="0.25">
      <c r="A332" s="66" t="str">
        <f>A326</f>
        <v>01/01/2021-31/12/2021</v>
      </c>
      <c r="B332" s="308">
        <f>B134</f>
        <v>2670</v>
      </c>
      <c r="C332" s="602"/>
      <c r="D332" s="123"/>
      <c r="E332" s="216"/>
    </row>
    <row r="333" spans="1:6" x14ac:dyDescent="0.25">
      <c r="A333" s="66" t="str">
        <f>A327</f>
        <v>01/01/2022-30/06/2022</v>
      </c>
      <c r="B333" s="308">
        <f>B135</f>
        <v>1323</v>
      </c>
      <c r="C333" s="602"/>
      <c r="D333" s="123"/>
      <c r="E333" s="216"/>
    </row>
    <row r="334" spans="1:6" ht="15.6" x14ac:dyDescent="0.35">
      <c r="A334" s="215" t="s">
        <v>260</v>
      </c>
      <c r="B334" s="308">
        <f>B335+B336</f>
        <v>15064</v>
      </c>
      <c r="C334" s="602"/>
    </row>
    <row r="335" spans="1:6" x14ac:dyDescent="0.25">
      <c r="A335" s="66" t="str">
        <f>A332</f>
        <v>01/01/2021-31/12/2021</v>
      </c>
      <c r="B335" s="308">
        <f>B226</f>
        <v>10075</v>
      </c>
      <c r="C335" s="602"/>
    </row>
    <row r="336" spans="1:6" ht="13.8" thickBot="1" x14ac:dyDescent="0.3">
      <c r="A336" s="336" t="str">
        <f>A333</f>
        <v>01/01/2022-30/06/2022</v>
      </c>
      <c r="B336" s="314">
        <f>B227</f>
        <v>4989</v>
      </c>
      <c r="C336" s="603"/>
    </row>
    <row r="337" spans="1:3" x14ac:dyDescent="0.25">
      <c r="A337" s="217"/>
      <c r="B337" s="218"/>
      <c r="C337" s="219"/>
    </row>
    <row r="338" spans="1:3" x14ac:dyDescent="0.25">
      <c r="A338" s="217"/>
      <c r="B338" s="218"/>
      <c r="C338" s="219"/>
    </row>
    <row r="339" spans="1:3" s="91" customFormat="1" x14ac:dyDescent="0.25">
      <c r="A339" s="217"/>
      <c r="B339" s="218"/>
      <c r="C339" s="219"/>
    </row>
    <row r="340" spans="1:3" s="91" customFormat="1" x14ac:dyDescent="0.25">
      <c r="A340" s="217"/>
      <c r="B340" s="218"/>
      <c r="C340" s="219"/>
    </row>
    <row r="341" spans="1:3" s="91" customFormat="1" ht="13.8" thickBot="1" x14ac:dyDescent="0.3">
      <c r="B341" s="219"/>
      <c r="C341" s="219"/>
    </row>
    <row r="342" spans="1:3" x14ac:dyDescent="0.25">
      <c r="A342" s="214" t="s">
        <v>115</v>
      </c>
      <c r="B342" s="338">
        <f>B343+B344</f>
        <v>148190</v>
      </c>
      <c r="C342" s="601" t="s">
        <v>338</v>
      </c>
    </row>
    <row r="343" spans="1:3" x14ac:dyDescent="0.25">
      <c r="A343" s="66" t="str">
        <f>A335</f>
        <v>01/01/2021-31/12/2021</v>
      </c>
      <c r="B343" s="337">
        <f>B335-B332+B329-B326</f>
        <v>99078</v>
      </c>
      <c r="C343" s="602"/>
    </row>
    <row r="344" spans="1:3" ht="13.8" thickBot="1" x14ac:dyDescent="0.3">
      <c r="A344" s="336" t="str">
        <f>A336</f>
        <v>01/01/2022-30/06/2022</v>
      </c>
      <c r="B344" s="339">
        <f>B336-B333+B330-B327</f>
        <v>49112</v>
      </c>
      <c r="C344" s="603"/>
    </row>
    <row r="345" spans="1:3" x14ac:dyDescent="0.25">
      <c r="A345" s="28"/>
      <c r="B345" s="220"/>
    </row>
    <row r="346" spans="1:3" x14ac:dyDescent="0.25">
      <c r="A346" s="28"/>
      <c r="B346" s="220"/>
    </row>
    <row r="347" spans="1:3" x14ac:dyDescent="0.25">
      <c r="A347" s="28"/>
      <c r="B347" s="220"/>
    </row>
    <row r="348" spans="1:3" x14ac:dyDescent="0.25">
      <c r="C348" s="85"/>
    </row>
    <row r="353" spans="1:5" x14ac:dyDescent="0.25">
      <c r="A353" s="221" t="s">
        <v>277</v>
      </c>
      <c r="B353" s="222"/>
      <c r="C353" s="222"/>
      <c r="D353" s="223"/>
      <c r="E353" s="223"/>
    </row>
    <row r="354" spans="1:5" x14ac:dyDescent="0.25">
      <c r="A354" s="224" t="s">
        <v>3</v>
      </c>
      <c r="B354" s="224" t="s">
        <v>18</v>
      </c>
      <c r="C354" s="224"/>
      <c r="D354" s="224" t="s">
        <v>2</v>
      </c>
      <c r="E354" s="224" t="s">
        <v>4</v>
      </c>
    </row>
    <row r="355" spans="1:5" x14ac:dyDescent="0.25">
      <c r="A355" s="224"/>
      <c r="B355" s="224" t="str">
        <f>'[3]Baseline Emission'!B10</f>
        <v>Market Swine</v>
      </c>
      <c r="C355" s="224" t="str">
        <f>'[3]Baseline Emission'!C10</f>
        <v>Breeding Swine</v>
      </c>
      <c r="D355" s="224"/>
      <c r="E355" s="224"/>
    </row>
    <row r="356" spans="1:5" x14ac:dyDescent="0.25">
      <c r="A356" s="225" t="s">
        <v>278</v>
      </c>
      <c r="B356" s="226">
        <v>0.01</v>
      </c>
      <c r="C356" s="227">
        <v>0.02</v>
      </c>
      <c r="D356" s="222" t="s">
        <v>15</v>
      </c>
      <c r="E356" s="228" t="s">
        <v>7</v>
      </c>
    </row>
    <row r="357" spans="1:5" ht="15.6" x14ac:dyDescent="0.25">
      <c r="A357" s="225" t="s">
        <v>279</v>
      </c>
      <c r="B357" s="229"/>
      <c r="C357" s="229"/>
      <c r="D357" s="222" t="s">
        <v>16</v>
      </c>
      <c r="E357" s="223" t="s">
        <v>26</v>
      </c>
    </row>
    <row r="358" spans="1:5" x14ac:dyDescent="0.25">
      <c r="A358" s="230" t="s">
        <v>23</v>
      </c>
      <c r="B358" s="229"/>
      <c r="C358" s="229"/>
      <c r="D358" s="222"/>
      <c r="E358" s="223" t="s">
        <v>7</v>
      </c>
    </row>
    <row r="359" spans="1:5" x14ac:dyDescent="0.25">
      <c r="A359" s="230" t="s">
        <v>280</v>
      </c>
      <c r="B359" s="231"/>
      <c r="C359" s="227"/>
      <c r="D359" s="222" t="s">
        <v>17</v>
      </c>
      <c r="E359" s="223" t="s">
        <v>7</v>
      </c>
    </row>
    <row r="360" spans="1:5" x14ac:dyDescent="0.25">
      <c r="A360" s="230" t="s">
        <v>24</v>
      </c>
      <c r="B360" s="232"/>
      <c r="C360" s="232"/>
      <c r="D360" s="222"/>
      <c r="E360" s="223" t="s">
        <v>30</v>
      </c>
    </row>
    <row r="361" spans="1:5" x14ac:dyDescent="0.25">
      <c r="A361" s="233" t="s">
        <v>20</v>
      </c>
      <c r="B361" s="234"/>
      <c r="C361" s="234"/>
      <c r="D361" s="221"/>
      <c r="E361" s="221" t="s">
        <v>28</v>
      </c>
    </row>
    <row r="362" spans="1:5" x14ac:dyDescent="0.25">
      <c r="A362" s="221" t="s">
        <v>25</v>
      </c>
      <c r="B362" s="235"/>
      <c r="C362" s="224"/>
      <c r="D362" s="221"/>
      <c r="E362" s="221"/>
    </row>
  </sheetData>
  <mergeCells count="55">
    <mergeCell ref="C325:C336"/>
    <mergeCell ref="C342:C344"/>
    <mergeCell ref="E160:E228"/>
    <mergeCell ref="B179:C179"/>
    <mergeCell ref="B180:C180"/>
    <mergeCell ref="E302:E322"/>
    <mergeCell ref="B320:C320"/>
    <mergeCell ref="B321:C321"/>
    <mergeCell ref="B322:C322"/>
    <mergeCell ref="D269:D289"/>
    <mergeCell ref="E269:E289"/>
    <mergeCell ref="B287:C287"/>
    <mergeCell ref="B288:C288"/>
    <mergeCell ref="B289:C289"/>
    <mergeCell ref="B181:C181"/>
    <mergeCell ref="D226:D228"/>
    <mergeCell ref="B228:C228"/>
    <mergeCell ref="B201:C201"/>
    <mergeCell ref="B202:C202"/>
    <mergeCell ref="B227:C227"/>
    <mergeCell ref="B226:C226"/>
    <mergeCell ref="B225:C225"/>
    <mergeCell ref="B223:C223"/>
    <mergeCell ref="B224:C224"/>
    <mergeCell ref="B203:C203"/>
    <mergeCell ref="B111:C111"/>
    <mergeCell ref="B135:C135"/>
    <mergeCell ref="B90:C90"/>
    <mergeCell ref="E134:E136"/>
    <mergeCell ref="E112:E133"/>
    <mergeCell ref="B131:C131"/>
    <mergeCell ref="B132:C132"/>
    <mergeCell ref="B133:C133"/>
    <mergeCell ref="B112:C112"/>
    <mergeCell ref="D23:D41"/>
    <mergeCell ref="E23:E41"/>
    <mergeCell ref="D42:D60"/>
    <mergeCell ref="E42:E60"/>
    <mergeCell ref="E90:E111"/>
    <mergeCell ref="D246:D264"/>
    <mergeCell ref="E246:E264"/>
    <mergeCell ref="D302:D322"/>
    <mergeCell ref="B87:C87"/>
    <mergeCell ref="B88:C88"/>
    <mergeCell ref="B89:C89"/>
    <mergeCell ref="B134:C134"/>
    <mergeCell ref="D90:D111"/>
    <mergeCell ref="B136:C136"/>
    <mergeCell ref="D112:D133"/>
    <mergeCell ref="D134:D136"/>
    <mergeCell ref="D160:D225"/>
    <mergeCell ref="D68:D89"/>
    <mergeCell ref="E68:E89"/>
    <mergeCell ref="B109:C109"/>
    <mergeCell ref="B110:C110"/>
  </mergeCells>
  <phoneticPr fontId="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45C9-9E4A-4316-8D78-9C8B5BFAAC9D}">
  <dimension ref="D3:M20"/>
  <sheetViews>
    <sheetView workbookViewId="0">
      <selection activeCell="H29" sqref="H29"/>
    </sheetView>
  </sheetViews>
  <sheetFormatPr defaultColWidth="8.77734375" defaultRowHeight="13.2" x14ac:dyDescent="0.25"/>
  <cols>
    <col min="1" max="3" width="8.77734375" style="29"/>
    <col min="4" max="4" width="27.6640625" style="29" bestFit="1" customWidth="1"/>
    <col min="5" max="5" width="29.33203125" style="29" bestFit="1" customWidth="1"/>
    <col min="6" max="6" width="26.5546875" style="29" bestFit="1" customWidth="1"/>
    <col min="7" max="7" width="28.33203125" style="29" bestFit="1" customWidth="1"/>
    <col min="8" max="8" width="31.21875" style="29" bestFit="1" customWidth="1"/>
    <col min="9" max="9" width="17.88671875" style="29" customWidth="1"/>
    <col min="10" max="10" width="12.21875" style="29" customWidth="1"/>
    <col min="11" max="11" width="10.77734375" style="29" customWidth="1"/>
    <col min="12" max="12" width="9.21875" style="29" bestFit="1" customWidth="1"/>
    <col min="13" max="16384" width="8.77734375" style="29"/>
  </cols>
  <sheetData>
    <row r="3" spans="4:13" ht="13.8" thickBot="1" x14ac:dyDescent="0.3"/>
    <row r="4" spans="4:13" ht="15.6" x14ac:dyDescent="0.25">
      <c r="D4" s="126" t="s">
        <v>118</v>
      </c>
      <c r="E4" s="127" t="s">
        <v>215</v>
      </c>
      <c r="F4" s="127" t="s">
        <v>216</v>
      </c>
      <c r="G4" s="127" t="s">
        <v>217</v>
      </c>
      <c r="H4" s="128" t="s">
        <v>218</v>
      </c>
    </row>
    <row r="5" spans="4:13" x14ac:dyDescent="0.25">
      <c r="D5" s="129" t="s">
        <v>152</v>
      </c>
      <c r="E5" s="130">
        <f>'Baseline emission'!B315</f>
        <v>326242</v>
      </c>
      <c r="F5" s="131">
        <f>'Project emission'!B331</f>
        <v>30219</v>
      </c>
      <c r="G5" s="132">
        <f>Leakage!B343</f>
        <v>99078</v>
      </c>
      <c r="H5" s="133">
        <f>E5-F5-G5</f>
        <v>196945</v>
      </c>
    </row>
    <row r="6" spans="4:13" x14ac:dyDescent="0.25">
      <c r="D6" s="134" t="s">
        <v>356</v>
      </c>
      <c r="E6" s="130">
        <f>'Baseline emission'!B316</f>
        <v>161731</v>
      </c>
      <c r="F6" s="131">
        <f>'Project emission'!B332</f>
        <v>14895</v>
      </c>
      <c r="G6" s="132">
        <f>Leakage!B344</f>
        <v>49112</v>
      </c>
      <c r="H6" s="133">
        <f>E6-F6-G6</f>
        <v>97724</v>
      </c>
    </row>
    <row r="7" spans="4:13" ht="13.8" thickBot="1" x14ac:dyDescent="0.3">
      <c r="D7" s="135" t="s">
        <v>153</v>
      </c>
      <c r="E7" s="136">
        <f>SUM(E5:E6)</f>
        <v>487973</v>
      </c>
      <c r="F7" s="136">
        <f>SUM(F5:F6)</f>
        <v>45114</v>
      </c>
      <c r="G7" s="136">
        <f>SUM(G5:G6)</f>
        <v>148190</v>
      </c>
      <c r="H7" s="137">
        <f>SUM(H5:H6)</f>
        <v>294669</v>
      </c>
    </row>
    <row r="10" spans="4:13" x14ac:dyDescent="0.25">
      <c r="E10" s="302"/>
      <c r="F10" s="302"/>
      <c r="G10" s="302"/>
      <c r="H10" s="345"/>
      <c r="I10" s="302"/>
      <c r="J10" s="302"/>
      <c r="K10" s="302"/>
      <c r="L10" s="302"/>
      <c r="M10" s="302"/>
    </row>
    <row r="11" spans="4:13" x14ac:dyDescent="0.25">
      <c r="G11" s="438"/>
      <c r="H11" s="432"/>
      <c r="L11" s="294"/>
    </row>
    <row r="12" spans="4:13" x14ac:dyDescent="0.25">
      <c r="H12" s="432"/>
      <c r="L12" s="294"/>
    </row>
    <row r="13" spans="4:13" x14ac:dyDescent="0.25">
      <c r="E13" s="429"/>
      <c r="F13" s="429"/>
      <c r="H13" s="432"/>
      <c r="I13" s="303"/>
      <c r="L13" s="294"/>
      <c r="M13" s="124"/>
    </row>
    <row r="14" spans="4:13" x14ac:dyDescent="0.25">
      <c r="H14" s="433"/>
      <c r="I14" s="293"/>
    </row>
    <row r="15" spans="4:13" x14ac:dyDescent="0.25">
      <c r="H15" s="115"/>
    </row>
    <row r="16" spans="4:13" x14ac:dyDescent="0.25">
      <c r="H16" s="434"/>
    </row>
    <row r="17" spans="8:8" x14ac:dyDescent="0.25">
      <c r="H17" s="115"/>
    </row>
    <row r="18" spans="8:8" x14ac:dyDescent="0.25">
      <c r="H18" s="115"/>
    </row>
    <row r="19" spans="8:8" x14ac:dyDescent="0.25">
      <c r="H19" s="115"/>
    </row>
    <row r="20" spans="8:8" x14ac:dyDescent="0.25">
      <c r="H20" s="115"/>
    </row>
  </sheetData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34"/>
  <sheetViews>
    <sheetView zoomScale="85" zoomScaleNormal="85" workbookViewId="0">
      <selection activeCell="D55" sqref="D55"/>
    </sheetView>
  </sheetViews>
  <sheetFormatPr defaultColWidth="8.77734375" defaultRowHeight="13.2" x14ac:dyDescent="0.25"/>
  <cols>
    <col min="1" max="1" width="25.6640625" style="29" bestFit="1" customWidth="1"/>
    <col min="2" max="2" width="18.88671875" style="29" customWidth="1"/>
    <col min="3" max="3" width="17.109375" style="29" customWidth="1"/>
    <col min="4" max="4" width="15.77734375" style="29" customWidth="1"/>
    <col min="5" max="5" width="19.21875" style="29" customWidth="1"/>
    <col min="6" max="6" width="17.44140625" style="29" customWidth="1"/>
    <col min="7" max="7" width="9.5546875" style="29" bestFit="1" customWidth="1"/>
    <col min="8" max="8" width="14.5546875" style="29" customWidth="1"/>
    <col min="9" max="9" width="18.5546875" style="70" customWidth="1"/>
    <col min="10" max="10" width="16.109375" style="29" customWidth="1"/>
    <col min="11" max="11" width="17.6640625" style="29" customWidth="1"/>
    <col min="12" max="12" width="18.109375" style="29" bestFit="1" customWidth="1"/>
    <col min="13" max="13" width="15" style="29" bestFit="1" customWidth="1"/>
    <col min="14" max="14" width="25.33203125" style="29" customWidth="1"/>
    <col min="15" max="15" width="13.21875" style="29" customWidth="1"/>
    <col min="16" max="16" width="10.88671875" style="29" bestFit="1" customWidth="1"/>
    <col min="17" max="17" width="9.21875" style="29" bestFit="1" customWidth="1"/>
    <col min="18" max="18" width="11.77734375" style="29" bestFit="1" customWidth="1"/>
    <col min="19" max="19" width="12.44140625" style="29" bestFit="1" customWidth="1"/>
    <col min="20" max="16384" width="8.77734375" style="29"/>
  </cols>
  <sheetData>
    <row r="1" spans="1:11" ht="33.450000000000003" customHeight="1" x14ac:dyDescent="0.35">
      <c r="A1" s="611" t="s">
        <v>203</v>
      </c>
      <c r="B1" s="612"/>
      <c r="C1" s="612"/>
      <c r="D1" s="612"/>
      <c r="E1" s="613"/>
    </row>
    <row r="2" spans="1:11" ht="15.6" x14ac:dyDescent="0.35">
      <c r="A2" s="614" t="s">
        <v>136</v>
      </c>
      <c r="B2" s="521" t="s">
        <v>204</v>
      </c>
      <c r="C2" s="521"/>
      <c r="D2" s="521" t="s">
        <v>205</v>
      </c>
      <c r="E2" s="522"/>
    </row>
    <row r="3" spans="1:11" x14ac:dyDescent="0.25">
      <c r="A3" s="615"/>
      <c r="B3" s="359" t="s">
        <v>32</v>
      </c>
      <c r="C3" s="359" t="s">
        <v>107</v>
      </c>
      <c r="D3" s="359" t="s">
        <v>32</v>
      </c>
      <c r="E3" s="360" t="s">
        <v>107</v>
      </c>
      <c r="G3" s="91"/>
      <c r="H3" s="91"/>
      <c r="I3" s="219"/>
      <c r="J3" s="91"/>
      <c r="K3" s="91"/>
    </row>
    <row r="4" spans="1:11" x14ac:dyDescent="0.25">
      <c r="A4" s="65" t="s">
        <v>137</v>
      </c>
      <c r="B4" s="453">
        <v>112096</v>
      </c>
      <c r="C4" s="454">
        <v>191546</v>
      </c>
      <c r="D4" s="103">
        <f>'2021.1'!C165</f>
        <v>50.7</v>
      </c>
      <c r="E4" s="351">
        <v>81.099999999999994</v>
      </c>
      <c r="F4" s="441"/>
      <c r="G4" s="441"/>
      <c r="H4" s="431"/>
      <c r="I4" s="219"/>
      <c r="J4" s="91"/>
      <c r="K4" s="91"/>
    </row>
    <row r="5" spans="1:11" x14ac:dyDescent="0.25">
      <c r="A5" s="65" t="s">
        <v>386</v>
      </c>
      <c r="B5" s="453">
        <v>112096</v>
      </c>
      <c r="C5" s="454">
        <v>192112</v>
      </c>
      <c r="D5" s="103">
        <f>'2021.2'!C165</f>
        <v>51.2</v>
      </c>
      <c r="E5" s="351">
        <v>82.660000000000011</v>
      </c>
      <c r="F5" s="441"/>
      <c r="G5" s="441"/>
      <c r="H5" s="431"/>
      <c r="I5" s="219"/>
      <c r="J5" s="91"/>
      <c r="K5" s="91"/>
    </row>
    <row r="6" spans="1:11" x14ac:dyDescent="0.25">
      <c r="A6" s="65" t="s">
        <v>138</v>
      </c>
      <c r="B6" s="453">
        <v>112096</v>
      </c>
      <c r="C6" s="454">
        <v>191422</v>
      </c>
      <c r="D6" s="103">
        <f>'2021.3'!C165</f>
        <v>51.2</v>
      </c>
      <c r="E6" s="351">
        <v>82.02000000000001</v>
      </c>
      <c r="F6" s="441"/>
      <c r="G6" s="441"/>
      <c r="H6" s="431"/>
      <c r="I6" s="219"/>
      <c r="J6" s="91"/>
      <c r="K6" s="91"/>
    </row>
    <row r="7" spans="1:11" x14ac:dyDescent="0.25">
      <c r="A7" s="65" t="s">
        <v>139</v>
      </c>
      <c r="B7" s="453">
        <v>112096</v>
      </c>
      <c r="C7" s="454">
        <v>192144</v>
      </c>
      <c r="D7" s="103">
        <f>'2021.4'!C165</f>
        <v>50.8</v>
      </c>
      <c r="E7" s="351">
        <v>82.11</v>
      </c>
      <c r="F7" s="441"/>
      <c r="G7" s="441"/>
      <c r="H7" s="431"/>
      <c r="I7" s="219"/>
      <c r="J7" s="91"/>
      <c r="K7" s="91"/>
    </row>
    <row r="8" spans="1:11" x14ac:dyDescent="0.25">
      <c r="A8" s="65" t="s">
        <v>140</v>
      </c>
      <c r="B8" s="453">
        <v>112096</v>
      </c>
      <c r="C8" s="454">
        <v>191903</v>
      </c>
      <c r="D8" s="103">
        <f>'2021.5'!C165</f>
        <v>51.2</v>
      </c>
      <c r="E8" s="351">
        <v>82.300000000000011</v>
      </c>
      <c r="F8" s="441"/>
      <c r="G8" s="441"/>
      <c r="H8" s="431"/>
      <c r="I8" s="219"/>
      <c r="J8" s="91"/>
      <c r="K8" s="91"/>
    </row>
    <row r="9" spans="1:11" x14ac:dyDescent="0.25">
      <c r="A9" s="65" t="s">
        <v>141</v>
      </c>
      <c r="B9" s="453">
        <v>112096</v>
      </c>
      <c r="C9" s="454">
        <v>191653</v>
      </c>
      <c r="D9" s="103">
        <f>'2021.6'!C165</f>
        <v>51.5</v>
      </c>
      <c r="E9" s="351">
        <v>82.2</v>
      </c>
      <c r="F9" s="441"/>
      <c r="G9" s="441"/>
      <c r="H9" s="431"/>
      <c r="I9" s="219"/>
      <c r="J9" s="91"/>
      <c r="K9" s="91"/>
    </row>
    <row r="10" spans="1:11" x14ac:dyDescent="0.25">
      <c r="A10" s="65" t="s">
        <v>143</v>
      </c>
      <c r="B10" s="453">
        <v>112096</v>
      </c>
      <c r="C10" s="454">
        <v>191783</v>
      </c>
      <c r="D10" s="103">
        <f>'2021.7'!C165</f>
        <v>51.4</v>
      </c>
      <c r="E10" s="351">
        <v>82.570000000000007</v>
      </c>
      <c r="F10" s="441"/>
      <c r="G10" s="441"/>
      <c r="H10" s="431"/>
      <c r="I10" s="219"/>
      <c r="J10" s="91"/>
      <c r="K10" s="91"/>
    </row>
    <row r="11" spans="1:11" x14ac:dyDescent="0.25">
      <c r="A11" s="65" t="s">
        <v>142</v>
      </c>
      <c r="B11" s="453">
        <v>112096</v>
      </c>
      <c r="C11" s="454">
        <v>191682</v>
      </c>
      <c r="D11" s="103">
        <f>'2021.8'!C165</f>
        <v>51</v>
      </c>
      <c r="E11" s="351">
        <v>82.300000000000011</v>
      </c>
      <c r="F11" s="441"/>
      <c r="G11" s="441"/>
      <c r="H11" s="431"/>
      <c r="I11" s="219"/>
      <c r="J11" s="91"/>
      <c r="K11" s="91"/>
    </row>
    <row r="12" spans="1:11" x14ac:dyDescent="0.25">
      <c r="A12" s="65" t="s">
        <v>144</v>
      </c>
      <c r="B12" s="453">
        <v>112096</v>
      </c>
      <c r="C12" s="454">
        <v>192049</v>
      </c>
      <c r="D12" s="103">
        <f>'2021.9'!C165</f>
        <v>51.3</v>
      </c>
      <c r="E12" s="351">
        <v>82.850000000000009</v>
      </c>
      <c r="F12" s="441"/>
      <c r="G12" s="441"/>
      <c r="H12" s="431"/>
      <c r="I12" s="219"/>
      <c r="J12" s="91"/>
      <c r="K12" s="91"/>
    </row>
    <row r="13" spans="1:11" x14ac:dyDescent="0.25">
      <c r="A13" s="65" t="s">
        <v>145</v>
      </c>
      <c r="B13" s="453">
        <v>112096</v>
      </c>
      <c r="C13" s="454">
        <v>191505</v>
      </c>
      <c r="D13" s="103">
        <f>'2021.10'!C165</f>
        <v>51.1</v>
      </c>
      <c r="E13" s="351">
        <v>82.2</v>
      </c>
      <c r="F13" s="441"/>
      <c r="G13" s="441"/>
      <c r="H13" s="431"/>
      <c r="I13" s="219"/>
      <c r="J13" s="91"/>
      <c r="K13" s="91"/>
    </row>
    <row r="14" spans="1:11" x14ac:dyDescent="0.25">
      <c r="A14" s="65" t="s">
        <v>146</v>
      </c>
      <c r="B14" s="453">
        <v>112096</v>
      </c>
      <c r="C14" s="454">
        <v>191467</v>
      </c>
      <c r="D14" s="103">
        <f>'2021.11'!C165</f>
        <v>50.9</v>
      </c>
      <c r="E14" s="351">
        <v>82.570000000000007</v>
      </c>
      <c r="F14" s="441"/>
      <c r="G14" s="441"/>
      <c r="H14" s="431"/>
      <c r="I14" s="219"/>
      <c r="J14" s="91"/>
      <c r="K14" s="91"/>
    </row>
    <row r="15" spans="1:11" x14ac:dyDescent="0.25">
      <c r="A15" s="65" t="s">
        <v>147</v>
      </c>
      <c r="B15" s="453">
        <v>112096</v>
      </c>
      <c r="C15" s="454">
        <v>191877</v>
      </c>
      <c r="D15" s="103">
        <f>'2021.12'!C165</f>
        <v>50.9</v>
      </c>
      <c r="E15" s="351">
        <v>82.2</v>
      </c>
      <c r="F15" s="441"/>
      <c r="G15" s="441"/>
      <c r="H15" s="431"/>
      <c r="I15" s="219"/>
      <c r="J15" s="91"/>
      <c r="K15" s="91"/>
    </row>
    <row r="16" spans="1:11" x14ac:dyDescent="0.25">
      <c r="A16" s="65" t="s">
        <v>151</v>
      </c>
      <c r="B16" s="453">
        <v>112096</v>
      </c>
      <c r="C16" s="454">
        <v>192033</v>
      </c>
      <c r="D16" s="103">
        <f>'2022.1'!C165</f>
        <v>50.4</v>
      </c>
      <c r="E16" s="351">
        <v>82.48</v>
      </c>
      <c r="F16" s="441"/>
      <c r="G16" s="441"/>
      <c r="H16" s="431"/>
      <c r="I16" s="219"/>
      <c r="J16" s="91"/>
      <c r="K16" s="91"/>
    </row>
    <row r="17" spans="1:11" x14ac:dyDescent="0.25">
      <c r="A17" s="65" t="s">
        <v>148</v>
      </c>
      <c r="B17" s="453">
        <v>112096</v>
      </c>
      <c r="C17" s="454">
        <v>191973</v>
      </c>
      <c r="D17" s="103">
        <f>'2022.2'!C165</f>
        <v>50.3</v>
      </c>
      <c r="E17" s="351">
        <v>82.570000000000007</v>
      </c>
      <c r="F17" s="441"/>
      <c r="G17" s="441"/>
      <c r="H17" s="431"/>
      <c r="I17" s="219"/>
      <c r="J17" s="91"/>
      <c r="K17" s="91"/>
    </row>
    <row r="18" spans="1:11" x14ac:dyDescent="0.25">
      <c r="A18" s="65" t="s">
        <v>149</v>
      </c>
      <c r="B18" s="453">
        <v>112096</v>
      </c>
      <c r="C18" s="454">
        <v>192076</v>
      </c>
      <c r="D18" s="103">
        <f>'2022.3'!C165</f>
        <v>51</v>
      </c>
      <c r="E18" s="351">
        <v>81.93</v>
      </c>
      <c r="F18" s="441"/>
      <c r="G18" s="441"/>
      <c r="H18" s="431"/>
      <c r="I18" s="219"/>
      <c r="J18" s="91"/>
      <c r="K18" s="91"/>
    </row>
    <row r="19" spans="1:11" s="348" customFormat="1" x14ac:dyDescent="0.25">
      <c r="A19" s="349" t="s">
        <v>342</v>
      </c>
      <c r="B19" s="455">
        <v>112096</v>
      </c>
      <c r="C19" s="456">
        <v>191796</v>
      </c>
      <c r="D19" s="439">
        <f>'2022.4'!C165</f>
        <v>51.4</v>
      </c>
      <c r="E19" s="440">
        <v>82.39</v>
      </c>
      <c r="F19" s="441"/>
      <c r="G19" s="441"/>
      <c r="H19" s="431"/>
      <c r="I19" s="219"/>
      <c r="J19" s="91"/>
      <c r="K19" s="91"/>
    </row>
    <row r="20" spans="1:11" s="348" customFormat="1" x14ac:dyDescent="0.25">
      <c r="A20" s="349" t="s">
        <v>343</v>
      </c>
      <c r="B20" s="455">
        <v>112096</v>
      </c>
      <c r="C20" s="456">
        <v>192046</v>
      </c>
      <c r="D20" s="439">
        <f>'2022.5'!C165</f>
        <v>50.9</v>
      </c>
      <c r="E20" s="440">
        <v>82.2</v>
      </c>
      <c r="F20" s="441"/>
      <c r="G20" s="441"/>
      <c r="H20" s="431"/>
      <c r="I20" s="219"/>
      <c r="J20" s="91"/>
      <c r="K20" s="91"/>
    </row>
    <row r="21" spans="1:11" s="348" customFormat="1" x14ac:dyDescent="0.25">
      <c r="A21" s="349" t="s">
        <v>344</v>
      </c>
      <c r="B21" s="455">
        <v>112096</v>
      </c>
      <c r="C21" s="456">
        <v>191783</v>
      </c>
      <c r="D21" s="439">
        <f>'2022.6'!C165</f>
        <v>50.8</v>
      </c>
      <c r="E21" s="440">
        <v>82.300000000000011</v>
      </c>
      <c r="F21" s="441"/>
      <c r="G21" s="441"/>
      <c r="H21" s="431"/>
      <c r="I21" s="219"/>
      <c r="J21" s="91"/>
      <c r="K21" s="91"/>
    </row>
    <row r="22" spans="1:11" ht="13.8" thickBot="1" x14ac:dyDescent="0.3">
      <c r="A22" s="92" t="s">
        <v>108</v>
      </c>
      <c r="B22" s="457">
        <f>AVERAGE(B4:B21)</f>
        <v>112096</v>
      </c>
      <c r="C22" s="458">
        <f>AVERAGE(C4:C21)</f>
        <v>191825</v>
      </c>
      <c r="D22" s="93">
        <f>AVERAGE(D4:D21)</f>
        <v>50.999999999999993</v>
      </c>
      <c r="E22" s="444">
        <f>AVERAGE(E4:E21)</f>
        <v>82.27500000000002</v>
      </c>
      <c r="G22" s="91"/>
      <c r="H22" s="91"/>
      <c r="I22" s="219"/>
      <c r="J22" s="91"/>
      <c r="K22" s="91"/>
    </row>
    <row r="23" spans="1:11" x14ac:dyDescent="0.25">
      <c r="E23" s="94"/>
    </row>
    <row r="24" spans="1:11" ht="13.8" thickBot="1" x14ac:dyDescent="0.3"/>
    <row r="25" spans="1:11" ht="26.55" customHeight="1" x14ac:dyDescent="0.25">
      <c r="A25" s="616" t="s">
        <v>387</v>
      </c>
      <c r="B25" s="617"/>
    </row>
    <row r="26" spans="1:11" ht="15.6" x14ac:dyDescent="0.35">
      <c r="A26" s="95" t="s">
        <v>136</v>
      </c>
      <c r="B26" s="261" t="s">
        <v>206</v>
      </c>
    </row>
    <row r="27" spans="1:11" x14ac:dyDescent="0.25">
      <c r="A27" s="65" t="str">
        <f t="shared" ref="A27:A41" si="0">A4</f>
        <v>01/01/2021-31/01/2021</v>
      </c>
      <c r="B27" s="346">
        <v>95.962799999999987</v>
      </c>
      <c r="D27" s="443"/>
      <c r="E27" s="367"/>
    </row>
    <row r="28" spans="1:11" x14ac:dyDescent="0.25">
      <c r="A28" s="65" t="str">
        <f t="shared" si="0"/>
        <v>01/02/2021-28/02/2021</v>
      </c>
      <c r="B28" s="346">
        <v>86.763599999999997</v>
      </c>
      <c r="D28" s="443"/>
      <c r="E28" s="367"/>
    </row>
    <row r="29" spans="1:11" x14ac:dyDescent="0.25">
      <c r="A29" s="65" t="str">
        <f t="shared" si="0"/>
        <v>01/03/2021-31/03/3021</v>
      </c>
      <c r="B29" s="346">
        <v>96.149999999999991</v>
      </c>
      <c r="D29" s="443"/>
      <c r="E29" s="367"/>
    </row>
    <row r="30" spans="1:11" x14ac:dyDescent="0.25">
      <c r="A30" s="65" t="str">
        <f t="shared" si="0"/>
        <v>01/04/2021-30/04/2021</v>
      </c>
      <c r="B30" s="346">
        <v>93.142799999999994</v>
      </c>
      <c r="D30" s="70"/>
      <c r="E30" s="367"/>
    </row>
    <row r="31" spans="1:11" ht="13.5" customHeight="1" x14ac:dyDescent="0.25">
      <c r="A31" s="65" t="str">
        <f t="shared" si="0"/>
        <v>01/05/2021-31/05/2021</v>
      </c>
      <c r="B31" s="346">
        <v>96.341999999999999</v>
      </c>
      <c r="D31" s="70"/>
      <c r="E31" s="367"/>
    </row>
    <row r="32" spans="1:11" ht="13.5" customHeight="1" x14ac:dyDescent="0.25">
      <c r="A32" s="65" t="str">
        <f t="shared" si="0"/>
        <v>01/06/2021-30/06/2021</v>
      </c>
      <c r="B32" s="346">
        <v>94.343999999999994</v>
      </c>
      <c r="D32" s="70"/>
      <c r="E32" s="367"/>
    </row>
    <row r="33" spans="1:9" ht="13.5" customHeight="1" x14ac:dyDescent="0.25">
      <c r="A33" s="65" t="str">
        <f t="shared" si="0"/>
        <v>01/07/2021-31/07/2021</v>
      </c>
      <c r="B33" s="346">
        <v>96.531599999999997</v>
      </c>
      <c r="D33" s="70"/>
      <c r="E33" s="367"/>
    </row>
    <row r="34" spans="1:9" ht="13.5" customHeight="1" x14ac:dyDescent="0.25">
      <c r="A34" s="65" t="str">
        <f t="shared" si="0"/>
        <v>01/08/2021-31/08/2021</v>
      </c>
      <c r="B34" s="346">
        <v>96.627599999999987</v>
      </c>
      <c r="D34" s="70"/>
      <c r="E34" s="367"/>
    </row>
    <row r="35" spans="1:9" ht="13.5" customHeight="1" x14ac:dyDescent="0.25">
      <c r="A35" s="65" t="str">
        <f t="shared" si="0"/>
        <v>01/09/2021-30/09/2021</v>
      </c>
      <c r="B35" s="346">
        <v>93.6</v>
      </c>
      <c r="D35" s="70"/>
      <c r="E35" s="367"/>
    </row>
    <row r="36" spans="1:9" ht="13.5" customHeight="1" x14ac:dyDescent="0.25">
      <c r="A36" s="65" t="str">
        <f t="shared" si="0"/>
        <v>01/10/2021-31/10/2021</v>
      </c>
      <c r="B36" s="346">
        <v>96.816000000000003</v>
      </c>
      <c r="D36" s="70"/>
      <c r="E36" s="367"/>
    </row>
    <row r="37" spans="1:9" ht="13.5" customHeight="1" x14ac:dyDescent="0.25">
      <c r="A37" s="65" t="str">
        <f t="shared" si="0"/>
        <v>01/11/2021-30/11/2021</v>
      </c>
      <c r="B37" s="346">
        <v>93.786000000000001</v>
      </c>
      <c r="D37" s="70"/>
      <c r="E37" s="367"/>
    </row>
    <row r="38" spans="1:9" x14ac:dyDescent="0.25">
      <c r="A38" s="65" t="str">
        <f t="shared" si="0"/>
        <v>01/12/2021-31/12/2021</v>
      </c>
      <c r="B38" s="346">
        <v>97.005600000000001</v>
      </c>
      <c r="D38" s="70"/>
      <c r="E38" s="367"/>
    </row>
    <row r="39" spans="1:9" x14ac:dyDescent="0.25">
      <c r="A39" s="65" t="str">
        <f t="shared" si="0"/>
        <v>01/01/2022-31/01/2022</v>
      </c>
      <c r="B39" s="346">
        <v>97.100399999999993</v>
      </c>
      <c r="D39" s="70"/>
      <c r="E39" s="367"/>
    </row>
    <row r="40" spans="1:9" x14ac:dyDescent="0.25">
      <c r="A40" s="65" t="str">
        <f t="shared" si="0"/>
        <v>01/02/2022-28/02/2022</v>
      </c>
      <c r="B40" s="346">
        <v>87.79079999999999</v>
      </c>
      <c r="D40" s="70"/>
      <c r="E40" s="367"/>
    </row>
    <row r="41" spans="1:9" x14ac:dyDescent="0.25">
      <c r="A41" s="65" t="str">
        <f t="shared" si="0"/>
        <v>01/03/2022-31/03/2022</v>
      </c>
      <c r="B41" s="346">
        <v>97.287600000000012</v>
      </c>
      <c r="D41" s="70"/>
      <c r="E41" s="367"/>
    </row>
    <row r="42" spans="1:9" s="348" customFormat="1" x14ac:dyDescent="0.25">
      <c r="A42" s="349" t="s">
        <v>342</v>
      </c>
      <c r="B42" s="350">
        <v>94.2864</v>
      </c>
      <c r="D42" s="70"/>
      <c r="E42" s="367"/>
      <c r="I42" s="70"/>
    </row>
    <row r="43" spans="1:9" s="348" customFormat="1" x14ac:dyDescent="0.25">
      <c r="A43" s="349" t="s">
        <v>343</v>
      </c>
      <c r="B43" s="350">
        <v>97.066799999999986</v>
      </c>
      <c r="D43" s="70"/>
      <c r="E43" s="367"/>
      <c r="I43" s="70"/>
    </row>
    <row r="44" spans="1:9" s="348" customFormat="1" x14ac:dyDescent="0.25">
      <c r="A44" s="349" t="s">
        <v>344</v>
      </c>
      <c r="B44" s="350">
        <v>94.492800000000003</v>
      </c>
      <c r="D44" s="70"/>
      <c r="E44" s="367"/>
      <c r="I44" s="70"/>
    </row>
    <row r="45" spans="1:9" ht="13.8" thickBot="1" x14ac:dyDescent="0.3">
      <c r="A45" s="86" t="s">
        <v>74</v>
      </c>
      <c r="B45" s="347">
        <f>SUM(B27:B44)</f>
        <v>1705.0968</v>
      </c>
    </row>
    <row r="49" spans="1:18" ht="13.8" thickBot="1" x14ac:dyDescent="0.3"/>
    <row r="50" spans="1:18" ht="30" x14ac:dyDescent="0.35">
      <c r="A50" s="96" t="str">
        <f t="shared" ref="A50:A65" si="1">A26</f>
        <v>Time interval</v>
      </c>
      <c r="B50" s="97" t="s">
        <v>207</v>
      </c>
      <c r="C50" s="97" t="s">
        <v>208</v>
      </c>
      <c r="D50" s="97" t="s">
        <v>106</v>
      </c>
      <c r="E50" s="98" t="s">
        <v>209</v>
      </c>
      <c r="F50" s="98" t="s">
        <v>102</v>
      </c>
      <c r="G50" s="98" t="s">
        <v>210</v>
      </c>
      <c r="H50" s="98" t="s">
        <v>103</v>
      </c>
      <c r="I50" s="371" t="s">
        <v>104</v>
      </c>
      <c r="J50" s="99" t="s">
        <v>211</v>
      </c>
      <c r="K50" s="98" t="s">
        <v>212</v>
      </c>
      <c r="L50" s="98" t="s">
        <v>213</v>
      </c>
      <c r="M50" s="97" t="s">
        <v>214</v>
      </c>
      <c r="N50" s="278" t="s">
        <v>317</v>
      </c>
    </row>
    <row r="51" spans="1:18" x14ac:dyDescent="0.25">
      <c r="A51" s="65" t="str">
        <f t="shared" si="1"/>
        <v>01/01/2021-31/01/2021</v>
      </c>
      <c r="B51" s="101">
        <v>2420072.9900000002</v>
      </c>
      <c r="C51" s="101">
        <v>2371671.52</v>
      </c>
      <c r="D51" s="102">
        <v>0</v>
      </c>
      <c r="E51" s="103">
        <v>35.6</v>
      </c>
      <c r="F51" s="103">
        <f t="shared" ref="F51:F68" si="2">E51+273.15</f>
        <v>308.75</v>
      </c>
      <c r="G51" s="359">
        <f t="shared" ref="G51:G68" si="3">101.325*1000</f>
        <v>101325</v>
      </c>
      <c r="H51" s="359">
        <v>16.04</v>
      </c>
      <c r="I51" s="104">
        <v>8314</v>
      </c>
      <c r="J51" s="105">
        <f t="shared" ref="J51:J68" si="4">ROUND(G51*H51/F51/I51,2)/1000</f>
        <v>6.3000000000000003E-4</v>
      </c>
      <c r="K51" s="451">
        <v>62.629999999999995</v>
      </c>
      <c r="L51" s="106">
        <f t="shared" ref="L51:L68" si="5">B51</f>
        <v>2420072.9900000002</v>
      </c>
      <c r="M51" s="103">
        <f>J51*K51*L51/100</f>
        <v>954.88577959130998</v>
      </c>
      <c r="N51" s="351">
        <f>L51*J51*K51/100*28</f>
        <v>26736.801828556683</v>
      </c>
      <c r="P51" s="295"/>
    </row>
    <row r="52" spans="1:18" x14ac:dyDescent="0.25">
      <c r="A52" s="65" t="str">
        <f t="shared" si="1"/>
        <v>01/02/2021-28/02/2021</v>
      </c>
      <c r="B52" s="101">
        <v>2190171.41</v>
      </c>
      <c r="C52" s="101">
        <v>2146367.9900000002</v>
      </c>
      <c r="D52" s="102">
        <v>0</v>
      </c>
      <c r="E52" s="103">
        <v>35.4</v>
      </c>
      <c r="F52" s="103">
        <f t="shared" si="2"/>
        <v>308.54999999999995</v>
      </c>
      <c r="G52" s="359">
        <f t="shared" si="3"/>
        <v>101325</v>
      </c>
      <c r="H52" s="359">
        <v>16.04</v>
      </c>
      <c r="I52" s="104">
        <v>8314</v>
      </c>
      <c r="J52" s="105">
        <f t="shared" si="4"/>
        <v>6.3000000000000003E-4</v>
      </c>
      <c r="K52" s="451">
        <v>60.33</v>
      </c>
      <c r="L52" s="106">
        <f t="shared" si="5"/>
        <v>2190171.41</v>
      </c>
      <c r="M52" s="103">
        <f t="shared" ref="M52:M68" si="6">J52*K52*L52/100</f>
        <v>832.43815934139002</v>
      </c>
      <c r="N52" s="351">
        <f t="shared" ref="N52:N68" si="7">L52*J52*K52/100*28</f>
        <v>23308.268461558924</v>
      </c>
      <c r="O52" s="435"/>
      <c r="P52" s="295"/>
    </row>
    <row r="53" spans="1:18" x14ac:dyDescent="0.25">
      <c r="A53" s="65" t="str">
        <f t="shared" si="1"/>
        <v>01/03/2021-31/03/3021</v>
      </c>
      <c r="B53" s="101">
        <v>2433218.2199999997</v>
      </c>
      <c r="C53" s="101">
        <v>2384553.8699999996</v>
      </c>
      <c r="D53" s="102">
        <v>0</v>
      </c>
      <c r="E53" s="103">
        <v>37</v>
      </c>
      <c r="F53" s="103">
        <f t="shared" si="2"/>
        <v>310.14999999999998</v>
      </c>
      <c r="G53" s="359">
        <f t="shared" si="3"/>
        <v>101325</v>
      </c>
      <c r="H53" s="359">
        <v>16.04</v>
      </c>
      <c r="I53" s="104">
        <v>8314</v>
      </c>
      <c r="J53" s="105">
        <f t="shared" si="4"/>
        <v>6.3000000000000003E-4</v>
      </c>
      <c r="K53" s="451">
        <v>63.129999999999995</v>
      </c>
      <c r="L53" s="106">
        <f t="shared" si="5"/>
        <v>2433218.2199999997</v>
      </c>
      <c r="M53" s="103">
        <f t="shared" si="6"/>
        <v>967.73711724017994</v>
      </c>
      <c r="N53" s="351">
        <f t="shared" si="7"/>
        <v>27096.639282725035</v>
      </c>
      <c r="O53" s="435"/>
      <c r="P53" s="295"/>
    </row>
    <row r="54" spans="1:18" x14ac:dyDescent="0.25">
      <c r="A54" s="65" t="str">
        <f t="shared" si="1"/>
        <v>01/04/2021-30/04/2021</v>
      </c>
      <c r="B54" s="101">
        <v>2360569.35</v>
      </c>
      <c r="C54" s="101">
        <v>2313357.9699999997</v>
      </c>
      <c r="D54" s="102">
        <v>0</v>
      </c>
      <c r="E54" s="103">
        <v>36.299999999999997</v>
      </c>
      <c r="F54" s="103">
        <f t="shared" si="2"/>
        <v>309.45</v>
      </c>
      <c r="G54" s="359">
        <f t="shared" si="3"/>
        <v>101325</v>
      </c>
      <c r="H54" s="359">
        <v>16.04</v>
      </c>
      <c r="I54" s="104">
        <v>8314</v>
      </c>
      <c r="J54" s="105">
        <f t="shared" si="4"/>
        <v>6.3000000000000003E-4</v>
      </c>
      <c r="K54" s="451">
        <v>59.82</v>
      </c>
      <c r="L54" s="106">
        <f t="shared" si="5"/>
        <v>2360569.35</v>
      </c>
      <c r="M54" s="103">
        <f t="shared" si="6"/>
        <v>889.61832865710005</v>
      </c>
      <c r="N54" s="351">
        <f t="shared" si="7"/>
        <v>24909.3132023988</v>
      </c>
      <c r="O54" s="435"/>
      <c r="P54" s="295"/>
    </row>
    <row r="55" spans="1:18" x14ac:dyDescent="0.25">
      <c r="A55" s="65" t="str">
        <f t="shared" si="1"/>
        <v>01/05/2021-31/05/2021</v>
      </c>
      <c r="B55" s="101">
        <v>2437323.1599999997</v>
      </c>
      <c r="C55" s="101">
        <v>2388576.71</v>
      </c>
      <c r="D55" s="102">
        <v>0</v>
      </c>
      <c r="E55" s="103">
        <v>35.799999999999997</v>
      </c>
      <c r="F55" s="103">
        <f t="shared" si="2"/>
        <v>308.95</v>
      </c>
      <c r="G55" s="359">
        <f t="shared" si="3"/>
        <v>101325</v>
      </c>
      <c r="H55" s="359">
        <v>16.04</v>
      </c>
      <c r="I55" s="104">
        <v>8314</v>
      </c>
      <c r="J55" s="105">
        <f t="shared" si="4"/>
        <v>6.3000000000000003E-4</v>
      </c>
      <c r="K55" s="451">
        <v>62.03</v>
      </c>
      <c r="L55" s="106">
        <f t="shared" si="5"/>
        <v>2437323.1599999997</v>
      </c>
      <c r="M55" s="103">
        <f t="shared" si="6"/>
        <v>952.47908037323987</v>
      </c>
      <c r="N55" s="351">
        <f t="shared" si="7"/>
        <v>26669.414250450718</v>
      </c>
      <c r="O55" s="435"/>
      <c r="P55" s="295"/>
    </row>
    <row r="56" spans="1:18" x14ac:dyDescent="0.25">
      <c r="A56" s="65" t="str">
        <f t="shared" si="1"/>
        <v>01/06/2021-30/06/2021</v>
      </c>
      <c r="B56" s="101">
        <v>2357001.5799999996</v>
      </c>
      <c r="C56" s="101">
        <v>2309861.54</v>
      </c>
      <c r="D56" s="102">
        <v>0</v>
      </c>
      <c r="E56" s="103">
        <v>37.299999999999997</v>
      </c>
      <c r="F56" s="103">
        <f t="shared" si="2"/>
        <v>310.45</v>
      </c>
      <c r="G56" s="359">
        <f t="shared" si="3"/>
        <v>101325</v>
      </c>
      <c r="H56" s="359">
        <v>16.04</v>
      </c>
      <c r="I56" s="104">
        <v>8314</v>
      </c>
      <c r="J56" s="105">
        <f t="shared" si="4"/>
        <v>6.3000000000000003E-4</v>
      </c>
      <c r="K56" s="451">
        <v>62.43</v>
      </c>
      <c r="L56" s="106">
        <f t="shared" si="5"/>
        <v>2357001.5799999996</v>
      </c>
      <c r="M56" s="103">
        <f t="shared" si="6"/>
        <v>927.0299344282198</v>
      </c>
      <c r="N56" s="351">
        <f t="shared" si="7"/>
        <v>25956.838163990156</v>
      </c>
      <c r="O56" s="435"/>
      <c r="P56" s="295"/>
    </row>
    <row r="57" spans="1:18" x14ac:dyDescent="0.25">
      <c r="A57" s="65" t="str">
        <f t="shared" si="1"/>
        <v>01/07/2021-31/07/2021</v>
      </c>
      <c r="B57" s="101">
        <v>2419449.12</v>
      </c>
      <c r="C57" s="101">
        <v>2371060.15</v>
      </c>
      <c r="D57" s="102">
        <v>0</v>
      </c>
      <c r="E57" s="103">
        <v>36.5</v>
      </c>
      <c r="F57" s="103">
        <f t="shared" si="2"/>
        <v>309.64999999999998</v>
      </c>
      <c r="G57" s="359">
        <f t="shared" si="3"/>
        <v>101325</v>
      </c>
      <c r="H57" s="359">
        <v>16.04</v>
      </c>
      <c r="I57" s="104">
        <v>8314</v>
      </c>
      <c r="J57" s="105">
        <f t="shared" si="4"/>
        <v>6.3000000000000003E-4</v>
      </c>
      <c r="K57" s="451">
        <v>59.82</v>
      </c>
      <c r="L57" s="106">
        <f t="shared" si="5"/>
        <v>2419449.12</v>
      </c>
      <c r="M57" s="103">
        <f t="shared" si="6"/>
        <v>911.80811205792008</v>
      </c>
      <c r="N57" s="351">
        <f t="shared" si="7"/>
        <v>25530.627137621763</v>
      </c>
      <c r="O57" s="435"/>
      <c r="P57" s="295"/>
    </row>
    <row r="58" spans="1:18" x14ac:dyDescent="0.25">
      <c r="A58" s="65" t="str">
        <f t="shared" si="1"/>
        <v>01/08/2021-31/08/2021</v>
      </c>
      <c r="B58" s="101">
        <v>2417403.4499999997</v>
      </c>
      <c r="C58" s="101">
        <v>2369055.3899999997</v>
      </c>
      <c r="D58" s="102">
        <v>0</v>
      </c>
      <c r="E58" s="103">
        <v>37.9</v>
      </c>
      <c r="F58" s="103">
        <f t="shared" si="2"/>
        <v>311.04999999999995</v>
      </c>
      <c r="G58" s="359">
        <f t="shared" si="3"/>
        <v>101325</v>
      </c>
      <c r="H58" s="359">
        <v>16.04</v>
      </c>
      <c r="I58" s="104">
        <v>8314</v>
      </c>
      <c r="J58" s="105">
        <f t="shared" si="4"/>
        <v>6.3000000000000003E-4</v>
      </c>
      <c r="K58" s="451">
        <v>62.33</v>
      </c>
      <c r="L58" s="106">
        <f t="shared" si="5"/>
        <v>2417403.4499999997</v>
      </c>
      <c r="M58" s="103">
        <f t="shared" si="6"/>
        <v>949.26356934254989</v>
      </c>
      <c r="N58" s="351">
        <f t="shared" si="7"/>
        <v>26579.379941591396</v>
      </c>
      <c r="O58" s="435"/>
      <c r="P58" s="295"/>
    </row>
    <row r="59" spans="1:18" x14ac:dyDescent="0.25">
      <c r="A59" s="65" t="str">
        <f t="shared" si="1"/>
        <v>01/09/2021-30/09/2021</v>
      </c>
      <c r="B59" s="101">
        <v>2340321.3199999998</v>
      </c>
      <c r="C59" s="101">
        <v>2293514.9</v>
      </c>
      <c r="D59" s="102">
        <v>0</v>
      </c>
      <c r="E59" s="103">
        <v>35</v>
      </c>
      <c r="F59" s="103">
        <f t="shared" si="2"/>
        <v>308.14999999999998</v>
      </c>
      <c r="G59" s="359">
        <f t="shared" si="3"/>
        <v>101325</v>
      </c>
      <c r="H59" s="359">
        <v>16.04</v>
      </c>
      <c r="I59" s="104">
        <v>8314</v>
      </c>
      <c r="J59" s="105">
        <f t="shared" si="4"/>
        <v>6.3000000000000003E-4</v>
      </c>
      <c r="K59" s="451">
        <v>60.83</v>
      </c>
      <c r="L59" s="106">
        <f t="shared" si="5"/>
        <v>2340321.3199999998</v>
      </c>
      <c r="M59" s="103">
        <f t="shared" si="6"/>
        <v>896.87899914227989</v>
      </c>
      <c r="N59" s="351">
        <f t="shared" si="7"/>
        <v>25112.611975983837</v>
      </c>
      <c r="O59" s="435"/>
      <c r="P59" s="295"/>
    </row>
    <row r="60" spans="1:18" x14ac:dyDescent="0.25">
      <c r="A60" s="65" t="str">
        <f t="shared" si="1"/>
        <v>01/10/2021-31/10/2021</v>
      </c>
      <c r="B60" s="101">
        <v>2415746.04</v>
      </c>
      <c r="C60" s="101">
        <v>2367431.12</v>
      </c>
      <c r="D60" s="102">
        <v>0</v>
      </c>
      <c r="E60" s="103">
        <v>37.9</v>
      </c>
      <c r="F60" s="103">
        <f t="shared" si="2"/>
        <v>311.04999999999995</v>
      </c>
      <c r="G60" s="359">
        <f t="shared" si="3"/>
        <v>101325</v>
      </c>
      <c r="H60" s="359">
        <v>16.04</v>
      </c>
      <c r="I60" s="104">
        <v>8314</v>
      </c>
      <c r="J60" s="105">
        <f t="shared" si="4"/>
        <v>6.3000000000000003E-4</v>
      </c>
      <c r="K60" s="451">
        <v>62.23</v>
      </c>
      <c r="L60" s="106">
        <f t="shared" si="5"/>
        <v>2415746.04</v>
      </c>
      <c r="M60" s="103">
        <f t="shared" si="6"/>
        <v>947.09081923596011</v>
      </c>
      <c r="N60" s="351">
        <f t="shared" si="7"/>
        <v>26518.542938606883</v>
      </c>
      <c r="O60" s="435"/>
      <c r="P60" s="295"/>
    </row>
    <row r="61" spans="1:18" x14ac:dyDescent="0.25">
      <c r="A61" s="65" t="str">
        <f t="shared" si="1"/>
        <v>01/11/2021-30/11/2021</v>
      </c>
      <c r="B61" s="101">
        <v>2337778.0100000002</v>
      </c>
      <c r="C61" s="101">
        <v>2291022.44</v>
      </c>
      <c r="D61" s="102">
        <v>0</v>
      </c>
      <c r="E61" s="103">
        <v>37.1</v>
      </c>
      <c r="F61" s="103">
        <f t="shared" si="2"/>
        <v>310.25</v>
      </c>
      <c r="G61" s="359">
        <f t="shared" si="3"/>
        <v>101325</v>
      </c>
      <c r="H61" s="359">
        <v>16.04</v>
      </c>
      <c r="I61" s="104">
        <v>8314</v>
      </c>
      <c r="J61" s="105">
        <f t="shared" si="4"/>
        <v>6.3000000000000003E-4</v>
      </c>
      <c r="K61" s="451">
        <v>61.629999999999995</v>
      </c>
      <c r="L61" s="106">
        <f t="shared" si="5"/>
        <v>2337778.0100000002</v>
      </c>
      <c r="M61" s="103">
        <f t="shared" si="6"/>
        <v>907.68673016469006</v>
      </c>
      <c r="N61" s="351">
        <f t="shared" si="7"/>
        <v>25415.228444611323</v>
      </c>
      <c r="O61" s="435"/>
      <c r="P61" s="295"/>
    </row>
    <row r="62" spans="1:18" x14ac:dyDescent="0.25">
      <c r="A62" s="65" t="str">
        <f t="shared" si="1"/>
        <v>01/12/2021-31/12/2021</v>
      </c>
      <c r="B62" s="101">
        <v>2419079.1399999997</v>
      </c>
      <c r="C62" s="101">
        <v>2370697.56</v>
      </c>
      <c r="D62" s="102">
        <v>0</v>
      </c>
      <c r="E62" s="103">
        <v>37.9</v>
      </c>
      <c r="F62" s="103">
        <f t="shared" si="2"/>
        <v>311.04999999999995</v>
      </c>
      <c r="G62" s="359">
        <f t="shared" si="3"/>
        <v>101325</v>
      </c>
      <c r="H62" s="359">
        <v>16.04</v>
      </c>
      <c r="I62" s="104">
        <v>8314</v>
      </c>
      <c r="J62" s="105">
        <f t="shared" si="4"/>
        <v>6.3000000000000003E-4</v>
      </c>
      <c r="K62" s="451">
        <v>62.53</v>
      </c>
      <c r="L62" s="106">
        <f t="shared" si="5"/>
        <v>2419079.1399999997</v>
      </c>
      <c r="M62" s="103">
        <f t="shared" si="6"/>
        <v>952.96961733245985</v>
      </c>
      <c r="N62" s="351">
        <f t="shared" si="7"/>
        <v>26683.149285308875</v>
      </c>
      <c r="O62" s="435"/>
      <c r="P62" s="295"/>
    </row>
    <row r="63" spans="1:18" x14ac:dyDescent="0.25">
      <c r="A63" s="65" t="str">
        <f t="shared" si="1"/>
        <v>01/01/2022-31/01/2022</v>
      </c>
      <c r="B63" s="101">
        <v>2420345.0100000002</v>
      </c>
      <c r="C63" s="101">
        <v>2371938.12</v>
      </c>
      <c r="D63" s="102">
        <v>0</v>
      </c>
      <c r="E63" s="103">
        <v>36.200000000000003</v>
      </c>
      <c r="F63" s="103">
        <f t="shared" si="2"/>
        <v>309.34999999999997</v>
      </c>
      <c r="G63" s="359">
        <f t="shared" si="3"/>
        <v>101325</v>
      </c>
      <c r="H63" s="359">
        <v>16.04</v>
      </c>
      <c r="I63" s="104">
        <v>8314</v>
      </c>
      <c r="J63" s="105">
        <f t="shared" si="4"/>
        <v>6.3000000000000003E-4</v>
      </c>
      <c r="K63" s="451">
        <v>62.08</v>
      </c>
      <c r="L63" s="106">
        <f t="shared" si="5"/>
        <v>2420345.0100000002</v>
      </c>
      <c r="M63" s="103">
        <f t="shared" si="6"/>
        <v>946.60661479104022</v>
      </c>
      <c r="N63" s="351">
        <f t="shared" si="7"/>
        <v>26504.985214149125</v>
      </c>
      <c r="O63" s="435"/>
      <c r="P63" s="295"/>
      <c r="Q63" s="91"/>
      <c r="R63" s="91"/>
    </row>
    <row r="64" spans="1:18" x14ac:dyDescent="0.25">
      <c r="A64" s="65" t="str">
        <f t="shared" si="1"/>
        <v>01/02/2022-28/02/2022</v>
      </c>
      <c r="B64" s="101">
        <v>2185709.5300000003</v>
      </c>
      <c r="C64" s="101">
        <v>2141995.3400000003</v>
      </c>
      <c r="D64" s="102">
        <v>0</v>
      </c>
      <c r="E64" s="103">
        <v>36.9</v>
      </c>
      <c r="F64" s="103">
        <f t="shared" si="2"/>
        <v>310.04999999999995</v>
      </c>
      <c r="G64" s="359">
        <f t="shared" si="3"/>
        <v>101325</v>
      </c>
      <c r="H64" s="359">
        <v>16.04</v>
      </c>
      <c r="I64" s="104">
        <v>8314</v>
      </c>
      <c r="J64" s="105">
        <f t="shared" si="4"/>
        <v>6.3000000000000003E-4</v>
      </c>
      <c r="K64" s="451">
        <v>60.73</v>
      </c>
      <c r="L64" s="106">
        <f t="shared" si="5"/>
        <v>2185709.5300000003</v>
      </c>
      <c r="M64" s="103">
        <f t="shared" si="6"/>
        <v>836.25028046847012</v>
      </c>
      <c r="N64" s="351">
        <f t="shared" si="7"/>
        <v>23415.007853117164</v>
      </c>
      <c r="O64" s="435"/>
      <c r="P64" s="295"/>
      <c r="Q64" s="91"/>
      <c r="R64" s="91"/>
    </row>
    <row r="65" spans="1:19" x14ac:dyDescent="0.25">
      <c r="A65" s="65" t="str">
        <f t="shared" si="1"/>
        <v>01/03/2022-31/03/2022</v>
      </c>
      <c r="B65" s="101">
        <v>2420737.88</v>
      </c>
      <c r="C65" s="101">
        <v>2372323.11</v>
      </c>
      <c r="D65" s="102">
        <v>0</v>
      </c>
      <c r="E65" s="103">
        <v>35.200000000000003</v>
      </c>
      <c r="F65" s="103">
        <f t="shared" si="2"/>
        <v>308.34999999999997</v>
      </c>
      <c r="G65" s="359">
        <f t="shared" si="3"/>
        <v>101325</v>
      </c>
      <c r="H65" s="359">
        <v>16.04</v>
      </c>
      <c r="I65" s="104">
        <v>8314</v>
      </c>
      <c r="J65" s="105">
        <f>ROUND(G65*H65/F65/I65,2)/1000</f>
        <v>6.3000000000000003E-4</v>
      </c>
      <c r="K65" s="451">
        <v>61.27</v>
      </c>
      <c r="L65" s="106">
        <f t="shared" si="5"/>
        <v>2420737.88</v>
      </c>
      <c r="M65" s="103">
        <f t="shared" si="6"/>
        <v>934.40724241788007</v>
      </c>
      <c r="N65" s="351">
        <f t="shared" si="7"/>
        <v>26163.402787700641</v>
      </c>
      <c r="O65" s="435"/>
      <c r="P65" s="295"/>
      <c r="Q65" s="91"/>
      <c r="R65" s="91"/>
    </row>
    <row r="66" spans="1:19" s="348" customFormat="1" x14ac:dyDescent="0.25">
      <c r="A66" s="349" t="s">
        <v>342</v>
      </c>
      <c r="B66" s="101">
        <v>2340515.8099999996</v>
      </c>
      <c r="C66" s="101">
        <v>2293705.5</v>
      </c>
      <c r="D66" s="102">
        <v>0</v>
      </c>
      <c r="E66" s="103">
        <v>35.200000000000003</v>
      </c>
      <c r="F66" s="103">
        <f t="shared" si="2"/>
        <v>308.34999999999997</v>
      </c>
      <c r="G66" s="359">
        <f t="shared" si="3"/>
        <v>101325</v>
      </c>
      <c r="H66" s="359">
        <v>16.04</v>
      </c>
      <c r="I66" s="104">
        <v>8314</v>
      </c>
      <c r="J66" s="105">
        <f t="shared" si="4"/>
        <v>6.3000000000000003E-4</v>
      </c>
      <c r="K66" s="451">
        <v>60.93</v>
      </c>
      <c r="L66" s="106">
        <f t="shared" si="5"/>
        <v>2340515.8099999996</v>
      </c>
      <c r="M66" s="103">
        <f t="shared" si="6"/>
        <v>898.42805831078977</v>
      </c>
      <c r="N66" s="351">
        <f t="shared" si="7"/>
        <v>25155.985632702112</v>
      </c>
      <c r="O66" s="435"/>
      <c r="Q66" s="91"/>
      <c r="R66" s="91"/>
    </row>
    <row r="67" spans="1:19" s="348" customFormat="1" x14ac:dyDescent="0.25">
      <c r="A67" s="349" t="s">
        <v>343</v>
      </c>
      <c r="B67" s="101">
        <v>2420549.04</v>
      </c>
      <c r="C67" s="101">
        <v>2372138.0700000003</v>
      </c>
      <c r="D67" s="102">
        <v>0</v>
      </c>
      <c r="E67" s="103">
        <v>36.1</v>
      </c>
      <c r="F67" s="103">
        <f t="shared" si="2"/>
        <v>309.25</v>
      </c>
      <c r="G67" s="359">
        <f t="shared" si="3"/>
        <v>101325</v>
      </c>
      <c r="H67" s="359">
        <v>16.04</v>
      </c>
      <c r="I67" s="104">
        <v>8314</v>
      </c>
      <c r="J67" s="105">
        <f t="shared" si="4"/>
        <v>6.3000000000000003E-4</v>
      </c>
      <c r="K67" s="451">
        <v>59.62</v>
      </c>
      <c r="L67" s="106">
        <f t="shared" si="5"/>
        <v>2420549.04</v>
      </c>
      <c r="M67" s="103">
        <f t="shared" si="6"/>
        <v>909.17274271823999</v>
      </c>
      <c r="N67" s="351">
        <f t="shared" si="7"/>
        <v>25456.836796110718</v>
      </c>
      <c r="O67" s="435"/>
      <c r="Q67" s="91"/>
      <c r="R67" s="91"/>
    </row>
    <row r="68" spans="1:19" s="348" customFormat="1" ht="13.8" thickBot="1" x14ac:dyDescent="0.3">
      <c r="A68" s="349" t="s">
        <v>344</v>
      </c>
      <c r="B68" s="101">
        <v>2340488.8200000003</v>
      </c>
      <c r="C68" s="101">
        <v>2293679.0500000003</v>
      </c>
      <c r="D68" s="102">
        <v>0</v>
      </c>
      <c r="E68" s="103">
        <v>36.6</v>
      </c>
      <c r="F68" s="103">
        <f t="shared" si="2"/>
        <v>309.75</v>
      </c>
      <c r="G68" s="359">
        <f t="shared" si="3"/>
        <v>101325</v>
      </c>
      <c r="H68" s="359">
        <v>16.04</v>
      </c>
      <c r="I68" s="104">
        <v>8314</v>
      </c>
      <c r="J68" s="105">
        <f t="shared" si="4"/>
        <v>6.3000000000000003E-4</v>
      </c>
      <c r="K68" s="451">
        <v>61.93</v>
      </c>
      <c r="L68" s="106">
        <f t="shared" si="5"/>
        <v>2340488.8200000003</v>
      </c>
      <c r="M68" s="103">
        <f t="shared" si="6"/>
        <v>913.16277752238011</v>
      </c>
      <c r="N68" s="440">
        <f t="shared" si="7"/>
        <v>25568.557770626641</v>
      </c>
      <c r="O68" s="435"/>
      <c r="Q68" s="91"/>
      <c r="R68" s="91"/>
    </row>
    <row r="69" spans="1:19" ht="13.8" thickBot="1" x14ac:dyDescent="0.3">
      <c r="A69" s="86" t="s">
        <v>394</v>
      </c>
      <c r="B69" s="107">
        <f>SUM(B51:B68)</f>
        <v>42676479.88000001</v>
      </c>
      <c r="C69" s="107">
        <f>SUM(C51:C68)</f>
        <v>41822950.349999994</v>
      </c>
      <c r="D69" s="449">
        <f>SUM(D51:D68)</f>
        <v>0</v>
      </c>
      <c r="E69" s="452">
        <f>AVERAGE(E51:E68)</f>
        <v>36.438888888888897</v>
      </c>
      <c r="F69" s="452">
        <f>AVERAGE(F51:F68)</f>
        <v>309.5888888888889</v>
      </c>
      <c r="G69" s="68"/>
      <c r="H69" s="68"/>
      <c r="I69" s="368"/>
      <c r="J69" s="369"/>
      <c r="K69" s="452">
        <f>AVERAGE(K51:K68)</f>
        <v>61.461111111111109</v>
      </c>
      <c r="L69" s="370">
        <f>SUM(L51:L68)</f>
        <v>42676479.88000001</v>
      </c>
      <c r="M69" s="446">
        <f>SUM(M51:M68)</f>
        <v>16527.913963136099</v>
      </c>
      <c r="N69" s="447">
        <f>INT(SUM(N51:N68))</f>
        <v>462781</v>
      </c>
      <c r="O69" s="445"/>
      <c r="Q69" s="108"/>
      <c r="R69" s="108"/>
    </row>
    <row r="70" spans="1:19" x14ac:dyDescent="0.25">
      <c r="A70" s="91"/>
      <c r="B70" s="91"/>
      <c r="C70" s="91"/>
      <c r="D70" s="109"/>
      <c r="E70" s="91"/>
      <c r="M70" s="110"/>
      <c r="N70" s="110"/>
      <c r="O70" s="110"/>
      <c r="P70" s="111"/>
      <c r="Q70" s="112"/>
      <c r="R70" s="113"/>
    </row>
    <row r="71" spans="1:19" ht="15.6" x14ac:dyDescent="0.35">
      <c r="B71" s="114"/>
      <c r="C71" s="114"/>
      <c r="E71" s="91"/>
      <c r="L71" s="115"/>
      <c r="M71" s="116" t="s">
        <v>395</v>
      </c>
      <c r="N71" s="117">
        <f>'Baseline emission'!B117</f>
        <v>482352</v>
      </c>
      <c r="O71" s="322"/>
      <c r="P71" s="117"/>
      <c r="Q71" s="94"/>
      <c r="R71" s="94"/>
      <c r="S71" s="114"/>
    </row>
    <row r="72" spans="1:19" x14ac:dyDescent="0.25">
      <c r="B72" s="450"/>
      <c r="C72" s="450"/>
      <c r="D72" s="115"/>
      <c r="E72" s="91"/>
      <c r="M72" s="110" t="s">
        <v>396</v>
      </c>
      <c r="N72" s="117">
        <f>'Project emission'!B102</f>
        <v>24310</v>
      </c>
      <c r="O72" s="110"/>
      <c r="P72" s="118"/>
      <c r="Q72" s="110"/>
      <c r="R72" s="119"/>
    </row>
    <row r="73" spans="1:19" x14ac:dyDescent="0.25">
      <c r="B73" s="450"/>
      <c r="C73" s="450"/>
      <c r="D73" s="120"/>
      <c r="E73" s="304"/>
      <c r="F73" s="304"/>
      <c r="M73" s="110" t="s">
        <v>397</v>
      </c>
      <c r="N73" s="437">
        <f>N71-N72</f>
        <v>458042</v>
      </c>
      <c r="O73" s="110"/>
      <c r="P73" s="117"/>
      <c r="Q73" s="111"/>
      <c r="R73" s="119"/>
    </row>
    <row r="74" spans="1:19" x14ac:dyDescent="0.25">
      <c r="B74" s="450"/>
      <c r="C74" s="450"/>
      <c r="D74" s="115"/>
      <c r="E74" s="304"/>
      <c r="F74" s="304"/>
      <c r="M74" s="110"/>
      <c r="N74" s="117">
        <f>N73-N69</f>
        <v>-4739</v>
      </c>
      <c r="O74" s="110"/>
      <c r="P74" s="121"/>
      <c r="Q74" s="111"/>
      <c r="R74" s="110"/>
    </row>
    <row r="75" spans="1:19" x14ac:dyDescent="0.25">
      <c r="B75" s="450"/>
      <c r="C75" s="450"/>
      <c r="D75" s="115"/>
      <c r="E75" s="304"/>
      <c r="F75" s="304"/>
      <c r="P75" s="122"/>
    </row>
    <row r="76" spans="1:19" x14ac:dyDescent="0.25">
      <c r="B76" s="450"/>
      <c r="C76" s="450"/>
      <c r="D76" s="115"/>
      <c r="E76" s="304"/>
      <c r="F76" s="304"/>
      <c r="P76" s="123"/>
    </row>
    <row r="77" spans="1:19" x14ac:dyDescent="0.25">
      <c r="B77" s="450"/>
      <c r="C77" s="450"/>
      <c r="D77" s="115"/>
      <c r="E77" s="91"/>
    </row>
    <row r="78" spans="1:19" x14ac:dyDescent="0.25">
      <c r="B78" s="450"/>
      <c r="C78" s="450"/>
      <c r="D78" s="115"/>
      <c r="E78" s="91"/>
    </row>
    <row r="79" spans="1:19" x14ac:dyDescent="0.25">
      <c r="B79" s="450"/>
      <c r="C79" s="450"/>
      <c r="D79" s="115"/>
      <c r="E79" s="91"/>
    </row>
    <row r="80" spans="1:19" x14ac:dyDescent="0.25">
      <c r="B80" s="450"/>
      <c r="C80" s="450"/>
      <c r="D80" s="115"/>
      <c r="E80" s="91"/>
    </row>
    <row r="81" spans="2:12" x14ac:dyDescent="0.25">
      <c r="B81" s="450"/>
      <c r="C81" s="450"/>
      <c r="D81" s="115"/>
      <c r="E81" s="91"/>
    </row>
    <row r="82" spans="2:12" x14ac:dyDescent="0.25">
      <c r="B82" s="450"/>
      <c r="C82" s="450"/>
      <c r="D82" s="115"/>
      <c r="E82" s="91"/>
    </row>
    <row r="83" spans="2:12" x14ac:dyDescent="0.25">
      <c r="B83" s="450"/>
      <c r="C83" s="450"/>
      <c r="E83" s="91"/>
    </row>
    <row r="84" spans="2:12" x14ac:dyDescent="0.25">
      <c r="B84" s="450"/>
      <c r="C84" s="450"/>
      <c r="E84" s="91"/>
    </row>
    <row r="85" spans="2:12" x14ac:dyDescent="0.25">
      <c r="B85" s="450"/>
      <c r="C85" s="450"/>
      <c r="E85" s="91"/>
    </row>
    <row r="86" spans="2:12" x14ac:dyDescent="0.25">
      <c r="B86" s="450"/>
      <c r="C86" s="450"/>
      <c r="E86" s="91"/>
      <c r="L86" s="124"/>
    </row>
    <row r="87" spans="2:12" x14ac:dyDescent="0.25">
      <c r="B87" s="450"/>
      <c r="C87" s="450"/>
      <c r="E87" s="91"/>
    </row>
    <row r="88" spans="2:12" x14ac:dyDescent="0.25">
      <c r="B88" s="450"/>
      <c r="C88" s="450"/>
      <c r="E88" s="91"/>
    </row>
    <row r="89" spans="2:12" x14ac:dyDescent="0.25">
      <c r="B89" s="450"/>
      <c r="C89" s="450"/>
      <c r="E89" s="91"/>
    </row>
    <row r="90" spans="2:12" x14ac:dyDescent="0.25">
      <c r="B90" s="115"/>
      <c r="C90" s="115"/>
      <c r="E90" s="91"/>
    </row>
    <row r="91" spans="2:12" x14ac:dyDescent="0.25">
      <c r="B91" s="115"/>
      <c r="C91" s="115"/>
      <c r="E91" s="91"/>
    </row>
    <row r="92" spans="2:12" x14ac:dyDescent="0.25">
      <c r="B92" s="115"/>
      <c r="C92" s="115"/>
      <c r="E92" s="91"/>
    </row>
    <row r="93" spans="2:12" x14ac:dyDescent="0.25">
      <c r="B93" s="115"/>
      <c r="C93" s="115"/>
      <c r="E93" s="91"/>
    </row>
    <row r="94" spans="2:12" x14ac:dyDescent="0.25">
      <c r="B94" s="115"/>
      <c r="C94" s="115"/>
      <c r="E94" s="91"/>
    </row>
    <row r="95" spans="2:12" x14ac:dyDescent="0.25">
      <c r="B95" s="115"/>
      <c r="C95" s="115"/>
      <c r="E95" s="91"/>
    </row>
    <row r="96" spans="2:12" x14ac:dyDescent="0.25">
      <c r="B96" s="115"/>
      <c r="C96" s="115"/>
      <c r="E96" s="91"/>
    </row>
    <row r="97" spans="2:15" x14ac:dyDescent="0.25">
      <c r="B97" s="115"/>
      <c r="C97" s="115"/>
      <c r="E97" s="91"/>
    </row>
    <row r="98" spans="2:15" x14ac:dyDescent="0.25">
      <c r="B98" s="115"/>
      <c r="C98" s="115"/>
      <c r="E98" s="91"/>
      <c r="N98" s="125"/>
      <c r="O98" s="125"/>
    </row>
    <row r="99" spans="2:15" x14ac:dyDescent="0.25">
      <c r="B99" s="115"/>
      <c r="C99" s="115"/>
      <c r="E99" s="91"/>
    </row>
    <row r="100" spans="2:15" x14ac:dyDescent="0.25">
      <c r="B100" s="115"/>
      <c r="C100" s="115"/>
      <c r="E100" s="91"/>
    </row>
    <row r="101" spans="2:15" x14ac:dyDescent="0.25">
      <c r="B101" s="115"/>
      <c r="C101" s="115"/>
      <c r="E101" s="91"/>
    </row>
    <row r="102" spans="2:15" x14ac:dyDescent="0.25">
      <c r="B102" s="115"/>
      <c r="C102" s="115"/>
      <c r="E102" s="91"/>
    </row>
    <row r="103" spans="2:15" x14ac:dyDescent="0.25">
      <c r="B103" s="115"/>
      <c r="C103" s="115"/>
      <c r="E103" s="91"/>
    </row>
    <row r="104" spans="2:15" x14ac:dyDescent="0.25">
      <c r="B104" s="115"/>
      <c r="C104" s="115"/>
      <c r="E104" s="91"/>
    </row>
    <row r="105" spans="2:15" x14ac:dyDescent="0.25">
      <c r="B105" s="115"/>
      <c r="C105" s="115"/>
    </row>
    <row r="106" spans="2:15" x14ac:dyDescent="0.25">
      <c r="B106" s="115"/>
      <c r="C106" s="115"/>
    </row>
    <row r="107" spans="2:15" x14ac:dyDescent="0.25">
      <c r="B107" s="115"/>
      <c r="C107" s="115"/>
    </row>
    <row r="108" spans="2:15" x14ac:dyDescent="0.25">
      <c r="B108" s="115"/>
      <c r="C108" s="115"/>
    </row>
    <row r="109" spans="2:15" x14ac:dyDescent="0.25">
      <c r="B109" s="115"/>
      <c r="C109" s="115"/>
    </row>
    <row r="110" spans="2:15" x14ac:dyDescent="0.25">
      <c r="B110" s="115"/>
      <c r="C110" s="115"/>
    </row>
    <row r="111" spans="2:15" x14ac:dyDescent="0.25">
      <c r="B111" s="115"/>
      <c r="C111" s="115"/>
    </row>
    <row r="112" spans="2:15" x14ac:dyDescent="0.25">
      <c r="B112" s="115"/>
      <c r="C112" s="115"/>
    </row>
    <row r="113" spans="2:3" x14ac:dyDescent="0.25">
      <c r="B113" s="115"/>
      <c r="C113" s="115"/>
    </row>
    <row r="114" spans="2:3" x14ac:dyDescent="0.25">
      <c r="B114" s="115"/>
      <c r="C114" s="115"/>
    </row>
    <row r="115" spans="2:3" x14ac:dyDescent="0.25">
      <c r="B115" s="115"/>
      <c r="C115" s="115"/>
    </row>
    <row r="116" spans="2:3" x14ac:dyDescent="0.25">
      <c r="B116" s="115"/>
      <c r="C116" s="115"/>
    </row>
    <row r="117" spans="2:3" x14ac:dyDescent="0.25">
      <c r="B117" s="115"/>
      <c r="C117" s="115"/>
    </row>
    <row r="118" spans="2:3" x14ac:dyDescent="0.25">
      <c r="B118" s="115"/>
      <c r="C118" s="115"/>
    </row>
    <row r="119" spans="2:3" x14ac:dyDescent="0.25">
      <c r="B119" s="115"/>
      <c r="C119" s="115"/>
    </row>
    <row r="120" spans="2:3" x14ac:dyDescent="0.25">
      <c r="B120" s="115"/>
      <c r="C120" s="115"/>
    </row>
    <row r="121" spans="2:3" x14ac:dyDescent="0.25">
      <c r="B121" s="115"/>
      <c r="C121" s="115"/>
    </row>
    <row r="122" spans="2:3" x14ac:dyDescent="0.25">
      <c r="B122" s="115"/>
      <c r="C122" s="115"/>
    </row>
    <row r="123" spans="2:3" x14ac:dyDescent="0.25">
      <c r="B123" s="115"/>
      <c r="C123" s="115"/>
    </row>
    <row r="124" spans="2:3" x14ac:dyDescent="0.25">
      <c r="B124" s="115"/>
      <c r="C124" s="115"/>
    </row>
    <row r="125" spans="2:3" x14ac:dyDescent="0.25">
      <c r="B125" s="115"/>
      <c r="C125" s="115"/>
    </row>
    <row r="126" spans="2:3" x14ac:dyDescent="0.25">
      <c r="B126" s="115"/>
      <c r="C126" s="115"/>
    </row>
    <row r="127" spans="2:3" x14ac:dyDescent="0.25">
      <c r="B127" s="115"/>
      <c r="C127" s="115"/>
    </row>
    <row r="128" spans="2:3" x14ac:dyDescent="0.25">
      <c r="B128" s="115"/>
      <c r="C128" s="115"/>
    </row>
    <row r="129" spans="2:3" x14ac:dyDescent="0.25">
      <c r="B129" s="115"/>
      <c r="C129" s="115"/>
    </row>
    <row r="130" spans="2:3" x14ac:dyDescent="0.25">
      <c r="B130" s="115"/>
      <c r="C130" s="115"/>
    </row>
    <row r="131" spans="2:3" x14ac:dyDescent="0.25">
      <c r="B131" s="115"/>
      <c r="C131" s="115"/>
    </row>
    <row r="132" spans="2:3" x14ac:dyDescent="0.25">
      <c r="B132" s="115"/>
      <c r="C132" s="115"/>
    </row>
    <row r="133" spans="2:3" x14ac:dyDescent="0.25">
      <c r="B133" s="115"/>
      <c r="C133" s="115"/>
    </row>
    <row r="134" spans="2:3" x14ac:dyDescent="0.25">
      <c r="B134" s="115"/>
      <c r="C134" s="115"/>
    </row>
  </sheetData>
  <mergeCells count="5">
    <mergeCell ref="A1:E1"/>
    <mergeCell ref="A2:A3"/>
    <mergeCell ref="B2:C2"/>
    <mergeCell ref="D2:E2"/>
    <mergeCell ref="A25:B25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73A2-5D64-4EB5-9408-BDABC9AF8E7C}">
  <dimension ref="A1:CG65"/>
  <sheetViews>
    <sheetView zoomScale="85" zoomScaleNormal="85" workbookViewId="0">
      <pane xSplit="1" ySplit="3" topLeftCell="B4" activePane="bottomRight" state="frozenSplit"/>
      <selection pane="topRight" activeCell="G1" sqref="G1"/>
      <selection pane="bottomLeft" activeCell="A7" sqref="A7"/>
      <selection pane="bottomRight" activeCell="A41" sqref="A41"/>
    </sheetView>
  </sheetViews>
  <sheetFormatPr defaultColWidth="8.5546875" defaultRowHeight="13.2" x14ac:dyDescent="0.25"/>
  <cols>
    <col min="1" max="1" width="29.21875" style="138" bestFit="1" customWidth="1"/>
    <col min="2" max="2" width="18.21875" style="138" customWidth="1"/>
    <col min="3" max="3" width="17" style="138" customWidth="1"/>
    <col min="4" max="4" width="11.5546875" style="138" customWidth="1"/>
    <col min="5" max="5" width="13.33203125" style="138" bestFit="1" customWidth="1"/>
    <col min="6" max="6" width="10.33203125" style="138" bestFit="1" customWidth="1"/>
    <col min="7" max="7" width="17.109375" style="138" customWidth="1"/>
    <col min="8" max="8" width="9.77734375" style="138" customWidth="1"/>
    <col min="9" max="9" width="11" style="138" bestFit="1" customWidth="1"/>
    <col min="10" max="10" width="9.77734375" style="138" customWidth="1"/>
    <col min="11" max="11" width="18.44140625" style="138" customWidth="1"/>
    <col min="12" max="12" width="9" style="138" customWidth="1"/>
    <col min="13" max="13" width="12.21875" style="138" bestFit="1" customWidth="1"/>
    <col min="14" max="14" width="6.21875" style="138" bestFit="1" customWidth="1"/>
    <col min="15" max="15" width="10" style="138" bestFit="1" customWidth="1"/>
    <col min="16" max="16" width="12.44140625" style="138" customWidth="1"/>
    <col min="17" max="17" width="12.21875" style="138" customWidth="1"/>
    <col min="18" max="18" width="11.44140625" style="138" customWidth="1"/>
    <col min="19" max="19" width="10.44140625" style="138" customWidth="1"/>
    <col min="20" max="20" width="14.6640625" style="138" customWidth="1"/>
    <col min="21" max="21" width="11.44140625" style="138" customWidth="1"/>
    <col min="22" max="22" width="9.44140625" style="138" customWidth="1"/>
    <col min="23" max="23" width="5.44140625" style="138" customWidth="1"/>
    <col min="24" max="24" width="10.33203125" style="138" bestFit="1" customWidth="1"/>
    <col min="25" max="25" width="10" style="138" bestFit="1" customWidth="1"/>
    <col min="26" max="26" width="12.21875" style="138" bestFit="1" customWidth="1"/>
    <col min="27" max="27" width="8.21875" style="138" customWidth="1"/>
    <col min="28" max="28" width="11.21875" style="138" customWidth="1"/>
    <col min="29" max="29" width="15" style="138" customWidth="1"/>
    <col min="30" max="30" width="11.44140625" style="138" customWidth="1"/>
    <col min="31" max="31" width="14.44140625" style="138" customWidth="1"/>
    <col min="32" max="32" width="4.5546875" style="138" customWidth="1"/>
    <col min="33" max="33" width="10.21875" style="138" bestFit="1" customWidth="1"/>
    <col min="34" max="34" width="15.88671875" style="138" bestFit="1" customWidth="1"/>
    <col min="35" max="35" width="9.5546875" style="138" customWidth="1"/>
    <col min="36" max="36" width="10.5546875" style="138" customWidth="1"/>
    <col min="37" max="37" width="9.21875" style="138" bestFit="1" customWidth="1"/>
    <col min="38" max="38" width="15" style="138" customWidth="1"/>
    <col min="39" max="39" width="12.109375" style="138" customWidth="1"/>
    <col min="40" max="40" width="9.77734375" style="138" customWidth="1"/>
    <col min="41" max="41" width="4.5546875" style="138" customWidth="1"/>
    <col min="42" max="42" width="7.21875" style="138" customWidth="1"/>
    <col min="43" max="43" width="9.77734375" style="138" customWidth="1"/>
    <col min="44" max="44" width="11.44140625" style="138" customWidth="1"/>
    <col min="45" max="45" width="9.44140625" style="138" customWidth="1"/>
    <col min="46" max="46" width="10.21875" style="138" customWidth="1"/>
    <col min="47" max="47" width="13.44140625" style="138" customWidth="1"/>
    <col min="48" max="48" width="9.44140625" style="138" customWidth="1"/>
    <col min="49" max="49" width="10.21875" style="138" customWidth="1"/>
    <col min="50" max="50" width="4.5546875" style="138" customWidth="1"/>
    <col min="51" max="51" width="7.77734375" style="138" customWidth="1"/>
    <col min="52" max="52" width="9.21875" style="138" customWidth="1"/>
    <col min="53" max="53" width="10.5546875" style="138" customWidth="1"/>
    <col min="54" max="54" width="9.77734375" style="138" customWidth="1"/>
    <col min="55" max="55" width="10.21875" style="138" customWidth="1"/>
    <col min="56" max="56" width="19.21875" style="138" customWidth="1"/>
    <col min="57" max="57" width="11.44140625" style="138" customWidth="1"/>
    <col min="58" max="58" width="11.109375" style="138" customWidth="1"/>
    <col min="59" max="59" width="4.77734375" style="138" customWidth="1"/>
    <col min="60" max="61" width="9.44140625" style="138" customWidth="1"/>
    <col min="62" max="62" width="10.44140625" style="138" customWidth="1"/>
    <col min="63" max="63" width="9.21875" style="138" customWidth="1"/>
    <col min="64" max="64" width="11.44140625" style="138" customWidth="1"/>
    <col min="65" max="65" width="19" style="138" customWidth="1"/>
    <col min="66" max="66" width="11.44140625" style="138" customWidth="1"/>
    <col min="67" max="67" width="10.21875" style="138" customWidth="1"/>
    <col min="68" max="68" width="4.77734375" style="138" customWidth="1"/>
    <col min="69" max="70" width="9.44140625" style="138" customWidth="1"/>
    <col min="71" max="71" width="10.44140625" style="138" customWidth="1"/>
    <col min="72" max="72" width="9.21875" style="138" customWidth="1"/>
    <col min="73" max="73" width="11.44140625" style="138" customWidth="1"/>
    <col min="74" max="74" width="19" style="138" customWidth="1"/>
    <col min="75" max="75" width="11.44140625" style="138" customWidth="1"/>
    <col min="76" max="76" width="10.21875" style="138" customWidth="1"/>
    <col min="77" max="77" width="4.77734375" style="138" customWidth="1"/>
    <col min="78" max="79" width="9.44140625" style="138" customWidth="1"/>
    <col min="80" max="80" width="10.44140625" style="138" customWidth="1"/>
    <col min="81" max="81" width="9.21875" style="138" customWidth="1"/>
    <col min="82" max="82" width="11.44140625" style="138" customWidth="1"/>
    <col min="83" max="83" width="19" style="138" customWidth="1"/>
    <col min="84" max="84" width="14.5546875" style="138" customWidth="1"/>
    <col min="85" max="85" width="13.44140625" style="138" customWidth="1"/>
    <col min="86" max="16384" width="8.5546875" style="138"/>
  </cols>
  <sheetData>
    <row r="1" spans="1:85" x14ac:dyDescent="0.25">
      <c r="A1" s="622" t="s">
        <v>82</v>
      </c>
      <c r="B1" s="622"/>
      <c r="C1" s="622"/>
      <c r="D1" s="622"/>
      <c r="E1" s="622"/>
      <c r="F1" s="622"/>
      <c r="G1" s="141"/>
      <c r="H1" s="141"/>
      <c r="I1" s="141"/>
      <c r="J1" s="141"/>
      <c r="K1" s="141"/>
      <c r="L1" s="141"/>
      <c r="M1" s="141"/>
      <c r="N1" s="142"/>
      <c r="O1" s="142"/>
      <c r="P1" s="142"/>
      <c r="Q1" s="142"/>
      <c r="R1" s="142"/>
      <c r="S1" s="142"/>
      <c r="T1" s="142"/>
    </row>
    <row r="2" spans="1:85" ht="31.5" customHeight="1" x14ac:dyDescent="0.25">
      <c r="A2" s="629" t="s">
        <v>136</v>
      </c>
      <c r="B2" s="143" t="s">
        <v>83</v>
      </c>
      <c r="C2" s="623" t="s">
        <v>377</v>
      </c>
      <c r="D2" s="624"/>
      <c r="E2" s="624"/>
      <c r="F2" s="624"/>
      <c r="G2" s="624"/>
      <c r="H2" s="624"/>
      <c r="I2" s="624"/>
      <c r="J2" s="624"/>
      <c r="K2" s="625"/>
      <c r="L2" s="626" t="s">
        <v>378</v>
      </c>
      <c r="M2" s="627"/>
      <c r="N2" s="627"/>
      <c r="O2" s="627"/>
      <c r="P2" s="627"/>
      <c r="Q2" s="627"/>
      <c r="R2" s="627"/>
      <c r="S2" s="627"/>
      <c r="T2" s="628"/>
      <c r="U2" s="623" t="s">
        <v>379</v>
      </c>
      <c r="V2" s="624"/>
      <c r="W2" s="624"/>
      <c r="X2" s="624"/>
      <c r="Y2" s="624"/>
      <c r="Z2" s="624"/>
      <c r="AA2" s="624"/>
      <c r="AB2" s="624"/>
      <c r="AC2" s="625"/>
      <c r="AD2" s="626" t="s">
        <v>380</v>
      </c>
      <c r="AE2" s="627"/>
      <c r="AF2" s="627"/>
      <c r="AG2" s="627"/>
      <c r="AH2" s="627"/>
      <c r="AI2" s="627"/>
      <c r="AJ2" s="627"/>
      <c r="AK2" s="627"/>
      <c r="AL2" s="628"/>
      <c r="AM2" s="623" t="s">
        <v>381</v>
      </c>
      <c r="AN2" s="624"/>
      <c r="AO2" s="624"/>
      <c r="AP2" s="624"/>
      <c r="AQ2" s="624"/>
      <c r="AR2" s="624"/>
      <c r="AS2" s="624"/>
      <c r="AT2" s="624"/>
      <c r="AU2" s="625"/>
      <c r="AV2" s="626" t="s">
        <v>382</v>
      </c>
      <c r="AW2" s="627"/>
      <c r="AX2" s="627"/>
      <c r="AY2" s="627"/>
      <c r="AZ2" s="627"/>
      <c r="BA2" s="627"/>
      <c r="BB2" s="627"/>
      <c r="BC2" s="627"/>
      <c r="BD2" s="628"/>
      <c r="BE2" s="623" t="s">
        <v>383</v>
      </c>
      <c r="BF2" s="624"/>
      <c r="BG2" s="624"/>
      <c r="BH2" s="624"/>
      <c r="BI2" s="624"/>
      <c r="BJ2" s="624"/>
      <c r="BK2" s="624"/>
      <c r="BL2" s="624"/>
      <c r="BM2" s="625"/>
      <c r="BN2" s="626" t="s">
        <v>384</v>
      </c>
      <c r="BO2" s="627"/>
      <c r="BP2" s="627"/>
      <c r="BQ2" s="627"/>
      <c r="BR2" s="627"/>
      <c r="BS2" s="627"/>
      <c r="BT2" s="627"/>
      <c r="BU2" s="627"/>
      <c r="BV2" s="628"/>
      <c r="BW2" s="623" t="s">
        <v>385</v>
      </c>
      <c r="BX2" s="624"/>
      <c r="BY2" s="624"/>
      <c r="BZ2" s="624"/>
      <c r="CA2" s="624"/>
      <c r="CB2" s="624"/>
      <c r="CC2" s="624"/>
      <c r="CD2" s="624"/>
      <c r="CE2" s="625"/>
      <c r="CF2" s="618" t="s">
        <v>219</v>
      </c>
      <c r="CG2" s="620" t="s">
        <v>220</v>
      </c>
    </row>
    <row r="3" spans="1:85" ht="30.75" customHeight="1" x14ac:dyDescent="0.25">
      <c r="A3" s="630"/>
      <c r="B3" s="144" t="s">
        <v>84</v>
      </c>
      <c r="C3" s="145" t="s">
        <v>221</v>
      </c>
      <c r="D3" s="146" t="s">
        <v>222</v>
      </c>
      <c r="E3" s="146" t="s">
        <v>223</v>
      </c>
      <c r="F3" s="146" t="s">
        <v>224</v>
      </c>
      <c r="G3" s="146" t="s">
        <v>225</v>
      </c>
      <c r="H3" s="146" t="s">
        <v>226</v>
      </c>
      <c r="I3" s="146" t="s">
        <v>227</v>
      </c>
      <c r="J3" s="146" t="s">
        <v>228</v>
      </c>
      <c r="K3" s="146"/>
      <c r="L3" s="147" t="s">
        <v>221</v>
      </c>
      <c r="M3" s="148" t="s">
        <v>222</v>
      </c>
      <c r="N3" s="148" t="s">
        <v>223</v>
      </c>
      <c r="O3" s="148" t="s">
        <v>224</v>
      </c>
      <c r="P3" s="148" t="s">
        <v>225</v>
      </c>
      <c r="Q3" s="148" t="s">
        <v>226</v>
      </c>
      <c r="R3" s="148" t="s">
        <v>227</v>
      </c>
      <c r="S3" s="148" t="s">
        <v>228</v>
      </c>
      <c r="T3" s="148"/>
      <c r="U3" s="145" t="s">
        <v>221</v>
      </c>
      <c r="V3" s="146" t="s">
        <v>222</v>
      </c>
      <c r="W3" s="146" t="s">
        <v>223</v>
      </c>
      <c r="X3" s="146" t="s">
        <v>224</v>
      </c>
      <c r="Y3" s="146" t="s">
        <v>225</v>
      </c>
      <c r="Z3" s="146" t="s">
        <v>226</v>
      </c>
      <c r="AA3" s="146" t="s">
        <v>227</v>
      </c>
      <c r="AB3" s="146" t="s">
        <v>228</v>
      </c>
      <c r="AC3" s="146"/>
      <c r="AD3" s="147" t="s">
        <v>221</v>
      </c>
      <c r="AE3" s="148" t="s">
        <v>222</v>
      </c>
      <c r="AF3" s="148" t="s">
        <v>223</v>
      </c>
      <c r="AG3" s="148" t="s">
        <v>224</v>
      </c>
      <c r="AH3" s="148" t="s">
        <v>225</v>
      </c>
      <c r="AI3" s="148" t="s">
        <v>226</v>
      </c>
      <c r="AJ3" s="148" t="s">
        <v>227</v>
      </c>
      <c r="AK3" s="148" t="s">
        <v>228</v>
      </c>
      <c r="AL3" s="148"/>
      <c r="AM3" s="145" t="s">
        <v>221</v>
      </c>
      <c r="AN3" s="146" t="s">
        <v>222</v>
      </c>
      <c r="AO3" s="146" t="s">
        <v>223</v>
      </c>
      <c r="AP3" s="146" t="s">
        <v>224</v>
      </c>
      <c r="AQ3" s="146" t="s">
        <v>225</v>
      </c>
      <c r="AR3" s="146" t="s">
        <v>226</v>
      </c>
      <c r="AS3" s="146" t="s">
        <v>227</v>
      </c>
      <c r="AT3" s="146" t="s">
        <v>228</v>
      </c>
      <c r="AU3" s="146"/>
      <c r="AV3" s="147" t="s">
        <v>221</v>
      </c>
      <c r="AW3" s="148" t="s">
        <v>222</v>
      </c>
      <c r="AX3" s="148" t="s">
        <v>223</v>
      </c>
      <c r="AY3" s="148" t="s">
        <v>224</v>
      </c>
      <c r="AZ3" s="148" t="s">
        <v>225</v>
      </c>
      <c r="BA3" s="148" t="s">
        <v>226</v>
      </c>
      <c r="BB3" s="148" t="s">
        <v>227</v>
      </c>
      <c r="BC3" s="148" t="s">
        <v>228</v>
      </c>
      <c r="BD3" s="148"/>
      <c r="BE3" s="145" t="s">
        <v>221</v>
      </c>
      <c r="BF3" s="146" t="s">
        <v>222</v>
      </c>
      <c r="BG3" s="146" t="s">
        <v>223</v>
      </c>
      <c r="BH3" s="146" t="s">
        <v>224</v>
      </c>
      <c r="BI3" s="146" t="s">
        <v>225</v>
      </c>
      <c r="BJ3" s="146" t="s">
        <v>226</v>
      </c>
      <c r="BK3" s="146" t="s">
        <v>227</v>
      </c>
      <c r="BL3" s="146" t="s">
        <v>228</v>
      </c>
      <c r="BM3" s="146"/>
      <c r="BN3" s="147" t="s">
        <v>221</v>
      </c>
      <c r="BO3" s="148" t="s">
        <v>222</v>
      </c>
      <c r="BP3" s="148" t="s">
        <v>223</v>
      </c>
      <c r="BQ3" s="148" t="s">
        <v>224</v>
      </c>
      <c r="BR3" s="148" t="s">
        <v>225</v>
      </c>
      <c r="BS3" s="148" t="s">
        <v>226</v>
      </c>
      <c r="BT3" s="148" t="s">
        <v>227</v>
      </c>
      <c r="BU3" s="148" t="s">
        <v>228</v>
      </c>
      <c r="BV3" s="148"/>
      <c r="BW3" s="145" t="s">
        <v>221</v>
      </c>
      <c r="BX3" s="146" t="s">
        <v>222</v>
      </c>
      <c r="BY3" s="146" t="s">
        <v>223</v>
      </c>
      <c r="BZ3" s="146" t="s">
        <v>224</v>
      </c>
      <c r="CA3" s="146" t="s">
        <v>225</v>
      </c>
      <c r="CB3" s="146" t="s">
        <v>226</v>
      </c>
      <c r="CC3" s="146" t="s">
        <v>227</v>
      </c>
      <c r="CD3" s="146" t="s">
        <v>228</v>
      </c>
      <c r="CE3" s="146"/>
      <c r="CF3" s="619"/>
      <c r="CG3" s="621"/>
    </row>
    <row r="4" spans="1:85" x14ac:dyDescent="0.25">
      <c r="A4" s="149" t="str">
        <f>'monitoring results'!A4</f>
        <v>01/01/2021-31/01/2021</v>
      </c>
      <c r="B4" s="150">
        <f>F4+O4+X4+AG4+AP4+AY4+BH4+BQ4+BZ4</f>
        <v>303642</v>
      </c>
      <c r="C4" s="151">
        <f>AVERAGE('2021.1'!B6:G34)</f>
        <v>70.950458715596341</v>
      </c>
      <c r="D4" s="151">
        <f>_xlfn.STDEV.S('2021.1'!B6:G34)</f>
        <v>28.249852912934745</v>
      </c>
      <c r="E4" s="363">
        <f>COUNT('2021.1'!B6:G34)</f>
        <v>109</v>
      </c>
      <c r="F4" s="146">
        <f>'2021.1'!D151+'2021.1'!E151</f>
        <v>74807</v>
      </c>
      <c r="G4" s="152">
        <f>F4/B4</f>
        <v>0.24636578602433129</v>
      </c>
      <c r="H4" s="152">
        <f t="shared" ref="H4:H21" si="0">F4*C4/B4</f>
        <v>17.47976553025476</v>
      </c>
      <c r="I4" s="152">
        <f t="shared" ref="I4:I21" si="1">1-(E4/F4)</f>
        <v>0.99854291710668786</v>
      </c>
      <c r="J4" s="152">
        <f t="shared" ref="J4:J21" si="2">D4*D4/E4</f>
        <v>7.3215980697472274</v>
      </c>
      <c r="K4" s="139">
        <f t="shared" ref="K4:K21" si="3">G4*G4*I4*J4</f>
        <v>0.44374493579285351</v>
      </c>
      <c r="L4" s="153">
        <f>AVERAGE('2021.1'!B39:G48)</f>
        <v>68.476190476190482</v>
      </c>
      <c r="M4" s="153">
        <f>_xlfn.STDEV.S('2021.1'!B39:G48)</f>
        <v>29.583101715080236</v>
      </c>
      <c r="N4" s="154">
        <f>COUNT('2021.1'!B39:G48)</f>
        <v>42</v>
      </c>
      <c r="O4" s="154">
        <f>'2021.1'!D152+'2021.1'!E152</f>
        <v>27821</v>
      </c>
      <c r="P4" s="155">
        <f t="shared" ref="P4:P21" si="4">O4/B4</f>
        <v>9.162434709295815E-2</v>
      </c>
      <c r="Q4" s="156">
        <f t="shared" ref="Q4:Q21" si="5">O4*L4/B4</f>
        <v>6.2740862437939926</v>
      </c>
      <c r="R4" s="156">
        <f t="shared" ref="R4:R21" si="6">1-N4/O4</f>
        <v>0.99849034901692968</v>
      </c>
      <c r="S4" s="156">
        <f t="shared" ref="S4:S21" si="7">M4*M4/N4</f>
        <v>20.837140644875792</v>
      </c>
      <c r="T4" s="156">
        <f t="shared" ref="T4:T21" si="8">P4*P4*R4*S4</f>
        <v>0.17466415230260082</v>
      </c>
      <c r="U4" s="157">
        <f>AVERAGE('2021.1'!B53:G61)</f>
        <v>71.497222222222206</v>
      </c>
      <c r="V4" s="157">
        <f>_xlfn.STDEV.S('2021.1'!B53:G61)</f>
        <v>28.207440620325816</v>
      </c>
      <c r="W4" s="146">
        <f>COUNT('2021.1'!B53:G61)</f>
        <v>36</v>
      </c>
      <c r="X4" s="146">
        <f>'2021.1'!D153+'2021.1'!E153</f>
        <v>23270</v>
      </c>
      <c r="Y4" s="152">
        <f>X4/B4</f>
        <v>7.6636301960861811E-2</v>
      </c>
      <c r="Z4" s="152">
        <f t="shared" ref="Z4:Z21" si="9">X4*U4/B4</f>
        <v>5.4792827115850598</v>
      </c>
      <c r="AA4" s="152">
        <f t="shared" ref="AA4:AA21" si="10">1-W4/X4</f>
        <v>0.99845294370434035</v>
      </c>
      <c r="AB4" s="152">
        <f t="shared" ref="AB4:AB21" si="11">V4*V4/W4</f>
        <v>22.10165850970019</v>
      </c>
      <c r="AC4" s="139">
        <f t="shared" ref="AC4:AC21" si="12">Y4*Y4*AA4*AB4</f>
        <v>0.12960493722113722</v>
      </c>
      <c r="AD4" s="305">
        <f>AVERAGE('2021.1'!B66:G72)</f>
        <v>73.777777777777771</v>
      </c>
      <c r="AE4" s="305">
        <f>_xlfn.STDEV.S('2021.1'!B66:G72)</f>
        <v>26.65562912599448</v>
      </c>
      <c r="AF4" s="148">
        <f>COUNT('2021.1'!B66:G72)</f>
        <v>27</v>
      </c>
      <c r="AG4" s="148">
        <f>'2021.1'!D154+'2021.1'!E154</f>
        <v>16807</v>
      </c>
      <c r="AH4" s="156">
        <f t="shared" ref="AH4:AH21" si="13">AG4/B4</f>
        <v>5.5351367729102034E-2</v>
      </c>
      <c r="AI4" s="156">
        <f t="shared" ref="AI4:AI21" si="14">AG4*AD4/B4</f>
        <v>4.0837009080137499</v>
      </c>
      <c r="AJ4" s="156">
        <f t="shared" ref="AJ4:AJ21" si="15">1-AF4/AG4</f>
        <v>0.99839352650681268</v>
      </c>
      <c r="AK4" s="156">
        <f t="shared" ref="AK4:AK21" si="16">AE4*AE4/AF4</f>
        <v>26.315650522317235</v>
      </c>
      <c r="AL4" s="140">
        <f t="shared" ref="AL4:AL21" si="17">AH4*AH4*AJ4*AK4</f>
        <v>8.0495681229053637E-2</v>
      </c>
      <c r="AM4" s="157">
        <f>AVERAGE('2021.1'!B76:G79)</f>
        <v>68.300000000000011</v>
      </c>
      <c r="AN4" s="306">
        <f>_xlfn.STDEV.S('2021.1'!B76:G79)</f>
        <v>28.889487707468927</v>
      </c>
      <c r="AO4" s="146">
        <f>COUNT('2021.1'!B76:G79)</f>
        <v>17</v>
      </c>
      <c r="AP4" s="146">
        <f>'2021.1'!D155+'2021.1'!E155</f>
        <v>10229</v>
      </c>
      <c r="AQ4" s="152">
        <f t="shared" ref="AQ4:AQ21" si="18">AP4/B4</f>
        <v>3.3687698012791381E-2</v>
      </c>
      <c r="AR4" s="152">
        <f>AP4*AM4/B4</f>
        <v>2.3008697742736515</v>
      </c>
      <c r="AS4" s="152">
        <f t="shared" ref="AS4:AS21" si="19">1-AO4/AP4</f>
        <v>0.99833805846123769</v>
      </c>
      <c r="AT4" s="152">
        <f t="shared" ref="AT4:AT21" si="20">AN4*AN4/AO4</f>
        <v>49.094264705882253</v>
      </c>
      <c r="AU4" s="139">
        <f t="shared" ref="AU4:AU21" si="21">AQ4*AQ4*AS4*AT4</f>
        <v>5.5622570861722884E-2</v>
      </c>
      <c r="AV4" s="305">
        <f>AVERAGE('2021.1'!B83:G88)</f>
        <v>69.566666666666663</v>
      </c>
      <c r="AW4" s="155">
        <f>_xlfn.STDEV.S('2021.1'!B83:G88)</f>
        <v>28.674980257249057</v>
      </c>
      <c r="AX4" s="148">
        <f>COUNT('2021.1'!B83:G88)</f>
        <v>24</v>
      </c>
      <c r="AY4" s="148">
        <f>'2021.1'!D156+'2021.1'!E156</f>
        <v>14717</v>
      </c>
      <c r="AZ4" s="156">
        <f t="shared" ref="AZ4:AZ21" si="22">AY4/B4</f>
        <v>4.8468261966394637E-2</v>
      </c>
      <c r="BA4" s="156">
        <f t="shared" ref="BA4:BA21" si="23">AY4*AV4/B4</f>
        <v>3.3717754241288533</v>
      </c>
      <c r="BB4" s="156">
        <f t="shared" ref="BB4:BB21" si="24">1-AX4/AY4</f>
        <v>0.99836923285995782</v>
      </c>
      <c r="BC4" s="156">
        <f t="shared" ref="BC4:BC21" si="25">AW4*AW4/AX4</f>
        <v>34.2606038647343</v>
      </c>
      <c r="BD4" s="140">
        <f t="shared" ref="BD4:BD21" si="26">AZ4*AZ4*BB4*BC4</f>
        <v>8.0352814855015692E-2</v>
      </c>
      <c r="BE4" s="151">
        <f>AVERAGE('2021.1'!B93:G96)</f>
        <v>68.881249999999994</v>
      </c>
      <c r="BF4" s="306">
        <f>_xlfn.STDEV.S('2021.1'!B93:G96)</f>
        <v>29.477363490199298</v>
      </c>
      <c r="BG4" s="146">
        <f>COUNT('2021.1'!B93:G96)</f>
        <v>16</v>
      </c>
      <c r="BH4" s="146">
        <f>'2021.1'!D157+'2021.1'!E157</f>
        <v>9434</v>
      </c>
      <c r="BI4" s="152">
        <f t="shared" ref="BI4:BI21" si="27">BH4/B4</f>
        <v>3.1069483141330911E-2</v>
      </c>
      <c r="BJ4" s="152">
        <f t="shared" ref="BJ4:BJ21" si="28">BH4*BE4/B4</f>
        <v>2.1401048356287995</v>
      </c>
      <c r="BK4" s="152">
        <f t="shared" ref="BK4:BK21" si="29">1-BG4/BH4</f>
        <v>0.99830400678397291</v>
      </c>
      <c r="BL4" s="152">
        <f t="shared" ref="BL4:BL21" si="30">BF4*BF4/BG4</f>
        <v>54.307184895833409</v>
      </c>
      <c r="BM4" s="139">
        <f t="shared" ref="BM4:BM21" si="31">BI4*BI4*BK4*BL4</f>
        <v>5.2334510006448919E-2</v>
      </c>
      <c r="BN4" s="153">
        <f>AVERAGE('2021.1'!B100:G121)</f>
        <v>68.882608695652195</v>
      </c>
      <c r="BO4" s="155">
        <f>_xlfn.STDEV.S('2021.1'!B100:G121)</f>
        <v>28.804122906567123</v>
      </c>
      <c r="BP4" s="148">
        <f>COUNT('2021.1'!B100:G121)</f>
        <v>92</v>
      </c>
      <c r="BQ4" s="148">
        <f>'2021.1'!D158+'2021.1'!E158</f>
        <v>63251</v>
      </c>
      <c r="BR4" s="364">
        <f t="shared" ref="BR4:BR21" si="32">BQ4/B4</f>
        <v>0.20830780985502664</v>
      </c>
      <c r="BS4" s="156">
        <f t="shared" ref="BS4:BS21" si="33">BQ4*BN4/B4</f>
        <v>14.348785354492122</v>
      </c>
      <c r="BT4" s="156">
        <f t="shared" ref="BT4:BT21" si="34">1-BP4/BQ4</f>
        <v>0.99854547754185707</v>
      </c>
      <c r="BU4" s="156">
        <f t="shared" ref="BU4:BU21" si="35">BO4*BO4/BP4</f>
        <v>9.0182336567024439</v>
      </c>
      <c r="BV4" s="140">
        <f t="shared" ref="BV4:BV21" si="36">BR4*BR4*BT4*BU4</f>
        <v>0.39075130582878709</v>
      </c>
      <c r="BW4" s="151">
        <f>AVERAGE('2021.1'!B125:G147)</f>
        <v>69.318888888888864</v>
      </c>
      <c r="BX4" s="306">
        <f>_xlfn.STDEV.S('2021.1'!B125:G147)</f>
        <v>28.729919785589285</v>
      </c>
      <c r="BY4" s="146">
        <f>COUNT('2021.1'!B125:G147)</f>
        <v>90</v>
      </c>
      <c r="BZ4" s="146">
        <f>'2021.1'!D159+'2021.1'!E159</f>
        <v>63306</v>
      </c>
      <c r="CA4" s="146">
        <f t="shared" ref="CA4:CA21" si="37">BZ4/B4</f>
        <v>0.20848894421720315</v>
      </c>
      <c r="CB4" s="152">
        <f t="shared" ref="CB4:CB21" si="38">BZ4*BW4/B4</f>
        <v>14.452221958754054</v>
      </c>
      <c r="CC4" s="152">
        <f t="shared" ref="CC4:CC21" si="39">1-BY4/BZ4</f>
        <v>0.99857833380722205</v>
      </c>
      <c r="CD4" s="152">
        <f t="shared" ref="CD4:CD21" si="40">BX4*BX4/BY4</f>
        <v>9.1712032320710524</v>
      </c>
      <c r="CE4" s="139">
        <f t="shared" ref="CE4:CE21" si="41">CA4*CA4*CC4*CD4</f>
        <v>0.39808381115918567</v>
      </c>
      <c r="CF4" s="365">
        <f>H4+Q4+Z4+AI4+AR4+BA4+BJ4+BS4+CB4</f>
        <v>69.93059274092505</v>
      </c>
      <c r="CG4" s="366">
        <f>SQRT(K4+T4+AC4+AL4+AU4+BD4+BM4+BV4+CE4)</f>
        <v>1.3437465234398953</v>
      </c>
    </row>
    <row r="5" spans="1:85" x14ac:dyDescent="0.25">
      <c r="A5" s="149" t="str">
        <f>'monitoring results'!A5</f>
        <v>01/02/2021-28/02/2021</v>
      </c>
      <c r="B5" s="150">
        <f t="shared" ref="B5:B21" si="42">F5+O5+X5+AG5+AP5+AY5+BH5+BQ5+BZ5</f>
        <v>304208</v>
      </c>
      <c r="C5" s="151">
        <f>AVERAGE('2021.2'!B6:G34)</f>
        <v>69.406422018348621</v>
      </c>
      <c r="D5" s="151">
        <f>_xlfn.STDEV.S('2021.2'!B6:G34)</f>
        <v>28.621224561727725</v>
      </c>
      <c r="E5" s="146">
        <f>E4</f>
        <v>109</v>
      </c>
      <c r="F5" s="146">
        <f>'2021.2'!D151+'2021.2'!E151</f>
        <v>75142</v>
      </c>
      <c r="G5" s="152">
        <f t="shared" ref="G5:G21" si="43">F5/B5</f>
        <v>0.24700862567716825</v>
      </c>
      <c r="H5" s="152">
        <f t="shared" si="0"/>
        <v>17.143984915921845</v>
      </c>
      <c r="I5" s="152">
        <f t="shared" si="1"/>
        <v>0.99854941311117618</v>
      </c>
      <c r="J5" s="152">
        <f t="shared" si="2"/>
        <v>7.5153623432371237</v>
      </c>
      <c r="K5" s="139">
        <f t="shared" si="3"/>
        <v>0.45787161793200221</v>
      </c>
      <c r="L5" s="153">
        <f>AVERAGE('2021.2'!B39:G48)</f>
        <v>70.854761904761901</v>
      </c>
      <c r="M5" s="153">
        <f>_xlfn.STDEV.S('2021.2'!B39:G48)</f>
        <v>27.402520823875022</v>
      </c>
      <c r="N5" s="154">
        <f t="shared" ref="N5:N21" si="44">N4</f>
        <v>42</v>
      </c>
      <c r="O5" s="154">
        <f>'2021.2'!D152+'2021.2'!E152</f>
        <v>27865</v>
      </c>
      <c r="P5" s="155">
        <f t="shared" si="4"/>
        <v>9.1598511544732558E-2</v>
      </c>
      <c r="Q5" s="156">
        <f t="shared" si="5"/>
        <v>6.4901907263326093</v>
      </c>
      <c r="R5" s="156">
        <f t="shared" si="6"/>
        <v>0.99849273281894846</v>
      </c>
      <c r="S5" s="156">
        <f t="shared" si="7"/>
        <v>17.878527321497721</v>
      </c>
      <c r="T5" s="156">
        <f t="shared" si="8"/>
        <v>0.14977988194378689</v>
      </c>
      <c r="U5" s="157">
        <f>AVERAGE('2021.2'!B53:G61)</f>
        <v>71.305555555555557</v>
      </c>
      <c r="V5" s="157">
        <f>_xlfn.STDEV.S('2021.2'!B53:G61)</f>
        <v>28.674527715073875</v>
      </c>
      <c r="W5" s="146">
        <f t="shared" ref="W5:W21" si="45">W4</f>
        <v>36</v>
      </c>
      <c r="X5" s="146">
        <f>'2021.2'!D153+'2021.2'!E153</f>
        <v>23345</v>
      </c>
      <c r="Y5" s="152">
        <f t="shared" ref="Y5:Y21" si="46">X5/B5</f>
        <v>7.6740256666491355E-2</v>
      </c>
      <c r="Z5" s="152">
        <f t="shared" si="9"/>
        <v>5.472006635080092</v>
      </c>
      <c r="AA5" s="152">
        <f t="shared" si="10"/>
        <v>0.99845791390019278</v>
      </c>
      <c r="AB5" s="152">
        <f t="shared" si="11"/>
        <v>22.839681657848327</v>
      </c>
      <c r="AC5" s="139">
        <f t="shared" si="12"/>
        <v>0.13429699799798864</v>
      </c>
      <c r="AD5" s="305">
        <f>AVERAGE('2021.2'!B66:G72)</f>
        <v>69.881481481481472</v>
      </c>
      <c r="AE5" s="305">
        <f>_xlfn.STDEV.S('2021.2'!B66:G72)</f>
        <v>27.721139351613402</v>
      </c>
      <c r="AF5" s="148">
        <f t="shared" ref="AF5:AF21" si="47">AF4</f>
        <v>27</v>
      </c>
      <c r="AG5" s="148">
        <f>'2021.2'!D154+'2021.2'!E154</f>
        <v>16826</v>
      </c>
      <c r="AH5" s="156">
        <f t="shared" si="13"/>
        <v>5.5310839951612054E-2</v>
      </c>
      <c r="AI5" s="156">
        <f t="shared" si="14"/>
        <v>3.8652034378037636</v>
      </c>
      <c r="AJ5" s="156">
        <f t="shared" si="15"/>
        <v>0.9983953405443956</v>
      </c>
      <c r="AK5" s="156">
        <f t="shared" si="16"/>
        <v>28.461539516724784</v>
      </c>
      <c r="AL5" s="140">
        <f t="shared" si="17"/>
        <v>8.6932354197485254E-2</v>
      </c>
      <c r="AM5" s="157">
        <f>AVERAGE('2021.2'!B76:G79)</f>
        <v>70.058823529411768</v>
      </c>
      <c r="AN5" s="306">
        <f>_xlfn.STDEV.S('2021.2'!B76:G79)</f>
        <v>25.477221660326531</v>
      </c>
      <c r="AO5" s="146">
        <f t="shared" ref="AO5:AO21" si="48">AO4</f>
        <v>17</v>
      </c>
      <c r="AP5" s="146">
        <f>'2021.2'!D155+'2021.2'!E155</f>
        <v>10192</v>
      </c>
      <c r="AQ5" s="152">
        <f t="shared" si="18"/>
        <v>3.3503392415715566E-2</v>
      </c>
      <c r="AR5" s="152">
        <f t="shared" ref="AR5:AR21" si="49">AP5*AM5/B5</f>
        <v>2.3472082568892492</v>
      </c>
      <c r="AS5" s="152">
        <f t="shared" si="19"/>
        <v>0.99833202511773944</v>
      </c>
      <c r="AT5" s="152">
        <f t="shared" si="20"/>
        <v>38.181695501730076</v>
      </c>
      <c r="AU5" s="139">
        <f t="shared" si="21"/>
        <v>4.2786600392590975E-2</v>
      </c>
      <c r="AV5" s="305">
        <f>AVERAGE('2021.2'!B83:G88)</f>
        <v>67.599999999999994</v>
      </c>
      <c r="AW5" s="155">
        <f>_xlfn.STDEV.S('2021.2'!B83:G88)</f>
        <v>29.368883266951549</v>
      </c>
      <c r="AX5" s="148">
        <f t="shared" ref="AX5:AX21" si="50">AX4</f>
        <v>24</v>
      </c>
      <c r="AY5" s="148">
        <f>'2021.2'!D156+'2021.2'!E156</f>
        <v>14718</v>
      </c>
      <c r="AZ5" s="156">
        <f t="shared" si="22"/>
        <v>4.8381370641140273E-2</v>
      </c>
      <c r="BA5" s="156">
        <f t="shared" si="23"/>
        <v>3.2705806553410821</v>
      </c>
      <c r="BB5" s="156">
        <f t="shared" si="24"/>
        <v>0.99836934366082353</v>
      </c>
      <c r="BC5" s="156">
        <f t="shared" si="25"/>
        <v>35.938804347826114</v>
      </c>
      <c r="BD5" s="140">
        <f t="shared" si="26"/>
        <v>8.3986831403274065E-2</v>
      </c>
      <c r="BE5" s="151">
        <f>AVERAGE('2021.2'!B93:G96)</f>
        <v>67.125</v>
      </c>
      <c r="BF5" s="306">
        <f>_xlfn.STDEV.S('2021.2'!B93:G96)</f>
        <v>29.216194139552137</v>
      </c>
      <c r="BG5" s="146">
        <f t="shared" ref="BG5:BG21" si="51">BG4</f>
        <v>16</v>
      </c>
      <c r="BH5" s="146">
        <f>'2021.2'!D157+'2021.2'!E157</f>
        <v>9436</v>
      </c>
      <c r="BI5" s="152">
        <f t="shared" si="27"/>
        <v>3.1018250670593803E-2</v>
      </c>
      <c r="BJ5" s="152">
        <f t="shared" si="28"/>
        <v>2.0821000762636093</v>
      </c>
      <c r="BK5" s="152">
        <f t="shared" si="29"/>
        <v>0.99830436625688856</v>
      </c>
      <c r="BL5" s="152">
        <f t="shared" si="30"/>
        <v>53.349125000000036</v>
      </c>
      <c r="BM5" s="139">
        <f t="shared" si="31"/>
        <v>5.1241858643857066E-2</v>
      </c>
      <c r="BN5" s="153">
        <f>AVERAGE('2021.2'!B100:G121)</f>
        <v>70.34999999999998</v>
      </c>
      <c r="BO5" s="155">
        <f>_xlfn.STDEV.S('2021.2'!B100:G121)</f>
        <v>27.408867980200277</v>
      </c>
      <c r="BP5" s="148">
        <f t="shared" ref="BP5:BP21" si="52">BP4</f>
        <v>92</v>
      </c>
      <c r="BQ5" s="148">
        <f>'2021.2'!D158+'2021.2'!E158</f>
        <v>63351</v>
      </c>
      <c r="BR5" s="364">
        <f t="shared" si="32"/>
        <v>0.20824896123704834</v>
      </c>
      <c r="BS5" s="156">
        <f t="shared" si="33"/>
        <v>14.650314423026346</v>
      </c>
      <c r="BT5" s="156">
        <f t="shared" si="34"/>
        <v>0.9985477735158087</v>
      </c>
      <c r="BU5" s="156">
        <f t="shared" si="35"/>
        <v>8.1657178690874783</v>
      </c>
      <c r="BV5" s="140">
        <f t="shared" si="36"/>
        <v>0.35361355624404051</v>
      </c>
      <c r="BW5" s="151">
        <f>AVERAGE('2021.2'!B125:G147)</f>
        <v>69.092222222222205</v>
      </c>
      <c r="BX5" s="306">
        <f>_xlfn.STDEV.S('2021.2'!B125:G147)</f>
        <v>28.058042680329439</v>
      </c>
      <c r="BY5" s="146">
        <f t="shared" ref="BY5:BY21" si="53">BY4</f>
        <v>90</v>
      </c>
      <c r="BZ5" s="146">
        <f>'2021.2'!D159+'2021.2'!E159</f>
        <v>63333</v>
      </c>
      <c r="CA5" s="146">
        <f t="shared" si="37"/>
        <v>0.20818979119549783</v>
      </c>
      <c r="CB5" s="152">
        <f t="shared" si="38"/>
        <v>14.384295317677376</v>
      </c>
      <c r="CC5" s="152">
        <f t="shared" si="39"/>
        <v>0.99857893988915736</v>
      </c>
      <c r="CD5" s="152">
        <f t="shared" si="40"/>
        <v>8.7472639894576503</v>
      </c>
      <c r="CE5" s="139">
        <f t="shared" si="41"/>
        <v>0.37859379808797333</v>
      </c>
      <c r="CF5" s="365">
        <f>H5+Q5+Z5+AI5+AR5+BA5+BJ5+BS5+CB5</f>
        <v>69.705884444335965</v>
      </c>
      <c r="CG5" s="366">
        <f t="shared" ref="CG5:CG21" si="54">SQRT(K5+T5+AC5+AL5+AU5+BD5+BM5+BV5+CE5)</f>
        <v>1.3187507333999853</v>
      </c>
    </row>
    <row r="6" spans="1:85" x14ac:dyDescent="0.25">
      <c r="A6" s="149" t="str">
        <f>'monitoring results'!A6</f>
        <v>01/03/2021-31/03/3021</v>
      </c>
      <c r="B6" s="150">
        <f t="shared" si="42"/>
        <v>303518</v>
      </c>
      <c r="C6" s="151">
        <f>AVERAGE('2021.3'!B6:G34)</f>
        <v>70.158715596330282</v>
      </c>
      <c r="D6" s="151">
        <f>_xlfn.STDEV.S('2021.3'!B6:G34)</f>
        <v>28.464637616371068</v>
      </c>
      <c r="E6" s="146">
        <f t="shared" ref="E6:E21" si="55">E5</f>
        <v>109</v>
      </c>
      <c r="F6" s="146">
        <f>'2021.3'!D151+'2021.3'!E151</f>
        <v>74831</v>
      </c>
      <c r="G6" s="152">
        <f t="shared" si="43"/>
        <v>0.24654550965675842</v>
      </c>
      <c r="H6" s="152">
        <f t="shared" si="0"/>
        <v>17.297316293560815</v>
      </c>
      <c r="I6" s="152">
        <f t="shared" si="1"/>
        <v>0.99854338442624047</v>
      </c>
      <c r="J6" s="152">
        <f t="shared" si="2"/>
        <v>7.4333540791864845</v>
      </c>
      <c r="K6" s="139">
        <f t="shared" si="3"/>
        <v>0.45117596236130186</v>
      </c>
      <c r="L6" s="153">
        <f>AVERAGE('2021.3'!B39:G48)</f>
        <v>69.961904761904762</v>
      </c>
      <c r="M6" s="153">
        <f>_xlfn.STDEV.S('2021.3'!B39:G48)</f>
        <v>28.008874485454232</v>
      </c>
      <c r="N6" s="154">
        <f t="shared" si="44"/>
        <v>42</v>
      </c>
      <c r="O6" s="154">
        <f>'2021.3'!D152+'2021.3'!E152</f>
        <v>27817</v>
      </c>
      <c r="P6" s="155">
        <f t="shared" si="4"/>
        <v>9.1648600741965874E-2</v>
      </c>
      <c r="Q6" s="156">
        <f t="shared" si="5"/>
        <v>6.4119106766712513</v>
      </c>
      <c r="R6" s="156">
        <f t="shared" si="6"/>
        <v>0.99849013193370961</v>
      </c>
      <c r="S6" s="156">
        <f t="shared" si="7"/>
        <v>18.678501189093549</v>
      </c>
      <c r="T6" s="156">
        <f t="shared" si="8"/>
        <v>0.15665255365486064</v>
      </c>
      <c r="U6" s="157">
        <f>AVERAGE('2021.3'!B53:G61)</f>
        <v>72.397222222222211</v>
      </c>
      <c r="V6" s="157">
        <f>_xlfn.STDEV.S('2021.3'!B53:G61)</f>
        <v>27.091880556053976</v>
      </c>
      <c r="W6" s="146">
        <f t="shared" si="45"/>
        <v>36</v>
      </c>
      <c r="X6" s="146">
        <f>'2021.3'!D153+'2021.3'!E153</f>
        <v>23288</v>
      </c>
      <c r="Y6" s="152">
        <f t="shared" si="46"/>
        <v>7.6726915701869416E-2</v>
      </c>
      <c r="Z6" s="152">
        <f t="shared" si="9"/>
        <v>5.5548155664939509</v>
      </c>
      <c r="AA6" s="152">
        <f t="shared" si="10"/>
        <v>0.99845413947097217</v>
      </c>
      <c r="AB6" s="152">
        <f t="shared" si="11"/>
        <v>20.388055335097096</v>
      </c>
      <c r="AC6" s="139">
        <f t="shared" si="12"/>
        <v>0.11983933949698311</v>
      </c>
      <c r="AD6" s="305">
        <f>AVERAGE('2021.3'!B66:G72)</f>
        <v>72.970370370370375</v>
      </c>
      <c r="AE6" s="305">
        <f>_xlfn.STDEV.S('2021.3'!B66:G72)</f>
        <v>26.351803540887854</v>
      </c>
      <c r="AF6" s="148">
        <f t="shared" si="47"/>
        <v>27</v>
      </c>
      <c r="AG6" s="148">
        <f>'2021.3'!D154+'2021.3'!E154</f>
        <v>16790</v>
      </c>
      <c r="AH6" s="156">
        <f t="shared" si="13"/>
        <v>5.5317971257058889E-2</v>
      </c>
      <c r="AI6" s="156">
        <f t="shared" si="14"/>
        <v>4.03657285076509</v>
      </c>
      <c r="AJ6" s="156">
        <f t="shared" si="15"/>
        <v>0.99839189994044075</v>
      </c>
      <c r="AK6" s="156">
        <f t="shared" si="16"/>
        <v>25.719168513242579</v>
      </c>
      <c r="AL6" s="140">
        <f t="shared" si="17"/>
        <v>7.8576098552585974E-2</v>
      </c>
      <c r="AM6" s="157">
        <f>AVERAGE('2021.3'!B76:G79)</f>
        <v>67.770588235294113</v>
      </c>
      <c r="AN6" s="306">
        <f>_xlfn.STDEV.S('2021.3'!B76:G79)</f>
        <v>29.533302488586578</v>
      </c>
      <c r="AO6" s="146">
        <f t="shared" si="48"/>
        <v>17</v>
      </c>
      <c r="AP6" s="146">
        <f>'2021.3'!D155+'2021.3'!E155</f>
        <v>10195</v>
      </c>
      <c r="AQ6" s="152">
        <f t="shared" si="18"/>
        <v>3.3589441153407708E-2</v>
      </c>
      <c r="AR6" s="152">
        <f t="shared" si="49"/>
        <v>2.2763761854612361</v>
      </c>
      <c r="AS6" s="152">
        <f t="shared" si="19"/>
        <v>0.99833251593918593</v>
      </c>
      <c r="AT6" s="152">
        <f t="shared" si="20"/>
        <v>51.306820934256123</v>
      </c>
      <c r="AU6" s="139">
        <f t="shared" si="21"/>
        <v>5.7790423731601689E-2</v>
      </c>
      <c r="AV6" s="305">
        <f>AVERAGE('2021.3'!B83:G88)</f>
        <v>70.00833333333334</v>
      </c>
      <c r="AW6" s="155">
        <f>_xlfn.STDEV.S('2021.3'!B83:G88)</f>
        <v>30.17312245758767</v>
      </c>
      <c r="AX6" s="148">
        <f t="shared" si="50"/>
        <v>24</v>
      </c>
      <c r="AY6" s="148">
        <f>'2021.3'!D156+'2021.3'!E156</f>
        <v>14710</v>
      </c>
      <c r="AZ6" s="156">
        <f t="shared" si="22"/>
        <v>4.846500042831068E-2</v>
      </c>
      <c r="BA6" s="156">
        <f t="shared" si="23"/>
        <v>3.3929539049853172</v>
      </c>
      <c r="BB6" s="156">
        <f t="shared" si="24"/>
        <v>0.99836845683208697</v>
      </c>
      <c r="BC6" s="156">
        <f t="shared" si="25"/>
        <v>37.934054951690889</v>
      </c>
      <c r="BD6" s="140">
        <f t="shared" si="26"/>
        <v>8.8956269511270447E-2</v>
      </c>
      <c r="BE6" s="151">
        <f>AVERAGE('2021.3'!B93:G96)</f>
        <v>68.962499999999991</v>
      </c>
      <c r="BF6" s="306">
        <f>_xlfn.STDEV.S('2021.3'!B93:G96)</f>
        <v>28.487514809123009</v>
      </c>
      <c r="BG6" s="146">
        <f t="shared" si="51"/>
        <v>16</v>
      </c>
      <c r="BH6" s="146">
        <f>'2021.3'!D157+'2021.3'!E157</f>
        <v>9441</v>
      </c>
      <c r="BI6" s="152">
        <f t="shared" si="27"/>
        <v>3.110523922798648E-2</v>
      </c>
      <c r="BJ6" s="152">
        <f t="shared" si="28"/>
        <v>2.1450950602600174</v>
      </c>
      <c r="BK6" s="152">
        <f t="shared" si="29"/>
        <v>0.99830526427285249</v>
      </c>
      <c r="BL6" s="152">
        <f t="shared" si="30"/>
        <v>50.72115625000017</v>
      </c>
      <c r="BM6" s="139">
        <f t="shared" si="31"/>
        <v>4.8991371562129689E-2</v>
      </c>
      <c r="BN6" s="153">
        <f>AVERAGE('2021.3'!B100:G121)</f>
        <v>69.81521739130433</v>
      </c>
      <c r="BO6" s="155">
        <f>_xlfn.STDEV.S('2021.3'!B100:G121)</f>
        <v>28.045770811154103</v>
      </c>
      <c r="BP6" s="148">
        <f t="shared" si="52"/>
        <v>92</v>
      </c>
      <c r="BQ6" s="148">
        <f>'2021.3'!D158+'2021.3'!E158</f>
        <v>63255</v>
      </c>
      <c r="BR6" s="364">
        <f t="shared" si="32"/>
        <v>0.20840609123676354</v>
      </c>
      <c r="BS6" s="156">
        <f t="shared" si="33"/>
        <v>14.549916565366651</v>
      </c>
      <c r="BT6" s="156">
        <f t="shared" si="34"/>
        <v>0.99854556952019602</v>
      </c>
      <c r="BU6" s="156">
        <f t="shared" si="35"/>
        <v>8.5496223955628636</v>
      </c>
      <c r="BV6" s="140">
        <f t="shared" si="36"/>
        <v>0.37079651149967469</v>
      </c>
      <c r="BW6" s="151">
        <f>AVERAGE('2021.3'!B125:G147)</f>
        <v>69.829999999999984</v>
      </c>
      <c r="BX6" s="306">
        <f>_xlfn.STDEV.S('2021.3'!B125:G147)</f>
        <v>27.807882036767719</v>
      </c>
      <c r="BY6" s="146">
        <f t="shared" si="53"/>
        <v>90</v>
      </c>
      <c r="BZ6" s="146">
        <f>'2021.3'!D159+'2021.3'!E159</f>
        <v>63191</v>
      </c>
      <c r="CA6" s="146">
        <f t="shared" si="37"/>
        <v>0.20819523059587899</v>
      </c>
      <c r="CB6" s="152">
        <f t="shared" si="38"/>
        <v>14.538272952510228</v>
      </c>
      <c r="CC6" s="152">
        <f t="shared" si="39"/>
        <v>0.99857574654618542</v>
      </c>
      <c r="CD6" s="152">
        <f t="shared" si="40"/>
        <v>8.5919811485643187</v>
      </c>
      <c r="CE6" s="139">
        <f t="shared" si="41"/>
        <v>0.37189118285800699</v>
      </c>
      <c r="CF6" s="365">
        <f t="shared" ref="CF6:CF21" si="56">H6+Q6+Z6+AI6+AR6+BA6+BJ6+BS6+CB6</f>
        <v>70.20323005607456</v>
      </c>
      <c r="CG6" s="366">
        <f t="shared" si="54"/>
        <v>1.3208594600594019</v>
      </c>
    </row>
    <row r="7" spans="1:85" x14ac:dyDescent="0.25">
      <c r="A7" s="149" t="str">
        <f>'monitoring results'!A7</f>
        <v>01/04/2021-30/04/2021</v>
      </c>
      <c r="B7" s="150">
        <f t="shared" si="42"/>
        <v>304240</v>
      </c>
      <c r="C7" s="151">
        <f>AVERAGE('2021.4'!B6:G34)</f>
        <v>69.447706422018356</v>
      </c>
      <c r="D7" s="151">
        <f>_xlfn.STDEV.S('2021.4'!B6:G34)</f>
        <v>27.808180905020482</v>
      </c>
      <c r="E7" s="146">
        <f t="shared" si="55"/>
        <v>109</v>
      </c>
      <c r="F7" s="146">
        <f>'2021.4'!D151+'2021.4'!E151</f>
        <v>75152</v>
      </c>
      <c r="G7" s="152">
        <f t="shared" si="43"/>
        <v>0.24701551406784117</v>
      </c>
      <c r="H7" s="152">
        <f t="shared" si="0"/>
        <v>17.154660902667377</v>
      </c>
      <c r="I7" s="152">
        <f t="shared" si="1"/>
        <v>0.9985496061315734</v>
      </c>
      <c r="J7" s="152">
        <f t="shared" si="2"/>
        <v>7.0944488554710619</v>
      </c>
      <c r="K7" s="139">
        <f t="shared" si="3"/>
        <v>0.43225175750624528</v>
      </c>
      <c r="L7" s="153">
        <f>AVERAGE('2021.4'!B39:G48)</f>
        <v>69.945238095238096</v>
      </c>
      <c r="M7" s="153">
        <f>_xlfn.STDEV.S('2021.4'!B39:G48)</f>
        <v>28.840987114639578</v>
      </c>
      <c r="N7" s="154">
        <f t="shared" si="44"/>
        <v>42</v>
      </c>
      <c r="O7" s="154">
        <f>'2021.4'!D152+'2021.4'!E152</f>
        <v>27770</v>
      </c>
      <c r="P7" s="155">
        <f t="shared" si="4"/>
        <v>9.1276623718117275E-2</v>
      </c>
      <c r="Q7" s="156">
        <f t="shared" si="5"/>
        <v>6.3843651784931694</v>
      </c>
      <c r="R7" s="156">
        <f t="shared" si="6"/>
        <v>0.99848757652142595</v>
      </c>
      <c r="S7" s="156">
        <f t="shared" si="7"/>
        <v>19.804822327304908</v>
      </c>
      <c r="T7" s="156">
        <f t="shared" si="8"/>
        <v>0.16475277978135208</v>
      </c>
      <c r="U7" s="157">
        <f>AVERAGE('2021.4'!B53:G61)</f>
        <v>70.155555555555551</v>
      </c>
      <c r="V7" s="157">
        <f>_xlfn.STDEV.S('2021.4'!B53:G61)</f>
        <v>29.709214005513441</v>
      </c>
      <c r="W7" s="146">
        <f t="shared" si="45"/>
        <v>36</v>
      </c>
      <c r="X7" s="146">
        <f>'2021.4'!D153+'2021.4'!E153</f>
        <v>23363</v>
      </c>
      <c r="Y7" s="152">
        <f t="shared" si="46"/>
        <v>7.6791348935051282E-2</v>
      </c>
      <c r="Z7" s="152">
        <f t="shared" si="9"/>
        <v>5.3873397463990411</v>
      </c>
      <c r="AA7" s="152">
        <f t="shared" si="10"/>
        <v>0.9984591019988871</v>
      </c>
      <c r="AB7" s="152">
        <f t="shared" si="11"/>
        <v>24.517705467372114</v>
      </c>
      <c r="AC7" s="139">
        <f t="shared" si="12"/>
        <v>0.1443559526343107</v>
      </c>
      <c r="AD7" s="305">
        <f>AVERAGE('2021.4'!B66:G72)</f>
        <v>69.318518518518502</v>
      </c>
      <c r="AE7" s="305">
        <f>_xlfn.STDEV.S('2021.4'!B66:G72)</f>
        <v>29.07290619535442</v>
      </c>
      <c r="AF7" s="148">
        <f t="shared" si="47"/>
        <v>27</v>
      </c>
      <c r="AG7" s="148">
        <f>'2021.4'!D154+'2021.4'!E154</f>
        <v>16786</v>
      </c>
      <c r="AH7" s="156">
        <f t="shared" si="13"/>
        <v>5.517354719957928E-2</v>
      </c>
      <c r="AI7" s="156">
        <f t="shared" si="14"/>
        <v>3.8245485532863905</v>
      </c>
      <c r="AJ7" s="156">
        <f t="shared" si="15"/>
        <v>0.99839151674014059</v>
      </c>
      <c r="AK7" s="156">
        <f t="shared" si="16"/>
        <v>31.304958320143609</v>
      </c>
      <c r="AL7" s="140">
        <f t="shared" si="17"/>
        <v>9.5142777327994282E-2</v>
      </c>
      <c r="AM7" s="157">
        <f>AVERAGE('2021.4'!B76:G79)</f>
        <v>68.047058823529412</v>
      </c>
      <c r="AN7" s="306">
        <f>_xlfn.STDEV.S('2021.4'!B76:G79)</f>
        <v>28.060673496172949</v>
      </c>
      <c r="AO7" s="146">
        <f t="shared" si="48"/>
        <v>17</v>
      </c>
      <c r="AP7" s="146">
        <f>'2021.4'!D155+'2021.4'!E155</f>
        <v>10225</v>
      </c>
      <c r="AQ7" s="152">
        <f t="shared" si="18"/>
        <v>3.360833552458585E-2</v>
      </c>
      <c r="AR7" s="152">
        <f t="shared" si="49"/>
        <v>2.2869483844024066</v>
      </c>
      <c r="AS7" s="152">
        <f t="shared" si="19"/>
        <v>0.99833740831295847</v>
      </c>
      <c r="AT7" s="152">
        <f t="shared" si="20"/>
        <v>46.317729238754296</v>
      </c>
      <c r="AU7" s="139">
        <f t="shared" si="21"/>
        <v>5.2229830072338564E-2</v>
      </c>
      <c r="AV7" s="305">
        <f>AVERAGE('2021.4'!B83:G88)</f>
        <v>69.462500000000006</v>
      </c>
      <c r="AW7" s="155">
        <f>_xlfn.STDEV.S('2021.4'!B83:G88)</f>
        <v>29.208751108261147</v>
      </c>
      <c r="AX7" s="148">
        <f t="shared" si="50"/>
        <v>24</v>
      </c>
      <c r="AY7" s="148">
        <f>'2021.4'!D156+'2021.4'!E156</f>
        <v>14679</v>
      </c>
      <c r="AZ7" s="156">
        <f t="shared" si="22"/>
        <v>4.824809361030765E-2</v>
      </c>
      <c r="BA7" s="156">
        <f t="shared" si="23"/>
        <v>3.3514332024059956</v>
      </c>
      <c r="BB7" s="156">
        <f t="shared" si="24"/>
        <v>0.99836501124054777</v>
      </c>
      <c r="BC7" s="156">
        <f t="shared" si="25"/>
        <v>35.547964221014446</v>
      </c>
      <c r="BD7" s="140">
        <f t="shared" si="26"/>
        <v>8.2616045429629761E-2</v>
      </c>
      <c r="BE7" s="151">
        <f>AVERAGE('2021.4'!B93:G96)</f>
        <v>69.400000000000006</v>
      </c>
      <c r="BF7" s="306">
        <f>_xlfn.STDEV.S('2021.4'!B93:G96)</f>
        <v>29.916060346687821</v>
      </c>
      <c r="BG7" s="146">
        <f t="shared" si="51"/>
        <v>16</v>
      </c>
      <c r="BH7" s="146">
        <f>'2021.4'!D157+'2021.4'!E157</f>
        <v>9431</v>
      </c>
      <c r="BI7" s="152">
        <f t="shared" si="27"/>
        <v>3.0998553773336841E-2</v>
      </c>
      <c r="BJ7" s="152">
        <f t="shared" si="28"/>
        <v>2.1512996318695765</v>
      </c>
      <c r="BK7" s="152">
        <f t="shared" si="29"/>
        <v>0.99830346728872865</v>
      </c>
      <c r="BL7" s="152">
        <f t="shared" si="30"/>
        <v>55.935666666666712</v>
      </c>
      <c r="BM7" s="139">
        <f t="shared" si="31"/>
        <v>5.3657973044628833E-2</v>
      </c>
      <c r="BN7" s="153">
        <f>AVERAGE('2021.4'!B100:G121)</f>
        <v>70.12173913043479</v>
      </c>
      <c r="BO7" s="155">
        <f>_xlfn.STDEV.S('2021.4'!B100:G121)</f>
        <v>28.570632836506267</v>
      </c>
      <c r="BP7" s="148">
        <f t="shared" si="52"/>
        <v>92</v>
      </c>
      <c r="BQ7" s="148">
        <f>'2021.4'!D158+'2021.4'!E158</f>
        <v>63557</v>
      </c>
      <c r="BR7" s="364">
        <f t="shared" si="32"/>
        <v>0.20890415461477782</v>
      </c>
      <c r="BS7" s="156">
        <f t="shared" si="33"/>
        <v>14.648722633161466</v>
      </c>
      <c r="BT7" s="156">
        <f t="shared" si="34"/>
        <v>0.99855248045061917</v>
      </c>
      <c r="BU7" s="156">
        <f t="shared" si="35"/>
        <v>8.8726202247657628</v>
      </c>
      <c r="BV7" s="140">
        <f t="shared" si="36"/>
        <v>0.38664904509223019</v>
      </c>
      <c r="BW7" s="151">
        <f>AVERAGE('2021.4'!B125:G147)</f>
        <v>69.281111111111088</v>
      </c>
      <c r="BX7" s="306">
        <f>_xlfn.STDEV.S('2021.4'!B125:G147)</f>
        <v>28.361078308070503</v>
      </c>
      <c r="BY7" s="146">
        <f t="shared" si="53"/>
        <v>90</v>
      </c>
      <c r="BZ7" s="146">
        <f>'2021.4'!D159+'2021.4'!E159</f>
        <v>63277</v>
      </c>
      <c r="CA7" s="146">
        <f t="shared" si="37"/>
        <v>0.20798382855640285</v>
      </c>
      <c r="CB7" s="152">
        <f t="shared" si="38"/>
        <v>14.409350735530424</v>
      </c>
      <c r="CC7" s="152">
        <f t="shared" si="39"/>
        <v>0.99857768225421562</v>
      </c>
      <c r="CD7" s="152">
        <f t="shared" si="40"/>
        <v>8.9372306977389702</v>
      </c>
      <c r="CE7" s="139">
        <f t="shared" si="41"/>
        <v>0.38605035926431197</v>
      </c>
      <c r="CF7" s="365">
        <f t="shared" si="56"/>
        <v>69.598668968215847</v>
      </c>
      <c r="CG7" s="366">
        <f t="shared" si="54"/>
        <v>1.3407857845879192</v>
      </c>
    </row>
    <row r="8" spans="1:85" x14ac:dyDescent="0.25">
      <c r="A8" s="149" t="str">
        <f>'monitoring results'!A8</f>
        <v>01/05/2021-31/05/2021</v>
      </c>
      <c r="B8" s="150">
        <f t="shared" si="42"/>
        <v>303999</v>
      </c>
      <c r="C8" s="151">
        <f>AVERAGE('2021.5'!B6:G34)</f>
        <v>70.99724770642203</v>
      </c>
      <c r="D8" s="151">
        <f>_xlfn.STDEV.S('2021.5'!B6:G34)</f>
        <v>27.804097948415997</v>
      </c>
      <c r="E8" s="146">
        <f t="shared" si="55"/>
        <v>109</v>
      </c>
      <c r="F8" s="146">
        <f>'2021.5'!D151+'2021.5'!E151</f>
        <v>74945</v>
      </c>
      <c r="G8" s="152">
        <f t="shared" si="43"/>
        <v>0.24653041621847441</v>
      </c>
      <c r="H8" s="152">
        <f t="shared" si="0"/>
        <v>17.502981027430348</v>
      </c>
      <c r="I8" s="152">
        <f t="shared" si="1"/>
        <v>0.99854560010674498</v>
      </c>
      <c r="J8" s="152">
        <f t="shared" si="2"/>
        <v>7.0923657130744102</v>
      </c>
      <c r="K8" s="139">
        <f t="shared" si="3"/>
        <v>0.43042753096707764</v>
      </c>
      <c r="L8" s="153">
        <f>AVERAGE('2021.5'!B39:G48)</f>
        <v>68.369047619047592</v>
      </c>
      <c r="M8" s="153">
        <f>_xlfn.STDEV.S('2021.5'!B39:G48)</f>
        <v>26.924297559469416</v>
      </c>
      <c r="N8" s="154">
        <f t="shared" si="44"/>
        <v>42</v>
      </c>
      <c r="O8" s="154">
        <f>'2021.5'!D152+'2021.5'!E152</f>
        <v>27867</v>
      </c>
      <c r="P8" s="155">
        <f t="shared" si="4"/>
        <v>9.1668064697581236E-2</v>
      </c>
      <c r="Q8" s="156">
        <f t="shared" si="5"/>
        <v>6.2672582804548673</v>
      </c>
      <c r="R8" s="156">
        <f t="shared" si="6"/>
        <v>0.99849284099472491</v>
      </c>
      <c r="S8" s="156">
        <f t="shared" si="7"/>
        <v>17.259947596925016</v>
      </c>
      <c r="T8" s="156">
        <f t="shared" si="8"/>
        <v>0.14481733576425052</v>
      </c>
      <c r="U8" s="157">
        <f>AVERAGE('2021.5'!B53:G61)</f>
        <v>68.644444444444446</v>
      </c>
      <c r="V8" s="157">
        <f>_xlfn.STDEV.S('2021.5'!B53:G61)</f>
        <v>28.49863600189061</v>
      </c>
      <c r="W8" s="146">
        <f t="shared" si="45"/>
        <v>36</v>
      </c>
      <c r="X8" s="146">
        <f>'2021.5'!D153+'2021.5'!E153</f>
        <v>23361</v>
      </c>
      <c r="Y8" s="152">
        <f t="shared" si="46"/>
        <v>7.6845647518577365E-2</v>
      </c>
      <c r="Z8" s="152">
        <f t="shared" si="9"/>
        <v>5.2750267818863437</v>
      </c>
      <c r="AA8" s="152">
        <f t="shared" si="10"/>
        <v>0.99845897007833573</v>
      </c>
      <c r="AB8" s="152">
        <f t="shared" si="11"/>
        <v>22.560340388007102</v>
      </c>
      <c r="AC8" s="139">
        <f t="shared" si="12"/>
        <v>0.13301922701037439</v>
      </c>
      <c r="AD8" s="305">
        <f>AVERAGE('2021.5'!B66:G72)</f>
        <v>70.777777777777771</v>
      </c>
      <c r="AE8" s="305">
        <f>_xlfn.STDEV.S('2021.5'!B66:G72)</f>
        <v>29.068901349053906</v>
      </c>
      <c r="AF8" s="148">
        <f t="shared" si="47"/>
        <v>27</v>
      </c>
      <c r="AG8" s="148">
        <f>'2021.5'!D154+'2021.5'!E154</f>
        <v>16810</v>
      </c>
      <c r="AH8" s="156">
        <f t="shared" si="13"/>
        <v>5.5296234527087262E-2</v>
      </c>
      <c r="AI8" s="156">
        <f t="shared" si="14"/>
        <v>3.9137445993060642</v>
      </c>
      <c r="AJ8" s="156">
        <f t="shared" si="15"/>
        <v>0.99839381320642473</v>
      </c>
      <c r="AK8" s="156">
        <f t="shared" si="16"/>
        <v>31.296334283001038</v>
      </c>
      <c r="AL8" s="140">
        <f t="shared" si="17"/>
        <v>9.5540271242372313E-2</v>
      </c>
      <c r="AM8" s="157">
        <f>AVERAGE('2021.5'!B76:G79)</f>
        <v>69.452941176470603</v>
      </c>
      <c r="AN8" s="306">
        <f>_xlfn.STDEV.S('2021.5'!B76:G79)</f>
        <v>28.359524803120735</v>
      </c>
      <c r="AO8" s="146">
        <f t="shared" si="48"/>
        <v>17</v>
      </c>
      <c r="AP8" s="146">
        <f>'2021.5'!D155+'2021.5'!E155</f>
        <v>10199</v>
      </c>
      <c r="AQ8" s="152">
        <f t="shared" si="18"/>
        <v>3.3549452465304164E-2</v>
      </c>
      <c r="AR8" s="152">
        <f t="shared" si="49"/>
        <v>2.3301081485755666</v>
      </c>
      <c r="AS8" s="152">
        <f t="shared" si="19"/>
        <v>0.99833316991861942</v>
      </c>
      <c r="AT8" s="152">
        <f t="shared" si="20"/>
        <v>47.309567474048244</v>
      </c>
      <c r="AU8" s="139">
        <f t="shared" si="21"/>
        <v>5.3161270552664674E-2</v>
      </c>
      <c r="AV8" s="305">
        <f>AVERAGE('2021.5'!B83:G88)</f>
        <v>67.808333333333323</v>
      </c>
      <c r="AW8" s="155">
        <f>_xlfn.STDEV.S('2021.5'!B83:G88)</f>
        <v>29.84236726632075</v>
      </c>
      <c r="AX8" s="148">
        <f t="shared" si="50"/>
        <v>24</v>
      </c>
      <c r="AY8" s="148">
        <f>'2021.5'!D156+'2021.5'!E156</f>
        <v>14707</v>
      </c>
      <c r="AZ8" s="156">
        <f t="shared" si="22"/>
        <v>4.8378448613317804E-2</v>
      </c>
      <c r="BA8" s="156">
        <f t="shared" si="23"/>
        <v>3.280461969721391</v>
      </c>
      <c r="BB8" s="156">
        <f t="shared" si="24"/>
        <v>0.99836812402257424</v>
      </c>
      <c r="BC8" s="156">
        <f t="shared" si="25"/>
        <v>37.106953502415507</v>
      </c>
      <c r="BD8" s="140">
        <f t="shared" si="26"/>
        <v>8.6706145707394031E-2</v>
      </c>
      <c r="BE8" s="151">
        <f>AVERAGE('2021.5'!B93:G96)</f>
        <v>66.568749999999994</v>
      </c>
      <c r="BF8" s="306">
        <f>_xlfn.STDEV.S('2021.5'!B93:G96)</f>
        <v>30.332045073376339</v>
      </c>
      <c r="BG8" s="146">
        <f t="shared" si="51"/>
        <v>16</v>
      </c>
      <c r="BH8" s="146">
        <f>'2021.5'!D157+'2021.5'!E157</f>
        <v>9429</v>
      </c>
      <c r="BI8" s="152">
        <f t="shared" si="27"/>
        <v>3.1016549396544069E-2</v>
      </c>
      <c r="BJ8" s="152">
        <f t="shared" si="28"/>
        <v>2.0647329226411926</v>
      </c>
      <c r="BK8" s="152">
        <f t="shared" si="29"/>
        <v>0.99830310743451056</v>
      </c>
      <c r="BL8" s="152">
        <f t="shared" si="30"/>
        <v>57.502059895833362</v>
      </c>
      <c r="BM8" s="139">
        <f t="shared" si="31"/>
        <v>5.5224626476334887E-2</v>
      </c>
      <c r="BN8" s="153">
        <f>AVERAGE('2021.5'!B100:G121)</f>
        <v>68.764130434782629</v>
      </c>
      <c r="BO8" s="155">
        <f>_xlfn.STDEV.S('2021.5'!B100:G121)</f>
        <v>27.576855965643198</v>
      </c>
      <c r="BP8" s="148">
        <f t="shared" si="52"/>
        <v>92</v>
      </c>
      <c r="BQ8" s="148">
        <f>'2021.5'!D158+'2021.5'!E158</f>
        <v>63495</v>
      </c>
      <c r="BR8" s="364">
        <f t="shared" si="32"/>
        <v>0.20886581863756132</v>
      </c>
      <c r="BS8" s="156">
        <f t="shared" si="33"/>
        <v>14.36247639616092</v>
      </c>
      <c r="BT8" s="156">
        <f t="shared" si="34"/>
        <v>0.99855106701315066</v>
      </c>
      <c r="BU8" s="156">
        <f t="shared" si="35"/>
        <v>8.266119401628595</v>
      </c>
      <c r="BV8" s="140">
        <f t="shared" si="36"/>
        <v>0.36008638377642088</v>
      </c>
      <c r="BW8" s="151">
        <f>AVERAGE('2021.5'!B125:G147)</f>
        <v>68.953333333333305</v>
      </c>
      <c r="BX8" s="306">
        <f>_xlfn.STDEV.S('2021.5'!B125:G147)</f>
        <v>27.774724586261865</v>
      </c>
      <c r="BY8" s="146">
        <f t="shared" si="53"/>
        <v>90</v>
      </c>
      <c r="BZ8" s="146">
        <f>'2021.5'!D159+'2021.5'!E159</f>
        <v>63186</v>
      </c>
      <c r="CA8" s="146">
        <f t="shared" si="37"/>
        <v>0.20784936792555239</v>
      </c>
      <c r="CB8" s="152">
        <f t="shared" si="38"/>
        <v>14.33190674969325</v>
      </c>
      <c r="CC8" s="152">
        <f t="shared" si="39"/>
        <v>0.9985756338429399</v>
      </c>
      <c r="CD8" s="152">
        <f t="shared" si="40"/>
        <v>8.5715036204744361</v>
      </c>
      <c r="CE8" s="139">
        <f t="shared" si="41"/>
        <v>0.36977316782233921</v>
      </c>
      <c r="CF8" s="365">
        <f t="shared" si="56"/>
        <v>69.328696875869952</v>
      </c>
      <c r="CG8" s="366">
        <f t="shared" si="54"/>
        <v>1.3148216454406385</v>
      </c>
    </row>
    <row r="9" spans="1:85" x14ac:dyDescent="0.25">
      <c r="A9" s="149" t="str">
        <f>'monitoring results'!A9</f>
        <v>01/06/2021-30/06/2021</v>
      </c>
      <c r="B9" s="150">
        <f t="shared" si="42"/>
        <v>303749</v>
      </c>
      <c r="C9" s="151">
        <f>AVERAGE('2021.6'!B6:G34)</f>
        <v>71.539449541284412</v>
      </c>
      <c r="D9" s="151">
        <f>_xlfn.STDEV.S('2021.6'!B6:G34)</f>
        <v>26.894447376627557</v>
      </c>
      <c r="E9" s="146">
        <f t="shared" si="55"/>
        <v>109</v>
      </c>
      <c r="F9" s="146">
        <f>'2021.6'!D151+'2021.6'!E151</f>
        <v>74867</v>
      </c>
      <c r="G9" s="152">
        <f t="shared" si="43"/>
        <v>0.24647653160998062</v>
      </c>
      <c r="H9" s="152">
        <f t="shared" si="0"/>
        <v>17.632795396222999</v>
      </c>
      <c r="I9" s="152">
        <f t="shared" si="1"/>
        <v>0.99854408484378965</v>
      </c>
      <c r="J9" s="152">
        <f t="shared" si="2"/>
        <v>6.6358834834329254</v>
      </c>
      <c r="K9" s="139">
        <f t="shared" si="3"/>
        <v>0.40254750869108369</v>
      </c>
      <c r="L9" s="153">
        <f>AVERAGE('2021.6'!B39:G48)</f>
        <v>69.51666666666668</v>
      </c>
      <c r="M9" s="153">
        <f>_xlfn.STDEV.S('2021.6'!B39:G48)</f>
        <v>30.729733886180124</v>
      </c>
      <c r="N9" s="154">
        <f t="shared" si="44"/>
        <v>42</v>
      </c>
      <c r="O9" s="154">
        <f>'2021.6'!D152+'2021.6'!E152</f>
        <v>27879</v>
      </c>
      <c r="P9" s="155">
        <f t="shared" si="4"/>
        <v>9.1783018215697829E-2</v>
      </c>
      <c r="Q9" s="156">
        <f t="shared" si="5"/>
        <v>6.3804494829612617</v>
      </c>
      <c r="R9" s="156">
        <f t="shared" si="6"/>
        <v>0.99849348972344776</v>
      </c>
      <c r="S9" s="156">
        <f t="shared" si="7"/>
        <v>22.48372725512969</v>
      </c>
      <c r="T9" s="156">
        <f t="shared" si="8"/>
        <v>0.1891203295525018</v>
      </c>
      <c r="U9" s="157">
        <f>AVERAGE('2021.6'!B53:G61)</f>
        <v>69.88611111111112</v>
      </c>
      <c r="V9" s="157">
        <f>_xlfn.STDEV.S('2021.6'!B53:G61)</f>
        <v>27.208750197346216</v>
      </c>
      <c r="W9" s="146">
        <f t="shared" si="45"/>
        <v>36</v>
      </c>
      <c r="X9" s="146">
        <f>'2021.6'!D153+'2021.6'!E153</f>
        <v>23358</v>
      </c>
      <c r="Y9" s="152">
        <f t="shared" si="46"/>
        <v>7.6899018597592086E-2</v>
      </c>
      <c r="Z9" s="152">
        <f t="shared" si="9"/>
        <v>5.374173358046721</v>
      </c>
      <c r="AA9" s="152">
        <f t="shared" si="10"/>
        <v>0.99845877215515022</v>
      </c>
      <c r="AB9" s="152">
        <f t="shared" si="11"/>
        <v>20.564335758377439</v>
      </c>
      <c r="AC9" s="139">
        <f t="shared" si="12"/>
        <v>0.12141893452494436</v>
      </c>
      <c r="AD9" s="305">
        <f>AVERAGE('2021.6'!B66:G72)</f>
        <v>70.159259259259272</v>
      </c>
      <c r="AE9" s="305">
        <f>_xlfn.STDEV.S('2021.6'!B66:G72)</f>
        <v>27.512056926977934</v>
      </c>
      <c r="AF9" s="148">
        <f t="shared" si="47"/>
        <v>27</v>
      </c>
      <c r="AG9" s="148">
        <f>'2021.6'!D154+'2021.6'!E154</f>
        <v>16846</v>
      </c>
      <c r="AH9" s="156">
        <f t="shared" si="13"/>
        <v>5.5460264889760955E-2</v>
      </c>
      <c r="AI9" s="156">
        <f t="shared" si="14"/>
        <v>3.8910511029879333</v>
      </c>
      <c r="AJ9" s="156">
        <f t="shared" si="15"/>
        <v>0.99839724563694643</v>
      </c>
      <c r="AK9" s="156">
        <f t="shared" si="16"/>
        <v>28.033825050121276</v>
      </c>
      <c r="AL9" s="140">
        <f t="shared" si="17"/>
        <v>8.6089386318537131E-2</v>
      </c>
      <c r="AM9" s="157">
        <f>AVERAGE('2021.6'!B76:G79)</f>
        <v>69.658823529411762</v>
      </c>
      <c r="AN9" s="306">
        <f>_xlfn.STDEV.S('2021.6'!B76:G79)</f>
        <v>31.120111239026954</v>
      </c>
      <c r="AO9" s="146">
        <f t="shared" si="48"/>
        <v>17</v>
      </c>
      <c r="AP9" s="146">
        <f>'2021.6'!D155+'2021.6'!E155</f>
        <v>10194</v>
      </c>
      <c r="AQ9" s="152">
        <f t="shared" si="18"/>
        <v>3.3560604314746716E-2</v>
      </c>
      <c r="AR9" s="152">
        <f t="shared" si="49"/>
        <v>2.3377922135013565</v>
      </c>
      <c r="AS9" s="152">
        <f t="shared" si="19"/>
        <v>0.99833235236413576</v>
      </c>
      <c r="AT9" s="152">
        <f t="shared" si="20"/>
        <v>56.968313148788923</v>
      </c>
      <c r="AU9" s="139">
        <f t="shared" si="21"/>
        <v>6.4057214576819663E-2</v>
      </c>
      <c r="AV9" s="305">
        <f>AVERAGE('2021.6'!B83:G88)</f>
        <v>70.82916666666668</v>
      </c>
      <c r="AW9" s="155">
        <f>_xlfn.STDEV.S('2021.6'!B83:G88)</f>
        <v>29.581875755070094</v>
      </c>
      <c r="AX9" s="148">
        <f t="shared" si="50"/>
        <v>24</v>
      </c>
      <c r="AY9" s="148">
        <f>'2021.6'!D156+'2021.6'!E156</f>
        <v>14696</v>
      </c>
      <c r="AZ9" s="156">
        <f t="shared" si="22"/>
        <v>4.8382052286591891E-2</v>
      </c>
      <c r="BA9" s="156">
        <f t="shared" si="23"/>
        <v>3.426860445082399</v>
      </c>
      <c r="BB9" s="156">
        <f t="shared" si="24"/>
        <v>0.99836690255851934</v>
      </c>
      <c r="BC9" s="156">
        <f t="shared" si="25"/>
        <v>36.46197388285016</v>
      </c>
      <c r="BD9" s="140">
        <f t="shared" si="26"/>
        <v>8.5211639944401188E-2</v>
      </c>
      <c r="BE9" s="151">
        <f>AVERAGE('2021.6'!B93:G96)</f>
        <v>67.756249999999994</v>
      </c>
      <c r="BF9" s="306">
        <f>_xlfn.STDEV.S('2021.6'!B93:G96)</f>
        <v>30.471100379430553</v>
      </c>
      <c r="BG9" s="146">
        <f t="shared" si="51"/>
        <v>16</v>
      </c>
      <c r="BH9" s="146">
        <f>'2021.6'!D157+'2021.6'!E157</f>
        <v>9403</v>
      </c>
      <c r="BI9" s="152">
        <f t="shared" si="27"/>
        <v>3.0956480515162189E-2</v>
      </c>
      <c r="BJ9" s="152">
        <f t="shared" si="28"/>
        <v>2.0974950329054578</v>
      </c>
      <c r="BK9" s="152">
        <f t="shared" si="29"/>
        <v>0.99829841539934061</v>
      </c>
      <c r="BL9" s="152">
        <f t="shared" si="30"/>
        <v>58.030497395833301</v>
      </c>
      <c r="BM9" s="139">
        <f t="shared" si="31"/>
        <v>5.5516212999997747E-2</v>
      </c>
      <c r="BN9" s="153">
        <f>AVERAGE('2021.6'!B100:G121)</f>
        <v>69.121739130434776</v>
      </c>
      <c r="BO9" s="155">
        <f>_xlfn.STDEV.S('2021.6'!B100:G121)</f>
        <v>27.311688219985733</v>
      </c>
      <c r="BP9" s="148">
        <f t="shared" si="52"/>
        <v>92</v>
      </c>
      <c r="BQ9" s="148">
        <f>'2021.6'!D158+'2021.6'!E158</f>
        <v>63318</v>
      </c>
      <c r="BR9" s="364">
        <f t="shared" si="32"/>
        <v>0.20845500725928315</v>
      </c>
      <c r="BS9" s="156">
        <f t="shared" si="33"/>
        <v>14.408772632209057</v>
      </c>
      <c r="BT9" s="156">
        <f t="shared" si="34"/>
        <v>0.99854701664613543</v>
      </c>
      <c r="BU9" s="156">
        <f t="shared" si="35"/>
        <v>8.1079164502794292</v>
      </c>
      <c r="BV9" s="140">
        <f t="shared" si="36"/>
        <v>0.35180535568639476</v>
      </c>
      <c r="BW9" s="151">
        <f>AVERAGE('2021.6'!B125:G147)</f>
        <v>69.65666666666668</v>
      </c>
      <c r="BX9" s="306">
        <f>_xlfn.STDEV.S('2021.6'!B125:G147)</f>
        <v>28.785538074651132</v>
      </c>
      <c r="BY9" s="146">
        <f t="shared" si="53"/>
        <v>90</v>
      </c>
      <c r="BZ9" s="146">
        <f>'2021.6'!D159+'2021.6'!E159</f>
        <v>63188</v>
      </c>
      <c r="CA9" s="146">
        <f t="shared" si="37"/>
        <v>0.20802702231118456</v>
      </c>
      <c r="CB9" s="152">
        <f t="shared" si="38"/>
        <v>14.490468950789415</v>
      </c>
      <c r="CC9" s="152">
        <f t="shared" si="39"/>
        <v>0.99857567892637844</v>
      </c>
      <c r="CD9" s="152">
        <f t="shared" si="40"/>
        <v>9.2067466916354448</v>
      </c>
      <c r="CE9" s="139">
        <f t="shared" si="41"/>
        <v>0.39785670724876016</v>
      </c>
      <c r="CF9" s="365">
        <f t="shared" si="56"/>
        <v>70.039858614706603</v>
      </c>
      <c r="CG9" s="366">
        <f t="shared" si="54"/>
        <v>1.3242444221303862</v>
      </c>
    </row>
    <row r="10" spans="1:85" x14ac:dyDescent="0.25">
      <c r="A10" s="149" t="str">
        <f>'monitoring results'!A10</f>
        <v>01/07/2021-31/07/2021</v>
      </c>
      <c r="B10" s="150">
        <f t="shared" si="42"/>
        <v>303879</v>
      </c>
      <c r="C10" s="151">
        <f>AVERAGE('2021.7'!B6:G34)</f>
        <v>71.005504587155954</v>
      </c>
      <c r="D10" s="151">
        <f>_xlfn.STDEV.S('2021.7'!B6:G34)</f>
        <v>28.332270682237141</v>
      </c>
      <c r="E10" s="146">
        <f t="shared" si="55"/>
        <v>109</v>
      </c>
      <c r="F10" s="146">
        <f>'2021.7'!D151+'2021.7'!E151</f>
        <v>75033</v>
      </c>
      <c r="G10" s="152">
        <f t="shared" si="43"/>
        <v>0.2469173585538981</v>
      </c>
      <c r="H10" s="152">
        <f t="shared" si="0"/>
        <v>17.532491635447244</v>
      </c>
      <c r="I10" s="152">
        <f t="shared" si="1"/>
        <v>0.99854730585209173</v>
      </c>
      <c r="J10" s="152">
        <f t="shared" si="2"/>
        <v>7.3643813028582956</v>
      </c>
      <c r="K10" s="139">
        <f t="shared" si="3"/>
        <v>0.44834068984507414</v>
      </c>
      <c r="L10" s="153">
        <f>AVERAGE('2021.7'!B39:G48)</f>
        <v>68.335714285714275</v>
      </c>
      <c r="M10" s="153">
        <f>_xlfn.STDEV.S('2021.7'!B39:G48)</f>
        <v>27.431971923718802</v>
      </c>
      <c r="N10" s="154">
        <f t="shared" si="44"/>
        <v>42</v>
      </c>
      <c r="O10" s="154">
        <f>'2021.7'!D152+'2021.7'!E152</f>
        <v>27804</v>
      </c>
      <c r="P10" s="155">
        <f t="shared" si="4"/>
        <v>9.1496944507517788E-2</v>
      </c>
      <c r="Q10" s="156">
        <f t="shared" si="5"/>
        <v>6.2525090578815901</v>
      </c>
      <c r="R10" s="156">
        <f t="shared" si="6"/>
        <v>0.99848942598187307</v>
      </c>
      <c r="S10" s="156">
        <f t="shared" si="7"/>
        <v>17.916978181516587</v>
      </c>
      <c r="T10" s="156">
        <f t="shared" si="8"/>
        <v>0.14976882321964491</v>
      </c>
      <c r="U10" s="157">
        <f>AVERAGE('2021.7'!B53:G61)</f>
        <v>72.080555555555563</v>
      </c>
      <c r="V10" s="157">
        <f>_xlfn.STDEV.S('2021.7'!B53:G61)</f>
        <v>27.224860691701252</v>
      </c>
      <c r="W10" s="146">
        <f t="shared" si="45"/>
        <v>36</v>
      </c>
      <c r="X10" s="146">
        <f>'2021.7'!D153+'2021.7'!E153</f>
        <v>23273</v>
      </c>
      <c r="Y10" s="152">
        <f t="shared" si="46"/>
        <v>7.6586404457037183E-2</v>
      </c>
      <c r="Z10" s="152">
        <f t="shared" si="9"/>
        <v>5.5203905812657164</v>
      </c>
      <c r="AA10" s="152">
        <f t="shared" si="10"/>
        <v>0.99845314312722899</v>
      </c>
      <c r="AB10" s="152">
        <f t="shared" si="11"/>
        <v>20.58869554673722</v>
      </c>
      <c r="AC10" s="139">
        <f t="shared" si="12"/>
        <v>0.12057572500179115</v>
      </c>
      <c r="AD10" s="305">
        <f>AVERAGE('2021.7'!B66:G72)</f>
        <v>70.737037037037041</v>
      </c>
      <c r="AE10" s="305">
        <f>_xlfn.STDEV.S('2021.7'!B66:G72)</f>
        <v>27.517590851450006</v>
      </c>
      <c r="AF10" s="148">
        <f t="shared" si="47"/>
        <v>27</v>
      </c>
      <c r="AG10" s="148">
        <f>'2021.7'!D154+'2021.7'!E154</f>
        <v>16860</v>
      </c>
      <c r="AH10" s="156">
        <f t="shared" si="13"/>
        <v>5.5482609854580277E-2</v>
      </c>
      <c r="AI10" s="156">
        <f t="shared" si="14"/>
        <v>3.9246754281949214</v>
      </c>
      <c r="AJ10" s="156">
        <f t="shared" si="15"/>
        <v>0.99839857651245556</v>
      </c>
      <c r="AK10" s="156">
        <f t="shared" si="16"/>
        <v>28.045103935844629</v>
      </c>
      <c r="AL10" s="140">
        <f t="shared" si="17"/>
        <v>8.6193550464299801E-2</v>
      </c>
      <c r="AM10" s="157">
        <f>AVERAGE('2021.7'!B76:G79)</f>
        <v>68.729411764705887</v>
      </c>
      <c r="AN10" s="306">
        <f>_xlfn.STDEV.S('2021.7'!B76:G79)</f>
        <v>29.290223725372098</v>
      </c>
      <c r="AO10" s="146">
        <f t="shared" si="48"/>
        <v>17</v>
      </c>
      <c r="AP10" s="146">
        <f>'2021.7'!D155+'2021.7'!E155</f>
        <v>10233</v>
      </c>
      <c r="AQ10" s="152">
        <f t="shared" si="18"/>
        <v>3.3674587582557529E-2</v>
      </c>
      <c r="AR10" s="152">
        <f t="shared" si="49"/>
        <v>2.3144345959682484</v>
      </c>
      <c r="AS10" s="152">
        <f t="shared" si="19"/>
        <v>0.99833870810124103</v>
      </c>
      <c r="AT10" s="152">
        <f t="shared" si="20"/>
        <v>50.465717993079444</v>
      </c>
      <c r="AU10" s="139">
        <f t="shared" si="21"/>
        <v>5.7131935568724868E-2</v>
      </c>
      <c r="AV10" s="305">
        <f>AVERAGE('2021.7'!B83:G88)</f>
        <v>69.716666666666669</v>
      </c>
      <c r="AW10" s="155">
        <f>_xlfn.STDEV.S('2021.7'!B83:G88)</f>
        <v>28.637216082006592</v>
      </c>
      <c r="AX10" s="148">
        <f t="shared" si="50"/>
        <v>24</v>
      </c>
      <c r="AY10" s="148">
        <f>'2021.7'!D156+'2021.7'!E156</f>
        <v>14713</v>
      </c>
      <c r="AZ10" s="156">
        <f t="shared" si="22"/>
        <v>4.8417297674403302E-2</v>
      </c>
      <c r="BA10" s="156">
        <f t="shared" si="23"/>
        <v>3.3754926028671499</v>
      </c>
      <c r="BB10" s="156">
        <f t="shared" si="24"/>
        <v>0.99836878950587915</v>
      </c>
      <c r="BC10" s="156">
        <f t="shared" si="25"/>
        <v>34.170422705314046</v>
      </c>
      <c r="BD10" s="140">
        <f t="shared" si="26"/>
        <v>7.997282544568747E-2</v>
      </c>
      <c r="BE10" s="151">
        <f>AVERAGE('2021.7'!B93:G96)</f>
        <v>68.393749999999997</v>
      </c>
      <c r="BF10" s="306">
        <f>_xlfn.STDEV.S('2021.7'!B93:G96)</f>
        <v>29.049348099398031</v>
      </c>
      <c r="BG10" s="146">
        <f t="shared" si="51"/>
        <v>16</v>
      </c>
      <c r="BH10" s="146">
        <f>'2021.7'!D157+'2021.7'!E157</f>
        <v>9432</v>
      </c>
      <c r="BI10" s="152">
        <f t="shared" si="27"/>
        <v>3.103866999693957E-2</v>
      </c>
      <c r="BJ10" s="152">
        <f t="shared" si="28"/>
        <v>2.1228510361031856</v>
      </c>
      <c r="BK10" s="152">
        <f t="shared" si="29"/>
        <v>0.99830364715860898</v>
      </c>
      <c r="BL10" s="152">
        <f t="shared" si="30"/>
        <v>52.741539062500003</v>
      </c>
      <c r="BM10" s="139">
        <f t="shared" si="31"/>
        <v>5.0724954211639625E-2</v>
      </c>
      <c r="BN10" s="153">
        <f>AVERAGE('2021.7'!B100:G121)</f>
        <v>69.244565217391298</v>
      </c>
      <c r="BO10" s="155">
        <f>_xlfn.STDEV.S('2021.7'!B100:G121)</f>
        <v>27.676075136726347</v>
      </c>
      <c r="BP10" s="148">
        <f t="shared" si="52"/>
        <v>92</v>
      </c>
      <c r="BQ10" s="148">
        <f>'2021.7'!D158+'2021.7'!E158</f>
        <v>63399</v>
      </c>
      <c r="BR10" s="364">
        <f t="shared" si="32"/>
        <v>0.20863238328413611</v>
      </c>
      <c r="BS10" s="156">
        <f t="shared" si="33"/>
        <v>14.446658670778142</v>
      </c>
      <c r="BT10" s="156">
        <f t="shared" si="34"/>
        <v>0.99854887301061535</v>
      </c>
      <c r="BU10" s="156">
        <f t="shared" si="35"/>
        <v>8.3257079888448065</v>
      </c>
      <c r="BV10" s="140">
        <f t="shared" si="36"/>
        <v>0.3618711319022474</v>
      </c>
      <c r="BW10" s="151">
        <f>AVERAGE('2021.7'!B125:G147)</f>
        <v>69.531111111111102</v>
      </c>
      <c r="BX10" s="306">
        <f>_xlfn.STDEV.S('2021.7'!B125:G147)</f>
        <v>26.850885133630666</v>
      </c>
      <c r="BY10" s="146">
        <f t="shared" si="53"/>
        <v>90</v>
      </c>
      <c r="BZ10" s="146">
        <f>'2021.7'!D159+'2021.7'!E159</f>
        <v>63132</v>
      </c>
      <c r="CA10" s="146">
        <f t="shared" si="37"/>
        <v>0.20775374408893013</v>
      </c>
      <c r="CB10" s="152">
        <f t="shared" si="38"/>
        <v>14.445348663996743</v>
      </c>
      <c r="CC10" s="152">
        <f t="shared" si="39"/>
        <v>0.99857441551035919</v>
      </c>
      <c r="CD10" s="152">
        <f t="shared" si="40"/>
        <v>8.0107781384380914</v>
      </c>
      <c r="CE10" s="139">
        <f t="shared" si="41"/>
        <v>0.34526523990769448</v>
      </c>
      <c r="CF10" s="365">
        <f t="shared" si="56"/>
        <v>69.934852272502937</v>
      </c>
      <c r="CG10" s="366">
        <f t="shared" si="54"/>
        <v>1.3037809921788259</v>
      </c>
    </row>
    <row r="11" spans="1:85" x14ac:dyDescent="0.25">
      <c r="A11" s="149" t="str">
        <f>'monitoring results'!A11</f>
        <v>01/08/2021-31/08/2021</v>
      </c>
      <c r="B11" s="150">
        <f t="shared" si="42"/>
        <v>303778</v>
      </c>
      <c r="C11" s="151">
        <f>AVERAGE('2021.8'!B6:G34)</f>
        <v>69.6348623853211</v>
      </c>
      <c r="D11" s="151">
        <f>_xlfn.STDEV.S('2021.8'!B6:G34)</f>
        <v>27.579834877660836</v>
      </c>
      <c r="E11" s="146">
        <f t="shared" si="55"/>
        <v>109</v>
      </c>
      <c r="F11" s="146">
        <f>'2021.8'!D151+'2021.8'!E151</f>
        <v>74838</v>
      </c>
      <c r="G11" s="152">
        <f t="shared" si="43"/>
        <v>0.24635753741218916</v>
      </c>
      <c r="H11" s="152">
        <f t="shared" si="0"/>
        <v>17.155073215284386</v>
      </c>
      <c r="I11" s="152">
        <f t="shared" si="1"/>
        <v>0.99854352067131669</v>
      </c>
      <c r="J11" s="152">
        <f t="shared" si="2"/>
        <v>6.9784155218260286</v>
      </c>
      <c r="K11" s="139">
        <f t="shared" si="3"/>
        <v>0.42291737887020248</v>
      </c>
      <c r="L11" s="153">
        <f>AVERAGE('2021.8'!B39:G48)</f>
        <v>67.173809523809524</v>
      </c>
      <c r="M11" s="153">
        <f>_xlfn.STDEV.S('2021.8'!B39:G48)</f>
        <v>29.202990654765944</v>
      </c>
      <c r="N11" s="154">
        <f t="shared" si="44"/>
        <v>42</v>
      </c>
      <c r="O11" s="154">
        <f>'2021.8'!D152+'2021.8'!E152</f>
        <v>27864</v>
      </c>
      <c r="P11" s="155">
        <f t="shared" si="4"/>
        <v>9.172487803593414E-2</v>
      </c>
      <c r="Q11" s="156">
        <f t="shared" si="5"/>
        <v>6.1615094857804991</v>
      </c>
      <c r="R11" s="156">
        <f t="shared" si="6"/>
        <v>0.99849267872523684</v>
      </c>
      <c r="S11" s="156">
        <f t="shared" si="7"/>
        <v>20.305111028151121</v>
      </c>
      <c r="T11" s="156">
        <f t="shared" si="8"/>
        <v>0.17057859749414078</v>
      </c>
      <c r="U11" s="157">
        <f>AVERAGE('2021.8'!B53:G61)</f>
        <v>70.847222222222243</v>
      </c>
      <c r="V11" s="157">
        <f>_xlfn.STDEV.S('2021.8'!B53:G61)</f>
        <v>29.191647397462411</v>
      </c>
      <c r="W11" s="146">
        <f t="shared" si="45"/>
        <v>36</v>
      </c>
      <c r="X11" s="146">
        <f>'2021.8'!D153+'2021.8'!E153</f>
        <v>23283</v>
      </c>
      <c r="Y11" s="152">
        <f t="shared" si="46"/>
        <v>7.6644786653411373E-2</v>
      </c>
      <c r="Z11" s="152">
        <f t="shared" si="9"/>
        <v>5.4300702322090491</v>
      </c>
      <c r="AA11" s="152">
        <f t="shared" si="10"/>
        <v>0.99845380749903367</v>
      </c>
      <c r="AB11" s="152">
        <f t="shared" si="11"/>
        <v>23.670896604938164</v>
      </c>
      <c r="AC11" s="139">
        <f t="shared" si="12"/>
        <v>0.13883786454823854</v>
      </c>
      <c r="AD11" s="305">
        <f>AVERAGE('2021.8'!B66:G72)</f>
        <v>69.729629629629628</v>
      </c>
      <c r="AE11" s="305">
        <f>_xlfn.STDEV.S('2021.8'!B66:G72)</f>
        <v>30.836127847490516</v>
      </c>
      <c r="AF11" s="148">
        <f t="shared" si="47"/>
        <v>27</v>
      </c>
      <c r="AG11" s="148">
        <f>'2021.8'!D154+'2021.8'!E154</f>
        <v>16787</v>
      </c>
      <c r="AH11" s="156">
        <f t="shared" si="13"/>
        <v>5.526074962637189E-2</v>
      </c>
      <c r="AI11" s="156">
        <f t="shared" si="14"/>
        <v>3.8533116045026055</v>
      </c>
      <c r="AJ11" s="156">
        <f t="shared" si="15"/>
        <v>0.99839161255733599</v>
      </c>
      <c r="AK11" s="156">
        <f t="shared" si="16"/>
        <v>35.217288171362227</v>
      </c>
      <c r="AL11" s="140">
        <f t="shared" si="17"/>
        <v>0.10737183585407313</v>
      </c>
      <c r="AM11" s="157">
        <f>AVERAGE('2021.8'!B76:G79)</f>
        <v>66.852941176470594</v>
      </c>
      <c r="AN11" s="306">
        <f>_xlfn.STDEV.S('2021.8'!B76:G79)</f>
        <v>27.4918651069516</v>
      </c>
      <c r="AO11" s="146">
        <f t="shared" si="48"/>
        <v>17</v>
      </c>
      <c r="AP11" s="146">
        <f>'2021.8'!D155+'2021.8'!E155</f>
        <v>10195</v>
      </c>
      <c r="AQ11" s="152">
        <f t="shared" si="18"/>
        <v>3.3560692347701281E-2</v>
      </c>
      <c r="AR11" s="152">
        <f t="shared" si="49"/>
        <v>2.2436309913625005</v>
      </c>
      <c r="AS11" s="152">
        <f t="shared" si="19"/>
        <v>0.99833251593918593</v>
      </c>
      <c r="AT11" s="152">
        <f t="shared" si="20"/>
        <v>44.458979238754289</v>
      </c>
      <c r="AU11" s="139">
        <f t="shared" si="21"/>
        <v>4.9991541314303549E-2</v>
      </c>
      <c r="AV11" s="305">
        <f>AVERAGE('2021.8'!B83:G88)</f>
        <v>68.754166666666663</v>
      </c>
      <c r="AW11" s="155">
        <f>_xlfn.STDEV.S('2021.8'!B83:G88)</f>
        <v>28.054527328457866</v>
      </c>
      <c r="AX11" s="148">
        <f t="shared" si="50"/>
        <v>24</v>
      </c>
      <c r="AY11" s="148">
        <f>'2021.8'!D156+'2021.8'!E156</f>
        <v>14681</v>
      </c>
      <c r="AZ11" s="156">
        <f t="shared" si="22"/>
        <v>4.8328055356214081E-2</v>
      </c>
      <c r="BA11" s="156">
        <f t="shared" si="23"/>
        <v>3.3227551726370352</v>
      </c>
      <c r="BB11" s="156">
        <f t="shared" si="24"/>
        <v>0.99836523397588717</v>
      </c>
      <c r="BC11" s="156">
        <f t="shared" si="25"/>
        <v>32.79402098429955</v>
      </c>
      <c r="BD11" s="140">
        <f t="shared" si="26"/>
        <v>7.6468533203664424E-2</v>
      </c>
      <c r="BE11" s="151">
        <f>AVERAGE('2021.8'!B93:G96)</f>
        <v>67.84375</v>
      </c>
      <c r="BF11" s="306">
        <f>_xlfn.STDEV.S('2021.8'!B93:G96)</f>
        <v>26.317141910422791</v>
      </c>
      <c r="BG11" s="146">
        <f t="shared" si="51"/>
        <v>16</v>
      </c>
      <c r="BH11" s="146">
        <f>'2021.8'!D157+'2021.8'!E157</f>
        <v>9415</v>
      </c>
      <c r="BI11" s="152">
        <f t="shared" si="27"/>
        <v>3.0993027803198389E-2</v>
      </c>
      <c r="BJ11" s="152">
        <f t="shared" si="28"/>
        <v>2.1026832300232408</v>
      </c>
      <c r="BK11" s="152">
        <f t="shared" si="29"/>
        <v>0.9983005841741901</v>
      </c>
      <c r="BL11" s="152">
        <f t="shared" si="30"/>
        <v>43.286997395833232</v>
      </c>
      <c r="BM11" s="139">
        <f t="shared" si="31"/>
        <v>4.1509432791916892E-2</v>
      </c>
      <c r="BN11" s="153">
        <f>AVERAGE('2021.8'!B100:G121)</f>
        <v>69.332608695652212</v>
      </c>
      <c r="BO11" s="155">
        <f>_xlfn.STDEV.S('2021.8'!B100:G121)</f>
        <v>28.713048336396955</v>
      </c>
      <c r="BP11" s="148">
        <f t="shared" si="52"/>
        <v>92</v>
      </c>
      <c r="BQ11" s="148">
        <f>'2021.8'!D158+'2021.8'!E158</f>
        <v>63429</v>
      </c>
      <c r="BR11" s="364">
        <f t="shared" si="32"/>
        <v>0.2088005056324026</v>
      </c>
      <c r="BS11" s="156">
        <f t="shared" si="33"/>
        <v>14.476683752465696</v>
      </c>
      <c r="BT11" s="156">
        <f t="shared" si="34"/>
        <v>0.99854955934982426</v>
      </c>
      <c r="BU11" s="156">
        <f t="shared" si="35"/>
        <v>8.9612950518289995</v>
      </c>
      <c r="BV11" s="140">
        <f t="shared" si="36"/>
        <v>0.39012474083211585</v>
      </c>
      <c r="BW11" s="151">
        <f>AVERAGE('2021.8'!B125:G147)</f>
        <v>70.334444444444443</v>
      </c>
      <c r="BX11" s="306">
        <f>_xlfn.STDEV.S('2021.8'!B125:G147)</f>
        <v>27.762832486355197</v>
      </c>
      <c r="BY11" s="146">
        <f t="shared" si="53"/>
        <v>90</v>
      </c>
      <c r="BZ11" s="146">
        <f>'2021.8'!D159+'2021.8'!E159</f>
        <v>63286</v>
      </c>
      <c r="CA11" s="146">
        <f t="shared" si="37"/>
        <v>0.20832976713257709</v>
      </c>
      <c r="CB11" s="152">
        <f t="shared" si="38"/>
        <v>14.652758432510291</v>
      </c>
      <c r="CC11" s="152">
        <f t="shared" si="39"/>
        <v>0.99857788452422336</v>
      </c>
      <c r="CD11" s="152">
        <f t="shared" si="40"/>
        <v>8.5641651962824383</v>
      </c>
      <c r="CE11" s="139">
        <f t="shared" si="41"/>
        <v>0.37116723893997267</v>
      </c>
      <c r="CF11" s="365">
        <f t="shared" si="56"/>
        <v>69.398476116775313</v>
      </c>
      <c r="CG11" s="366">
        <f t="shared" si="54"/>
        <v>1.3300252493274811</v>
      </c>
    </row>
    <row r="12" spans="1:85" x14ac:dyDescent="0.25">
      <c r="A12" s="149" t="str">
        <f>'monitoring results'!A12</f>
        <v>01/09/2021-30/09/2021</v>
      </c>
      <c r="B12" s="150">
        <f t="shared" si="42"/>
        <v>304145</v>
      </c>
      <c r="C12" s="151">
        <f>AVERAGE('2021.9'!B6:G34)</f>
        <v>71.154128440366961</v>
      </c>
      <c r="D12" s="151">
        <f>_xlfn.STDEV.S('2021.9'!B6:G34)</f>
        <v>28.52727587606778</v>
      </c>
      <c r="E12" s="146">
        <f t="shared" si="55"/>
        <v>109</v>
      </c>
      <c r="F12" s="146">
        <f>'2021.9'!D151+'2021.9'!E151</f>
        <v>74879</v>
      </c>
      <c r="G12" s="152">
        <f t="shared" si="43"/>
        <v>0.24619507142974567</v>
      </c>
      <c r="H12" s="152">
        <f t="shared" si="0"/>
        <v>17.517795733897444</v>
      </c>
      <c r="I12" s="152">
        <f t="shared" si="1"/>
        <v>0.99854431816664213</v>
      </c>
      <c r="J12" s="152">
        <f t="shared" si="2"/>
        <v>7.4661052193511805</v>
      </c>
      <c r="K12" s="139">
        <f t="shared" si="3"/>
        <v>0.45187692012928909</v>
      </c>
      <c r="L12" s="153">
        <f>AVERAGE('2021.9'!B39:G48)</f>
        <v>69.11666666666666</v>
      </c>
      <c r="M12" s="153">
        <f>_xlfn.STDEV.S('2021.9'!B39:G48)</f>
        <v>30.790907088775313</v>
      </c>
      <c r="N12" s="154">
        <f t="shared" si="44"/>
        <v>42</v>
      </c>
      <c r="O12" s="154">
        <f>'2021.9'!D152+'2021.9'!E152</f>
        <v>27847</v>
      </c>
      <c r="P12" s="155">
        <f t="shared" si="4"/>
        <v>9.1558302783211962E-2</v>
      </c>
      <c r="Q12" s="156">
        <f t="shared" si="5"/>
        <v>6.3282046940329986</v>
      </c>
      <c r="R12" s="156">
        <f t="shared" si="6"/>
        <v>0.99849175853772398</v>
      </c>
      <c r="S12" s="156">
        <f t="shared" si="7"/>
        <v>22.57333236546652</v>
      </c>
      <c r="T12" s="156">
        <f t="shared" si="8"/>
        <v>0.18894509746109903</v>
      </c>
      <c r="U12" s="157">
        <f>AVERAGE('2021.9'!B53:G61)</f>
        <v>69.574999999999989</v>
      </c>
      <c r="V12" s="157">
        <f>_xlfn.STDEV.S('2021.9'!B53:G61)</f>
        <v>27.108895482584963</v>
      </c>
      <c r="W12" s="146">
        <f t="shared" si="45"/>
        <v>36</v>
      </c>
      <c r="X12" s="146">
        <f>'2021.9'!D153+'2021.9'!E153</f>
        <v>23372</v>
      </c>
      <c r="Y12" s="152">
        <f t="shared" si="46"/>
        <v>7.6844925939929962E-2</v>
      </c>
      <c r="Z12" s="152">
        <f t="shared" si="9"/>
        <v>5.3464857222706268</v>
      </c>
      <c r="AA12" s="152">
        <f t="shared" si="10"/>
        <v>0.99845969536197154</v>
      </c>
      <c r="AB12" s="152">
        <f t="shared" si="11"/>
        <v>20.413672619047649</v>
      </c>
      <c r="AC12" s="139">
        <f t="shared" si="12"/>
        <v>0.12035997165537606</v>
      </c>
      <c r="AD12" s="305">
        <f>AVERAGE('2021.9'!B66:G72)</f>
        <v>70.829629629629636</v>
      </c>
      <c r="AE12" s="305">
        <f>_xlfn.STDEV.S('2021.9'!B66:G72)</f>
        <v>25.107044901853815</v>
      </c>
      <c r="AF12" s="148">
        <f t="shared" si="47"/>
        <v>27</v>
      </c>
      <c r="AG12" s="148">
        <f>'2021.9'!D154+'2021.9'!E154</f>
        <v>16863</v>
      </c>
      <c r="AH12" s="156">
        <f t="shared" si="13"/>
        <v>5.5443949432014333E-2</v>
      </c>
      <c r="AI12" s="156">
        <f t="shared" si="14"/>
        <v>3.9270744034734899</v>
      </c>
      <c r="AJ12" s="156">
        <f t="shared" si="15"/>
        <v>0.99839886141256007</v>
      </c>
      <c r="AK12" s="156">
        <f t="shared" si="16"/>
        <v>23.346803840877914</v>
      </c>
      <c r="AL12" s="140">
        <f t="shared" si="17"/>
        <v>7.1653899286533804E-2</v>
      </c>
      <c r="AM12" s="157">
        <f>AVERAGE('2021.9'!B76:G79)</f>
        <v>70.194117647058832</v>
      </c>
      <c r="AN12" s="306">
        <f>_xlfn.STDEV.S('2021.9'!B76:G79)</f>
        <v>25.55771582585761</v>
      </c>
      <c r="AO12" s="146">
        <f t="shared" si="48"/>
        <v>17</v>
      </c>
      <c r="AP12" s="146">
        <f>'2021.9'!D155+'2021.9'!E155</f>
        <v>10212</v>
      </c>
      <c r="AQ12" s="152">
        <f t="shared" si="18"/>
        <v>3.357609035164149E-2</v>
      </c>
      <c r="AR12" s="152">
        <f t="shared" si="49"/>
        <v>2.3568440362713994</v>
      </c>
      <c r="AS12" s="152">
        <f t="shared" si="19"/>
        <v>0.99833529181355263</v>
      </c>
      <c r="AT12" s="152">
        <f t="shared" si="20"/>
        <v>38.423343425605438</v>
      </c>
      <c r="AU12" s="139">
        <f t="shared" si="21"/>
        <v>4.3244594211788744E-2</v>
      </c>
      <c r="AV12" s="305">
        <f>AVERAGE('2021.9'!B83:G88)</f>
        <v>67.57083333333334</v>
      </c>
      <c r="AW12" s="155">
        <f>_xlfn.STDEV.S('2021.9'!B83:G88)</f>
        <v>30.623314209739025</v>
      </c>
      <c r="AX12" s="148">
        <f t="shared" si="50"/>
        <v>24</v>
      </c>
      <c r="AY12" s="148">
        <f>'2021.9'!D156+'2021.9'!E156</f>
        <v>14658</v>
      </c>
      <c r="AZ12" s="156">
        <f t="shared" si="22"/>
        <v>4.8194117937168129E-2</v>
      </c>
      <c r="BA12" s="156">
        <f t="shared" si="23"/>
        <v>3.2565167107793984</v>
      </c>
      <c r="BB12" s="156">
        <f t="shared" si="24"/>
        <v>0.99836266884977487</v>
      </c>
      <c r="BC12" s="156">
        <f t="shared" si="25"/>
        <v>39.074473882850171</v>
      </c>
      <c r="BD12" s="140">
        <f t="shared" si="26"/>
        <v>9.0608625990484359E-2</v>
      </c>
      <c r="BE12" s="151">
        <f>AVERAGE('2021.9'!B93:G96)</f>
        <v>65.474999999999994</v>
      </c>
      <c r="BF12" s="306">
        <f>_xlfn.STDEV.S('2021.9'!B93:G96)</f>
        <v>31.728420488052468</v>
      </c>
      <c r="BG12" s="146">
        <f t="shared" si="51"/>
        <v>16</v>
      </c>
      <c r="BH12" s="146">
        <f>'2021.9'!D157+'2021.9'!E157</f>
        <v>9431</v>
      </c>
      <c r="BI12" s="152">
        <f t="shared" si="27"/>
        <v>3.1008236203126798E-2</v>
      </c>
      <c r="BJ12" s="152">
        <f t="shared" si="28"/>
        <v>2.0302642653997269</v>
      </c>
      <c r="BK12" s="152">
        <f t="shared" si="29"/>
        <v>0.99830346728872865</v>
      </c>
      <c r="BL12" s="152">
        <f t="shared" si="30"/>
        <v>62.918291666666725</v>
      </c>
      <c r="BM12" s="139">
        <f t="shared" si="31"/>
        <v>6.0393976964988369E-2</v>
      </c>
      <c r="BN12" s="153">
        <f>AVERAGE('2021.9'!B100:G121)</f>
        <v>68.618478260869537</v>
      </c>
      <c r="BO12" s="155">
        <f>_xlfn.STDEV.S('2021.9'!B100:G121)</f>
        <v>27.657087517787531</v>
      </c>
      <c r="BP12" s="148">
        <f t="shared" si="52"/>
        <v>92</v>
      </c>
      <c r="BQ12" s="148">
        <f>'2021.9'!D158+'2021.9'!E158</f>
        <v>63535</v>
      </c>
      <c r="BR12" s="364">
        <f t="shared" si="32"/>
        <v>0.20889707212020583</v>
      </c>
      <c r="BS12" s="156">
        <f t="shared" si="33"/>
        <v>14.334199202039638</v>
      </c>
      <c r="BT12" s="156">
        <f t="shared" si="34"/>
        <v>0.9985519792240497</v>
      </c>
      <c r="BU12" s="156">
        <f t="shared" si="35"/>
        <v>8.3142879344191165</v>
      </c>
      <c r="BV12" s="140">
        <f t="shared" si="36"/>
        <v>0.3622934174970463</v>
      </c>
      <c r="BW12" s="151">
        <f>AVERAGE('2021.9'!B125:G147)</f>
        <v>70.662222222222169</v>
      </c>
      <c r="BX12" s="306">
        <f>_xlfn.STDEV.S('2021.9'!B125:G147)</f>
        <v>26.683494783904408</v>
      </c>
      <c r="BY12" s="146">
        <f t="shared" si="53"/>
        <v>90</v>
      </c>
      <c r="BZ12" s="146">
        <f>'2021.9'!D159+'2021.9'!E159</f>
        <v>63348</v>
      </c>
      <c r="CA12" s="146">
        <f t="shared" si="37"/>
        <v>0.20828223380295582</v>
      </c>
      <c r="CB12" s="152">
        <f t="shared" si="38"/>
        <v>14.7176854899253</v>
      </c>
      <c r="CC12" s="152">
        <f t="shared" si="39"/>
        <v>0.99857927637810195</v>
      </c>
      <c r="CD12" s="152">
        <f t="shared" si="40"/>
        <v>7.911209932029486</v>
      </c>
      <c r="CE12" s="139">
        <f t="shared" si="41"/>
        <v>0.34271247355311191</v>
      </c>
      <c r="CF12" s="365">
        <f t="shared" si="56"/>
        <v>69.815070258090032</v>
      </c>
      <c r="CG12" s="366">
        <f t="shared" si="54"/>
        <v>1.3160885140254501</v>
      </c>
    </row>
    <row r="13" spans="1:85" x14ac:dyDescent="0.25">
      <c r="A13" s="149" t="str">
        <f>'monitoring results'!A13</f>
        <v>01/10/2021-31/10/2021</v>
      </c>
      <c r="B13" s="150">
        <f t="shared" si="42"/>
        <v>303601</v>
      </c>
      <c r="C13" s="151">
        <f>AVERAGE('2021.10'!B6:G34)</f>
        <v>69.898165137614683</v>
      </c>
      <c r="D13" s="151">
        <f>_xlfn.STDEV.S('2021.10'!B6:G34)</f>
        <v>29.554945633800831</v>
      </c>
      <c r="E13" s="146">
        <f t="shared" si="55"/>
        <v>109</v>
      </c>
      <c r="F13" s="146">
        <f>'2021.10'!D151+'2021.10'!E151</f>
        <v>74955</v>
      </c>
      <c r="G13" s="152">
        <f t="shared" si="43"/>
        <v>0.24688653858188872</v>
      </c>
      <c r="H13" s="152">
        <f t="shared" si="0"/>
        <v>17.256916044050939</v>
      </c>
      <c r="I13" s="152">
        <f t="shared" si="1"/>
        <v>0.99854579414315259</v>
      </c>
      <c r="J13" s="152">
        <f t="shared" si="2"/>
        <v>8.0137138662103009</v>
      </c>
      <c r="K13" s="139">
        <f t="shared" si="3"/>
        <v>0.48774928342503265</v>
      </c>
      <c r="L13" s="153">
        <f>AVERAGE('2021.10'!B39:G48)</f>
        <v>68.32380952380953</v>
      </c>
      <c r="M13" s="153">
        <f>_xlfn.STDEV.S('2021.10'!B39:G48)</f>
        <v>29.112270562920457</v>
      </c>
      <c r="N13" s="154">
        <f t="shared" si="44"/>
        <v>42</v>
      </c>
      <c r="O13" s="154">
        <f>'2021.10'!D152+'2021.10'!E152</f>
        <v>27760</v>
      </c>
      <c r="P13" s="155">
        <f t="shared" si="4"/>
        <v>9.1435798959818973E-2</v>
      </c>
      <c r="Q13" s="156">
        <f t="shared" si="5"/>
        <v>6.2472421117880135</v>
      </c>
      <c r="R13" s="156">
        <f t="shared" si="6"/>
        <v>0.99848703170028819</v>
      </c>
      <c r="S13" s="156">
        <f t="shared" si="7"/>
        <v>20.179149936397259</v>
      </c>
      <c r="T13" s="156">
        <f t="shared" si="8"/>
        <v>0.16845264093635198</v>
      </c>
      <c r="U13" s="157">
        <f>AVERAGE('2021.10'!B53:G61)</f>
        <v>70.14722222222224</v>
      </c>
      <c r="V13" s="157">
        <f>_xlfn.STDEV.S('2021.10'!B53:G61)</f>
        <v>28.074874238223423</v>
      </c>
      <c r="W13" s="146">
        <f t="shared" si="45"/>
        <v>36</v>
      </c>
      <c r="X13" s="146">
        <f>'2021.10'!D153+'2021.10'!E153</f>
        <v>23280</v>
      </c>
      <c r="Y13" s="152">
        <f t="shared" si="46"/>
        <v>7.6679589329415918E-2</v>
      </c>
      <c r="Z13" s="152">
        <f t="shared" si="9"/>
        <v>5.3788601925992792</v>
      </c>
      <c r="AA13" s="152">
        <f t="shared" si="10"/>
        <v>0.99845360824742269</v>
      </c>
      <c r="AB13" s="152">
        <f t="shared" si="11"/>
        <v>21.894404541446146</v>
      </c>
      <c r="AC13" s="139">
        <f t="shared" si="12"/>
        <v>0.12853475840683595</v>
      </c>
      <c r="AD13" s="305">
        <f>AVERAGE('2021.10'!B66:G72)</f>
        <v>71.477777777777789</v>
      </c>
      <c r="AE13" s="305">
        <f>_xlfn.STDEV.S('2021.10'!B66:G72)</f>
        <v>26.567176586812341</v>
      </c>
      <c r="AF13" s="148">
        <f t="shared" si="47"/>
        <v>27</v>
      </c>
      <c r="AG13" s="148">
        <f>'2021.10'!D154+'2021.10'!E154</f>
        <v>16837</v>
      </c>
      <c r="AH13" s="156">
        <f t="shared" si="13"/>
        <v>5.5457656595334005E-2</v>
      </c>
      <c r="AI13" s="156">
        <f t="shared" si="14"/>
        <v>3.963990054197597</v>
      </c>
      <c r="AJ13" s="156">
        <f t="shared" si="15"/>
        <v>0.99839638890538696</v>
      </c>
      <c r="AK13" s="156">
        <f t="shared" si="16"/>
        <v>26.141291547958144</v>
      </c>
      <c r="AL13" s="140">
        <f t="shared" si="17"/>
        <v>8.0269964451365791E-2</v>
      </c>
      <c r="AM13" s="157">
        <f>AVERAGE('2021.10'!B76:G79)</f>
        <v>69.60588235294118</v>
      </c>
      <c r="AN13" s="306">
        <f>_xlfn.STDEV.S('2021.10'!B76:G79)</f>
        <v>27.857146089204736</v>
      </c>
      <c r="AO13" s="146">
        <f t="shared" si="48"/>
        <v>17</v>
      </c>
      <c r="AP13" s="146">
        <f>'2021.10'!D155+'2021.10'!E155</f>
        <v>10237</v>
      </c>
      <c r="AQ13" s="152">
        <f t="shared" si="18"/>
        <v>3.3718597764829494E-2</v>
      </c>
      <c r="AR13" s="152">
        <f t="shared" si="49"/>
        <v>2.3470127491248673</v>
      </c>
      <c r="AS13" s="152">
        <f t="shared" si="19"/>
        <v>0.99833935723356448</v>
      </c>
      <c r="AT13" s="152">
        <f t="shared" si="20"/>
        <v>45.64826989619381</v>
      </c>
      <c r="AU13" s="139">
        <f t="shared" si="21"/>
        <v>5.1813332486339528E-2</v>
      </c>
      <c r="AV13" s="305">
        <f>AVERAGE('2021.10'!B83:G88)</f>
        <v>69.775000000000006</v>
      </c>
      <c r="AW13" s="155">
        <f>_xlfn.STDEV.S('2021.10'!B83:G88)</f>
        <v>29.191813176329731</v>
      </c>
      <c r="AX13" s="148">
        <f t="shared" si="50"/>
        <v>24</v>
      </c>
      <c r="AY13" s="148">
        <f>'2021.10'!D156+'2021.10'!E156</f>
        <v>14676</v>
      </c>
      <c r="AZ13" s="156">
        <f t="shared" si="22"/>
        <v>4.8339761726740031E-2</v>
      </c>
      <c r="BA13" s="156">
        <f t="shared" si="23"/>
        <v>3.3729068744832862</v>
      </c>
      <c r="BB13" s="156">
        <f t="shared" si="24"/>
        <v>0.99836467702371223</v>
      </c>
      <c r="BC13" s="156">
        <f t="shared" si="25"/>
        <v>35.506748188405759</v>
      </c>
      <c r="BD13" s="140">
        <f t="shared" si="26"/>
        <v>8.2834092347475838E-2</v>
      </c>
      <c r="BE13" s="151">
        <f>AVERAGE('2021.10'!B93:G96)</f>
        <v>68.231250000000003</v>
      </c>
      <c r="BF13" s="306">
        <f>_xlfn.STDEV.S('2021.10'!B93:G96)</f>
        <v>27.032985252588471</v>
      </c>
      <c r="BG13" s="146">
        <f t="shared" si="51"/>
        <v>16</v>
      </c>
      <c r="BH13" s="146">
        <f>'2021.10'!D157+'2021.10'!E157</f>
        <v>9416</v>
      </c>
      <c r="BI13" s="152">
        <f t="shared" si="27"/>
        <v>3.1014390598186437E-2</v>
      </c>
      <c r="BJ13" s="152">
        <f t="shared" si="28"/>
        <v>2.1161506385025084</v>
      </c>
      <c r="BK13" s="152">
        <f t="shared" si="29"/>
        <v>0.99830076465590489</v>
      </c>
      <c r="BL13" s="152">
        <f t="shared" si="30"/>
        <v>45.673893229166609</v>
      </c>
      <c r="BM13" s="139">
        <f t="shared" si="31"/>
        <v>4.385871874151541E-2</v>
      </c>
      <c r="BN13" s="153">
        <f>AVERAGE('2021.10'!B100:G121)</f>
        <v>69.069565217391315</v>
      </c>
      <c r="BO13" s="155">
        <f>_xlfn.STDEV.S('2021.10'!B100:G121)</f>
        <v>29.002518795997414</v>
      </c>
      <c r="BP13" s="148">
        <f t="shared" si="52"/>
        <v>92</v>
      </c>
      <c r="BQ13" s="148">
        <f>'2021.10'!D158+'2021.10'!E158</f>
        <v>63293</v>
      </c>
      <c r="BR13" s="364">
        <f t="shared" si="32"/>
        <v>0.20847428038774576</v>
      </c>
      <c r="BS13" s="156">
        <f t="shared" si="33"/>
        <v>14.399227905390127</v>
      </c>
      <c r="BT13" s="156">
        <f t="shared" si="34"/>
        <v>0.99854644273458359</v>
      </c>
      <c r="BU13" s="156">
        <f t="shared" si="35"/>
        <v>9.1428923533932966</v>
      </c>
      <c r="BV13" s="140">
        <f t="shared" si="36"/>
        <v>0.39678645851956224</v>
      </c>
      <c r="BW13" s="151">
        <f>AVERAGE('2021.10'!B125:G147)</f>
        <v>69.988888888888894</v>
      </c>
      <c r="BX13" s="306">
        <f>_xlfn.STDEV.S('2021.10'!B125:G147)</f>
        <v>27.380138969470419</v>
      </c>
      <c r="BY13" s="146">
        <f t="shared" si="53"/>
        <v>90</v>
      </c>
      <c r="BZ13" s="146">
        <f>'2021.10'!D159+'2021.10'!E159</f>
        <v>63147</v>
      </c>
      <c r="CA13" s="146">
        <f t="shared" si="37"/>
        <v>0.20799338605604065</v>
      </c>
      <c r="CB13" s="152">
        <f t="shared" si="38"/>
        <v>14.557225986300002</v>
      </c>
      <c r="CC13" s="152">
        <f t="shared" si="39"/>
        <v>0.99857475414509</v>
      </c>
      <c r="CD13" s="152">
        <f t="shared" si="40"/>
        <v>8.3296889998612507</v>
      </c>
      <c r="CE13" s="139">
        <f t="shared" si="41"/>
        <v>0.35983915568345076</v>
      </c>
      <c r="CF13" s="365">
        <f t="shared" si="56"/>
        <v>69.63953255643662</v>
      </c>
      <c r="CG13" s="366">
        <f t="shared" si="54"/>
        <v>1.3416923660056839</v>
      </c>
    </row>
    <row r="14" spans="1:85" x14ac:dyDescent="0.25">
      <c r="A14" s="149" t="str">
        <f>'monitoring results'!A14</f>
        <v>01/11/2021-30/11/2021</v>
      </c>
      <c r="B14" s="150">
        <f t="shared" si="42"/>
        <v>303563</v>
      </c>
      <c r="C14" s="151">
        <f>AVERAGE('2021.11'!B6:G34)</f>
        <v>70.57798165137612</v>
      </c>
      <c r="D14" s="151">
        <f>_xlfn.STDEV.S('2021.11'!B6:G34)</f>
        <v>28.523519722678579</v>
      </c>
      <c r="E14" s="146">
        <f t="shared" si="55"/>
        <v>109</v>
      </c>
      <c r="F14" s="146">
        <f>'2021.11'!D151+'2021.11'!E151</f>
        <v>74920</v>
      </c>
      <c r="G14" s="152">
        <f t="shared" si="43"/>
        <v>0.24680214650665594</v>
      </c>
      <c r="H14" s="152">
        <f t="shared" si="0"/>
        <v>17.418797367667008</v>
      </c>
      <c r="I14" s="152">
        <f t="shared" si="1"/>
        <v>0.99854511478910835</v>
      </c>
      <c r="J14" s="152">
        <f t="shared" si="2"/>
        <v>7.4641392419269161</v>
      </c>
      <c r="K14" s="139">
        <f t="shared" si="3"/>
        <v>0.4539889568525054</v>
      </c>
      <c r="L14" s="153">
        <f>AVERAGE('2021.11'!B39:G48)</f>
        <v>69.795238095238091</v>
      </c>
      <c r="M14" s="153">
        <f>_xlfn.STDEV.S('2021.11'!B39:G48)</f>
        <v>27.289048570683967</v>
      </c>
      <c r="N14" s="154">
        <f t="shared" si="44"/>
        <v>42</v>
      </c>
      <c r="O14" s="154">
        <f>'2021.11'!D152+'2021.11'!E152</f>
        <v>27769</v>
      </c>
      <c r="P14" s="155">
        <f t="shared" si="4"/>
        <v>9.147689277019927E-2</v>
      </c>
      <c r="Q14" s="156">
        <f t="shared" si="5"/>
        <v>6.3846515111086219</v>
      </c>
      <c r="R14" s="156">
        <f t="shared" si="6"/>
        <v>0.99848752205697</v>
      </c>
      <c r="S14" s="156">
        <f t="shared" si="7"/>
        <v>17.730765997455919</v>
      </c>
      <c r="T14" s="156">
        <f t="shared" si="8"/>
        <v>0.14814702983568345</v>
      </c>
      <c r="U14" s="157">
        <f>AVERAGE('2021.11'!B53:G61)</f>
        <v>71.169444444444451</v>
      </c>
      <c r="V14" s="157">
        <f>_xlfn.STDEV.S('2021.11'!B53:G61)</f>
        <v>27.007214056823962</v>
      </c>
      <c r="W14" s="146">
        <f t="shared" si="45"/>
        <v>36</v>
      </c>
      <c r="X14" s="146">
        <f>'2021.11'!D153+'2021.11'!E153</f>
        <v>23327</v>
      </c>
      <c r="Y14" s="152">
        <f t="shared" si="46"/>
        <v>7.6844015904441579E-2</v>
      </c>
      <c r="Z14" s="152">
        <f t="shared" si="9"/>
        <v>5.4689459207991611</v>
      </c>
      <c r="AA14" s="152">
        <f t="shared" si="10"/>
        <v>0.99845672396793417</v>
      </c>
      <c r="AB14" s="152">
        <f t="shared" si="11"/>
        <v>20.260822530864161</v>
      </c>
      <c r="AC14" s="139">
        <f t="shared" si="12"/>
        <v>0.11945557550258994</v>
      </c>
      <c r="AD14" s="305">
        <f>AVERAGE('2021.11'!B66:G72)</f>
        <v>70.32592592592593</v>
      </c>
      <c r="AE14" s="305">
        <f>_xlfn.STDEV.S('2021.11'!B66:G72)</f>
        <v>27.944348439113927</v>
      </c>
      <c r="AF14" s="148">
        <f t="shared" si="47"/>
        <v>27</v>
      </c>
      <c r="AG14" s="148">
        <f>'2021.11'!D154+'2021.11'!E154</f>
        <v>16838</v>
      </c>
      <c r="AH14" s="156">
        <f t="shared" si="13"/>
        <v>5.5467892990911274E-2</v>
      </c>
      <c r="AI14" s="156">
        <f t="shared" si="14"/>
        <v>3.9008309337460125</v>
      </c>
      <c r="AJ14" s="156">
        <f t="shared" si="15"/>
        <v>0.99839648414300985</v>
      </c>
      <c r="AK14" s="156">
        <f t="shared" si="16"/>
        <v>28.921726284689221</v>
      </c>
      <c r="AL14" s="140">
        <f t="shared" si="17"/>
        <v>8.8840417880597183E-2</v>
      </c>
      <c r="AM14" s="157">
        <f>AVERAGE('2021.11'!B76:G79)</f>
        <v>69.194117647058832</v>
      </c>
      <c r="AN14" s="306">
        <f>_xlfn.STDEV.S('2021.11'!B76:G79)</f>
        <v>27.234111665984123</v>
      </c>
      <c r="AO14" s="146">
        <f t="shared" si="48"/>
        <v>17</v>
      </c>
      <c r="AP14" s="146">
        <f>'2021.11'!D155+'2021.11'!E155</f>
        <v>10194</v>
      </c>
      <c r="AQ14" s="152">
        <f t="shared" si="18"/>
        <v>3.358116766536106E-2</v>
      </c>
      <c r="AR14" s="152">
        <f t="shared" si="49"/>
        <v>2.3236192661626012</v>
      </c>
      <c r="AS14" s="152">
        <f t="shared" si="19"/>
        <v>0.99833235236413576</v>
      </c>
      <c r="AT14" s="152">
        <f t="shared" si="20"/>
        <v>43.629225778546619</v>
      </c>
      <c r="AU14" s="139">
        <f t="shared" si="21"/>
        <v>4.9118402970819895E-2</v>
      </c>
      <c r="AV14" s="305">
        <f>AVERAGE('2021.11'!B83:G88)</f>
        <v>68.374999999999986</v>
      </c>
      <c r="AW14" s="155">
        <f>_xlfn.STDEV.S('2021.11'!B83:G88)</f>
        <v>29.87401444617775</v>
      </c>
      <c r="AX14" s="148">
        <f t="shared" si="50"/>
        <v>24</v>
      </c>
      <c r="AY14" s="148">
        <f>'2021.11'!D156+'2021.11'!E156</f>
        <v>14702</v>
      </c>
      <c r="AZ14" s="156">
        <f t="shared" si="22"/>
        <v>4.8431462332365935E-2</v>
      </c>
      <c r="BA14" s="156">
        <f t="shared" si="23"/>
        <v>3.3115012369755199</v>
      </c>
      <c r="BB14" s="156">
        <f t="shared" si="24"/>
        <v>0.9983675690382261</v>
      </c>
      <c r="BC14" s="156">
        <f t="shared" si="25"/>
        <v>37.1856974637682</v>
      </c>
      <c r="BD14" s="140">
        <f t="shared" si="26"/>
        <v>8.7080629750498184E-2</v>
      </c>
      <c r="BE14" s="151">
        <f>AVERAGE('2021.11'!B93:G96)</f>
        <v>65.424999999999997</v>
      </c>
      <c r="BF14" s="306">
        <f>_xlfn.STDEV.S('2021.11'!B93:G96)</f>
        <v>31.604482804395548</v>
      </c>
      <c r="BG14" s="146">
        <f t="shared" si="51"/>
        <v>16</v>
      </c>
      <c r="BH14" s="146">
        <f>'2021.11'!D157+'2021.11'!E157</f>
        <v>9437</v>
      </c>
      <c r="BI14" s="152">
        <f t="shared" si="27"/>
        <v>3.1087451369238017E-2</v>
      </c>
      <c r="BJ14" s="152">
        <f t="shared" si="28"/>
        <v>2.0338965058323972</v>
      </c>
      <c r="BK14" s="152">
        <f t="shared" si="29"/>
        <v>0.99830454593620854</v>
      </c>
      <c r="BL14" s="152">
        <f t="shared" si="30"/>
        <v>62.427708333333371</v>
      </c>
      <c r="BM14" s="139">
        <f t="shared" si="31"/>
        <v>6.0229697117884881E-2</v>
      </c>
      <c r="BN14" s="153">
        <f>AVERAGE('2021.11'!B100:G121)</f>
        <v>70.196739130434779</v>
      </c>
      <c r="BO14" s="155">
        <f>_xlfn.STDEV.S('2021.11'!B100:G121)</f>
        <v>27.122783298645196</v>
      </c>
      <c r="BP14" s="148">
        <f t="shared" si="52"/>
        <v>92</v>
      </c>
      <c r="BQ14" s="148">
        <f>'2021.11'!D158+'2021.11'!E158</f>
        <v>63264</v>
      </c>
      <c r="BR14" s="364">
        <f t="shared" si="32"/>
        <v>0.2084048451227587</v>
      </c>
      <c r="BS14" s="156">
        <f t="shared" si="33"/>
        <v>14.629340546600954</v>
      </c>
      <c r="BT14" s="156">
        <f t="shared" si="34"/>
        <v>0.99854577642893272</v>
      </c>
      <c r="BU14" s="156">
        <f t="shared" si="35"/>
        <v>7.9961453681007253</v>
      </c>
      <c r="BV14" s="140">
        <f t="shared" si="36"/>
        <v>0.34678817717346039</v>
      </c>
      <c r="BW14" s="151">
        <f>AVERAGE('2021.11'!B125:G147)</f>
        <v>69.700000000000017</v>
      </c>
      <c r="BX14" s="306">
        <f>_xlfn.STDEV.S('2021.11'!B125:G147)</f>
        <v>27.333171187972457</v>
      </c>
      <c r="BY14" s="146">
        <f t="shared" si="53"/>
        <v>90</v>
      </c>
      <c r="BZ14" s="146">
        <f>'2021.11'!D159+'2021.11'!E159</f>
        <v>63112</v>
      </c>
      <c r="CA14" s="146">
        <f t="shared" si="37"/>
        <v>0.20790412533806821</v>
      </c>
      <c r="CB14" s="152">
        <f t="shared" si="38"/>
        <v>14.490917536063359</v>
      </c>
      <c r="CC14" s="152">
        <f t="shared" si="39"/>
        <v>0.99857396374698948</v>
      </c>
      <c r="CD14" s="152">
        <f t="shared" si="40"/>
        <v>8.3011360799000862</v>
      </c>
      <c r="CE14" s="139">
        <f t="shared" si="41"/>
        <v>0.35829767118469069</v>
      </c>
      <c r="CF14" s="365">
        <f t="shared" si="56"/>
        <v>69.96250082495564</v>
      </c>
      <c r="CG14" s="366">
        <f t="shared" si="54"/>
        <v>1.3084137565268603</v>
      </c>
    </row>
    <row r="15" spans="1:85" x14ac:dyDescent="0.25">
      <c r="A15" s="149" t="str">
        <f>'monitoring results'!A15</f>
        <v>01/12/2021-31/12/2021</v>
      </c>
      <c r="B15" s="150">
        <f t="shared" si="42"/>
        <v>303973</v>
      </c>
      <c r="C15" s="151">
        <f>AVERAGE('2021.12'!B6:G34)</f>
        <v>70.325688073394474</v>
      </c>
      <c r="D15" s="151">
        <f>_xlfn.STDEV.S('2021.12'!B6:G34)</f>
        <v>28.104363717025141</v>
      </c>
      <c r="E15" s="146">
        <f t="shared" si="55"/>
        <v>109</v>
      </c>
      <c r="F15" s="146">
        <f>'2021.12'!D151+'2021.12'!E151</f>
        <v>74994</v>
      </c>
      <c r="G15" s="152">
        <f t="shared" si="43"/>
        <v>0.2467127014570373</v>
      </c>
      <c r="H15" s="152">
        <f t="shared" si="0"/>
        <v>17.350240486412098</v>
      </c>
      <c r="I15" s="152">
        <f t="shared" si="1"/>
        <v>0.99854655039069795</v>
      </c>
      <c r="J15" s="152">
        <f t="shared" si="2"/>
        <v>7.2463785315489826</v>
      </c>
      <c r="K15" s="139">
        <f t="shared" si="3"/>
        <v>0.44042539232341454</v>
      </c>
      <c r="L15" s="153">
        <f>AVERAGE('2021.12'!B39:G48)</f>
        <v>70.154761904761898</v>
      </c>
      <c r="M15" s="153">
        <f>_xlfn.STDEV.S('2021.12'!B39:G48)</f>
        <v>29.038915876936272</v>
      </c>
      <c r="N15" s="154">
        <f t="shared" si="44"/>
        <v>42</v>
      </c>
      <c r="O15" s="154">
        <f>'2021.12'!D152+'2021.12'!E152</f>
        <v>27851</v>
      </c>
      <c r="P15" s="155">
        <f t="shared" si="4"/>
        <v>9.1623269171933031E-2</v>
      </c>
      <c r="Q15" s="156">
        <f t="shared" si="5"/>
        <v>6.4278086336928721</v>
      </c>
      <c r="R15" s="156">
        <f t="shared" si="6"/>
        <v>0.99849197515349541</v>
      </c>
      <c r="S15" s="156">
        <f t="shared" si="7"/>
        <v>20.077586554947182</v>
      </c>
      <c r="T15" s="156">
        <f t="shared" si="8"/>
        <v>0.16829362024427738</v>
      </c>
      <c r="U15" s="157">
        <f>AVERAGE('2021.12'!B53:G61)</f>
        <v>69.566666666666663</v>
      </c>
      <c r="V15" s="157">
        <f>_xlfn.STDEV.S('2021.12'!B53:G61)</f>
        <v>28.967942872867511</v>
      </c>
      <c r="W15" s="146">
        <f t="shared" si="45"/>
        <v>36</v>
      </c>
      <c r="X15" s="146">
        <f>'2021.12'!D153+'2021.12'!E153</f>
        <v>23357</v>
      </c>
      <c r="Y15" s="152">
        <f t="shared" si="46"/>
        <v>7.6839061364002717E-2</v>
      </c>
      <c r="Z15" s="152">
        <f t="shared" si="9"/>
        <v>5.3454373688891224</v>
      </c>
      <c r="AA15" s="152">
        <f t="shared" si="10"/>
        <v>0.99845870616945664</v>
      </c>
      <c r="AB15" s="152">
        <f t="shared" si="11"/>
        <v>23.309492063492101</v>
      </c>
      <c r="AC15" s="139">
        <f t="shared" si="12"/>
        <v>0.13741274656078023</v>
      </c>
      <c r="AD15" s="305">
        <f>AVERAGE('2021.12'!B66:G72)</f>
        <v>69.80740740740741</v>
      </c>
      <c r="AE15" s="305">
        <f>_xlfn.STDEV.S('2021.12'!B66:G72)</f>
        <v>28.950221547258128</v>
      </c>
      <c r="AF15" s="148">
        <f t="shared" si="47"/>
        <v>27</v>
      </c>
      <c r="AG15" s="148">
        <f>'2021.12'!D154+'2021.12'!E154</f>
        <v>16838</v>
      </c>
      <c r="AH15" s="156">
        <f t="shared" si="13"/>
        <v>5.5393077674661895E-2</v>
      </c>
      <c r="AI15" s="156">
        <f t="shared" si="14"/>
        <v>3.8668471407852869</v>
      </c>
      <c r="AJ15" s="156">
        <f t="shared" si="15"/>
        <v>0.99839648414300985</v>
      </c>
      <c r="AK15" s="156">
        <f t="shared" si="16"/>
        <v>31.041308430938102</v>
      </c>
      <c r="AL15" s="140">
        <f t="shared" si="17"/>
        <v>9.5094205214079408E-2</v>
      </c>
      <c r="AM15" s="157">
        <f>AVERAGE('2021.12'!B76:G79)</f>
        <v>66.841176470588238</v>
      </c>
      <c r="AN15" s="306">
        <f>_xlfn.STDEV.S('2021.12'!B76:G79)</f>
        <v>30.082491976719826</v>
      </c>
      <c r="AO15" s="146">
        <f t="shared" si="48"/>
        <v>17</v>
      </c>
      <c r="AP15" s="146">
        <f>'2021.12'!D155+'2021.12'!E155</f>
        <v>10209</v>
      </c>
      <c r="AQ15" s="152">
        <f t="shared" si="18"/>
        <v>3.3585219739911111E-2</v>
      </c>
      <c r="AR15" s="152">
        <f t="shared" si="49"/>
        <v>2.244875599438882</v>
      </c>
      <c r="AS15" s="152">
        <f t="shared" si="19"/>
        <v>0.99833480262513463</v>
      </c>
      <c r="AT15" s="152">
        <f t="shared" si="20"/>
        <v>53.232724913494863</v>
      </c>
      <c r="AU15" s="139">
        <f t="shared" si="21"/>
        <v>5.994476985240748E-2</v>
      </c>
      <c r="AV15" s="305">
        <f>AVERAGE('2021.12'!B83:G88)</f>
        <v>69.108333333333334</v>
      </c>
      <c r="AW15" s="155">
        <f>_xlfn.STDEV.S('2021.12'!B83:G88)</f>
        <v>26.670793611815476</v>
      </c>
      <c r="AX15" s="148">
        <f t="shared" si="50"/>
        <v>24</v>
      </c>
      <c r="AY15" s="148">
        <f>'2021.12'!D156+'2021.12'!E156</f>
        <v>14717</v>
      </c>
      <c r="AZ15" s="156">
        <f t="shared" si="22"/>
        <v>4.8415484269984509E-2</v>
      </c>
      <c r="BA15" s="156">
        <f t="shared" si="23"/>
        <v>3.3459134254248459</v>
      </c>
      <c r="BB15" s="156">
        <f t="shared" si="24"/>
        <v>0.99836923285995782</v>
      </c>
      <c r="BC15" s="156">
        <f t="shared" si="25"/>
        <v>29.638801328502382</v>
      </c>
      <c r="BD15" s="140">
        <f t="shared" si="26"/>
        <v>6.9361804759740658E-2</v>
      </c>
      <c r="BE15" s="151">
        <f>AVERAGE('2021.12'!B93:G96)</f>
        <v>71.5</v>
      </c>
      <c r="BF15" s="306">
        <f>_xlfn.STDEV.S('2021.12'!B93:G96)</f>
        <v>26.288527282194146</v>
      </c>
      <c r="BG15" s="146">
        <f t="shared" si="51"/>
        <v>16</v>
      </c>
      <c r="BH15" s="146">
        <f>'2021.12'!D157+'2021.12'!E157</f>
        <v>9409</v>
      </c>
      <c r="BI15" s="152">
        <f t="shared" si="27"/>
        <v>3.0953407046020533E-2</v>
      </c>
      <c r="BJ15" s="152">
        <f t="shared" si="28"/>
        <v>2.2131686037904683</v>
      </c>
      <c r="BK15" s="152">
        <f t="shared" si="29"/>
        <v>0.99829950047826554</v>
      </c>
      <c r="BL15" s="152">
        <f t="shared" si="30"/>
        <v>43.192916666666619</v>
      </c>
      <c r="BM15" s="139">
        <f t="shared" si="31"/>
        <v>4.1313339595001004E-2</v>
      </c>
      <c r="BN15" s="153">
        <f>AVERAGE('2021.12'!B100:G121)</f>
        <v>68.956521739130423</v>
      </c>
      <c r="BO15" s="155">
        <f>_xlfn.STDEV.S('2021.12'!B100:G121)</f>
        <v>29.005646681587812</v>
      </c>
      <c r="BP15" s="148">
        <f t="shared" si="52"/>
        <v>92</v>
      </c>
      <c r="BQ15" s="148">
        <f>'2021.12'!D158+'2021.12'!E158</f>
        <v>63465</v>
      </c>
      <c r="BR15" s="364">
        <f t="shared" si="32"/>
        <v>0.20878499077220675</v>
      </c>
      <c r="BS15" s="156">
        <f t="shared" si="33"/>
        <v>14.397086754987818</v>
      </c>
      <c r="BT15" s="156">
        <f t="shared" si="34"/>
        <v>0.99855038210037028</v>
      </c>
      <c r="BU15" s="156">
        <f t="shared" si="35"/>
        <v>9.1448645588815882</v>
      </c>
      <c r="BV15" s="140">
        <f t="shared" si="36"/>
        <v>0.39805749833865178</v>
      </c>
      <c r="BW15" s="151">
        <f>AVERAGE('2021.12'!B125:G147)</f>
        <v>70.535555555555547</v>
      </c>
      <c r="BX15" s="306">
        <f>_xlfn.STDEV.S('2021.12'!B125:G147)</f>
        <v>28.413315090059282</v>
      </c>
      <c r="BY15" s="146">
        <f t="shared" si="53"/>
        <v>90</v>
      </c>
      <c r="BZ15" s="146">
        <f>'2021.12'!D159+'2021.12'!E159</f>
        <v>63133</v>
      </c>
      <c r="CA15" s="146">
        <f t="shared" si="37"/>
        <v>0.20769278850424217</v>
      </c>
      <c r="CB15" s="152">
        <f t="shared" si="38"/>
        <v>14.649726222029219</v>
      </c>
      <c r="CC15" s="152">
        <f t="shared" si="39"/>
        <v>0.9985744380910142</v>
      </c>
      <c r="CD15" s="152">
        <f t="shared" si="40"/>
        <v>8.970183048966561</v>
      </c>
      <c r="CE15" s="139">
        <f t="shared" si="41"/>
        <v>0.38638884921597277</v>
      </c>
      <c r="CF15" s="365">
        <f t="shared" si="56"/>
        <v>69.841104235450615</v>
      </c>
      <c r="CG15" s="366">
        <f t="shared" si="54"/>
        <v>1.3402582684334856</v>
      </c>
    </row>
    <row r="16" spans="1:85" x14ac:dyDescent="0.25">
      <c r="A16" s="149" t="str">
        <f>'monitoring results'!A16</f>
        <v>01/01/2022-31/01/2022</v>
      </c>
      <c r="B16" s="150">
        <f t="shared" si="42"/>
        <v>304129</v>
      </c>
      <c r="C16" s="151">
        <f>AVERAGE('2022.1'!B6:G34)</f>
        <v>69.10825688073399</v>
      </c>
      <c r="D16" s="151">
        <f>_xlfn.STDEV.S('2022.1'!B6:G34)</f>
        <v>28.856189170000889</v>
      </c>
      <c r="E16" s="146">
        <f t="shared" si="55"/>
        <v>109</v>
      </c>
      <c r="F16" s="146">
        <f>'2022.1'!D151+'2022.1'!E151</f>
        <v>74879</v>
      </c>
      <c r="G16" s="152">
        <f t="shared" si="43"/>
        <v>0.24620802356894608</v>
      </c>
      <c r="H16" s="152">
        <f t="shared" si="0"/>
        <v>17.015007338900535</v>
      </c>
      <c r="I16" s="152">
        <f t="shared" si="1"/>
        <v>0.99854431816664213</v>
      </c>
      <c r="J16" s="152">
        <f t="shared" si="2"/>
        <v>7.6392628753658407</v>
      </c>
      <c r="K16" s="139">
        <f t="shared" si="3"/>
        <v>0.46240572604987706</v>
      </c>
      <c r="L16" s="153">
        <f>AVERAGE('2022.1'!B39:G48)</f>
        <v>69.873809523809513</v>
      </c>
      <c r="M16" s="153">
        <f>_xlfn.STDEV.S('2022.1'!B39:G48)</f>
        <v>28.892576981739804</v>
      </c>
      <c r="N16" s="154">
        <f t="shared" si="44"/>
        <v>42</v>
      </c>
      <c r="O16" s="154">
        <f>'2022.1'!D152+'2022.1'!E152</f>
        <v>27871</v>
      </c>
      <c r="P16" s="155">
        <f t="shared" si="4"/>
        <v>9.1642033479214416E-2</v>
      </c>
      <c r="Q16" s="156">
        <f t="shared" si="5"/>
        <v>6.4033779917012028</v>
      </c>
      <c r="R16" s="156">
        <f t="shared" si="6"/>
        <v>0.99849305729970217</v>
      </c>
      <c r="S16" s="156">
        <f t="shared" si="7"/>
        <v>19.875738205851444</v>
      </c>
      <c r="T16" s="156">
        <f t="shared" si="8"/>
        <v>0.1666701214815825</v>
      </c>
      <c r="U16" s="157">
        <f>AVERAGE('2022.1'!B66:G72)</f>
        <v>69.555555555555557</v>
      </c>
      <c r="V16" s="157">
        <f>_xlfn.STDEV.S('2022.1'!B53:G61)</f>
        <v>26.73431716512907</v>
      </c>
      <c r="W16" s="146">
        <f t="shared" si="45"/>
        <v>36</v>
      </c>
      <c r="X16" s="146">
        <f>'2022.1'!D153+'2022.1'!E153</f>
        <v>23328</v>
      </c>
      <c r="Y16" s="152">
        <f t="shared" si="46"/>
        <v>7.6704293243985283E-2</v>
      </c>
      <c r="Z16" s="152">
        <f t="shared" si="9"/>
        <v>5.335209730081643</v>
      </c>
      <c r="AA16" s="152">
        <f t="shared" si="10"/>
        <v>0.99845679012345678</v>
      </c>
      <c r="AB16" s="152">
        <f t="shared" si="11"/>
        <v>19.853436507936525</v>
      </c>
      <c r="AC16" s="139">
        <f t="shared" si="12"/>
        <v>0.11662839833670642</v>
      </c>
      <c r="AD16" s="305">
        <f>AVERAGE('2022.1'!B66:G72)</f>
        <v>69.555555555555557</v>
      </c>
      <c r="AE16" s="305">
        <f>_xlfn.STDEV.S('2022.1'!B66:G72)</f>
        <v>28.330824926670246</v>
      </c>
      <c r="AF16" s="148">
        <f t="shared" si="47"/>
        <v>27</v>
      </c>
      <c r="AG16" s="148">
        <f>'2022.1'!D154+'2022.1'!E154</f>
        <v>16828</v>
      </c>
      <c r="AH16" s="156">
        <f t="shared" si="13"/>
        <v>5.5331783552374156E-2</v>
      </c>
      <c r="AI16" s="156">
        <f t="shared" si="14"/>
        <v>3.8486329448651362</v>
      </c>
      <c r="AJ16" s="156">
        <f t="shared" si="15"/>
        <v>0.99839553125742808</v>
      </c>
      <c r="AK16" s="156">
        <f t="shared" si="16"/>
        <v>29.727245963912601</v>
      </c>
      <c r="AL16" s="140">
        <f t="shared" si="17"/>
        <v>9.0867094954773825E-2</v>
      </c>
      <c r="AM16" s="157">
        <f>AVERAGE('2022.1'!B76:G79)</f>
        <v>67.399999999999991</v>
      </c>
      <c r="AN16" s="306">
        <f>_xlfn.STDEV.S('2022.1'!B76:G79)</f>
        <v>28.35850842339914</v>
      </c>
      <c r="AO16" s="146">
        <f t="shared" si="48"/>
        <v>17</v>
      </c>
      <c r="AP16" s="146">
        <f>'2022.1'!D155+'2022.1'!E155</f>
        <v>10216</v>
      </c>
      <c r="AQ16" s="152">
        <f t="shared" si="18"/>
        <v>3.3591009078384498E-2</v>
      </c>
      <c r="AR16" s="152">
        <f t="shared" si="49"/>
        <v>2.264034011883115</v>
      </c>
      <c r="AS16" s="152">
        <f t="shared" si="19"/>
        <v>0.99833594361785438</v>
      </c>
      <c r="AT16" s="152">
        <f t="shared" si="20"/>
        <v>47.306176470588241</v>
      </c>
      <c r="AU16" s="139">
        <f t="shared" si="21"/>
        <v>5.3289378557539846E-2</v>
      </c>
      <c r="AV16" s="305">
        <f>AVERAGE('2022.1'!B83:G88)</f>
        <v>68.479166666666657</v>
      </c>
      <c r="AW16" s="155">
        <f>_xlfn.STDEV.S('2022.1'!B83:G88)</f>
        <v>27.539962728759306</v>
      </c>
      <c r="AX16" s="148">
        <f t="shared" si="50"/>
        <v>24</v>
      </c>
      <c r="AY16" s="148">
        <f>'2022.1'!D156+'2022.1'!E156</f>
        <v>14711</v>
      </c>
      <c r="AZ16" s="156">
        <f t="shared" si="22"/>
        <v>4.8370921549737121E-2</v>
      </c>
      <c r="BA16" s="156">
        <f t="shared" si="23"/>
        <v>3.3124003986247059</v>
      </c>
      <c r="BB16" s="156">
        <f t="shared" si="24"/>
        <v>0.99836856773842708</v>
      </c>
      <c r="BC16" s="156">
        <f t="shared" si="25"/>
        <v>31.602064462560488</v>
      </c>
      <c r="BD16" s="140">
        <f t="shared" si="26"/>
        <v>7.3820176132145213E-2</v>
      </c>
      <c r="BE16" s="151">
        <f>AVERAGE('2022.1'!B93:G96)</f>
        <v>69.55</v>
      </c>
      <c r="BF16" s="306">
        <f>_xlfn.STDEV.S('2022.1'!B93:G96)</f>
        <v>29.682295508714734</v>
      </c>
      <c r="BG16" s="146">
        <f t="shared" si="51"/>
        <v>16</v>
      </c>
      <c r="BH16" s="146">
        <f>'2022.1'!D157+'2022.1'!E157</f>
        <v>9441</v>
      </c>
      <c r="BI16" s="152">
        <f t="shared" si="27"/>
        <v>3.1042748307461638E-2</v>
      </c>
      <c r="BJ16" s="152">
        <f t="shared" si="28"/>
        <v>2.1590231447839567</v>
      </c>
      <c r="BK16" s="152">
        <f t="shared" si="29"/>
        <v>0.99830526427285249</v>
      </c>
      <c r="BL16" s="152">
        <f t="shared" si="30"/>
        <v>55.064916666666683</v>
      </c>
      <c r="BM16" s="139">
        <f t="shared" si="31"/>
        <v>5.297350083704741E-2</v>
      </c>
      <c r="BN16" s="153">
        <f>AVERAGE('2022.1'!B100:G121)</f>
        <v>69.038043478260889</v>
      </c>
      <c r="BO16" s="155">
        <f>_xlfn.STDEV.S('2022.1'!B100:G121)</f>
        <v>27.541987296885839</v>
      </c>
      <c r="BP16" s="148">
        <f t="shared" si="52"/>
        <v>92</v>
      </c>
      <c r="BQ16" s="148">
        <f>'2022.1'!D158+'2022.1'!E158</f>
        <v>63525</v>
      </c>
      <c r="BR16" s="364">
        <f t="shared" si="32"/>
        <v>0.20887518125532259</v>
      </c>
      <c r="BS16" s="156">
        <f t="shared" si="33"/>
        <v>14.420333845034586</v>
      </c>
      <c r="BT16" s="156">
        <f t="shared" si="34"/>
        <v>0.99855175127902396</v>
      </c>
      <c r="BU16" s="156">
        <f t="shared" si="35"/>
        <v>8.2452289593676191</v>
      </c>
      <c r="BV16" s="140">
        <f t="shared" si="36"/>
        <v>0.3592088079142231</v>
      </c>
      <c r="BW16" s="151">
        <f>AVERAGE('2022.1'!B125:G147)</f>
        <v>69.00555555555556</v>
      </c>
      <c r="BX16" s="306">
        <f>_xlfn.STDEV.S('2022.1'!B125:G147)</f>
        <v>28.732573071443962</v>
      </c>
      <c r="BY16" s="146">
        <f t="shared" si="53"/>
        <v>90</v>
      </c>
      <c r="BZ16" s="146">
        <f>'2022.1'!D159+'2022.1'!E159</f>
        <v>63330</v>
      </c>
      <c r="CA16" s="146">
        <f t="shared" si="37"/>
        <v>0.20823400596457425</v>
      </c>
      <c r="CB16" s="152">
        <f t="shared" si="38"/>
        <v>14.369303267144318</v>
      </c>
      <c r="CC16" s="152">
        <f t="shared" si="39"/>
        <v>0.99857887257224065</v>
      </c>
      <c r="CD16" s="152">
        <f t="shared" si="40"/>
        <v>9.1728972811762972</v>
      </c>
      <c r="CE16" s="139">
        <f t="shared" si="41"/>
        <v>0.39718442656390812</v>
      </c>
      <c r="CF16" s="365">
        <f t="shared" si="56"/>
        <v>69.127322673019194</v>
      </c>
      <c r="CG16" s="366">
        <f t="shared" si="54"/>
        <v>1.3315583467605929</v>
      </c>
    </row>
    <row r="17" spans="1:85" x14ac:dyDescent="0.25">
      <c r="A17" s="149" t="str">
        <f>'monitoring results'!A17</f>
        <v>01/02/2022-28/02/2022</v>
      </c>
      <c r="B17" s="150">
        <f t="shared" si="42"/>
        <v>304069</v>
      </c>
      <c r="C17" s="151">
        <f>AVERAGE('2022.2'!B6:G34)</f>
        <v>69.255045871559631</v>
      </c>
      <c r="D17" s="151">
        <f>_xlfn.STDEV.S('2022.2'!B6:G34)</f>
        <v>28.965862686191237</v>
      </c>
      <c r="E17" s="146">
        <f t="shared" si="55"/>
        <v>109</v>
      </c>
      <c r="F17" s="146">
        <f>'2022.2'!D151+'2022.2'!E151</f>
        <v>75056</v>
      </c>
      <c r="G17" s="152">
        <f t="shared" si="43"/>
        <v>0.24683871095047505</v>
      </c>
      <c r="H17" s="152">
        <f t="shared" si="0"/>
        <v>17.094826249751801</v>
      </c>
      <c r="I17" s="152">
        <f t="shared" si="1"/>
        <v>0.99854775101257731</v>
      </c>
      <c r="J17" s="152">
        <f t="shared" si="2"/>
        <v>7.6974422124338142</v>
      </c>
      <c r="K17" s="139">
        <f t="shared" si="3"/>
        <v>0.46831903970534161</v>
      </c>
      <c r="L17" s="153">
        <f>AVERAGE('2022.2'!B39:G48)</f>
        <v>68.254761904761907</v>
      </c>
      <c r="M17" s="153">
        <f>_xlfn.STDEV.S('2022.2'!B39:G48)</f>
        <v>29.10485838565867</v>
      </c>
      <c r="N17" s="154">
        <f t="shared" si="44"/>
        <v>42</v>
      </c>
      <c r="O17" s="154">
        <f>'2022.2'!D152+'2022.2'!E152</f>
        <v>27810</v>
      </c>
      <c r="P17" s="155">
        <f t="shared" si="4"/>
        <v>9.1459504257257393E-2</v>
      </c>
      <c r="Q17" s="156">
        <f t="shared" si="5"/>
        <v>6.2425466870066622</v>
      </c>
      <c r="R17" s="156">
        <f t="shared" si="6"/>
        <v>0.9984897518878102</v>
      </c>
      <c r="S17" s="156">
        <f t="shared" si="7"/>
        <v>20.168875753553472</v>
      </c>
      <c r="T17" s="156">
        <f t="shared" si="8"/>
        <v>0.16845464408418423</v>
      </c>
      <c r="U17" s="157">
        <f>AVERAGE('2022.2'!B53:G61)</f>
        <v>70.033333333333346</v>
      </c>
      <c r="V17" s="157">
        <f>_xlfn.STDEV.S('2022.2'!B53:G61)</f>
        <v>26.820780855789504</v>
      </c>
      <c r="W17" s="146">
        <f t="shared" si="45"/>
        <v>36</v>
      </c>
      <c r="X17" s="146">
        <f>'2022.2'!D153+'2022.2'!E153</f>
        <v>23315</v>
      </c>
      <c r="Y17" s="152">
        <f t="shared" si="46"/>
        <v>7.6676675359868982E-2</v>
      </c>
      <c r="Z17" s="152">
        <f t="shared" si="9"/>
        <v>5.3699231643694914</v>
      </c>
      <c r="AA17" s="152">
        <f t="shared" si="10"/>
        <v>0.99845592965901775</v>
      </c>
      <c r="AB17" s="152">
        <f t="shared" si="11"/>
        <v>19.982063492063464</v>
      </c>
      <c r="AC17" s="139">
        <f t="shared" si="12"/>
        <v>0.1172993979351577</v>
      </c>
      <c r="AD17" s="305">
        <f>AVERAGE('2022.2'!B66:G72)</f>
        <v>68.907407407407405</v>
      </c>
      <c r="AE17" s="305">
        <f>_xlfn.STDEV.S('2022.2'!B66:G72)</f>
        <v>28.516917056451941</v>
      </c>
      <c r="AF17" s="148">
        <f t="shared" si="47"/>
        <v>27</v>
      </c>
      <c r="AG17" s="148">
        <f>'2022.2'!D154+'2022.2'!E154</f>
        <v>16847</v>
      </c>
      <c r="AH17" s="156">
        <f t="shared" si="13"/>
        <v>5.540518763833209E-2</v>
      </c>
      <c r="AI17" s="156">
        <f t="shared" si="14"/>
        <v>3.817827837078402</v>
      </c>
      <c r="AJ17" s="156">
        <f t="shared" si="15"/>
        <v>0.99839734077283793</v>
      </c>
      <c r="AK17" s="156">
        <f t="shared" si="16"/>
        <v>30.119057718687394</v>
      </c>
      <c r="AL17" s="140">
        <f t="shared" si="17"/>
        <v>9.2309342243704059E-2</v>
      </c>
      <c r="AM17" s="157">
        <f>AVERAGE('2022.2'!B76:G79)</f>
        <v>70.082352941176481</v>
      </c>
      <c r="AN17" s="306">
        <f>_xlfn.STDEV.S('2022.1'!B76:G79)</f>
        <v>28.35850842339914</v>
      </c>
      <c r="AO17" s="146">
        <f t="shared" si="48"/>
        <v>17</v>
      </c>
      <c r="AP17" s="146">
        <f>'2022.2'!D155+'2022.2'!E155</f>
        <v>10243</v>
      </c>
      <c r="AQ17" s="152">
        <f t="shared" si="18"/>
        <v>3.3686433013559419E-2</v>
      </c>
      <c r="AR17" s="152">
        <f t="shared" si="49"/>
        <v>2.3608244877855706</v>
      </c>
      <c r="AS17" s="152">
        <f t="shared" si="19"/>
        <v>0.99834032998145072</v>
      </c>
      <c r="AT17" s="152">
        <f t="shared" si="20"/>
        <v>47.306176470588241</v>
      </c>
      <c r="AU17" s="139">
        <f t="shared" si="21"/>
        <v>5.3592808546634597E-2</v>
      </c>
      <c r="AV17" s="305">
        <f>AVERAGE('2022.2'!B83:G88)</f>
        <v>67.233333333333334</v>
      </c>
      <c r="AW17" s="155">
        <f>_xlfn.STDEV.S('2022.2'!B83:G88)</f>
        <v>30.794390605329792</v>
      </c>
      <c r="AX17" s="148">
        <f t="shared" si="50"/>
        <v>24</v>
      </c>
      <c r="AY17" s="148">
        <f>'2022.2'!D156+'2022.2'!E156</f>
        <v>14721</v>
      </c>
      <c r="AZ17" s="156">
        <f t="shared" si="22"/>
        <v>4.8413353548043374E-2</v>
      </c>
      <c r="BA17" s="156">
        <f t="shared" si="23"/>
        <v>3.2549911368801161</v>
      </c>
      <c r="BB17" s="156">
        <f t="shared" si="24"/>
        <v>0.99836967597309967</v>
      </c>
      <c r="BC17" s="156">
        <f t="shared" si="25"/>
        <v>39.512270531400986</v>
      </c>
      <c r="BD17" s="140">
        <f t="shared" si="26"/>
        <v>9.2459960138833008E-2</v>
      </c>
      <c r="BE17" s="151">
        <f>AVERAGE('2022.2'!B93:G96)</f>
        <v>68.675000000000011</v>
      </c>
      <c r="BF17" s="306">
        <f>_xlfn.STDEV.S('2022.2'!B93:G96)</f>
        <v>28.700905909047492</v>
      </c>
      <c r="BG17" s="146">
        <f t="shared" si="51"/>
        <v>16</v>
      </c>
      <c r="BH17" s="146">
        <f>'2022.2'!D157+'2022.2'!E157</f>
        <v>9414</v>
      </c>
      <c r="BI17" s="152">
        <f t="shared" si="27"/>
        <v>3.0960078140158977E-2</v>
      </c>
      <c r="BJ17" s="152">
        <f t="shared" si="28"/>
        <v>2.1261833662754182</v>
      </c>
      <c r="BK17" s="152">
        <f t="shared" si="29"/>
        <v>0.9983004036541322</v>
      </c>
      <c r="BL17" s="152">
        <f t="shared" si="30"/>
        <v>51.483874999999827</v>
      </c>
      <c r="BM17" s="139">
        <f t="shared" si="31"/>
        <v>4.9264782546793326E-2</v>
      </c>
      <c r="BN17" s="153">
        <f>AVERAGE('2022.2'!B100:G121)</f>
        <v>70.151086956521738</v>
      </c>
      <c r="BO17" s="155">
        <f>_xlfn.STDEV.S('2022.2'!B100:G121)</f>
        <v>28.263705202477855</v>
      </c>
      <c r="BP17" s="148">
        <f t="shared" si="52"/>
        <v>92</v>
      </c>
      <c r="BQ17" s="148">
        <f>'2022.2'!D158+'2022.2'!E158</f>
        <v>63415</v>
      </c>
      <c r="BR17" s="364">
        <f t="shared" si="32"/>
        <v>0.2085546372698302</v>
      </c>
      <c r="BS17" s="156">
        <f t="shared" si="33"/>
        <v>14.630334494301708</v>
      </c>
      <c r="BT17" s="156">
        <f t="shared" si="34"/>
        <v>0.99854923913900495</v>
      </c>
      <c r="BU17" s="156">
        <f t="shared" si="35"/>
        <v>8.6830112149192793</v>
      </c>
      <c r="BV17" s="140">
        <f t="shared" si="36"/>
        <v>0.37711998589597923</v>
      </c>
      <c r="BW17" s="151">
        <f>AVERAGE('2022.2'!B125:G147)</f>
        <v>68.935555555555553</v>
      </c>
      <c r="BX17" s="306">
        <f>_xlfn.STDEV.S('2022.2'!B125:G147)</f>
        <v>28.094876621628362</v>
      </c>
      <c r="BY17" s="146">
        <f t="shared" si="53"/>
        <v>90</v>
      </c>
      <c r="BZ17" s="146">
        <f>'2022.2'!D159+'2022.2'!E159</f>
        <v>63248</v>
      </c>
      <c r="CA17" s="146">
        <f t="shared" si="37"/>
        <v>0.2080054198224745</v>
      </c>
      <c r="CB17" s="152">
        <f t="shared" si="38"/>
        <v>14.338969174028847</v>
      </c>
      <c r="CC17" s="152">
        <f t="shared" si="39"/>
        <v>0.99857703010371868</v>
      </c>
      <c r="CD17" s="152">
        <f t="shared" si="40"/>
        <v>8.7702454709391109</v>
      </c>
      <c r="CE17" s="139">
        <f t="shared" si="41"/>
        <v>0.37891572011127611</v>
      </c>
      <c r="CF17" s="365">
        <f t="shared" si="56"/>
        <v>69.236426597478015</v>
      </c>
      <c r="CG17" s="366">
        <f t="shared" si="54"/>
        <v>1.3407966591574965</v>
      </c>
    </row>
    <row r="18" spans="1:85" x14ac:dyDescent="0.25">
      <c r="A18" s="149" t="str">
        <f>'monitoring results'!A18</f>
        <v>01/03/2022-31/03/2022</v>
      </c>
      <c r="B18" s="150">
        <f t="shared" si="42"/>
        <v>304172</v>
      </c>
      <c r="C18" s="151">
        <f>AVERAGE('2022.3'!B6:G34)</f>
        <v>69.539449541284412</v>
      </c>
      <c r="D18" s="151">
        <f>_xlfn.STDEV.S('2022.3'!B6:G34)</f>
        <v>28.620835515758717</v>
      </c>
      <c r="E18" s="146">
        <f t="shared" si="55"/>
        <v>109</v>
      </c>
      <c r="F18" s="146">
        <f>'2022.3'!D151+'2022.3'!E151</f>
        <v>75008</v>
      </c>
      <c r="G18" s="152">
        <f t="shared" si="43"/>
        <v>0.24659731993740383</v>
      </c>
      <c r="H18" s="152">
        <f t="shared" si="0"/>
        <v>17.148241886803063</v>
      </c>
      <c r="I18" s="152">
        <f t="shared" si="1"/>
        <v>0.99854682167235498</v>
      </c>
      <c r="J18" s="152">
        <f t="shared" si="2"/>
        <v>7.51515803321207</v>
      </c>
      <c r="K18" s="139">
        <f t="shared" si="3"/>
        <v>0.45633444972381265</v>
      </c>
      <c r="L18" s="153">
        <f>AVERAGE('2022.3'!B39:G48)</f>
        <v>69.364285714285714</v>
      </c>
      <c r="M18" s="153">
        <f>_xlfn.STDEV.S('2022.3'!B39:G48)</f>
        <v>26.60758943104414</v>
      </c>
      <c r="N18" s="154">
        <f t="shared" si="44"/>
        <v>42</v>
      </c>
      <c r="O18" s="154">
        <f>'2022.3'!D152+'2022.3'!E152</f>
        <v>27876</v>
      </c>
      <c r="P18" s="155">
        <f t="shared" si="4"/>
        <v>9.1645516352589981E-2</v>
      </c>
      <c r="Q18" s="156">
        <f t="shared" si="5"/>
        <v>6.3569257807142954</v>
      </c>
      <c r="R18" s="156">
        <f t="shared" si="6"/>
        <v>0.99849332759362897</v>
      </c>
      <c r="S18" s="156">
        <f t="shared" si="7"/>
        <v>16.856281317405042</v>
      </c>
      <c r="T18" s="156">
        <f t="shared" si="8"/>
        <v>0.14136092641945089</v>
      </c>
      <c r="U18" s="157">
        <f>AVERAGE('2022.3'!B53:G61)</f>
        <v>71.102777777777774</v>
      </c>
      <c r="V18" s="157">
        <f>_xlfn.STDEV.S('2022.3'!B53:G61)</f>
        <v>28.086880375120849</v>
      </c>
      <c r="W18" s="146">
        <f t="shared" si="45"/>
        <v>36</v>
      </c>
      <c r="X18" s="146">
        <f>'2022.3'!D153+'2022.3'!E153</f>
        <v>23287</v>
      </c>
      <c r="Y18" s="152">
        <f t="shared" si="46"/>
        <v>7.6558657601620131E-2</v>
      </c>
      <c r="Z18" s="152">
        <f t="shared" si="9"/>
        <v>5.4435332184129734</v>
      </c>
      <c r="AA18" s="152">
        <f t="shared" si="10"/>
        <v>0.99845407308798906</v>
      </c>
      <c r="AB18" s="152">
        <f t="shared" si="11"/>
        <v>21.91313470017635</v>
      </c>
      <c r="AC18" s="139">
        <f t="shared" si="12"/>
        <v>0.12823932427555898</v>
      </c>
      <c r="AD18" s="305">
        <f>AVERAGE('2022.3'!B66:G72)</f>
        <v>71.874074074074073</v>
      </c>
      <c r="AE18" s="305">
        <f>_xlfn.STDEV.S('2022.3'!B66:G72)</f>
        <v>28.138375009018322</v>
      </c>
      <c r="AF18" s="148">
        <f t="shared" si="47"/>
        <v>27</v>
      </c>
      <c r="AG18" s="148">
        <f>'2022.3'!D154+'2022.3'!E154</f>
        <v>16812</v>
      </c>
      <c r="AH18" s="156">
        <f t="shared" si="13"/>
        <v>5.527135962547506E-2</v>
      </c>
      <c r="AI18" s="156">
        <f t="shared" si="14"/>
        <v>3.9725777958961817</v>
      </c>
      <c r="AJ18" s="156">
        <f t="shared" si="15"/>
        <v>0.99839400428265523</v>
      </c>
      <c r="AK18" s="156">
        <f t="shared" si="16"/>
        <v>29.324746227709145</v>
      </c>
      <c r="AL18" s="140">
        <f t="shared" si="17"/>
        <v>8.9440974552759372E-2</v>
      </c>
      <c r="AM18" s="157">
        <f>AVERAGE('2022.3'!B76:G79)</f>
        <v>66.847058823529409</v>
      </c>
      <c r="AN18" s="306">
        <f>_xlfn.STDEV.S('2022.3'!B76:G79)</f>
        <v>32.905112020153105</v>
      </c>
      <c r="AO18" s="146">
        <f t="shared" si="48"/>
        <v>17</v>
      </c>
      <c r="AP18" s="146">
        <f>'2022.3'!D155+'2022.3'!E155</f>
        <v>10212</v>
      </c>
      <c r="AQ18" s="152">
        <f t="shared" si="18"/>
        <v>3.3573109950948803E-2</v>
      </c>
      <c r="AR18" s="152">
        <f t="shared" si="49"/>
        <v>2.2442636557798954</v>
      </c>
      <c r="AS18" s="152">
        <f t="shared" si="19"/>
        <v>0.99833529181355263</v>
      </c>
      <c r="AT18" s="152">
        <f t="shared" si="20"/>
        <v>63.690964532872023</v>
      </c>
      <c r="AU18" s="139">
        <f t="shared" si="21"/>
        <v>7.1669998499842277E-2</v>
      </c>
      <c r="AV18" s="305">
        <f>AVERAGE('2022.3'!B83:G88)</f>
        <v>67.195833333333354</v>
      </c>
      <c r="AW18" s="155">
        <f>_xlfn.STDEV.S('2022.3'!B83:G88)</f>
        <v>30.121456734313149</v>
      </c>
      <c r="AX18" s="148">
        <f t="shared" si="50"/>
        <v>24</v>
      </c>
      <c r="AY18" s="148">
        <f>'2022.3'!D156+'2022.3'!E156</f>
        <v>14697</v>
      </c>
      <c r="AZ18" s="156">
        <f t="shared" si="22"/>
        <v>4.8318056888865507E-2</v>
      </c>
      <c r="BA18" s="156">
        <f t="shared" si="23"/>
        <v>3.2467720976947265</v>
      </c>
      <c r="BB18" s="156">
        <f t="shared" si="24"/>
        <v>0.99836701367626046</v>
      </c>
      <c r="BC18" s="156">
        <f t="shared" si="25"/>
        <v>37.804256491545793</v>
      </c>
      <c r="BD18" s="140">
        <f t="shared" si="26"/>
        <v>8.8115000100042293E-2</v>
      </c>
      <c r="BE18" s="151">
        <f>AVERAGE('2022.3'!B93:G96)</f>
        <v>68.693750000000009</v>
      </c>
      <c r="BF18" s="306">
        <f>_xlfn.STDEV.S('2022.3'!B93:G96)</f>
        <v>31.362577886179345</v>
      </c>
      <c r="BG18" s="146">
        <f t="shared" si="51"/>
        <v>16</v>
      </c>
      <c r="BH18" s="146">
        <f>'2022.3'!D157+'2022.3'!E157</f>
        <v>9415</v>
      </c>
      <c r="BI18" s="152">
        <f t="shared" si="27"/>
        <v>3.0952881922070408E-2</v>
      </c>
      <c r="BJ18" s="152">
        <f t="shared" si="28"/>
        <v>2.1262695325342245</v>
      </c>
      <c r="BK18" s="152">
        <f t="shared" si="29"/>
        <v>0.9983005841741901</v>
      </c>
      <c r="BL18" s="152">
        <f t="shared" si="30"/>
        <v>61.475705729166606</v>
      </c>
      <c r="BM18" s="139">
        <f t="shared" si="31"/>
        <v>5.8798606047043768E-2</v>
      </c>
      <c r="BN18" s="153">
        <f>AVERAGE('2022.3'!B100:G121)</f>
        <v>70.363043478260849</v>
      </c>
      <c r="BO18" s="155">
        <f>_xlfn.STDEV.S('2022.3'!B100:G121)</f>
        <v>27.276616066551348</v>
      </c>
      <c r="BP18" s="148">
        <f t="shared" si="52"/>
        <v>92</v>
      </c>
      <c r="BQ18" s="148">
        <f>'2022.3'!D158+'2022.3'!E158</f>
        <v>63532</v>
      </c>
      <c r="BR18" s="364">
        <f t="shared" si="32"/>
        <v>0.20886866641242455</v>
      </c>
      <c r="BS18" s="156">
        <f t="shared" si="33"/>
        <v>14.696635056023791</v>
      </c>
      <c r="BT18" s="156">
        <f t="shared" si="34"/>
        <v>0.9985519108480766</v>
      </c>
      <c r="BU18" s="156">
        <f t="shared" si="35"/>
        <v>8.0871063482831218</v>
      </c>
      <c r="BV18" s="140">
        <f t="shared" si="36"/>
        <v>0.35229817146992337</v>
      </c>
      <c r="BW18" s="151">
        <f>AVERAGE('2022.3'!B125:G147)</f>
        <v>68.890000000000015</v>
      </c>
      <c r="BX18" s="306">
        <f>_xlfn.STDEV.S('2022.3'!B125:G147)</f>
        <v>28.435509727858655</v>
      </c>
      <c r="BY18" s="146">
        <f t="shared" si="53"/>
        <v>90</v>
      </c>
      <c r="BZ18" s="146">
        <f>'2022.3'!D159+'2022.3'!E159</f>
        <v>63333</v>
      </c>
      <c r="CA18" s="146">
        <f t="shared" si="37"/>
        <v>0.20821443130860171</v>
      </c>
      <c r="CB18" s="152">
        <f t="shared" si="38"/>
        <v>14.343892172849575</v>
      </c>
      <c r="CC18" s="152">
        <f t="shared" si="39"/>
        <v>0.99857893988915736</v>
      </c>
      <c r="CD18" s="152">
        <f t="shared" si="40"/>
        <v>8.984202372034936</v>
      </c>
      <c r="CE18" s="139">
        <f t="shared" si="41"/>
        <v>0.38894087123417903</v>
      </c>
      <c r="CF18" s="365">
        <f t="shared" si="56"/>
        <v>69.579111196708723</v>
      </c>
      <c r="CG18" s="366">
        <f t="shared" si="54"/>
        <v>1.3323656864099331</v>
      </c>
    </row>
    <row r="19" spans="1:85" x14ac:dyDescent="0.25">
      <c r="A19" s="352" t="s">
        <v>342</v>
      </c>
      <c r="B19" s="150">
        <f t="shared" si="42"/>
        <v>303892</v>
      </c>
      <c r="C19" s="151">
        <f>AVERAGE('2022.4'!B6:G34)</f>
        <v>69.999082568807353</v>
      </c>
      <c r="D19" s="151">
        <f>_xlfn.STDEV.S('2022.4'!B6:G34)</f>
        <v>28.147641488635394</v>
      </c>
      <c r="E19" s="146">
        <f t="shared" si="55"/>
        <v>109</v>
      </c>
      <c r="F19" s="146">
        <f>'2022.4'!D151+'2022.4'!E151</f>
        <v>75032</v>
      </c>
      <c r="G19" s="152">
        <f t="shared" si="43"/>
        <v>0.24690350519263424</v>
      </c>
      <c r="H19" s="152">
        <f t="shared" si="0"/>
        <v>17.283018846507158</v>
      </c>
      <c r="I19" s="152">
        <f t="shared" si="1"/>
        <v>0.99854728649109714</v>
      </c>
      <c r="J19" s="152">
        <f t="shared" si="2"/>
        <v>7.2687130401169595</v>
      </c>
      <c r="K19" s="139">
        <f t="shared" si="3"/>
        <v>0.44246678077171314</v>
      </c>
      <c r="L19" s="153">
        <f>AVERAGE('2022.4'!B39:G48)</f>
        <v>71.426190476190499</v>
      </c>
      <c r="M19" s="153">
        <f>_xlfn.STDEV.S('2022.4'!B39:G48)</f>
        <v>26.59724045399653</v>
      </c>
      <c r="N19" s="154">
        <f t="shared" si="44"/>
        <v>42</v>
      </c>
      <c r="O19" s="154">
        <f>'2022.4'!D152+'2022.4'!E152</f>
        <v>27784</v>
      </c>
      <c r="P19" s="155">
        <f t="shared" si="4"/>
        <v>9.1427217564134633E-2</v>
      </c>
      <c r="Q19" s="156">
        <f t="shared" si="5"/>
        <v>6.5302978564439886</v>
      </c>
      <c r="R19" s="156">
        <f t="shared" si="6"/>
        <v>0.99848833861215092</v>
      </c>
      <c r="S19" s="156">
        <f t="shared" si="7"/>
        <v>16.843171423040705</v>
      </c>
      <c r="T19" s="156">
        <f t="shared" si="8"/>
        <v>0.14057816553142435</v>
      </c>
      <c r="U19" s="157">
        <f>AVERAGE('2022.4'!B53:G61)</f>
        <v>70.058333333333337</v>
      </c>
      <c r="V19" s="157">
        <f>_xlfn.STDEV.S('2022.4'!B53:G61)</f>
        <v>28.329624827327741</v>
      </c>
      <c r="W19" s="146">
        <f t="shared" si="45"/>
        <v>36</v>
      </c>
      <c r="X19" s="146">
        <f>'2022.4'!D153+'2022.4'!E153</f>
        <v>23356</v>
      </c>
      <c r="Y19" s="152">
        <f t="shared" si="46"/>
        <v>7.6856251563055297E-2</v>
      </c>
      <c r="Z19" s="152">
        <f t="shared" si="9"/>
        <v>5.3844208907550488</v>
      </c>
      <c r="AA19" s="152">
        <f t="shared" si="10"/>
        <v>0.9984586401781127</v>
      </c>
      <c r="AB19" s="152">
        <f t="shared" si="11"/>
        <v>22.293545634920676</v>
      </c>
      <c r="AC19" s="139">
        <f t="shared" si="12"/>
        <v>0.13148240018869881</v>
      </c>
      <c r="AD19" s="305">
        <f>AVERAGE('2022.4'!B66:G72)</f>
        <v>70.711111111111109</v>
      </c>
      <c r="AE19" s="305">
        <f>_xlfn.STDEV.S('2022.4'!B66:G72)</f>
        <v>28.863742671830412</v>
      </c>
      <c r="AF19" s="148">
        <f t="shared" si="47"/>
        <v>27</v>
      </c>
      <c r="AG19" s="148">
        <f>'2022.4'!D154+'2022.4'!E154</f>
        <v>16836</v>
      </c>
      <c r="AH19" s="156">
        <f t="shared" si="13"/>
        <v>5.5401260974293501E-2</v>
      </c>
      <c r="AI19" s="156">
        <f t="shared" si="14"/>
        <v>3.9174847204489311</v>
      </c>
      <c r="AJ19" s="156">
        <f t="shared" si="15"/>
        <v>0.99839629365645044</v>
      </c>
      <c r="AK19" s="156">
        <f t="shared" si="16"/>
        <v>30.85613485280162</v>
      </c>
      <c r="AL19" s="140">
        <f t="shared" si="17"/>
        <v>9.4554844210890984E-2</v>
      </c>
      <c r="AM19" s="157">
        <f>AVERAGE('2022.4'!B76:G79)</f>
        <v>67.899999999999991</v>
      </c>
      <c r="AN19" s="306">
        <f>_xlfn.STDEV.S('2022.4'!B76:G79)</f>
        <v>30.124429455178063</v>
      </c>
      <c r="AO19" s="146">
        <f t="shared" si="48"/>
        <v>17</v>
      </c>
      <c r="AP19" s="146">
        <f>'2022.4'!D155+'2022.4'!E155</f>
        <v>10239</v>
      </c>
      <c r="AQ19" s="152">
        <f t="shared" si="18"/>
        <v>3.3692890895449697E-2</v>
      </c>
      <c r="AR19" s="152">
        <f t="shared" si="49"/>
        <v>2.287747291801034</v>
      </c>
      <c r="AS19" s="152">
        <f t="shared" si="19"/>
        <v>0.99833968160953213</v>
      </c>
      <c r="AT19" s="152">
        <f t="shared" si="20"/>
        <v>53.38124999999998</v>
      </c>
      <c r="AU19" s="139">
        <f t="shared" si="21"/>
        <v>6.049836309431067E-2</v>
      </c>
      <c r="AV19" s="305">
        <f>AVERAGE('2022.4'!B83:G88)</f>
        <v>67.341666666666654</v>
      </c>
      <c r="AW19" s="155">
        <f>_xlfn.STDEV.S('2022.4'!B83:G88)</f>
        <v>26.814222648286588</v>
      </c>
      <c r="AX19" s="148">
        <f t="shared" si="50"/>
        <v>24</v>
      </c>
      <c r="AY19" s="148">
        <f>'2022.4'!D156+'2022.4'!E156</f>
        <v>14697</v>
      </c>
      <c r="AZ19" s="156">
        <f t="shared" si="22"/>
        <v>4.8362576178379163E-2</v>
      </c>
      <c r="BA19" s="156">
        <f t="shared" si="23"/>
        <v>3.2568164841456828</v>
      </c>
      <c r="BB19" s="156">
        <f t="shared" si="24"/>
        <v>0.99836701367626046</v>
      </c>
      <c r="BC19" s="156">
        <f t="shared" si="25"/>
        <v>29.958439009661891</v>
      </c>
      <c r="BD19" s="140">
        <f t="shared" si="26"/>
        <v>6.9956529715876445E-2</v>
      </c>
      <c r="BE19" s="151">
        <f>AVERAGE('2022.4'!B93:G96)</f>
        <v>67.643750000000011</v>
      </c>
      <c r="BF19" s="306">
        <f>_xlfn.STDEV.S('2022.4'!B93:G96)</f>
        <v>27.068110850223707</v>
      </c>
      <c r="BG19" s="146">
        <f t="shared" si="51"/>
        <v>16</v>
      </c>
      <c r="BH19" s="146">
        <f>'2022.4'!D157+'2022.4'!E157</f>
        <v>9397</v>
      </c>
      <c r="BI19" s="152">
        <f t="shared" si="27"/>
        <v>3.0922169718189358E-2</v>
      </c>
      <c r="BJ19" s="152">
        <f t="shared" si="28"/>
        <v>2.0916915178747715</v>
      </c>
      <c r="BK19" s="152">
        <f t="shared" si="29"/>
        <v>0.99829732893476641</v>
      </c>
      <c r="BL19" s="152">
        <f t="shared" si="30"/>
        <v>45.792664062499902</v>
      </c>
      <c r="BM19" s="139">
        <f t="shared" si="31"/>
        <v>4.3711502835953396E-2</v>
      </c>
      <c r="BN19" s="153">
        <f>AVERAGE('2022.4'!B100:G121)</f>
        <v>70.756521739130463</v>
      </c>
      <c r="BO19" s="155">
        <f>_xlfn.STDEV.S('2022.4'!B100:G121)</f>
        <v>26.477352148199003</v>
      </c>
      <c r="BP19" s="148">
        <f t="shared" si="52"/>
        <v>92</v>
      </c>
      <c r="BQ19" s="148">
        <f>'2022.4'!D158+'2022.4'!E158</f>
        <v>63412</v>
      </c>
      <c r="BR19" s="364">
        <f t="shared" si="32"/>
        <v>0.20866623668935017</v>
      </c>
      <c r="BS19" s="156">
        <f t="shared" si="33"/>
        <v>14.764497112532547</v>
      </c>
      <c r="BT19" s="156">
        <f t="shared" si="34"/>
        <v>0.9985491705040056</v>
      </c>
      <c r="BU19" s="156">
        <f t="shared" si="35"/>
        <v>7.6201106171710684</v>
      </c>
      <c r="BV19" s="140">
        <f t="shared" si="36"/>
        <v>0.33131042243043307</v>
      </c>
      <c r="BW19" s="151">
        <f>AVERAGE('2022.4'!B125:G147)</f>
        <v>70.134444444444441</v>
      </c>
      <c r="BX19" s="306">
        <f>_xlfn.STDEV.S('2022.4'!B125:G147)</f>
        <v>27.806062555788621</v>
      </c>
      <c r="BY19" s="146">
        <f t="shared" si="53"/>
        <v>90</v>
      </c>
      <c r="BZ19" s="146">
        <f>'2022.4'!D159+'2022.4'!E159</f>
        <v>63139</v>
      </c>
      <c r="CA19" s="146">
        <f t="shared" si="37"/>
        <v>0.20776789122451397</v>
      </c>
      <c r="CB19" s="152">
        <f t="shared" si="38"/>
        <v>14.571685624425049</v>
      </c>
      <c r="CC19" s="152">
        <f t="shared" si="39"/>
        <v>0.9985745735599233</v>
      </c>
      <c r="CD19" s="152">
        <f t="shared" si="40"/>
        <v>8.5908568317381118</v>
      </c>
      <c r="CE19" s="139">
        <f t="shared" si="41"/>
        <v>0.3703171698956253</v>
      </c>
      <c r="CF19" s="365">
        <f t="shared" si="56"/>
        <v>70.087660344934207</v>
      </c>
      <c r="CG19" s="366">
        <f t="shared" si="54"/>
        <v>1.2980278035061215</v>
      </c>
    </row>
    <row r="20" spans="1:85" x14ac:dyDescent="0.25">
      <c r="A20" s="352" t="s">
        <v>343</v>
      </c>
      <c r="B20" s="150">
        <f t="shared" si="42"/>
        <v>303939</v>
      </c>
      <c r="C20" s="151">
        <f>AVERAGE('2022.5'!B6:G34)</f>
        <v>69.906422018348621</v>
      </c>
      <c r="D20" s="151">
        <f>_xlfn.STDEV.S('2022.5'!B6:G34)</f>
        <v>28.729389634069449</v>
      </c>
      <c r="E20" s="146">
        <f t="shared" si="55"/>
        <v>109</v>
      </c>
      <c r="F20" s="146">
        <f>'2022.5'!D151+'2022.5'!E151</f>
        <v>75065</v>
      </c>
      <c r="G20" s="152">
        <f t="shared" si="43"/>
        <v>0.24697389936796529</v>
      </c>
      <c r="H20" s="152">
        <f t="shared" si="0"/>
        <v>17.265061636734146</v>
      </c>
      <c r="I20" s="152">
        <f t="shared" si="1"/>
        <v>0.99854792513155266</v>
      </c>
      <c r="J20" s="152">
        <f t="shared" si="2"/>
        <v>7.5722736582218086</v>
      </c>
      <c r="K20" s="139">
        <f t="shared" si="3"/>
        <v>0.46120853085658525</v>
      </c>
      <c r="L20" s="153">
        <f>AVERAGE('2022.5'!B39:G48)</f>
        <v>68.778571428571439</v>
      </c>
      <c r="M20" s="153">
        <f>_xlfn.STDEV.S('2022.5'!B39:G48)</f>
        <v>26.492378431967513</v>
      </c>
      <c r="N20" s="154">
        <f t="shared" si="44"/>
        <v>42</v>
      </c>
      <c r="O20" s="154">
        <f>'2022.5'!D152+'2022.5'!E152</f>
        <v>27779</v>
      </c>
      <c r="P20" s="155">
        <f t="shared" si="4"/>
        <v>9.1396628928831117E-2</v>
      </c>
      <c r="Q20" s="156">
        <f t="shared" si="5"/>
        <v>6.2861295711122498</v>
      </c>
      <c r="R20" s="156">
        <f t="shared" si="6"/>
        <v>0.99848806652507294</v>
      </c>
      <c r="S20" s="156">
        <f t="shared" si="7"/>
        <v>16.710621785299463</v>
      </c>
      <c r="T20" s="156">
        <f t="shared" si="8"/>
        <v>0.13937851840128798</v>
      </c>
      <c r="U20" s="157">
        <f>AVERAGE('2022.5'!B53:G61)</f>
        <v>68.894444444444446</v>
      </c>
      <c r="V20" s="157">
        <f>_xlfn.STDEV.S('2022.5'!B53:G61)</f>
        <v>27.42538911764002</v>
      </c>
      <c r="W20" s="146">
        <f t="shared" si="45"/>
        <v>36</v>
      </c>
      <c r="X20" s="146">
        <f>'2022.5'!D153+'2022.5'!E153</f>
        <v>23333</v>
      </c>
      <c r="Y20" s="152">
        <f t="shared" si="46"/>
        <v>7.6768693718147388E-2</v>
      </c>
      <c r="Z20" s="152">
        <f t="shared" si="9"/>
        <v>5.2889365044374772</v>
      </c>
      <c r="AA20" s="152">
        <f t="shared" si="10"/>
        <v>0.99845712081601168</v>
      </c>
      <c r="AB20" s="152">
        <f t="shared" si="11"/>
        <v>20.893110229276878</v>
      </c>
      <c r="AC20" s="139">
        <f t="shared" si="12"/>
        <v>0.122942153405495</v>
      </c>
      <c r="AD20" s="305">
        <f>AVERAGE('2022.5'!B66:G72)</f>
        <v>69.088888888888889</v>
      </c>
      <c r="AE20" s="305">
        <f>_xlfn.STDEV.S('2022.5'!B66:G72)</f>
        <v>27.920909359961371</v>
      </c>
      <c r="AF20" s="148">
        <f t="shared" si="47"/>
        <v>27</v>
      </c>
      <c r="AG20" s="148">
        <f>'2022.5'!D154+'2022.5'!E154</f>
        <v>16798</v>
      </c>
      <c r="AH20" s="156">
        <f t="shared" si="13"/>
        <v>5.5267668841445156E-2</v>
      </c>
      <c r="AI20" s="156">
        <f t="shared" si="14"/>
        <v>3.8183818317345111</v>
      </c>
      <c r="AJ20" s="156">
        <f t="shared" si="15"/>
        <v>0.9983926657935468</v>
      </c>
      <c r="AK20" s="156">
        <f t="shared" si="16"/>
        <v>28.873228869895499</v>
      </c>
      <c r="AL20" s="140">
        <f t="shared" si="17"/>
        <v>8.8051960231462723E-2</v>
      </c>
      <c r="AM20" s="157">
        <f>AVERAGE('2022.5'!B76:G79)</f>
        <v>67.129411764705878</v>
      </c>
      <c r="AN20" s="306">
        <f>_xlfn.STDEV.S('2022.5'!B76:G79)</f>
        <v>27.936686558759121</v>
      </c>
      <c r="AO20" s="146">
        <f t="shared" si="48"/>
        <v>17</v>
      </c>
      <c r="AP20" s="146">
        <f>'2022.5'!D155+'2022.5'!E155</f>
        <v>10217</v>
      </c>
      <c r="AQ20" s="152">
        <f t="shared" si="18"/>
        <v>3.3615297806467742E-2</v>
      </c>
      <c r="AR20" s="152">
        <f t="shared" si="49"/>
        <v>2.2565751680435877</v>
      </c>
      <c r="AS20" s="152">
        <f t="shared" si="19"/>
        <v>0.99833610648918469</v>
      </c>
      <c r="AT20" s="152">
        <f t="shared" si="20"/>
        <v>45.90932093425603</v>
      </c>
      <c r="AU20" s="139">
        <f t="shared" si="21"/>
        <v>5.179067527377778E-2</v>
      </c>
      <c r="AV20" s="305">
        <f>AVERAGE('2022.5'!B83:G88)</f>
        <v>68.350000000000009</v>
      </c>
      <c r="AW20" s="155">
        <f>_xlfn.STDEV.S('2022.5'!B83:G88)</f>
        <v>29.066789655370677</v>
      </c>
      <c r="AX20" s="148">
        <f t="shared" si="50"/>
        <v>24</v>
      </c>
      <c r="AY20" s="148">
        <f>'2022.5'!D156+'2022.5'!E156</f>
        <v>14731</v>
      </c>
      <c r="AZ20" s="156">
        <f t="shared" si="22"/>
        <v>4.8466962120688691E-2</v>
      </c>
      <c r="BA20" s="156">
        <f t="shared" si="23"/>
        <v>3.3127168609490725</v>
      </c>
      <c r="BB20" s="156">
        <f t="shared" si="24"/>
        <v>0.99837078270314306</v>
      </c>
      <c r="BC20" s="156">
        <f t="shared" si="25"/>
        <v>35.203260869565156</v>
      </c>
      <c r="BD20" s="140">
        <f t="shared" si="26"/>
        <v>8.2559367171701231E-2</v>
      </c>
      <c r="BE20" s="151">
        <f>AVERAGE('2022.5'!B93:G96)</f>
        <v>67.96875</v>
      </c>
      <c r="BF20" s="306">
        <f>_xlfn.STDEV.S('2022.5'!B93:G96)</f>
        <v>29.344680807033267</v>
      </c>
      <c r="BG20" s="146">
        <f t="shared" si="51"/>
        <v>16</v>
      </c>
      <c r="BH20" s="146">
        <f>'2022.5'!D157+'2022.5'!E157</f>
        <v>9397</v>
      </c>
      <c r="BI20" s="152">
        <f t="shared" si="27"/>
        <v>3.0917388028518879E-2</v>
      </c>
      <c r="BJ20" s="152">
        <f t="shared" si="28"/>
        <v>2.1014162175633926</v>
      </c>
      <c r="BK20" s="152">
        <f t="shared" si="29"/>
        <v>0.99829732893476641</v>
      </c>
      <c r="BL20" s="152">
        <f t="shared" si="30"/>
        <v>53.819393229166664</v>
      </c>
      <c r="BM20" s="139">
        <f t="shared" si="31"/>
        <v>5.1357550214634957E-2</v>
      </c>
      <c r="BN20" s="153">
        <f>AVERAGE('2022.5'!B100:G121)</f>
        <v>70.247826086956522</v>
      </c>
      <c r="BO20" s="155">
        <f>_xlfn.STDEV.S('2022.5'!B100:G121)</f>
        <v>26.840442170007371</v>
      </c>
      <c r="BP20" s="148">
        <f t="shared" si="52"/>
        <v>92</v>
      </c>
      <c r="BQ20" s="148">
        <f>'2022.5'!D158+'2022.5'!E158</f>
        <v>63433</v>
      </c>
      <c r="BR20" s="364">
        <f t="shared" si="32"/>
        <v>0.20870306212759798</v>
      </c>
      <c r="BS20" s="156">
        <f t="shared" si="33"/>
        <v>14.660936412154784</v>
      </c>
      <c r="BT20" s="156">
        <f t="shared" si="34"/>
        <v>0.99854965081266844</v>
      </c>
      <c r="BU20" s="156">
        <f t="shared" si="35"/>
        <v>7.8305362595816295</v>
      </c>
      <c r="BV20" s="140">
        <f t="shared" si="36"/>
        <v>0.34057974138342667</v>
      </c>
      <c r="BW20" s="151">
        <f>AVERAGE('2022.5'!B125:G147)</f>
        <v>68.985555555555578</v>
      </c>
      <c r="BX20" s="306">
        <f>_xlfn.STDEV.S('2022.5'!B125:G147)</f>
        <v>28.628353043835688</v>
      </c>
      <c r="BY20" s="146">
        <f t="shared" si="53"/>
        <v>90</v>
      </c>
      <c r="BZ20" s="146">
        <f>'2021.5'!D159+'2021.5'!E159</f>
        <v>63186</v>
      </c>
      <c r="CA20" s="146">
        <f t="shared" si="37"/>
        <v>0.20789039906033777</v>
      </c>
      <c r="CB20" s="152">
        <f t="shared" si="38"/>
        <v>14.341434673843549</v>
      </c>
      <c r="CC20" s="152">
        <f t="shared" si="39"/>
        <v>0.9985756338429399</v>
      </c>
      <c r="CD20" s="152">
        <f t="shared" si="40"/>
        <v>9.1064733111388456</v>
      </c>
      <c r="CE20" s="139">
        <f t="shared" si="41"/>
        <v>0.3930067862194021</v>
      </c>
      <c r="CF20" s="365">
        <f t="shared" si="56"/>
        <v>69.331588876572766</v>
      </c>
      <c r="CG20" s="366">
        <f t="shared" si="54"/>
        <v>1.3156273344521896</v>
      </c>
    </row>
    <row r="21" spans="1:85" x14ac:dyDescent="0.25">
      <c r="A21" s="352" t="s">
        <v>344</v>
      </c>
      <c r="B21" s="150">
        <f t="shared" si="42"/>
        <v>303879</v>
      </c>
      <c r="C21" s="151">
        <f>AVERAGE('2022.6'!B6:G34)</f>
        <v>69.886238532110056</v>
      </c>
      <c r="D21" s="151">
        <f>_xlfn.STDEV.S('2022.6'!B6:G34)</f>
        <v>28.464407495215706</v>
      </c>
      <c r="E21" s="146">
        <f t="shared" si="55"/>
        <v>109</v>
      </c>
      <c r="F21" s="146">
        <f>'2022.6'!D151+'2022.6'!E151</f>
        <v>75021</v>
      </c>
      <c r="G21" s="152">
        <f t="shared" si="43"/>
        <v>0.24687786915186638</v>
      </c>
      <c r="H21" s="152">
        <f t="shared" si="0"/>
        <v>17.253365651846387</v>
      </c>
      <c r="I21" s="152">
        <f t="shared" si="1"/>
        <v>0.99854707348609051</v>
      </c>
      <c r="J21" s="152">
        <f t="shared" si="2"/>
        <v>7.433233890400845</v>
      </c>
      <c r="K21" s="139">
        <f t="shared" si="3"/>
        <v>0.45238756840607008</v>
      </c>
      <c r="L21" s="153">
        <f>AVERAGE('2022.6'!B39:G48)</f>
        <v>68.345238095238102</v>
      </c>
      <c r="M21" s="153">
        <f>_xlfn.STDEV.S('2022.6'!B39:G48)</f>
        <v>29.080587795422787</v>
      </c>
      <c r="N21" s="154">
        <f t="shared" si="44"/>
        <v>42</v>
      </c>
      <c r="O21" s="154">
        <f>'2022.6'!D152+'2022.6'!E152</f>
        <v>27834</v>
      </c>
      <c r="P21" s="155">
        <f t="shared" si="4"/>
        <v>9.1595668012597123E-2</v>
      </c>
      <c r="Q21" s="156">
        <f t="shared" si="5"/>
        <v>6.2601277388133347</v>
      </c>
      <c r="R21" s="156">
        <f t="shared" si="6"/>
        <v>0.99849105410648842</v>
      </c>
      <c r="S21" s="156">
        <f t="shared" si="7"/>
        <v>20.135252060173634</v>
      </c>
      <c r="T21" s="156">
        <f t="shared" si="8"/>
        <v>0.16867515484119133</v>
      </c>
      <c r="U21" s="157">
        <f>AVERAGE('2022.6'!B53:G61)</f>
        <v>70.561111111111131</v>
      </c>
      <c r="V21" s="157">
        <f>_xlfn.STDEV.S('2022.6'!B53:G61)</f>
        <v>29.72786357974401</v>
      </c>
      <c r="W21" s="146">
        <f t="shared" si="45"/>
        <v>36</v>
      </c>
      <c r="X21" s="146">
        <f>'2022.6'!D153+'2022.6'!E153</f>
        <v>23300</v>
      </c>
      <c r="Y21" s="152">
        <f t="shared" si="46"/>
        <v>7.6675255611608567E-2</v>
      </c>
      <c r="Z21" s="152">
        <f t="shared" si="9"/>
        <v>5.4102912306835593</v>
      </c>
      <c r="AA21" s="152">
        <f t="shared" si="10"/>
        <v>0.99845493562231757</v>
      </c>
      <c r="AB21" s="152">
        <f t="shared" si="11"/>
        <v>24.548496472663068</v>
      </c>
      <c r="AC21" s="139">
        <f t="shared" si="12"/>
        <v>0.14409995029625611</v>
      </c>
      <c r="AD21" s="305">
        <f>AVERAGE('2022.6'!B66:G72)</f>
        <v>72.270370370370372</v>
      </c>
      <c r="AE21" s="305">
        <f>_xlfn.STDEV.S('2022.6'!B66:G72)</f>
        <v>29.53472291303672</v>
      </c>
      <c r="AF21" s="148">
        <f t="shared" si="47"/>
        <v>27</v>
      </c>
      <c r="AG21" s="148">
        <f>'2022.6'!D154+'2022.6'!E154</f>
        <v>16859</v>
      </c>
      <c r="AH21" s="156">
        <f t="shared" si="13"/>
        <v>5.5479319071077636E-2</v>
      </c>
      <c r="AI21" s="156">
        <f t="shared" si="14"/>
        <v>4.0095109371627329</v>
      </c>
      <c r="AJ21" s="156">
        <f t="shared" si="15"/>
        <v>0.99839848152322197</v>
      </c>
      <c r="AK21" s="156">
        <f t="shared" si="16"/>
        <v>32.307402131476159</v>
      </c>
      <c r="AL21" s="140">
        <f t="shared" si="17"/>
        <v>9.9281468748426221E-2</v>
      </c>
      <c r="AM21" s="157">
        <f>AVERAGE('2022.6'!B76:G79)</f>
        <v>68.341176470588252</v>
      </c>
      <c r="AN21" s="306">
        <f>_xlfn.STDEV.S('2022.6'!B76:G79)</f>
        <v>30.938589553006608</v>
      </c>
      <c r="AO21" s="146">
        <f t="shared" si="48"/>
        <v>17</v>
      </c>
      <c r="AP21" s="146">
        <f>'2022.6'!D155+'2022.6'!E155</f>
        <v>10229</v>
      </c>
      <c r="AQ21" s="152">
        <f t="shared" si="18"/>
        <v>3.3661424448546952E-2</v>
      </c>
      <c r="AR21" s="152">
        <f t="shared" si="49"/>
        <v>2.3004613484895211</v>
      </c>
      <c r="AS21" s="152">
        <f t="shared" si="19"/>
        <v>0.99833805846123769</v>
      </c>
      <c r="AT21" s="152">
        <f t="shared" si="20"/>
        <v>56.305666089965271</v>
      </c>
      <c r="AU21" s="139">
        <f t="shared" si="21"/>
        <v>6.3693440426119047E-2</v>
      </c>
      <c r="AV21" s="305">
        <f>AVERAGE('2022.6'!B83:G88)</f>
        <v>68.708333333333329</v>
      </c>
      <c r="AW21" s="155">
        <f>_xlfn.STDEV.S('2022.6'!B83:G88)</f>
        <v>28.30459966717142</v>
      </c>
      <c r="AX21" s="148">
        <f t="shared" si="50"/>
        <v>24</v>
      </c>
      <c r="AY21" s="148">
        <f>'2022.6'!D156+'2022.6'!E156</f>
        <v>14705</v>
      </c>
      <c r="AZ21" s="156">
        <f t="shared" si="22"/>
        <v>4.8390971406382148E-2</v>
      </c>
      <c r="BA21" s="156">
        <f t="shared" si="23"/>
        <v>3.3248629937135066</v>
      </c>
      <c r="BB21" s="156">
        <f t="shared" si="24"/>
        <v>0.9983679020741244</v>
      </c>
      <c r="BC21" s="156">
        <f t="shared" si="25"/>
        <v>33.381265096618357</v>
      </c>
      <c r="BD21" s="140">
        <f t="shared" si="26"/>
        <v>7.8040866376086648E-2</v>
      </c>
      <c r="BE21" s="151">
        <f>AVERAGE('2022.6'!B93:G96)</f>
        <v>67.018749999999997</v>
      </c>
      <c r="BF21" s="306">
        <f>_xlfn.STDEV.S('2022.6'!B93:G96)</f>
        <v>29.182442638225705</v>
      </c>
      <c r="BG21" s="146">
        <f t="shared" si="51"/>
        <v>16</v>
      </c>
      <c r="BH21" s="146">
        <f>'2022.6'!D157+'2022.6'!E157</f>
        <v>9400</v>
      </c>
      <c r="BI21" s="152">
        <f t="shared" si="27"/>
        <v>3.0933364924854958E-2</v>
      </c>
      <c r="BJ21" s="152">
        <f t="shared" si="28"/>
        <v>2.0731154505576233</v>
      </c>
      <c r="BK21" s="152">
        <f t="shared" si="29"/>
        <v>0.99829787234042555</v>
      </c>
      <c r="BL21" s="152">
        <f t="shared" si="30"/>
        <v>53.225934895833355</v>
      </c>
      <c r="BM21" s="139">
        <f t="shared" si="31"/>
        <v>5.084377334120696E-2</v>
      </c>
      <c r="BN21" s="153">
        <f>AVERAGE('2022.6'!B100:G121)</f>
        <v>69.15652173913044</v>
      </c>
      <c r="BO21" s="155">
        <f>_xlfn.STDEV.S('2022.6'!B100:G121)</f>
        <v>28.71875484899104</v>
      </c>
      <c r="BP21" s="148">
        <f t="shared" si="52"/>
        <v>92</v>
      </c>
      <c r="BQ21" s="148">
        <f>'2022.6'!D158+'2022.6'!E158</f>
        <v>63289</v>
      </c>
      <c r="BR21" s="364">
        <f t="shared" si="32"/>
        <v>0.20827039709884526</v>
      </c>
      <c r="BS21" s="156">
        <f t="shared" si="33"/>
        <v>14.40325624458362</v>
      </c>
      <c r="BT21" s="156">
        <f t="shared" si="34"/>
        <v>0.99854635086665933</v>
      </c>
      <c r="BU21" s="156">
        <f t="shared" si="35"/>
        <v>8.9648573921352863</v>
      </c>
      <c r="BV21" s="140">
        <f t="shared" si="36"/>
        <v>0.38829938661515795</v>
      </c>
      <c r="BW21" s="151">
        <f>AVERAGE('2022.6'!B125:G147)</f>
        <v>69.365555555555559</v>
      </c>
      <c r="BX21" s="306">
        <f>_xlfn.STDEV.S('2022.6'!B125:G147)</f>
        <v>28.147545290267576</v>
      </c>
      <c r="BY21" s="146">
        <f t="shared" si="53"/>
        <v>90</v>
      </c>
      <c r="BZ21" s="146">
        <f>'2022.6'!D159+'2022.6'!E159</f>
        <v>63242</v>
      </c>
      <c r="CA21" s="146">
        <f t="shared" si="37"/>
        <v>0.20811573027422098</v>
      </c>
      <c r="CB21" s="152">
        <f t="shared" si="38"/>
        <v>14.436063250321492</v>
      </c>
      <c r="CC21" s="152">
        <f t="shared" si="39"/>
        <v>0.99857689510135672</v>
      </c>
      <c r="CD21" s="152">
        <f t="shared" si="40"/>
        <v>8.8031589540851609</v>
      </c>
      <c r="CE21" s="139">
        <f t="shared" si="41"/>
        <v>0.38074119751675367</v>
      </c>
      <c r="CF21" s="365">
        <f t="shared" si="56"/>
        <v>69.471054846171782</v>
      </c>
      <c r="CG21" s="366">
        <f t="shared" si="54"/>
        <v>1.3513189137162507</v>
      </c>
    </row>
    <row r="22" spans="1:85" x14ac:dyDescent="0.25">
      <c r="P22" s="142"/>
    </row>
    <row r="23" spans="1:85" x14ac:dyDescent="0.25">
      <c r="H23" s="158"/>
    </row>
    <row r="24" spans="1:85" x14ac:dyDescent="0.25">
      <c r="A24" s="622" t="s">
        <v>85</v>
      </c>
      <c r="B24" s="622"/>
      <c r="C24" s="622"/>
      <c r="D24" s="622"/>
      <c r="E24" s="622"/>
      <c r="F24" s="622"/>
      <c r="G24" s="159"/>
      <c r="H24" s="159"/>
      <c r="I24" s="159"/>
      <c r="J24" s="159"/>
      <c r="K24" s="160"/>
      <c r="L24" s="307"/>
      <c r="M24" s="159"/>
      <c r="N24" s="142"/>
      <c r="O24" s="142"/>
      <c r="P24" s="142"/>
      <c r="Q24" s="142"/>
      <c r="R24" s="142"/>
      <c r="S24" s="142"/>
      <c r="T24" s="142"/>
    </row>
    <row r="25" spans="1:85" ht="39" customHeight="1" x14ac:dyDescent="0.25">
      <c r="A25" s="633"/>
      <c r="B25" s="633"/>
      <c r="C25" s="633"/>
      <c r="D25" s="633"/>
      <c r="E25" s="633"/>
      <c r="F25" s="633"/>
      <c r="G25" s="161"/>
      <c r="H25" s="162"/>
      <c r="I25" s="162"/>
    </row>
    <row r="26" spans="1:85" ht="15.6" x14ac:dyDescent="0.25">
      <c r="A26" s="163" t="s">
        <v>229</v>
      </c>
      <c r="B26" s="635" t="s">
        <v>86</v>
      </c>
      <c r="C26" s="635"/>
      <c r="D26" s="635"/>
      <c r="E26" s="635"/>
      <c r="F26" s="635"/>
      <c r="G26" s="164"/>
      <c r="H26" s="165"/>
      <c r="I26" s="165"/>
    </row>
    <row r="27" spans="1:85" ht="15.6" x14ac:dyDescent="0.25">
      <c r="A27" s="163" t="s">
        <v>230</v>
      </c>
      <c r="B27" s="635" t="s">
        <v>231</v>
      </c>
      <c r="C27" s="635"/>
      <c r="D27" s="635"/>
      <c r="E27" s="635"/>
      <c r="F27" s="635"/>
      <c r="G27" s="164"/>
      <c r="H27" s="165"/>
      <c r="I27" s="165"/>
    </row>
    <row r="28" spans="1:85" x14ac:dyDescent="0.25">
      <c r="A28" s="163" t="s">
        <v>87</v>
      </c>
      <c r="B28" s="635" t="s">
        <v>83</v>
      </c>
      <c r="C28" s="635"/>
      <c r="D28" s="635"/>
      <c r="E28" s="635"/>
      <c r="F28" s="635"/>
      <c r="G28" s="164"/>
      <c r="H28" s="165"/>
      <c r="I28" s="165"/>
    </row>
    <row r="29" spans="1:85" ht="15.6" x14ac:dyDescent="0.25">
      <c r="A29" s="163" t="s">
        <v>232</v>
      </c>
      <c r="B29" s="635" t="s">
        <v>233</v>
      </c>
      <c r="C29" s="635"/>
      <c r="D29" s="635"/>
      <c r="E29" s="635"/>
      <c r="F29" s="635"/>
      <c r="G29" s="164"/>
      <c r="H29" s="165"/>
      <c r="I29" s="165"/>
    </row>
    <row r="32" spans="1:85" x14ac:dyDescent="0.25">
      <c r="A32" s="622" t="s">
        <v>88</v>
      </c>
      <c r="B32" s="622"/>
      <c r="C32" s="622"/>
      <c r="D32" s="622"/>
      <c r="E32" s="622"/>
      <c r="F32" s="622"/>
      <c r="G32" s="159"/>
      <c r="H32" s="159"/>
      <c r="I32" s="159"/>
      <c r="R32" s="142"/>
      <c r="S32" s="142"/>
      <c r="T32" s="142"/>
    </row>
    <row r="33" spans="1:83" ht="57" customHeight="1" x14ac:dyDescent="0.25">
      <c r="A33" s="633"/>
      <c r="B33" s="633"/>
      <c r="C33" s="633"/>
      <c r="D33" s="633"/>
      <c r="E33" s="633"/>
      <c r="F33" s="633"/>
      <c r="G33" s="161"/>
      <c r="H33" s="162"/>
      <c r="I33" s="162"/>
      <c r="J33" s="162"/>
      <c r="M33" s="162"/>
      <c r="O33" s="166"/>
      <c r="P33" s="166"/>
      <c r="Q33" s="166"/>
      <c r="R33" s="166"/>
      <c r="S33" s="166"/>
      <c r="T33" s="166"/>
    </row>
    <row r="34" spans="1:83" ht="15.6" x14ac:dyDescent="0.25">
      <c r="A34" s="163" t="s">
        <v>234</v>
      </c>
      <c r="B34" s="634" t="s">
        <v>89</v>
      </c>
      <c r="C34" s="634"/>
      <c r="D34" s="634"/>
      <c r="E34" s="634"/>
      <c r="F34" s="634"/>
      <c r="G34" s="164"/>
      <c r="H34" s="165"/>
      <c r="I34" s="165"/>
      <c r="J34" s="165"/>
      <c r="M34" s="165"/>
      <c r="O34" s="167"/>
      <c r="P34" s="167"/>
      <c r="Q34" s="167"/>
      <c r="R34" s="167"/>
      <c r="S34" s="167"/>
      <c r="T34" s="167"/>
    </row>
    <row r="35" spans="1:83" ht="15.6" x14ac:dyDescent="0.25">
      <c r="A35" s="163" t="s">
        <v>230</v>
      </c>
      <c r="B35" s="635" t="s">
        <v>231</v>
      </c>
      <c r="C35" s="635"/>
      <c r="D35" s="635"/>
      <c r="E35" s="635"/>
      <c r="F35" s="635"/>
      <c r="G35" s="168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</row>
    <row r="36" spans="1:83" x14ac:dyDescent="0.25">
      <c r="A36" s="163" t="s">
        <v>87</v>
      </c>
      <c r="B36" s="635" t="s">
        <v>83</v>
      </c>
      <c r="C36" s="635"/>
      <c r="D36" s="635"/>
      <c r="E36" s="635"/>
      <c r="F36" s="635"/>
      <c r="G36" s="164"/>
      <c r="H36" s="165"/>
      <c r="I36" s="165"/>
      <c r="J36" s="165"/>
      <c r="K36" s="165"/>
      <c r="L36" s="165"/>
      <c r="M36" s="165"/>
      <c r="N36" s="167"/>
      <c r="O36" s="167"/>
      <c r="P36" s="167"/>
      <c r="Q36" s="167"/>
      <c r="R36" s="167"/>
      <c r="S36" s="167"/>
      <c r="T36" s="167"/>
    </row>
    <row r="37" spans="1:83" ht="19.5" customHeight="1" x14ac:dyDescent="0.25">
      <c r="A37" s="163" t="s">
        <v>235</v>
      </c>
      <c r="B37" s="634" t="s">
        <v>236</v>
      </c>
      <c r="C37" s="634"/>
      <c r="D37" s="634"/>
      <c r="E37" s="634"/>
      <c r="F37" s="634"/>
      <c r="G37" s="169"/>
      <c r="N37" s="170"/>
      <c r="O37" s="170"/>
      <c r="P37" s="170"/>
      <c r="Q37" s="170"/>
      <c r="R37" s="170"/>
      <c r="S37" s="170"/>
      <c r="T37" s="170"/>
    </row>
    <row r="38" spans="1:83" ht="15.6" x14ac:dyDescent="0.25">
      <c r="A38" s="163" t="s">
        <v>237</v>
      </c>
      <c r="B38" s="635" t="s">
        <v>238</v>
      </c>
      <c r="C38" s="635"/>
      <c r="D38" s="635"/>
      <c r="E38" s="635"/>
      <c r="F38" s="635"/>
      <c r="G38" s="164"/>
      <c r="H38" s="165"/>
      <c r="I38" s="165"/>
      <c r="J38" s="165"/>
      <c r="K38" s="165"/>
      <c r="L38" s="165"/>
      <c r="M38" s="165"/>
      <c r="N38" s="167"/>
      <c r="O38" s="167"/>
      <c r="P38" s="167"/>
      <c r="Q38" s="167"/>
      <c r="R38" s="167"/>
      <c r="S38" s="167"/>
      <c r="T38" s="167"/>
    </row>
    <row r="40" spans="1:83" x14ac:dyDescent="0.25">
      <c r="A40" s="622" t="s">
        <v>90</v>
      </c>
      <c r="B40" s="622"/>
      <c r="C40" s="622"/>
      <c r="D40" s="622"/>
      <c r="E40" s="622"/>
      <c r="F40" s="622"/>
      <c r="G40" s="159"/>
      <c r="H40" s="159"/>
      <c r="I40" s="159"/>
      <c r="J40" s="159"/>
      <c r="K40" s="159"/>
      <c r="L40" s="159"/>
      <c r="M40" s="159"/>
      <c r="N40" s="142"/>
      <c r="O40" s="142"/>
      <c r="P40" s="142"/>
      <c r="Q40" s="142"/>
      <c r="R40" s="142"/>
      <c r="S40" s="142"/>
      <c r="T40" s="142"/>
    </row>
    <row r="41" spans="1:83" ht="114" customHeight="1" x14ac:dyDescent="0.25">
      <c r="A41" s="171">
        <f>TINV(0.05,453)</f>
        <v>1.9652145681682132</v>
      </c>
      <c r="B41" s="631" t="s">
        <v>376</v>
      </c>
      <c r="C41" s="631"/>
      <c r="D41" s="631"/>
      <c r="E41" s="631"/>
      <c r="F41" s="631"/>
      <c r="G41" s="172"/>
      <c r="H41" s="172"/>
      <c r="I41" s="172"/>
      <c r="J41" s="172"/>
      <c r="K41" s="172"/>
      <c r="L41" s="172"/>
      <c r="M41" s="172"/>
      <c r="N41" s="173"/>
      <c r="O41" s="173"/>
      <c r="P41" s="173"/>
      <c r="Q41" s="173"/>
      <c r="R41" s="173"/>
      <c r="S41" s="173"/>
      <c r="T41" s="173"/>
    </row>
    <row r="42" spans="1:83" ht="17.25" customHeight="1" x14ac:dyDescent="0.25"/>
    <row r="43" spans="1:83" ht="17.25" customHeight="1" x14ac:dyDescent="0.25">
      <c r="A43" s="622" t="s">
        <v>91</v>
      </c>
      <c r="B43" s="622"/>
      <c r="C43" s="622"/>
      <c r="D43" s="622"/>
      <c r="E43" s="622"/>
      <c r="F43" s="62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</row>
    <row r="44" spans="1:83" ht="37.5" customHeight="1" x14ac:dyDescent="0.25">
      <c r="A44" s="171" t="s">
        <v>92</v>
      </c>
      <c r="B44" s="632" t="s">
        <v>239</v>
      </c>
      <c r="C44" s="632"/>
      <c r="D44" s="632"/>
      <c r="E44" s="632"/>
      <c r="F44" s="632"/>
      <c r="G44" s="174"/>
      <c r="H44" s="174"/>
      <c r="I44" s="174"/>
      <c r="J44" s="174"/>
      <c r="K44" s="174"/>
      <c r="L44" s="174"/>
      <c r="M44" s="174"/>
      <c r="N44" s="175"/>
      <c r="O44" s="175"/>
      <c r="P44" s="175"/>
      <c r="Q44" s="175"/>
      <c r="R44" s="175"/>
      <c r="S44" s="175"/>
      <c r="T44" s="175"/>
    </row>
    <row r="46" spans="1:83" x14ac:dyDescent="0.25">
      <c r="A46" s="622" t="s">
        <v>93</v>
      </c>
      <c r="B46" s="622"/>
      <c r="C46" s="622"/>
      <c r="D46" s="622"/>
      <c r="E46" s="622"/>
      <c r="F46" s="622"/>
      <c r="G46" s="159"/>
      <c r="H46" s="159"/>
      <c r="I46" s="159"/>
      <c r="J46" s="159"/>
      <c r="K46" s="159"/>
      <c r="L46" s="159"/>
      <c r="M46" s="159"/>
      <c r="N46" s="142"/>
      <c r="O46" s="142"/>
      <c r="P46" s="142"/>
      <c r="Q46" s="142"/>
      <c r="R46" s="142"/>
      <c r="S46" s="142"/>
      <c r="T46" s="142"/>
    </row>
    <row r="47" spans="1:83" ht="26.4" x14ac:dyDescent="0.25">
      <c r="A47" s="357" t="s">
        <v>160</v>
      </c>
      <c r="B47" s="163" t="s">
        <v>94</v>
      </c>
      <c r="C47" s="163" t="s">
        <v>219</v>
      </c>
      <c r="D47" s="176" t="s">
        <v>220</v>
      </c>
      <c r="E47" s="144" t="s">
        <v>240</v>
      </c>
      <c r="F47" s="176" t="s">
        <v>95</v>
      </c>
      <c r="G47" s="177"/>
      <c r="H47" s="178"/>
      <c r="I47" s="178"/>
      <c r="J47" s="178"/>
      <c r="K47" s="178"/>
      <c r="L47" s="166"/>
      <c r="M47" s="178"/>
      <c r="N47" s="178"/>
      <c r="O47" s="178"/>
      <c r="P47" s="178"/>
      <c r="Q47" s="178"/>
      <c r="R47" s="178"/>
      <c r="S47" s="178"/>
      <c r="T47" s="178"/>
      <c r="U47" s="179"/>
      <c r="V47" s="180"/>
      <c r="W47" s="180"/>
      <c r="X47" s="180"/>
      <c r="Y47" s="180"/>
      <c r="Z47" s="180"/>
      <c r="AA47" s="180"/>
      <c r="AB47" s="180"/>
      <c r="AC47" s="180"/>
      <c r="AD47" s="179"/>
      <c r="AE47" s="180"/>
      <c r="AF47" s="180"/>
      <c r="AG47" s="180"/>
      <c r="AH47" s="180"/>
      <c r="AI47" s="180"/>
      <c r="AJ47" s="180"/>
      <c r="AK47" s="180"/>
      <c r="AL47" s="180"/>
      <c r="AM47" s="179"/>
      <c r="AN47" s="180"/>
      <c r="AO47" s="180"/>
      <c r="AP47" s="180"/>
      <c r="AQ47" s="180"/>
      <c r="AR47" s="180"/>
      <c r="AS47" s="180"/>
      <c r="AT47" s="180"/>
      <c r="AU47" s="180"/>
      <c r="AV47" s="179"/>
      <c r="AW47" s="180"/>
      <c r="AX47" s="180"/>
      <c r="AY47" s="180"/>
      <c r="AZ47" s="180"/>
      <c r="BA47" s="180"/>
      <c r="BB47" s="180"/>
      <c r="BC47" s="180"/>
      <c r="BD47" s="180"/>
      <c r="BE47" s="179"/>
      <c r="BF47" s="180"/>
      <c r="BG47" s="180"/>
      <c r="BH47" s="180"/>
      <c r="BI47" s="180"/>
      <c r="BJ47" s="180"/>
      <c r="BK47" s="180"/>
      <c r="BL47" s="180"/>
      <c r="BM47" s="180"/>
      <c r="BN47" s="179"/>
      <c r="BO47" s="180"/>
      <c r="BP47" s="180"/>
      <c r="BQ47" s="180"/>
      <c r="BR47" s="180"/>
      <c r="BS47" s="180"/>
      <c r="BT47" s="180"/>
      <c r="BU47" s="180"/>
      <c r="BV47" s="180"/>
      <c r="BW47" s="179"/>
      <c r="BX47" s="180"/>
      <c r="BY47" s="180"/>
      <c r="BZ47" s="180"/>
      <c r="CA47" s="180"/>
      <c r="CB47" s="180"/>
      <c r="CC47" s="180"/>
      <c r="CD47" s="180"/>
      <c r="CE47" s="180"/>
    </row>
    <row r="48" spans="1:83" x14ac:dyDescent="0.25">
      <c r="A48" s="357" t="str">
        <f t="shared" ref="A48:A62" si="57">A4</f>
        <v>01/01/2021-31/01/2021</v>
      </c>
      <c r="B48" s="181">
        <f t="shared" ref="B48:B65" si="58">$A$41</f>
        <v>1.9652145681682132</v>
      </c>
      <c r="C48" s="182">
        <f t="shared" ref="C48:C65" si="59">CF4</f>
        <v>69.93059274092505</v>
      </c>
      <c r="D48" s="183">
        <f t="shared" ref="D48:D65" si="60">CG4</f>
        <v>1.3437465234398953</v>
      </c>
      <c r="E48" s="184">
        <f t="shared" ref="E48:E65" si="61">B48*D48</f>
        <v>2.6407502437894714</v>
      </c>
      <c r="F48" s="185">
        <f t="shared" ref="F48:F65" si="62">E48/C48</f>
        <v>3.7762446166769603E-2</v>
      </c>
      <c r="G48" s="178"/>
      <c r="H48" s="178"/>
      <c r="I48" s="178"/>
      <c r="J48" s="178"/>
      <c r="K48" s="178"/>
      <c r="L48" s="166"/>
      <c r="M48" s="178"/>
      <c r="N48" s="178"/>
      <c r="O48" s="178"/>
      <c r="P48" s="178"/>
      <c r="Q48" s="178"/>
      <c r="R48" s="178"/>
      <c r="S48" s="178"/>
      <c r="T48" s="178"/>
      <c r="U48" s="179"/>
      <c r="V48" s="180"/>
      <c r="W48" s="180"/>
      <c r="X48" s="180"/>
      <c r="Y48" s="180"/>
      <c r="Z48" s="180"/>
      <c r="AA48" s="180"/>
      <c r="AB48" s="180"/>
      <c r="AC48" s="180"/>
      <c r="AD48" s="179"/>
      <c r="AE48" s="180"/>
      <c r="AF48" s="180"/>
      <c r="AG48" s="180"/>
      <c r="AH48" s="180"/>
      <c r="AI48" s="180"/>
      <c r="AJ48" s="180"/>
      <c r="AK48" s="180"/>
      <c r="AL48" s="180"/>
      <c r="AM48" s="179"/>
      <c r="AN48" s="180"/>
      <c r="AO48" s="180"/>
      <c r="AP48" s="180"/>
      <c r="AQ48" s="180"/>
      <c r="AR48" s="180"/>
      <c r="AS48" s="180"/>
      <c r="AT48" s="180"/>
      <c r="AU48" s="180"/>
      <c r="AV48" s="179"/>
      <c r="AW48" s="180"/>
      <c r="AX48" s="180"/>
      <c r="AY48" s="180"/>
      <c r="AZ48" s="180"/>
      <c r="BA48" s="180"/>
      <c r="BB48" s="180"/>
      <c r="BC48" s="180"/>
      <c r="BD48" s="180"/>
      <c r="BE48" s="179"/>
      <c r="BF48" s="180"/>
      <c r="BG48" s="180"/>
      <c r="BH48" s="180"/>
      <c r="BI48" s="180"/>
      <c r="BJ48" s="180"/>
      <c r="BK48" s="180"/>
      <c r="BL48" s="180"/>
      <c r="BM48" s="180"/>
      <c r="BN48" s="179"/>
      <c r="BO48" s="180"/>
      <c r="BP48" s="180"/>
      <c r="BQ48" s="180"/>
      <c r="BR48" s="180"/>
      <c r="BS48" s="180"/>
      <c r="BT48" s="180"/>
      <c r="BU48" s="180"/>
      <c r="BV48" s="180"/>
      <c r="BW48" s="179"/>
      <c r="BX48" s="180"/>
      <c r="BY48" s="180"/>
      <c r="BZ48" s="180"/>
      <c r="CA48" s="180"/>
      <c r="CB48" s="180"/>
      <c r="CC48" s="180"/>
      <c r="CD48" s="180"/>
      <c r="CE48" s="180"/>
    </row>
    <row r="49" spans="1:83" x14ac:dyDescent="0.25">
      <c r="A49" s="357" t="str">
        <f t="shared" si="57"/>
        <v>01/02/2021-28/02/2021</v>
      </c>
      <c r="B49" s="181">
        <f t="shared" si="58"/>
        <v>1.9652145681682132</v>
      </c>
      <c r="C49" s="182">
        <f t="shared" si="59"/>
        <v>69.705884444335965</v>
      </c>
      <c r="D49" s="183">
        <f t="shared" si="60"/>
        <v>1.3187507333999853</v>
      </c>
      <c r="E49" s="184">
        <f t="shared" si="61"/>
        <v>2.5916281530601664</v>
      </c>
      <c r="F49" s="185">
        <f t="shared" si="62"/>
        <v>3.7179474498020691E-2</v>
      </c>
      <c r="G49" s="178"/>
      <c r="H49" s="178"/>
      <c r="I49" s="178"/>
      <c r="J49" s="178"/>
      <c r="K49" s="178"/>
      <c r="L49" s="166"/>
      <c r="M49" s="178"/>
      <c r="N49" s="178"/>
      <c r="O49" s="178"/>
      <c r="P49" s="178"/>
      <c r="Q49" s="178"/>
      <c r="R49" s="178"/>
      <c r="S49" s="178"/>
      <c r="T49" s="178"/>
      <c r="U49" s="179"/>
      <c r="V49" s="180"/>
      <c r="W49" s="180"/>
      <c r="X49" s="180"/>
      <c r="Y49" s="180"/>
      <c r="Z49" s="180"/>
      <c r="AA49" s="180"/>
      <c r="AB49" s="180"/>
      <c r="AC49" s="180"/>
      <c r="AD49" s="179"/>
      <c r="AE49" s="180"/>
      <c r="AF49" s="180"/>
      <c r="AG49" s="180"/>
      <c r="AH49" s="180"/>
      <c r="AI49" s="180"/>
      <c r="AJ49" s="180"/>
      <c r="AK49" s="180"/>
      <c r="AL49" s="180"/>
      <c r="AM49" s="179"/>
      <c r="AN49" s="180"/>
      <c r="AO49" s="180"/>
      <c r="AP49" s="180"/>
      <c r="AQ49" s="180"/>
      <c r="AR49" s="180"/>
      <c r="AS49" s="180"/>
      <c r="AT49" s="180"/>
      <c r="AU49" s="180"/>
      <c r="AV49" s="179"/>
      <c r="AW49" s="180"/>
      <c r="AX49" s="180"/>
      <c r="AY49" s="180"/>
      <c r="AZ49" s="180"/>
      <c r="BA49" s="180"/>
      <c r="BB49" s="180"/>
      <c r="BC49" s="180"/>
      <c r="BD49" s="180"/>
      <c r="BE49" s="179"/>
      <c r="BF49" s="180"/>
      <c r="BG49" s="180"/>
      <c r="BH49" s="180"/>
      <c r="BI49" s="180"/>
      <c r="BJ49" s="180"/>
      <c r="BK49" s="180"/>
      <c r="BL49" s="180"/>
      <c r="BM49" s="180"/>
      <c r="BN49" s="179"/>
      <c r="BO49" s="180"/>
      <c r="BP49" s="180"/>
      <c r="BQ49" s="180"/>
      <c r="BR49" s="180"/>
      <c r="BS49" s="180"/>
      <c r="BT49" s="180"/>
      <c r="BU49" s="180"/>
      <c r="BV49" s="180"/>
      <c r="BW49" s="179"/>
      <c r="BX49" s="180"/>
      <c r="BY49" s="180"/>
      <c r="BZ49" s="180"/>
      <c r="CA49" s="180"/>
      <c r="CB49" s="180"/>
      <c r="CC49" s="180"/>
      <c r="CD49" s="180"/>
      <c r="CE49" s="180"/>
    </row>
    <row r="50" spans="1:83" x14ac:dyDescent="0.25">
      <c r="A50" s="357" t="str">
        <f t="shared" si="57"/>
        <v>01/03/2021-31/03/3021</v>
      </c>
      <c r="B50" s="181">
        <f>$A$41</f>
        <v>1.9652145681682132</v>
      </c>
      <c r="C50" s="182">
        <f t="shared" si="59"/>
        <v>70.20323005607456</v>
      </c>
      <c r="D50" s="183">
        <f t="shared" si="60"/>
        <v>1.3208594600594019</v>
      </c>
      <c r="E50" s="184">
        <f t="shared" si="61"/>
        <v>2.5957722534115368</v>
      </c>
      <c r="F50" s="185">
        <f t="shared" si="62"/>
        <v>3.6975111420630841E-2</v>
      </c>
      <c r="G50" s="178"/>
      <c r="H50" s="178"/>
      <c r="I50" s="178"/>
      <c r="J50" s="178"/>
      <c r="K50" s="178"/>
      <c r="L50" s="166"/>
      <c r="M50" s="178"/>
      <c r="N50" s="178"/>
      <c r="O50" s="178"/>
      <c r="P50" s="178"/>
      <c r="Q50" s="178"/>
      <c r="R50" s="178"/>
      <c r="S50" s="178"/>
      <c r="T50" s="178"/>
      <c r="U50" s="179"/>
      <c r="V50" s="180"/>
      <c r="W50" s="180"/>
      <c r="X50" s="180"/>
      <c r="Y50" s="180"/>
      <c r="Z50" s="180"/>
      <c r="AA50" s="180"/>
      <c r="AB50" s="180"/>
      <c r="AC50" s="180"/>
      <c r="AD50" s="179"/>
      <c r="AE50" s="180"/>
      <c r="AF50" s="180"/>
      <c r="AG50" s="180"/>
      <c r="AH50" s="180"/>
      <c r="AI50" s="180"/>
      <c r="AJ50" s="180"/>
      <c r="AK50" s="180"/>
      <c r="AL50" s="180"/>
      <c r="AM50" s="179"/>
      <c r="AN50" s="180"/>
      <c r="AO50" s="180"/>
      <c r="AP50" s="180"/>
      <c r="AQ50" s="180"/>
      <c r="AR50" s="180"/>
      <c r="AS50" s="180"/>
      <c r="AT50" s="180"/>
      <c r="AU50" s="180"/>
      <c r="AV50" s="179"/>
      <c r="AW50" s="180"/>
      <c r="AX50" s="180"/>
      <c r="AY50" s="180"/>
      <c r="AZ50" s="180"/>
      <c r="BA50" s="180"/>
      <c r="BB50" s="180"/>
      <c r="BC50" s="180"/>
      <c r="BD50" s="180"/>
      <c r="BE50" s="179"/>
      <c r="BF50" s="180"/>
      <c r="BG50" s="180"/>
      <c r="BH50" s="180"/>
      <c r="BI50" s="180"/>
      <c r="BJ50" s="180"/>
      <c r="BK50" s="180"/>
      <c r="BL50" s="180"/>
      <c r="BM50" s="180"/>
      <c r="BN50" s="179"/>
      <c r="BO50" s="180"/>
      <c r="BP50" s="180"/>
      <c r="BQ50" s="180"/>
      <c r="BR50" s="180"/>
      <c r="BS50" s="180"/>
      <c r="BT50" s="180"/>
      <c r="BU50" s="180"/>
      <c r="BV50" s="180"/>
      <c r="BW50" s="179"/>
      <c r="BX50" s="180"/>
      <c r="BY50" s="180"/>
      <c r="BZ50" s="180"/>
      <c r="CA50" s="180"/>
      <c r="CB50" s="180"/>
      <c r="CC50" s="180"/>
      <c r="CD50" s="180"/>
      <c r="CE50" s="180"/>
    </row>
    <row r="51" spans="1:83" x14ac:dyDescent="0.25">
      <c r="A51" s="357" t="str">
        <f t="shared" si="57"/>
        <v>01/04/2021-30/04/2021</v>
      </c>
      <c r="B51" s="181">
        <f t="shared" si="58"/>
        <v>1.9652145681682132</v>
      </c>
      <c r="C51" s="182">
        <f t="shared" si="59"/>
        <v>69.598668968215847</v>
      </c>
      <c r="D51" s="183">
        <f t="shared" si="60"/>
        <v>1.3407857845879192</v>
      </c>
      <c r="E51" s="184">
        <f t="shared" si="61"/>
        <v>2.6349317566650265</v>
      </c>
      <c r="F51" s="185">
        <f t="shared" si="62"/>
        <v>3.785893890971307E-2</v>
      </c>
      <c r="G51" s="178"/>
      <c r="H51" s="178"/>
      <c r="I51" s="178"/>
      <c r="J51" s="178"/>
      <c r="K51" s="178"/>
      <c r="L51" s="166"/>
      <c r="M51" s="178"/>
      <c r="N51" s="178"/>
      <c r="O51" s="178"/>
      <c r="P51" s="178"/>
      <c r="Q51" s="178"/>
      <c r="R51" s="178"/>
      <c r="S51" s="178"/>
      <c r="T51" s="178"/>
      <c r="U51" s="179"/>
      <c r="V51" s="180"/>
      <c r="W51" s="180"/>
      <c r="X51" s="180"/>
      <c r="Y51" s="180"/>
      <c r="Z51" s="180"/>
      <c r="AA51" s="180"/>
      <c r="AB51" s="180"/>
      <c r="AC51" s="180"/>
      <c r="AD51" s="179"/>
      <c r="AE51" s="180"/>
      <c r="AF51" s="180"/>
      <c r="AG51" s="180"/>
      <c r="AH51" s="180"/>
      <c r="AI51" s="180"/>
      <c r="AJ51" s="180"/>
      <c r="AK51" s="180"/>
      <c r="AL51" s="180"/>
      <c r="AM51" s="179"/>
      <c r="AN51" s="180"/>
      <c r="AO51" s="180"/>
      <c r="AP51" s="180"/>
      <c r="AQ51" s="180"/>
      <c r="AR51" s="180"/>
      <c r="AS51" s="180"/>
      <c r="AT51" s="180"/>
      <c r="AU51" s="180"/>
      <c r="AV51" s="179"/>
      <c r="AW51" s="180"/>
      <c r="AX51" s="180"/>
      <c r="AY51" s="180"/>
      <c r="AZ51" s="180"/>
      <c r="BA51" s="180"/>
      <c r="BB51" s="180"/>
      <c r="BC51" s="180"/>
      <c r="BD51" s="180"/>
      <c r="BE51" s="179"/>
      <c r="BF51" s="180"/>
      <c r="BG51" s="180"/>
      <c r="BH51" s="180"/>
      <c r="BI51" s="180"/>
      <c r="BJ51" s="180"/>
      <c r="BK51" s="180"/>
      <c r="BL51" s="180"/>
      <c r="BM51" s="180"/>
      <c r="BN51" s="179"/>
      <c r="BO51" s="180"/>
      <c r="BP51" s="180"/>
      <c r="BQ51" s="180"/>
      <c r="BR51" s="180"/>
      <c r="BS51" s="180"/>
      <c r="BT51" s="180"/>
      <c r="BU51" s="180"/>
      <c r="BV51" s="180"/>
      <c r="BW51" s="179"/>
      <c r="BX51" s="180"/>
      <c r="BY51" s="180"/>
      <c r="BZ51" s="180"/>
      <c r="CA51" s="180"/>
      <c r="CB51" s="180"/>
      <c r="CC51" s="180"/>
      <c r="CD51" s="180"/>
      <c r="CE51" s="180"/>
    </row>
    <row r="52" spans="1:83" x14ac:dyDescent="0.25">
      <c r="A52" s="357" t="str">
        <f t="shared" si="57"/>
        <v>01/05/2021-31/05/2021</v>
      </c>
      <c r="B52" s="181">
        <f t="shared" si="58"/>
        <v>1.9652145681682132</v>
      </c>
      <c r="C52" s="182">
        <f t="shared" si="59"/>
        <v>69.328696875869952</v>
      </c>
      <c r="D52" s="183">
        <f t="shared" si="60"/>
        <v>1.3148216454406385</v>
      </c>
      <c r="E52" s="184">
        <f t="shared" si="61"/>
        <v>2.583906652162844</v>
      </c>
      <c r="F52" s="185">
        <f t="shared" si="62"/>
        <v>3.727037675018207E-2</v>
      </c>
      <c r="G52" s="178"/>
      <c r="H52" s="178"/>
      <c r="I52" s="178"/>
      <c r="J52" s="178"/>
      <c r="K52" s="178"/>
      <c r="L52" s="166"/>
      <c r="M52" s="178"/>
      <c r="N52" s="178"/>
      <c r="O52" s="178"/>
      <c r="P52" s="178"/>
      <c r="Q52" s="178"/>
      <c r="R52" s="178"/>
      <c r="S52" s="178"/>
      <c r="T52" s="178"/>
      <c r="U52" s="179"/>
      <c r="V52" s="180"/>
      <c r="W52" s="180"/>
      <c r="X52" s="180"/>
      <c r="Y52" s="180"/>
      <c r="Z52" s="180"/>
      <c r="AA52" s="180"/>
      <c r="AB52" s="180"/>
      <c r="AC52" s="180"/>
      <c r="AD52" s="179"/>
      <c r="AE52" s="180"/>
      <c r="AF52" s="180"/>
      <c r="AG52" s="180"/>
      <c r="AH52" s="180"/>
      <c r="AI52" s="180"/>
      <c r="AJ52" s="180"/>
      <c r="AK52" s="180"/>
      <c r="AL52" s="180"/>
      <c r="AM52" s="179"/>
      <c r="AN52" s="180"/>
      <c r="AO52" s="180"/>
      <c r="AP52" s="180"/>
      <c r="AQ52" s="180"/>
      <c r="AR52" s="180"/>
      <c r="AS52" s="180"/>
      <c r="AT52" s="180"/>
      <c r="AU52" s="180"/>
      <c r="AV52" s="179"/>
      <c r="AW52" s="180"/>
      <c r="AX52" s="180"/>
      <c r="AY52" s="180"/>
      <c r="AZ52" s="180"/>
      <c r="BA52" s="180"/>
      <c r="BB52" s="180"/>
      <c r="BC52" s="180"/>
      <c r="BD52" s="180"/>
      <c r="BE52" s="179"/>
      <c r="BF52" s="180"/>
      <c r="BG52" s="180"/>
      <c r="BH52" s="180"/>
      <c r="BI52" s="180"/>
      <c r="BJ52" s="180"/>
      <c r="BK52" s="180"/>
      <c r="BL52" s="180"/>
      <c r="BM52" s="180"/>
      <c r="BN52" s="179"/>
      <c r="BO52" s="180"/>
      <c r="BP52" s="180"/>
      <c r="BQ52" s="180"/>
      <c r="BR52" s="180"/>
      <c r="BS52" s="180"/>
      <c r="BT52" s="180"/>
      <c r="BU52" s="180"/>
      <c r="BV52" s="180"/>
      <c r="BW52" s="179"/>
      <c r="BX52" s="180"/>
      <c r="BY52" s="180"/>
      <c r="BZ52" s="180"/>
      <c r="CA52" s="180"/>
      <c r="CB52" s="180"/>
      <c r="CC52" s="180"/>
      <c r="CD52" s="180"/>
      <c r="CE52" s="180"/>
    </row>
    <row r="53" spans="1:83" x14ac:dyDescent="0.25">
      <c r="A53" s="357" t="str">
        <f t="shared" si="57"/>
        <v>01/06/2021-30/06/2021</v>
      </c>
      <c r="B53" s="181">
        <f t="shared" si="58"/>
        <v>1.9652145681682132</v>
      </c>
      <c r="C53" s="182">
        <f t="shared" si="59"/>
        <v>70.039858614706603</v>
      </c>
      <c r="D53" s="183">
        <f t="shared" si="60"/>
        <v>1.3242444221303862</v>
      </c>
      <c r="E53" s="184">
        <f t="shared" si="61"/>
        <v>2.6024244301861317</v>
      </c>
      <c r="F53" s="185">
        <f t="shared" si="62"/>
        <v>3.7156334716525088E-2</v>
      </c>
      <c r="G53" s="178"/>
      <c r="H53" s="178"/>
      <c r="I53" s="178"/>
      <c r="J53" s="178"/>
      <c r="K53" s="178"/>
      <c r="L53" s="166"/>
      <c r="M53" s="178"/>
      <c r="N53" s="178"/>
      <c r="O53" s="178"/>
      <c r="P53" s="178"/>
      <c r="Q53" s="178"/>
      <c r="R53" s="178"/>
      <c r="S53" s="178"/>
      <c r="T53" s="178"/>
      <c r="U53" s="179"/>
      <c r="V53" s="180"/>
      <c r="W53" s="180"/>
      <c r="X53" s="180"/>
      <c r="Y53" s="180"/>
      <c r="Z53" s="180"/>
      <c r="AA53" s="180"/>
      <c r="AB53" s="180"/>
      <c r="AC53" s="180"/>
      <c r="AD53" s="179"/>
      <c r="AE53" s="180"/>
      <c r="AF53" s="180"/>
      <c r="AG53" s="180"/>
      <c r="AH53" s="180"/>
      <c r="AI53" s="180"/>
      <c r="AJ53" s="180"/>
      <c r="AK53" s="180"/>
      <c r="AL53" s="180"/>
      <c r="AM53" s="179"/>
      <c r="AN53" s="180"/>
      <c r="AO53" s="180"/>
      <c r="AP53" s="180"/>
      <c r="AQ53" s="180"/>
      <c r="AR53" s="180"/>
      <c r="AS53" s="180"/>
      <c r="AT53" s="180"/>
      <c r="AU53" s="180"/>
      <c r="AV53" s="179"/>
      <c r="AW53" s="180"/>
      <c r="AX53" s="180"/>
      <c r="AY53" s="180"/>
      <c r="AZ53" s="180"/>
      <c r="BA53" s="180"/>
      <c r="BB53" s="180"/>
      <c r="BC53" s="180"/>
      <c r="BD53" s="180"/>
      <c r="BE53" s="179"/>
      <c r="BF53" s="180"/>
      <c r="BG53" s="180"/>
      <c r="BH53" s="180"/>
      <c r="BI53" s="180"/>
      <c r="BJ53" s="180"/>
      <c r="BK53" s="180"/>
      <c r="BL53" s="180"/>
      <c r="BM53" s="180"/>
      <c r="BN53" s="179"/>
      <c r="BO53" s="180"/>
      <c r="BP53" s="180"/>
      <c r="BQ53" s="180"/>
      <c r="BR53" s="180"/>
      <c r="BS53" s="180"/>
      <c r="BT53" s="180"/>
      <c r="BU53" s="180"/>
      <c r="BV53" s="180"/>
      <c r="BW53" s="179"/>
      <c r="BX53" s="180"/>
      <c r="BY53" s="180"/>
      <c r="BZ53" s="180"/>
      <c r="CA53" s="180"/>
      <c r="CB53" s="180"/>
      <c r="CC53" s="180"/>
      <c r="CD53" s="180"/>
      <c r="CE53" s="180"/>
    </row>
    <row r="54" spans="1:83" x14ac:dyDescent="0.25">
      <c r="A54" s="357" t="str">
        <f t="shared" si="57"/>
        <v>01/07/2021-31/07/2021</v>
      </c>
      <c r="B54" s="181">
        <f t="shared" si="58"/>
        <v>1.9652145681682132</v>
      </c>
      <c r="C54" s="182">
        <f t="shared" si="59"/>
        <v>69.934852272502937</v>
      </c>
      <c r="D54" s="183">
        <f t="shared" si="60"/>
        <v>1.3037809921788259</v>
      </c>
      <c r="E54" s="184">
        <f t="shared" si="61"/>
        <v>2.5622093995306359</v>
      </c>
      <c r="F54" s="185">
        <f t="shared" si="62"/>
        <v>3.6637088894488856E-2</v>
      </c>
      <c r="G54" s="178"/>
      <c r="H54" s="178"/>
      <c r="I54" s="178"/>
      <c r="J54" s="178"/>
      <c r="K54" s="178"/>
      <c r="L54" s="166"/>
      <c r="M54" s="178"/>
      <c r="N54" s="178"/>
      <c r="O54" s="178"/>
      <c r="P54" s="178"/>
      <c r="Q54" s="178"/>
      <c r="R54" s="178"/>
      <c r="S54" s="178"/>
      <c r="T54" s="178"/>
      <c r="U54" s="179"/>
      <c r="V54" s="180"/>
      <c r="W54" s="180"/>
      <c r="X54" s="180"/>
      <c r="Y54" s="180"/>
      <c r="Z54" s="180"/>
      <c r="AA54" s="180"/>
      <c r="AB54" s="180"/>
      <c r="AC54" s="180"/>
      <c r="AD54" s="179"/>
      <c r="AE54" s="180"/>
      <c r="AF54" s="180"/>
      <c r="AG54" s="180"/>
      <c r="AH54" s="180"/>
      <c r="AI54" s="180"/>
      <c r="AJ54" s="180"/>
      <c r="AK54" s="180"/>
      <c r="AL54" s="180"/>
      <c r="AM54" s="179"/>
      <c r="AN54" s="180"/>
      <c r="AO54" s="180"/>
      <c r="AP54" s="180"/>
      <c r="AQ54" s="180"/>
      <c r="AR54" s="180"/>
      <c r="AS54" s="180"/>
      <c r="AT54" s="180"/>
      <c r="AU54" s="180"/>
      <c r="AV54" s="179"/>
      <c r="AW54" s="180"/>
      <c r="AX54" s="180"/>
      <c r="AY54" s="180"/>
      <c r="AZ54" s="180"/>
      <c r="BA54" s="180"/>
      <c r="BB54" s="180"/>
      <c r="BC54" s="180"/>
      <c r="BD54" s="180"/>
      <c r="BE54" s="179"/>
      <c r="BF54" s="180"/>
      <c r="BG54" s="180"/>
      <c r="BH54" s="180"/>
      <c r="BI54" s="180"/>
      <c r="BJ54" s="180"/>
      <c r="BK54" s="180"/>
      <c r="BL54" s="180"/>
      <c r="BM54" s="180"/>
      <c r="BN54" s="179"/>
      <c r="BO54" s="180"/>
      <c r="BP54" s="180"/>
      <c r="BQ54" s="180"/>
      <c r="BR54" s="180"/>
      <c r="BS54" s="180"/>
      <c r="BT54" s="180"/>
      <c r="BU54" s="180"/>
      <c r="BV54" s="180"/>
      <c r="BW54" s="179"/>
      <c r="BX54" s="180"/>
      <c r="BY54" s="180"/>
      <c r="BZ54" s="180"/>
      <c r="CA54" s="180"/>
      <c r="CB54" s="180"/>
      <c r="CC54" s="180"/>
      <c r="CD54" s="180"/>
      <c r="CE54" s="180"/>
    </row>
    <row r="55" spans="1:83" x14ac:dyDescent="0.25">
      <c r="A55" s="357" t="str">
        <f t="shared" si="57"/>
        <v>01/08/2021-31/08/2021</v>
      </c>
      <c r="B55" s="181">
        <f t="shared" si="58"/>
        <v>1.9652145681682132</v>
      </c>
      <c r="C55" s="182">
        <f t="shared" si="59"/>
        <v>69.398476116775313</v>
      </c>
      <c r="D55" s="183">
        <f t="shared" si="60"/>
        <v>1.3300252493274811</v>
      </c>
      <c r="E55" s="184">
        <f t="shared" si="61"/>
        <v>2.613784996009926</v>
      </c>
      <c r="F55" s="185">
        <f t="shared" si="62"/>
        <v>3.7663435024304665E-2</v>
      </c>
      <c r="G55" s="178"/>
      <c r="H55" s="178"/>
      <c r="I55" s="178"/>
      <c r="J55" s="178"/>
      <c r="K55" s="178"/>
      <c r="L55" s="166"/>
      <c r="M55" s="178"/>
      <c r="N55" s="178"/>
      <c r="O55" s="178"/>
      <c r="P55" s="178"/>
      <c r="Q55" s="178"/>
      <c r="R55" s="178"/>
      <c r="S55" s="178"/>
      <c r="T55" s="178"/>
      <c r="U55" s="179"/>
      <c r="V55" s="180"/>
      <c r="W55" s="180"/>
      <c r="X55" s="180"/>
      <c r="Y55" s="180"/>
      <c r="Z55" s="180"/>
      <c r="AA55" s="180"/>
      <c r="AB55" s="180"/>
      <c r="AC55" s="180"/>
      <c r="AD55" s="179"/>
      <c r="AE55" s="180"/>
      <c r="AF55" s="180"/>
      <c r="AG55" s="180"/>
      <c r="AH55" s="180"/>
      <c r="AI55" s="180"/>
      <c r="AJ55" s="180"/>
      <c r="AK55" s="180"/>
      <c r="AL55" s="180"/>
      <c r="AM55" s="179"/>
      <c r="AN55" s="180"/>
      <c r="AO55" s="180"/>
      <c r="AP55" s="180"/>
      <c r="AQ55" s="180"/>
      <c r="AR55" s="180"/>
      <c r="AS55" s="180"/>
      <c r="AT55" s="180"/>
      <c r="AU55" s="180"/>
      <c r="AV55" s="179"/>
      <c r="AW55" s="180"/>
      <c r="AX55" s="180"/>
      <c r="AY55" s="180"/>
      <c r="AZ55" s="180"/>
      <c r="BA55" s="180"/>
      <c r="BB55" s="180"/>
      <c r="BC55" s="180"/>
      <c r="BD55" s="180"/>
      <c r="BE55" s="179"/>
      <c r="BF55" s="180"/>
      <c r="BG55" s="180"/>
      <c r="BH55" s="180"/>
      <c r="BI55" s="180"/>
      <c r="BJ55" s="180"/>
      <c r="BK55" s="180"/>
      <c r="BL55" s="180"/>
      <c r="BM55" s="180"/>
      <c r="BN55" s="179"/>
      <c r="BO55" s="180"/>
      <c r="BP55" s="180"/>
      <c r="BQ55" s="180"/>
      <c r="BR55" s="180"/>
      <c r="BS55" s="180"/>
      <c r="BT55" s="180"/>
      <c r="BU55" s="180"/>
      <c r="BV55" s="180"/>
      <c r="BW55" s="179"/>
      <c r="BX55" s="180"/>
      <c r="BY55" s="180"/>
      <c r="BZ55" s="180"/>
      <c r="CA55" s="180"/>
      <c r="CB55" s="180"/>
      <c r="CC55" s="180"/>
      <c r="CD55" s="180"/>
      <c r="CE55" s="180"/>
    </row>
    <row r="56" spans="1:83" x14ac:dyDescent="0.25">
      <c r="A56" s="357" t="str">
        <f t="shared" si="57"/>
        <v>01/09/2021-30/09/2021</v>
      </c>
      <c r="B56" s="181">
        <f t="shared" si="58"/>
        <v>1.9652145681682132</v>
      </c>
      <c r="C56" s="182">
        <f t="shared" si="59"/>
        <v>69.815070258090032</v>
      </c>
      <c r="D56" s="183">
        <f t="shared" si="60"/>
        <v>1.3160885140254501</v>
      </c>
      <c r="E56" s="184">
        <f t="shared" si="61"/>
        <v>2.5863963207616703</v>
      </c>
      <c r="F56" s="185">
        <f t="shared" si="62"/>
        <v>3.7046390001476276E-2</v>
      </c>
    </row>
    <row r="57" spans="1:83" x14ac:dyDescent="0.25">
      <c r="A57" s="357" t="str">
        <f t="shared" si="57"/>
        <v>01/10/2021-31/10/2021</v>
      </c>
      <c r="B57" s="181">
        <f t="shared" si="58"/>
        <v>1.9652145681682132</v>
      </c>
      <c r="C57" s="182">
        <f t="shared" si="59"/>
        <v>69.63953255643662</v>
      </c>
      <c r="D57" s="183">
        <f t="shared" si="60"/>
        <v>1.3416923660056839</v>
      </c>
      <c r="E57" s="184">
        <f t="shared" si="61"/>
        <v>2.6367133836744481</v>
      </c>
      <c r="F57" s="185">
        <f t="shared" si="62"/>
        <v>3.7862307325765399E-2</v>
      </c>
    </row>
    <row r="58" spans="1:83" x14ac:dyDescent="0.25">
      <c r="A58" s="357" t="str">
        <f t="shared" si="57"/>
        <v>01/11/2021-30/11/2021</v>
      </c>
      <c r="B58" s="181">
        <f t="shared" si="58"/>
        <v>1.9652145681682132</v>
      </c>
      <c r="C58" s="182">
        <f t="shared" si="59"/>
        <v>69.96250082495564</v>
      </c>
      <c r="D58" s="183">
        <f t="shared" si="60"/>
        <v>1.3084137565268603</v>
      </c>
      <c r="E58" s="184">
        <f t="shared" si="61"/>
        <v>2.5713137755182833</v>
      </c>
      <c r="F58" s="185">
        <f t="shared" si="62"/>
        <v>3.6752742472022884E-2</v>
      </c>
    </row>
    <row r="59" spans="1:83" x14ac:dyDescent="0.25">
      <c r="A59" s="357" t="str">
        <f t="shared" si="57"/>
        <v>01/12/2021-31/12/2021</v>
      </c>
      <c r="B59" s="181">
        <f t="shared" si="58"/>
        <v>1.9652145681682132</v>
      </c>
      <c r="C59" s="182">
        <f t="shared" si="59"/>
        <v>69.841104235450615</v>
      </c>
      <c r="D59" s="183">
        <f t="shared" si="60"/>
        <v>1.3402582684334856</v>
      </c>
      <c r="E59" s="184">
        <f t="shared" si="61"/>
        <v>2.6338950742333895</v>
      </c>
      <c r="F59" s="185">
        <f t="shared" si="62"/>
        <v>3.7712677986217344E-2</v>
      </c>
    </row>
    <row r="60" spans="1:83" x14ac:dyDescent="0.25">
      <c r="A60" s="357" t="str">
        <f t="shared" si="57"/>
        <v>01/01/2022-31/01/2022</v>
      </c>
      <c r="B60" s="181">
        <f t="shared" si="58"/>
        <v>1.9652145681682132</v>
      </c>
      <c r="C60" s="182">
        <f t="shared" si="59"/>
        <v>69.127322673019194</v>
      </c>
      <c r="D60" s="183">
        <f t="shared" si="60"/>
        <v>1.3315583467605929</v>
      </c>
      <c r="E60" s="184">
        <f t="shared" si="61"/>
        <v>2.6167978614198986</v>
      </c>
      <c r="F60" s="185">
        <f t="shared" si="62"/>
        <v>3.7854754968562533E-2</v>
      </c>
    </row>
    <row r="61" spans="1:83" x14ac:dyDescent="0.25">
      <c r="A61" s="357" t="str">
        <f t="shared" si="57"/>
        <v>01/02/2022-28/02/2022</v>
      </c>
      <c r="B61" s="181">
        <f t="shared" si="58"/>
        <v>1.9652145681682132</v>
      </c>
      <c r="C61" s="182">
        <f t="shared" si="59"/>
        <v>69.236426597478015</v>
      </c>
      <c r="D61" s="183">
        <f t="shared" si="60"/>
        <v>1.3407966591574965</v>
      </c>
      <c r="E61" s="184">
        <f t="shared" si="61"/>
        <v>2.6349531275275822</v>
      </c>
      <c r="F61" s="185">
        <f t="shared" si="62"/>
        <v>3.8057324114176082E-2</v>
      </c>
    </row>
    <row r="62" spans="1:83" x14ac:dyDescent="0.25">
      <c r="A62" s="357" t="str">
        <f t="shared" si="57"/>
        <v>01/03/2022-31/03/2022</v>
      </c>
      <c r="B62" s="181">
        <f t="shared" si="58"/>
        <v>1.9652145681682132</v>
      </c>
      <c r="C62" s="182">
        <f t="shared" si="59"/>
        <v>69.579111196708723</v>
      </c>
      <c r="D62" s="183">
        <f t="shared" si="60"/>
        <v>1.3323656864099331</v>
      </c>
      <c r="E62" s="184">
        <f t="shared" si="61"/>
        <v>2.6183844570602415</v>
      </c>
      <c r="F62" s="185">
        <f t="shared" si="62"/>
        <v>3.7631760625078205E-2</v>
      </c>
    </row>
    <row r="63" spans="1:83" x14ac:dyDescent="0.25">
      <c r="A63" s="357" t="s">
        <v>342</v>
      </c>
      <c r="B63" s="181">
        <f t="shared" si="58"/>
        <v>1.9652145681682132</v>
      </c>
      <c r="C63" s="182">
        <f t="shared" si="59"/>
        <v>70.087660344934207</v>
      </c>
      <c r="D63" s="183">
        <f t="shared" si="60"/>
        <v>1.2980278035061215</v>
      </c>
      <c r="E63" s="184">
        <f t="shared" si="61"/>
        <v>2.5509031493376169</v>
      </c>
      <c r="F63" s="185">
        <f t="shared" si="62"/>
        <v>3.6395895322848953E-2</v>
      </c>
    </row>
    <row r="64" spans="1:83" x14ac:dyDescent="0.25">
      <c r="A64" s="357" t="s">
        <v>343</v>
      </c>
      <c r="B64" s="181">
        <f t="shared" si="58"/>
        <v>1.9652145681682132</v>
      </c>
      <c r="C64" s="182">
        <f t="shared" si="59"/>
        <v>69.331588876572766</v>
      </c>
      <c r="D64" s="183">
        <f t="shared" si="60"/>
        <v>1.3156273344521896</v>
      </c>
      <c r="E64" s="184">
        <f t="shared" si="61"/>
        <v>2.5854900039457571</v>
      </c>
      <c r="F64" s="185">
        <f t="shared" si="62"/>
        <v>3.729165948509508E-2</v>
      </c>
    </row>
    <row r="65" spans="1:6" x14ac:dyDescent="0.25">
      <c r="A65" s="357" t="s">
        <v>344</v>
      </c>
      <c r="B65" s="181">
        <f t="shared" si="58"/>
        <v>1.9652145681682132</v>
      </c>
      <c r="C65" s="182">
        <f t="shared" si="59"/>
        <v>69.471054846171782</v>
      </c>
      <c r="D65" s="183">
        <f t="shared" si="60"/>
        <v>1.3513189137162507</v>
      </c>
      <c r="E65" s="184">
        <f t="shared" si="61"/>
        <v>2.6556316154764206</v>
      </c>
      <c r="F65" s="185">
        <f t="shared" si="62"/>
        <v>3.8226447278751227E-2</v>
      </c>
    </row>
  </sheetData>
  <mergeCells count="31">
    <mergeCell ref="B29:F29"/>
    <mergeCell ref="A24:F24"/>
    <mergeCell ref="A25:F25"/>
    <mergeCell ref="B26:F26"/>
    <mergeCell ref="B27:F27"/>
    <mergeCell ref="B28:F28"/>
    <mergeCell ref="B41:F41"/>
    <mergeCell ref="A43:F43"/>
    <mergeCell ref="B44:F44"/>
    <mergeCell ref="A46:F46"/>
    <mergeCell ref="A32:F32"/>
    <mergeCell ref="A33:F33"/>
    <mergeCell ref="B34:F34"/>
    <mergeCell ref="B35:F35"/>
    <mergeCell ref="B36:F36"/>
    <mergeCell ref="B37:F37"/>
    <mergeCell ref="B38:F38"/>
    <mergeCell ref="A40:F40"/>
    <mergeCell ref="CF2:CF3"/>
    <mergeCell ref="CG2:CG3"/>
    <mergeCell ref="A1:F1"/>
    <mergeCell ref="C2:K2"/>
    <mergeCell ref="L2:T2"/>
    <mergeCell ref="A2:A3"/>
    <mergeCell ref="U2:AC2"/>
    <mergeCell ref="AD2:AL2"/>
    <mergeCell ref="AM2:AU2"/>
    <mergeCell ref="BE2:BM2"/>
    <mergeCell ref="BN2:BV2"/>
    <mergeCell ref="BW2:CE2"/>
    <mergeCell ref="AV2:BD2"/>
  </mergeCells>
  <phoneticPr fontId="9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1883-4BBF-4DB7-BB02-284812FDB589}">
  <dimension ref="A1:G165"/>
  <sheetViews>
    <sheetView zoomScale="110" zoomScaleNormal="110" workbookViewId="0">
      <selection activeCell="C32" sqref="C32"/>
    </sheetView>
  </sheetViews>
  <sheetFormatPr defaultColWidth="8.77734375" defaultRowHeight="13.8" x14ac:dyDescent="0.25"/>
  <cols>
    <col min="1" max="1" width="20.5546875" style="296" customWidth="1"/>
    <col min="2" max="2" width="17.44140625" style="356" customWidth="1"/>
    <col min="3" max="3" width="23" style="356" customWidth="1"/>
    <col min="4" max="4" width="23.6640625" style="356" customWidth="1"/>
    <col min="5" max="5" width="22.109375" style="356" customWidth="1"/>
    <col min="6" max="6" width="24" style="356" customWidth="1"/>
    <col min="7" max="7" width="24.88671875" style="356" customWidth="1"/>
    <col min="8" max="16384" width="8.77734375" style="296"/>
  </cols>
  <sheetData>
    <row r="1" spans="1:7" ht="15.6" x14ac:dyDescent="0.25">
      <c r="A1" s="643" t="s">
        <v>318</v>
      </c>
      <c r="B1" s="644"/>
      <c r="C1" s="644"/>
      <c r="D1" s="644"/>
      <c r="E1" s="644"/>
      <c r="F1" s="644"/>
      <c r="G1" s="645"/>
    </row>
    <row r="2" spans="1:7" ht="33" customHeight="1" x14ac:dyDescent="0.25">
      <c r="A2" s="646" t="s">
        <v>398</v>
      </c>
      <c r="B2" s="647"/>
      <c r="C2" s="647"/>
      <c r="D2" s="647"/>
      <c r="E2" s="647"/>
      <c r="F2" s="647"/>
      <c r="G2" s="648"/>
    </row>
    <row r="3" spans="1:7" ht="21" x14ac:dyDescent="0.4">
      <c r="A3" s="649" t="s">
        <v>358</v>
      </c>
      <c r="B3" s="649"/>
      <c r="C3" s="649"/>
      <c r="D3" s="649"/>
      <c r="E3" s="649"/>
      <c r="F3" s="649"/>
      <c r="G3" s="649"/>
    </row>
    <row r="4" spans="1:7" x14ac:dyDescent="0.25">
      <c r="A4" s="297"/>
      <c r="B4" s="638" t="s">
        <v>319</v>
      </c>
      <c r="C4" s="638"/>
      <c r="D4" s="638"/>
      <c r="E4" s="638" t="s">
        <v>320</v>
      </c>
      <c r="F4" s="638"/>
      <c r="G4" s="638"/>
    </row>
    <row r="5" spans="1:7" x14ac:dyDescent="0.25">
      <c r="A5" s="442" t="s">
        <v>321</v>
      </c>
      <c r="B5" s="442" t="s">
        <v>322</v>
      </c>
      <c r="C5" s="442" t="s">
        <v>323</v>
      </c>
      <c r="D5" s="442" t="s">
        <v>324</v>
      </c>
      <c r="E5" s="442" t="s">
        <v>325</v>
      </c>
      <c r="F5" s="442" t="s">
        <v>326</v>
      </c>
      <c r="G5" s="442" t="s">
        <v>327</v>
      </c>
    </row>
    <row r="6" spans="1:7" x14ac:dyDescent="0.25">
      <c r="A6" s="442">
        <v>1</v>
      </c>
      <c r="B6" s="301">
        <v>19.8</v>
      </c>
      <c r="C6" s="301">
        <v>53.5</v>
      </c>
      <c r="D6" s="301">
        <v>82.1</v>
      </c>
      <c r="E6" s="301">
        <v>36</v>
      </c>
      <c r="F6" s="301">
        <v>88.1</v>
      </c>
      <c r="G6" s="301">
        <v>96.7</v>
      </c>
    </row>
    <row r="7" spans="1:7" x14ac:dyDescent="0.25">
      <c r="A7" s="442">
        <v>2</v>
      </c>
      <c r="B7" s="301">
        <v>29.1</v>
      </c>
      <c r="C7" s="301">
        <v>52.3</v>
      </c>
      <c r="D7" s="301">
        <v>76.8</v>
      </c>
      <c r="E7" s="301">
        <v>45.5</v>
      </c>
      <c r="F7" s="301">
        <v>84.7</v>
      </c>
      <c r="G7" s="301">
        <v>99.4</v>
      </c>
    </row>
    <row r="8" spans="1:7" x14ac:dyDescent="0.25">
      <c r="A8" s="442">
        <v>3</v>
      </c>
      <c r="B8" s="301">
        <v>16.7</v>
      </c>
      <c r="C8" s="301">
        <v>45.4</v>
      </c>
      <c r="D8" s="301">
        <v>76.900000000000006</v>
      </c>
      <c r="E8" s="301">
        <v>39.200000000000003</v>
      </c>
      <c r="F8" s="301">
        <v>85.9</v>
      </c>
      <c r="G8" s="301">
        <v>94.3</v>
      </c>
    </row>
    <row r="9" spans="1:7" x14ac:dyDescent="0.25">
      <c r="A9" s="442">
        <v>4</v>
      </c>
      <c r="B9" s="301">
        <v>13.6</v>
      </c>
      <c r="C9" s="301">
        <v>52.6</v>
      </c>
      <c r="D9" s="301">
        <v>77</v>
      </c>
      <c r="E9" s="301">
        <v>59.6</v>
      </c>
      <c r="F9" s="301">
        <v>84.1</v>
      </c>
      <c r="G9" s="301">
        <v>104.3</v>
      </c>
    </row>
    <row r="10" spans="1:7" x14ac:dyDescent="0.25">
      <c r="A10" s="442">
        <v>5</v>
      </c>
      <c r="B10" s="301">
        <v>14.2</v>
      </c>
      <c r="C10" s="301">
        <v>47</v>
      </c>
      <c r="D10" s="301">
        <v>80.2</v>
      </c>
      <c r="E10" s="301">
        <v>55.5</v>
      </c>
      <c r="F10" s="301">
        <v>84.7</v>
      </c>
      <c r="G10" s="301">
        <v>105.8</v>
      </c>
    </row>
    <row r="11" spans="1:7" x14ac:dyDescent="0.25">
      <c r="A11" s="442">
        <v>6</v>
      </c>
      <c r="B11" s="301">
        <v>19.5</v>
      </c>
      <c r="C11" s="301">
        <v>47.3</v>
      </c>
      <c r="D11" s="301">
        <v>83.8</v>
      </c>
      <c r="E11" s="301">
        <v>32.799999999999997</v>
      </c>
      <c r="F11" s="301">
        <v>84.2</v>
      </c>
      <c r="G11" s="301">
        <v>90.7</v>
      </c>
    </row>
    <row r="12" spans="1:7" x14ac:dyDescent="0.25">
      <c r="A12" s="442">
        <v>7</v>
      </c>
      <c r="B12" s="301">
        <v>20.6</v>
      </c>
      <c r="C12" s="301">
        <v>50.5</v>
      </c>
      <c r="D12" s="301">
        <v>80.099999999999994</v>
      </c>
      <c r="E12" s="301">
        <v>37.4</v>
      </c>
      <c r="F12" s="301">
        <v>88.8</v>
      </c>
      <c r="G12" s="301">
        <v>101.9</v>
      </c>
    </row>
    <row r="13" spans="1:7" x14ac:dyDescent="0.25">
      <c r="A13" s="442">
        <v>8</v>
      </c>
      <c r="B13" s="301">
        <v>22.7</v>
      </c>
      <c r="C13" s="301">
        <v>53.7</v>
      </c>
      <c r="D13" s="301">
        <v>83.9</v>
      </c>
      <c r="E13" s="301">
        <v>33.5</v>
      </c>
      <c r="F13" s="301">
        <v>83.3</v>
      </c>
      <c r="G13" s="301">
        <v>101.2</v>
      </c>
    </row>
    <row r="14" spans="1:7" x14ac:dyDescent="0.25">
      <c r="A14" s="442">
        <v>9</v>
      </c>
      <c r="B14" s="301">
        <v>15.4</v>
      </c>
      <c r="C14" s="301">
        <v>47.9</v>
      </c>
      <c r="D14" s="301">
        <v>84.9</v>
      </c>
      <c r="E14" s="301">
        <v>47.3</v>
      </c>
      <c r="F14" s="301">
        <v>80.400000000000006</v>
      </c>
      <c r="G14" s="301">
        <v>103.6</v>
      </c>
    </row>
    <row r="15" spans="1:7" x14ac:dyDescent="0.25">
      <c r="A15" s="442">
        <v>10</v>
      </c>
      <c r="B15" s="301">
        <v>30</v>
      </c>
      <c r="C15" s="301">
        <v>51.9</v>
      </c>
      <c r="D15" s="301">
        <v>82</v>
      </c>
      <c r="E15" s="301">
        <v>49.9</v>
      </c>
      <c r="F15" s="301">
        <v>81.400000000000006</v>
      </c>
      <c r="G15" s="301">
        <v>98.3</v>
      </c>
    </row>
    <row r="16" spans="1:7" x14ac:dyDescent="0.25">
      <c r="A16" s="442">
        <v>11</v>
      </c>
      <c r="B16" s="301">
        <v>24.3</v>
      </c>
      <c r="C16" s="301">
        <v>49.9</v>
      </c>
      <c r="D16" s="301">
        <v>81.7</v>
      </c>
      <c r="E16" s="301">
        <v>54</v>
      </c>
      <c r="F16" s="301">
        <v>82.7</v>
      </c>
      <c r="G16" s="301">
        <v>103.3</v>
      </c>
    </row>
    <row r="17" spans="1:7" x14ac:dyDescent="0.25">
      <c r="A17" s="442">
        <v>12</v>
      </c>
      <c r="B17" s="301">
        <v>10</v>
      </c>
      <c r="C17" s="301">
        <v>45.4</v>
      </c>
      <c r="D17" s="301">
        <v>76</v>
      </c>
      <c r="E17" s="301">
        <v>47</v>
      </c>
      <c r="F17" s="301">
        <v>83.5</v>
      </c>
      <c r="G17" s="301">
        <v>103.9</v>
      </c>
    </row>
    <row r="18" spans="1:7" x14ac:dyDescent="0.25">
      <c r="A18" s="442">
        <v>13</v>
      </c>
      <c r="B18" s="301">
        <v>16.7</v>
      </c>
      <c r="C18" s="301">
        <v>45</v>
      </c>
      <c r="D18" s="301">
        <v>78.3</v>
      </c>
      <c r="E18" s="301">
        <v>59.6</v>
      </c>
      <c r="F18" s="301">
        <v>88.2</v>
      </c>
      <c r="G18" s="301">
        <v>107.1</v>
      </c>
    </row>
    <row r="19" spans="1:7" x14ac:dyDescent="0.25">
      <c r="A19" s="442">
        <v>14</v>
      </c>
      <c r="B19" s="301"/>
      <c r="C19" s="301"/>
      <c r="D19" s="301">
        <v>82</v>
      </c>
      <c r="E19" s="301">
        <v>52.5</v>
      </c>
      <c r="F19" s="301">
        <v>86.7</v>
      </c>
      <c r="G19" s="301">
        <v>108.6</v>
      </c>
    </row>
    <row r="20" spans="1:7" x14ac:dyDescent="0.25">
      <c r="A20" s="442">
        <v>15</v>
      </c>
      <c r="B20" s="301"/>
      <c r="C20" s="301"/>
      <c r="D20" s="301"/>
      <c r="E20" s="301">
        <v>33.1</v>
      </c>
      <c r="F20" s="301">
        <v>83.8</v>
      </c>
      <c r="G20" s="301">
        <v>99.6</v>
      </c>
    </row>
    <row r="21" spans="1:7" x14ac:dyDescent="0.25">
      <c r="A21" s="442">
        <v>16</v>
      </c>
      <c r="B21" s="301"/>
      <c r="C21" s="301"/>
      <c r="D21" s="301"/>
      <c r="E21" s="301">
        <v>52.3</v>
      </c>
      <c r="F21" s="301">
        <v>89.1</v>
      </c>
      <c r="G21" s="301">
        <v>106.2</v>
      </c>
    </row>
    <row r="22" spans="1:7" x14ac:dyDescent="0.25">
      <c r="A22" s="442">
        <v>17</v>
      </c>
      <c r="B22" s="301"/>
      <c r="C22" s="301"/>
      <c r="D22" s="301"/>
      <c r="E22" s="301"/>
      <c r="F22" s="301">
        <v>82.9</v>
      </c>
      <c r="G22" s="301">
        <v>101.8</v>
      </c>
    </row>
    <row r="23" spans="1:7" x14ac:dyDescent="0.25">
      <c r="A23" s="442">
        <v>18</v>
      </c>
      <c r="B23" s="301"/>
      <c r="C23" s="301"/>
      <c r="D23" s="301"/>
      <c r="E23" s="301"/>
      <c r="F23" s="301">
        <v>85.1</v>
      </c>
      <c r="G23" s="301">
        <v>106</v>
      </c>
    </row>
    <row r="24" spans="1:7" x14ac:dyDescent="0.25">
      <c r="A24" s="442">
        <v>19</v>
      </c>
      <c r="B24" s="301"/>
      <c r="C24" s="301"/>
      <c r="D24" s="301"/>
      <c r="E24" s="301"/>
      <c r="F24" s="301">
        <v>81.5</v>
      </c>
      <c r="G24" s="301">
        <v>104.1</v>
      </c>
    </row>
    <row r="25" spans="1:7" x14ac:dyDescent="0.25">
      <c r="A25" s="442">
        <v>20</v>
      </c>
      <c r="B25" s="301"/>
      <c r="C25" s="301"/>
      <c r="D25" s="301"/>
      <c r="E25" s="301"/>
      <c r="F25" s="301">
        <v>89.3</v>
      </c>
      <c r="G25" s="301">
        <v>100.3</v>
      </c>
    </row>
    <row r="26" spans="1:7" x14ac:dyDescent="0.25">
      <c r="A26" s="442">
        <v>21</v>
      </c>
      <c r="B26" s="301"/>
      <c r="C26" s="301"/>
      <c r="D26" s="301"/>
      <c r="E26" s="301"/>
      <c r="F26" s="301">
        <v>86.7</v>
      </c>
      <c r="G26" s="301">
        <v>94.8</v>
      </c>
    </row>
    <row r="27" spans="1:7" x14ac:dyDescent="0.25">
      <c r="A27" s="442">
        <v>22</v>
      </c>
      <c r="B27" s="301"/>
      <c r="C27" s="301"/>
      <c r="D27" s="301"/>
      <c r="E27" s="301"/>
      <c r="F27" s="301">
        <v>89</v>
      </c>
      <c r="G27" s="301">
        <v>109.8</v>
      </c>
    </row>
    <row r="28" spans="1:7" x14ac:dyDescent="0.25">
      <c r="A28" s="442">
        <v>23</v>
      </c>
      <c r="B28" s="301"/>
      <c r="C28" s="301"/>
      <c r="D28" s="301"/>
      <c r="E28" s="301"/>
      <c r="F28" s="301">
        <v>89</v>
      </c>
      <c r="G28" s="301">
        <v>107.4</v>
      </c>
    </row>
    <row r="29" spans="1:7" x14ac:dyDescent="0.25">
      <c r="A29" s="442">
        <v>24</v>
      </c>
      <c r="B29" s="301"/>
      <c r="C29" s="301"/>
      <c r="D29" s="301"/>
      <c r="E29" s="301"/>
      <c r="F29" s="301">
        <v>80.400000000000006</v>
      </c>
      <c r="G29" s="301">
        <v>108.5</v>
      </c>
    </row>
    <row r="30" spans="1:7" x14ac:dyDescent="0.25">
      <c r="A30" s="442">
        <v>25</v>
      </c>
      <c r="B30" s="301"/>
      <c r="C30" s="301"/>
      <c r="D30" s="301"/>
      <c r="E30" s="301"/>
      <c r="F30" s="301"/>
      <c r="G30" s="301">
        <v>90.4</v>
      </c>
    </row>
    <row r="31" spans="1:7" x14ac:dyDescent="0.25">
      <c r="A31" s="442">
        <v>26</v>
      </c>
      <c r="B31" s="301"/>
      <c r="C31" s="301"/>
      <c r="D31" s="301"/>
      <c r="E31" s="301"/>
      <c r="F31" s="301"/>
      <c r="G31" s="301">
        <v>102.9</v>
      </c>
    </row>
    <row r="32" spans="1:7" x14ac:dyDescent="0.25">
      <c r="A32" s="442">
        <v>27</v>
      </c>
      <c r="B32" s="301"/>
      <c r="C32" s="301"/>
      <c r="D32" s="301"/>
      <c r="E32" s="301"/>
      <c r="F32" s="301"/>
      <c r="G32" s="301">
        <v>93.9</v>
      </c>
    </row>
    <row r="33" spans="1:7" x14ac:dyDescent="0.25">
      <c r="A33" s="442">
        <v>28</v>
      </c>
      <c r="B33" s="301"/>
      <c r="C33" s="301"/>
      <c r="D33" s="301"/>
      <c r="E33" s="301"/>
      <c r="F33" s="301"/>
      <c r="G33" s="301">
        <v>97.7</v>
      </c>
    </row>
    <row r="34" spans="1:7" x14ac:dyDescent="0.25">
      <c r="A34" s="442">
        <v>29</v>
      </c>
      <c r="B34" s="301"/>
      <c r="C34" s="301"/>
      <c r="D34" s="301"/>
      <c r="E34" s="301"/>
      <c r="F34" s="301"/>
      <c r="G34" s="301">
        <v>91.7</v>
      </c>
    </row>
    <row r="35" spans="1:7" x14ac:dyDescent="0.25">
      <c r="A35" s="442"/>
      <c r="B35" s="301"/>
      <c r="C35" s="301"/>
      <c r="D35" s="301"/>
      <c r="E35" s="301"/>
      <c r="F35" s="301"/>
      <c r="G35" s="301"/>
    </row>
    <row r="36" spans="1:7" ht="21" x14ac:dyDescent="0.25">
      <c r="A36" s="650" t="s">
        <v>359</v>
      </c>
      <c r="B36" s="651"/>
      <c r="C36" s="651"/>
      <c r="D36" s="651"/>
      <c r="E36" s="651"/>
      <c r="F36" s="651"/>
      <c r="G36" s="652"/>
    </row>
    <row r="37" spans="1:7" x14ac:dyDescent="0.25">
      <c r="A37" s="297"/>
      <c r="B37" s="638" t="s">
        <v>319</v>
      </c>
      <c r="C37" s="638"/>
      <c r="D37" s="638"/>
      <c r="E37" s="638" t="s">
        <v>320</v>
      </c>
      <c r="F37" s="638"/>
      <c r="G37" s="638"/>
    </row>
    <row r="38" spans="1:7" x14ac:dyDescent="0.25">
      <c r="A38" s="442" t="s">
        <v>321</v>
      </c>
      <c r="B38" s="442" t="s">
        <v>322</v>
      </c>
      <c r="C38" s="442" t="s">
        <v>323</v>
      </c>
      <c r="D38" s="442" t="s">
        <v>324</v>
      </c>
      <c r="E38" s="442" t="s">
        <v>325</v>
      </c>
      <c r="F38" s="442" t="s">
        <v>326</v>
      </c>
      <c r="G38" s="442" t="s">
        <v>327</v>
      </c>
    </row>
    <row r="39" spans="1:7" x14ac:dyDescent="0.25">
      <c r="A39" s="442">
        <v>1</v>
      </c>
      <c r="B39" s="301">
        <v>10.8</v>
      </c>
      <c r="C39" s="301">
        <v>52.6</v>
      </c>
      <c r="D39" s="301">
        <v>76.099999999999994</v>
      </c>
      <c r="E39" s="301">
        <v>43.8</v>
      </c>
      <c r="F39" s="301">
        <v>87</v>
      </c>
      <c r="G39" s="301">
        <v>90.8</v>
      </c>
    </row>
    <row r="40" spans="1:7" x14ac:dyDescent="0.25">
      <c r="A40" s="442">
        <v>2</v>
      </c>
      <c r="B40" s="301">
        <v>17</v>
      </c>
      <c r="C40" s="301">
        <v>52.4</v>
      </c>
      <c r="D40" s="301">
        <v>83.2</v>
      </c>
      <c r="E40" s="301">
        <v>40.700000000000003</v>
      </c>
      <c r="F40" s="301">
        <v>85.6</v>
      </c>
      <c r="G40" s="301">
        <v>104</v>
      </c>
    </row>
    <row r="41" spans="1:7" x14ac:dyDescent="0.25">
      <c r="A41" s="442">
        <v>3</v>
      </c>
      <c r="B41" s="301">
        <v>18.8</v>
      </c>
      <c r="C41" s="301">
        <v>55</v>
      </c>
      <c r="D41" s="301">
        <v>83.6</v>
      </c>
      <c r="E41" s="301">
        <v>37.4</v>
      </c>
      <c r="F41" s="301">
        <v>87.9</v>
      </c>
      <c r="G41" s="301">
        <v>101.8</v>
      </c>
    </row>
    <row r="42" spans="1:7" x14ac:dyDescent="0.25">
      <c r="A42" s="442">
        <v>4</v>
      </c>
      <c r="B42" s="301">
        <v>27.8</v>
      </c>
      <c r="C42" s="301">
        <v>45.4</v>
      </c>
      <c r="D42" s="301">
        <v>84.8</v>
      </c>
      <c r="E42" s="301">
        <v>30.3</v>
      </c>
      <c r="F42" s="301">
        <v>87.9</v>
      </c>
      <c r="G42" s="301">
        <v>109.1</v>
      </c>
    </row>
    <row r="43" spans="1:7" x14ac:dyDescent="0.25">
      <c r="A43" s="442">
        <v>5</v>
      </c>
      <c r="B43" s="301">
        <v>26.2</v>
      </c>
      <c r="C43" s="301">
        <v>45.6</v>
      </c>
      <c r="D43" s="301">
        <v>77</v>
      </c>
      <c r="E43" s="301">
        <v>26.2</v>
      </c>
      <c r="F43" s="301">
        <v>81.2</v>
      </c>
      <c r="G43" s="301">
        <v>101.6</v>
      </c>
    </row>
    <row r="44" spans="1:7" x14ac:dyDescent="0.25">
      <c r="A44" s="442">
        <v>6</v>
      </c>
      <c r="B44" s="301"/>
      <c r="C44" s="301">
        <v>50.6</v>
      </c>
      <c r="D44" s="301"/>
      <c r="E44" s="301">
        <v>28.6</v>
      </c>
      <c r="F44" s="301">
        <v>81</v>
      </c>
      <c r="G44" s="301">
        <v>94.5</v>
      </c>
    </row>
    <row r="45" spans="1:7" x14ac:dyDescent="0.25">
      <c r="A45" s="442">
        <v>7</v>
      </c>
      <c r="B45" s="301"/>
      <c r="C45" s="301"/>
      <c r="D45" s="301"/>
      <c r="E45" s="301"/>
      <c r="F45" s="301">
        <v>86.3</v>
      </c>
      <c r="G45" s="301">
        <v>107.8</v>
      </c>
    </row>
    <row r="46" spans="1:7" x14ac:dyDescent="0.25">
      <c r="A46" s="442">
        <v>8</v>
      </c>
      <c r="B46" s="301"/>
      <c r="C46" s="301"/>
      <c r="D46" s="301"/>
      <c r="E46" s="301"/>
      <c r="F46" s="301">
        <v>80</v>
      </c>
      <c r="G46" s="301">
        <v>97.3</v>
      </c>
    </row>
    <row r="47" spans="1:7" x14ac:dyDescent="0.25">
      <c r="A47" s="442">
        <v>9</v>
      </c>
      <c r="B47" s="301"/>
      <c r="C47" s="301"/>
      <c r="D47" s="301"/>
      <c r="E47" s="301"/>
      <c r="F47" s="301">
        <v>83.9</v>
      </c>
      <c r="G47" s="301">
        <v>97.3</v>
      </c>
    </row>
    <row r="48" spans="1:7" x14ac:dyDescent="0.25">
      <c r="A48" s="442">
        <v>10</v>
      </c>
      <c r="B48" s="301"/>
      <c r="C48" s="301"/>
      <c r="D48" s="301"/>
      <c r="E48" s="301"/>
      <c r="F48" s="301">
        <v>88.7</v>
      </c>
      <c r="G48" s="301">
        <v>108.4</v>
      </c>
    </row>
    <row r="49" spans="1:7" x14ac:dyDescent="0.25">
      <c r="A49" s="442">
        <v>11</v>
      </c>
      <c r="B49" s="301"/>
      <c r="C49" s="301"/>
      <c r="D49" s="301"/>
      <c r="E49" s="301"/>
      <c r="F49" s="301"/>
      <c r="G49" s="301"/>
    </row>
    <row r="50" spans="1:7" ht="21" x14ac:dyDescent="0.4">
      <c r="A50" s="649" t="s">
        <v>360</v>
      </c>
      <c r="B50" s="649"/>
      <c r="C50" s="649"/>
      <c r="D50" s="649"/>
      <c r="E50" s="649"/>
      <c r="F50" s="649"/>
      <c r="G50" s="649"/>
    </row>
    <row r="51" spans="1:7" x14ac:dyDescent="0.25">
      <c r="A51" s="297"/>
      <c r="B51" s="638" t="s">
        <v>319</v>
      </c>
      <c r="C51" s="638"/>
      <c r="D51" s="638"/>
      <c r="E51" s="638" t="s">
        <v>320</v>
      </c>
      <c r="F51" s="638"/>
      <c r="G51" s="638"/>
    </row>
    <row r="52" spans="1:7" x14ac:dyDescent="0.25">
      <c r="A52" s="442" t="s">
        <v>321</v>
      </c>
      <c r="B52" s="442" t="s">
        <v>322</v>
      </c>
      <c r="C52" s="442" t="s">
        <v>323</v>
      </c>
      <c r="D52" s="442" t="s">
        <v>324</v>
      </c>
      <c r="E52" s="442" t="s">
        <v>325</v>
      </c>
      <c r="F52" s="442" t="s">
        <v>326</v>
      </c>
      <c r="G52" s="442" t="s">
        <v>327</v>
      </c>
    </row>
    <row r="53" spans="1:7" x14ac:dyDescent="0.25">
      <c r="A53" s="442">
        <v>1</v>
      </c>
      <c r="B53" s="301">
        <v>26.2</v>
      </c>
      <c r="C53" s="301">
        <v>53.2</v>
      </c>
      <c r="D53" s="301">
        <v>81.400000000000006</v>
      </c>
      <c r="E53" s="301">
        <v>31</v>
      </c>
      <c r="F53" s="301">
        <v>89.5</v>
      </c>
      <c r="G53" s="301">
        <v>102.8</v>
      </c>
    </row>
    <row r="54" spans="1:7" x14ac:dyDescent="0.25">
      <c r="A54" s="442">
        <v>2</v>
      </c>
      <c r="B54" s="301">
        <v>16.399999999999999</v>
      </c>
      <c r="C54" s="301">
        <v>50</v>
      </c>
      <c r="D54" s="301">
        <v>81</v>
      </c>
      <c r="E54" s="301">
        <v>44.7</v>
      </c>
      <c r="F54" s="301">
        <v>88.5</v>
      </c>
      <c r="G54" s="301">
        <v>108.4</v>
      </c>
    </row>
    <row r="55" spans="1:7" x14ac:dyDescent="0.25">
      <c r="A55" s="442">
        <v>3</v>
      </c>
      <c r="B55" s="301">
        <v>19.399999999999999</v>
      </c>
      <c r="C55" s="301">
        <v>46.3</v>
      </c>
      <c r="D55" s="301">
        <v>83.3</v>
      </c>
      <c r="E55" s="301">
        <v>53</v>
      </c>
      <c r="F55" s="301">
        <v>87.1</v>
      </c>
      <c r="G55" s="301">
        <v>102.2</v>
      </c>
    </row>
    <row r="56" spans="1:7" x14ac:dyDescent="0.25">
      <c r="A56" s="442">
        <v>4</v>
      </c>
      <c r="B56" s="301">
        <v>24.5</v>
      </c>
      <c r="C56" s="301">
        <v>49.8</v>
      </c>
      <c r="D56" s="301">
        <v>84.4</v>
      </c>
      <c r="E56" s="301">
        <v>32.299999999999997</v>
      </c>
      <c r="F56" s="301">
        <v>81.099999999999994</v>
      </c>
      <c r="G56" s="301">
        <v>97</v>
      </c>
    </row>
    <row r="57" spans="1:7" x14ac:dyDescent="0.25">
      <c r="A57" s="442">
        <v>5</v>
      </c>
      <c r="B57" s="301"/>
      <c r="C57" s="301">
        <v>52.4</v>
      </c>
      <c r="D57" s="301">
        <v>78.5</v>
      </c>
      <c r="E57" s="301">
        <v>54.2</v>
      </c>
      <c r="F57" s="301">
        <v>87.5</v>
      </c>
      <c r="G57" s="301">
        <v>110.5</v>
      </c>
    </row>
    <row r="58" spans="1:7" x14ac:dyDescent="0.25">
      <c r="A58" s="442">
        <v>6</v>
      </c>
      <c r="B58" s="301"/>
      <c r="C58" s="301"/>
      <c r="D58" s="301"/>
      <c r="E58" s="301"/>
      <c r="F58" s="301">
        <v>83.4</v>
      </c>
      <c r="G58" s="301">
        <v>93.1</v>
      </c>
    </row>
    <row r="59" spans="1:7" x14ac:dyDescent="0.25">
      <c r="A59" s="442">
        <v>7</v>
      </c>
      <c r="B59" s="301"/>
      <c r="C59" s="301"/>
      <c r="D59" s="301"/>
      <c r="E59" s="301"/>
      <c r="F59" s="301">
        <v>90</v>
      </c>
      <c r="G59" s="301">
        <v>103.4</v>
      </c>
    </row>
    <row r="60" spans="1:7" x14ac:dyDescent="0.25">
      <c r="A60" s="442">
        <v>8</v>
      </c>
      <c r="B60" s="301"/>
      <c r="C60" s="301"/>
      <c r="D60" s="301"/>
      <c r="E60" s="301"/>
      <c r="F60" s="301">
        <v>88.5</v>
      </c>
      <c r="G60" s="301">
        <v>101.7</v>
      </c>
    </row>
    <row r="61" spans="1:7" x14ac:dyDescent="0.25">
      <c r="A61" s="442">
        <v>9</v>
      </c>
      <c r="B61" s="301"/>
      <c r="C61" s="301"/>
      <c r="D61" s="301"/>
      <c r="E61" s="301"/>
      <c r="F61" s="301"/>
      <c r="G61" s="301">
        <v>97.2</v>
      </c>
    </row>
    <row r="62" spans="1:7" x14ac:dyDescent="0.25">
      <c r="A62" s="442"/>
      <c r="B62" s="301"/>
      <c r="C62" s="301"/>
      <c r="D62" s="301"/>
      <c r="E62" s="301"/>
      <c r="F62" s="301"/>
      <c r="G62" s="301"/>
    </row>
    <row r="63" spans="1:7" ht="21" x14ac:dyDescent="0.4">
      <c r="A63" s="655" t="s">
        <v>361</v>
      </c>
      <c r="B63" s="655"/>
      <c r="C63" s="655"/>
      <c r="D63" s="649"/>
      <c r="E63" s="655"/>
      <c r="F63" s="655"/>
      <c r="G63" s="655"/>
    </row>
    <row r="64" spans="1:7" x14ac:dyDescent="0.25">
      <c r="A64" s="297"/>
      <c r="B64" s="638" t="s">
        <v>319</v>
      </c>
      <c r="C64" s="638"/>
      <c r="D64" s="638"/>
      <c r="E64" s="638" t="s">
        <v>320</v>
      </c>
      <c r="F64" s="638"/>
      <c r="G64" s="638"/>
    </row>
    <row r="65" spans="1:7" x14ac:dyDescent="0.25">
      <c r="A65" s="442" t="s">
        <v>321</v>
      </c>
      <c r="B65" s="442" t="s">
        <v>322</v>
      </c>
      <c r="C65" s="442" t="s">
        <v>323</v>
      </c>
      <c r="D65" s="442" t="s">
        <v>324</v>
      </c>
      <c r="E65" s="442" t="s">
        <v>325</v>
      </c>
      <c r="F65" s="442" t="s">
        <v>326</v>
      </c>
      <c r="G65" s="442" t="s">
        <v>327</v>
      </c>
    </row>
    <row r="66" spans="1:7" x14ac:dyDescent="0.25">
      <c r="A66" s="442">
        <v>1</v>
      </c>
      <c r="B66" s="301">
        <v>29</v>
      </c>
      <c r="C66" s="301">
        <v>53.5</v>
      </c>
      <c r="D66" s="301">
        <v>77.599999999999994</v>
      </c>
      <c r="E66" s="301">
        <v>56.9</v>
      </c>
      <c r="F66" s="301">
        <v>81.900000000000006</v>
      </c>
      <c r="G66" s="301">
        <v>100.5</v>
      </c>
    </row>
    <row r="67" spans="1:7" x14ac:dyDescent="0.25">
      <c r="A67" s="442">
        <v>2</v>
      </c>
      <c r="B67" s="301">
        <v>25.2</v>
      </c>
      <c r="C67" s="301">
        <v>53.7</v>
      </c>
      <c r="D67" s="301">
        <v>77.8</v>
      </c>
      <c r="E67" s="301">
        <v>57.7</v>
      </c>
      <c r="F67" s="301">
        <v>86</v>
      </c>
      <c r="G67" s="301">
        <v>92.3</v>
      </c>
    </row>
    <row r="68" spans="1:7" x14ac:dyDescent="0.25">
      <c r="A68" s="442">
        <v>3</v>
      </c>
      <c r="B68" s="301">
        <v>15.8</v>
      </c>
      <c r="C68" s="301">
        <v>48.7</v>
      </c>
      <c r="D68" s="301">
        <v>82</v>
      </c>
      <c r="E68" s="301">
        <v>50.3</v>
      </c>
      <c r="F68" s="301">
        <v>82.6</v>
      </c>
      <c r="G68" s="301">
        <v>109.8</v>
      </c>
    </row>
    <row r="69" spans="1:7" x14ac:dyDescent="0.25">
      <c r="A69" s="442">
        <v>4</v>
      </c>
      <c r="B69" s="301"/>
      <c r="C69" s="301"/>
      <c r="D69" s="301">
        <v>83.9</v>
      </c>
      <c r="E69" s="301">
        <v>45.6</v>
      </c>
      <c r="F69" s="301">
        <v>88.8</v>
      </c>
      <c r="G69" s="301">
        <v>106.4</v>
      </c>
    </row>
    <row r="70" spans="1:7" x14ac:dyDescent="0.25">
      <c r="A70" s="442">
        <v>5</v>
      </c>
      <c r="B70" s="301"/>
      <c r="C70" s="301"/>
      <c r="D70" s="301"/>
      <c r="E70" s="301"/>
      <c r="F70" s="301">
        <v>86.8</v>
      </c>
      <c r="G70" s="301">
        <v>103.1</v>
      </c>
    </row>
    <row r="71" spans="1:7" x14ac:dyDescent="0.25">
      <c r="A71" s="442">
        <v>6</v>
      </c>
      <c r="B71" s="301"/>
      <c r="C71" s="301"/>
      <c r="D71" s="301"/>
      <c r="E71" s="301"/>
      <c r="F71" s="301">
        <v>82.7</v>
      </c>
      <c r="G71" s="301">
        <v>106.4</v>
      </c>
    </row>
    <row r="72" spans="1:7" x14ac:dyDescent="0.25">
      <c r="A72" s="442">
        <v>7</v>
      </c>
      <c r="B72" s="301"/>
      <c r="C72" s="301"/>
      <c r="D72" s="301"/>
      <c r="E72" s="301"/>
      <c r="F72" s="301"/>
      <c r="G72" s="301">
        <v>107</v>
      </c>
    </row>
    <row r="73" spans="1:7" ht="17.399999999999999" x14ac:dyDescent="0.3">
      <c r="A73" s="636" t="s">
        <v>362</v>
      </c>
      <c r="B73" s="636"/>
      <c r="C73" s="636"/>
      <c r="D73" s="637"/>
      <c r="E73" s="636"/>
      <c r="F73" s="636"/>
      <c r="G73" s="636"/>
    </row>
    <row r="74" spans="1:7" x14ac:dyDescent="0.25">
      <c r="A74" s="297"/>
      <c r="B74" s="638" t="s">
        <v>319</v>
      </c>
      <c r="C74" s="638"/>
      <c r="D74" s="638"/>
      <c r="E74" s="638" t="s">
        <v>320</v>
      </c>
      <c r="F74" s="638"/>
      <c r="G74" s="638"/>
    </row>
    <row r="75" spans="1:7" x14ac:dyDescent="0.25">
      <c r="A75" s="442" t="s">
        <v>321</v>
      </c>
      <c r="B75" s="442" t="s">
        <v>322</v>
      </c>
      <c r="C75" s="442" t="s">
        <v>323</v>
      </c>
      <c r="D75" s="442" t="s">
        <v>324</v>
      </c>
      <c r="E75" s="442" t="s">
        <v>325</v>
      </c>
      <c r="F75" s="442" t="s">
        <v>326</v>
      </c>
      <c r="G75" s="442" t="s">
        <v>327</v>
      </c>
    </row>
    <row r="76" spans="1:7" x14ac:dyDescent="0.25">
      <c r="A76" s="442">
        <v>1</v>
      </c>
      <c r="B76" s="301">
        <v>24.9</v>
      </c>
      <c r="C76" s="301">
        <v>49.9</v>
      </c>
      <c r="D76" s="301">
        <v>75.400000000000006</v>
      </c>
      <c r="E76" s="301">
        <v>42.6</v>
      </c>
      <c r="F76" s="301">
        <v>85.4</v>
      </c>
      <c r="G76" s="301">
        <v>100.9</v>
      </c>
    </row>
    <row r="77" spans="1:7" x14ac:dyDescent="0.25">
      <c r="A77" s="442">
        <v>2</v>
      </c>
      <c r="B77" s="301">
        <v>17.2</v>
      </c>
      <c r="C77" s="301">
        <v>48.2</v>
      </c>
      <c r="D77" s="301">
        <v>79.099999999999994</v>
      </c>
      <c r="E77" s="301">
        <v>52.3</v>
      </c>
      <c r="F77" s="301">
        <v>80.7</v>
      </c>
      <c r="G77" s="301">
        <v>96.5</v>
      </c>
    </row>
    <row r="78" spans="1:7" x14ac:dyDescent="0.25">
      <c r="A78" s="442">
        <v>3</v>
      </c>
      <c r="B78" s="301"/>
      <c r="C78" s="301"/>
      <c r="D78" s="301"/>
      <c r="E78" s="301">
        <v>29.2</v>
      </c>
      <c r="F78" s="301">
        <v>81</v>
      </c>
      <c r="G78" s="301">
        <v>101.1</v>
      </c>
    </row>
    <row r="79" spans="1:7" x14ac:dyDescent="0.25">
      <c r="A79" s="442">
        <v>4</v>
      </c>
      <c r="B79" s="301"/>
      <c r="C79" s="301"/>
      <c r="D79" s="301"/>
      <c r="E79" s="301"/>
      <c r="F79" s="301">
        <v>89.5</v>
      </c>
      <c r="G79" s="301">
        <v>107.2</v>
      </c>
    </row>
    <row r="80" spans="1:7" ht="17.399999999999999" x14ac:dyDescent="0.25">
      <c r="A80" s="653" t="s">
        <v>363</v>
      </c>
      <c r="B80" s="653"/>
      <c r="C80" s="653"/>
      <c r="D80" s="654"/>
      <c r="E80" s="653"/>
      <c r="F80" s="653"/>
      <c r="G80" s="653"/>
    </row>
    <row r="81" spans="1:7" x14ac:dyDescent="0.25">
      <c r="A81" s="297"/>
      <c r="B81" s="638" t="s">
        <v>319</v>
      </c>
      <c r="C81" s="638"/>
      <c r="D81" s="638"/>
      <c r="E81" s="638" t="s">
        <v>320</v>
      </c>
      <c r="F81" s="638"/>
      <c r="G81" s="638"/>
    </row>
    <row r="82" spans="1:7" x14ac:dyDescent="0.25">
      <c r="A82" s="442" t="s">
        <v>321</v>
      </c>
      <c r="B82" s="442" t="s">
        <v>322</v>
      </c>
      <c r="C82" s="442" t="s">
        <v>323</v>
      </c>
      <c r="D82" s="442" t="s">
        <v>324</v>
      </c>
      <c r="E82" s="442" t="s">
        <v>325</v>
      </c>
      <c r="F82" s="442" t="s">
        <v>326</v>
      </c>
      <c r="G82" s="442" t="s">
        <v>327</v>
      </c>
    </row>
    <row r="83" spans="1:7" x14ac:dyDescent="0.25">
      <c r="A83" s="442">
        <v>1</v>
      </c>
      <c r="B83" s="301">
        <v>15.7</v>
      </c>
      <c r="C83" s="301">
        <v>49.1</v>
      </c>
      <c r="D83" s="301">
        <v>75</v>
      </c>
      <c r="E83" s="301">
        <v>45</v>
      </c>
      <c r="F83" s="301">
        <v>81.099999999999994</v>
      </c>
      <c r="G83" s="301">
        <v>97.2</v>
      </c>
    </row>
    <row r="84" spans="1:7" x14ac:dyDescent="0.25">
      <c r="A84" s="442">
        <v>2</v>
      </c>
      <c r="B84" s="301">
        <v>28.3</v>
      </c>
      <c r="C84" s="301">
        <v>52.3</v>
      </c>
      <c r="D84" s="301">
        <v>78</v>
      </c>
      <c r="E84" s="301">
        <v>48.4</v>
      </c>
      <c r="F84" s="301">
        <v>89.5</v>
      </c>
      <c r="G84" s="301">
        <v>110.6</v>
      </c>
    </row>
    <row r="85" spans="1:7" x14ac:dyDescent="0.25">
      <c r="A85" s="442">
        <v>3</v>
      </c>
      <c r="B85" s="301">
        <v>19.600000000000001</v>
      </c>
      <c r="C85" s="301">
        <v>48.8</v>
      </c>
      <c r="D85" s="301">
        <v>75.900000000000006</v>
      </c>
      <c r="E85" s="301">
        <v>48.4</v>
      </c>
      <c r="F85" s="301">
        <v>80.5</v>
      </c>
      <c r="G85" s="301">
        <v>102.3</v>
      </c>
    </row>
    <row r="86" spans="1:7" x14ac:dyDescent="0.25">
      <c r="A86" s="442">
        <v>4</v>
      </c>
      <c r="B86" s="301"/>
      <c r="C86" s="301"/>
      <c r="D86" s="301"/>
      <c r="E86" s="301">
        <v>43.4</v>
      </c>
      <c r="F86" s="301">
        <v>85.7</v>
      </c>
      <c r="G86" s="301">
        <v>97.1</v>
      </c>
    </row>
    <row r="87" spans="1:7" x14ac:dyDescent="0.25">
      <c r="A87" s="442">
        <v>5</v>
      </c>
      <c r="B87" s="301"/>
      <c r="C87" s="301"/>
      <c r="D87" s="301"/>
      <c r="E87" s="301"/>
      <c r="F87" s="301">
        <v>80.8</v>
      </c>
      <c r="G87" s="301">
        <v>108.8</v>
      </c>
    </row>
    <row r="88" spans="1:7" x14ac:dyDescent="0.25">
      <c r="A88" s="442">
        <v>6</v>
      </c>
      <c r="B88" s="301"/>
      <c r="C88" s="301"/>
      <c r="D88" s="301"/>
      <c r="E88" s="301"/>
      <c r="F88" s="301"/>
      <c r="G88" s="301">
        <v>108.1</v>
      </c>
    </row>
    <row r="89" spans="1:7" x14ac:dyDescent="0.25">
      <c r="A89" s="442">
        <v>7</v>
      </c>
      <c r="B89" s="301"/>
      <c r="C89" s="301"/>
      <c r="D89" s="301"/>
      <c r="E89" s="301"/>
      <c r="F89" s="301"/>
      <c r="G89" s="301"/>
    </row>
    <row r="90" spans="1:7" ht="17.399999999999999" x14ac:dyDescent="0.3">
      <c r="A90" s="636" t="s">
        <v>364</v>
      </c>
      <c r="B90" s="636"/>
      <c r="C90" s="636"/>
      <c r="D90" s="637"/>
      <c r="E90" s="636"/>
      <c r="F90" s="636"/>
      <c r="G90" s="636"/>
    </row>
    <row r="91" spans="1:7" x14ac:dyDescent="0.25">
      <c r="A91" s="297"/>
      <c r="B91" s="638" t="s">
        <v>319</v>
      </c>
      <c r="C91" s="638"/>
      <c r="D91" s="638"/>
      <c r="E91" s="638" t="s">
        <v>320</v>
      </c>
      <c r="F91" s="638"/>
      <c r="G91" s="638"/>
    </row>
    <row r="92" spans="1:7" x14ac:dyDescent="0.25">
      <c r="A92" s="442" t="s">
        <v>321</v>
      </c>
      <c r="B92" s="442" t="s">
        <v>322</v>
      </c>
      <c r="C92" s="442" t="s">
        <v>323</v>
      </c>
      <c r="D92" s="442" t="s">
        <v>324</v>
      </c>
      <c r="E92" s="442" t="s">
        <v>325</v>
      </c>
      <c r="F92" s="442" t="s">
        <v>326</v>
      </c>
      <c r="G92" s="442" t="s">
        <v>327</v>
      </c>
    </row>
    <row r="93" spans="1:7" x14ac:dyDescent="0.25">
      <c r="A93" s="442">
        <v>1</v>
      </c>
      <c r="B93" s="301">
        <v>20.8</v>
      </c>
      <c r="C93" s="301">
        <v>46.6</v>
      </c>
      <c r="D93" s="301">
        <v>80.400000000000006</v>
      </c>
      <c r="E93" s="301">
        <v>26.6</v>
      </c>
      <c r="F93" s="301">
        <v>89.8</v>
      </c>
      <c r="G93" s="301">
        <v>97.6</v>
      </c>
    </row>
    <row r="94" spans="1:7" x14ac:dyDescent="0.25">
      <c r="A94" s="442">
        <v>2</v>
      </c>
      <c r="B94" s="301">
        <v>20.399999999999999</v>
      </c>
      <c r="C94" s="301">
        <v>49.4</v>
      </c>
      <c r="D94" s="301">
        <v>80.2</v>
      </c>
      <c r="E94" s="301">
        <v>56.9</v>
      </c>
      <c r="F94" s="301">
        <v>88.4</v>
      </c>
      <c r="G94" s="301">
        <v>95.2</v>
      </c>
    </row>
    <row r="95" spans="1:7" x14ac:dyDescent="0.25">
      <c r="A95" s="442">
        <v>3</v>
      </c>
      <c r="B95" s="301"/>
      <c r="C95" s="301"/>
      <c r="D95" s="301"/>
      <c r="E95" s="301">
        <v>54.6</v>
      </c>
      <c r="F95" s="301">
        <v>88.9</v>
      </c>
      <c r="G95" s="301">
        <v>105.8</v>
      </c>
    </row>
    <row r="96" spans="1:7" x14ac:dyDescent="0.25">
      <c r="A96" s="442">
        <v>4</v>
      </c>
      <c r="B96" s="301"/>
      <c r="C96" s="301"/>
      <c r="D96" s="301"/>
      <c r="E96" s="301"/>
      <c r="F96" s="301"/>
      <c r="G96" s="301">
        <v>100.5</v>
      </c>
    </row>
    <row r="97" spans="1:7" ht="17.399999999999999" x14ac:dyDescent="0.3">
      <c r="A97" s="636" t="s">
        <v>365</v>
      </c>
      <c r="B97" s="636"/>
      <c r="C97" s="636"/>
      <c r="D97" s="637"/>
      <c r="E97" s="636"/>
      <c r="F97" s="636"/>
      <c r="G97" s="636"/>
    </row>
    <row r="98" spans="1:7" x14ac:dyDescent="0.25">
      <c r="A98" s="297"/>
      <c r="B98" s="638" t="s">
        <v>319</v>
      </c>
      <c r="C98" s="638"/>
      <c r="D98" s="638"/>
      <c r="E98" s="638" t="s">
        <v>320</v>
      </c>
      <c r="F98" s="638"/>
      <c r="G98" s="638"/>
    </row>
    <row r="99" spans="1:7" x14ac:dyDescent="0.25">
      <c r="A99" s="442" t="s">
        <v>321</v>
      </c>
      <c r="B99" s="442" t="s">
        <v>322</v>
      </c>
      <c r="C99" s="442" t="s">
        <v>323</v>
      </c>
      <c r="D99" s="442" t="s">
        <v>324</v>
      </c>
      <c r="E99" s="442" t="s">
        <v>325</v>
      </c>
      <c r="F99" s="442" t="s">
        <v>326</v>
      </c>
      <c r="G99" s="442" t="s">
        <v>327</v>
      </c>
    </row>
    <row r="100" spans="1:7" x14ac:dyDescent="0.25">
      <c r="A100" s="442">
        <v>1</v>
      </c>
      <c r="B100" s="301">
        <v>19.3</v>
      </c>
      <c r="C100" s="301">
        <v>48.2</v>
      </c>
      <c r="D100" s="301">
        <v>76.5</v>
      </c>
      <c r="E100" s="301">
        <v>36.200000000000003</v>
      </c>
      <c r="F100" s="301">
        <v>80.5</v>
      </c>
      <c r="G100" s="301">
        <v>105.6</v>
      </c>
    </row>
    <row r="101" spans="1:7" x14ac:dyDescent="0.25">
      <c r="A101" s="442">
        <v>2</v>
      </c>
      <c r="B101" s="301">
        <v>11.1</v>
      </c>
      <c r="C101" s="301">
        <v>51.3</v>
      </c>
      <c r="D101" s="301">
        <v>77.599999999999994</v>
      </c>
      <c r="E101" s="301">
        <v>43.6</v>
      </c>
      <c r="F101" s="301">
        <v>84.2</v>
      </c>
      <c r="G101" s="301">
        <v>108.4</v>
      </c>
    </row>
    <row r="102" spans="1:7" x14ac:dyDescent="0.25">
      <c r="A102" s="442">
        <v>3</v>
      </c>
      <c r="B102" s="301">
        <v>11.7</v>
      </c>
      <c r="C102" s="301">
        <v>51.2</v>
      </c>
      <c r="D102" s="301">
        <v>79.599999999999994</v>
      </c>
      <c r="E102" s="301">
        <v>42.8</v>
      </c>
      <c r="F102" s="301">
        <v>84.2</v>
      </c>
      <c r="G102" s="301">
        <v>106</v>
      </c>
    </row>
    <row r="103" spans="1:7" x14ac:dyDescent="0.25">
      <c r="A103" s="442">
        <v>4</v>
      </c>
      <c r="B103" s="301">
        <v>18.2</v>
      </c>
      <c r="C103" s="301">
        <v>46.8</v>
      </c>
      <c r="D103" s="301">
        <v>76.5</v>
      </c>
      <c r="E103" s="301">
        <v>37.700000000000003</v>
      </c>
      <c r="F103" s="301">
        <v>88.9</v>
      </c>
      <c r="G103" s="301">
        <v>96.7</v>
      </c>
    </row>
    <row r="104" spans="1:7" x14ac:dyDescent="0.25">
      <c r="A104" s="442">
        <v>5</v>
      </c>
      <c r="B104" s="301">
        <v>14.9</v>
      </c>
      <c r="C104" s="301">
        <v>54.1</v>
      </c>
      <c r="D104" s="301">
        <v>85</v>
      </c>
      <c r="E104" s="301">
        <v>28.8</v>
      </c>
      <c r="F104" s="301">
        <v>85.7</v>
      </c>
      <c r="G104" s="301">
        <v>91</v>
      </c>
    </row>
    <row r="105" spans="1:7" x14ac:dyDescent="0.25">
      <c r="A105" s="442">
        <v>6</v>
      </c>
      <c r="B105" s="301">
        <v>18</v>
      </c>
      <c r="C105" s="301">
        <v>45.7</v>
      </c>
      <c r="D105" s="301">
        <v>80.7</v>
      </c>
      <c r="E105" s="301">
        <v>43.4</v>
      </c>
      <c r="F105" s="301">
        <v>89.1</v>
      </c>
      <c r="G105" s="301">
        <v>104.3</v>
      </c>
    </row>
    <row r="106" spans="1:7" x14ac:dyDescent="0.25">
      <c r="A106" s="442">
        <v>7</v>
      </c>
      <c r="B106" s="301">
        <v>14.4</v>
      </c>
      <c r="C106" s="301">
        <v>50</v>
      </c>
      <c r="D106" s="301">
        <v>76.3</v>
      </c>
      <c r="E106" s="301">
        <v>35</v>
      </c>
      <c r="F106" s="301">
        <v>86.5</v>
      </c>
      <c r="G106" s="301">
        <v>105.6</v>
      </c>
    </row>
    <row r="107" spans="1:7" x14ac:dyDescent="0.25">
      <c r="A107" s="442">
        <v>8</v>
      </c>
      <c r="B107" s="301">
        <v>25.1</v>
      </c>
      <c r="C107" s="301">
        <v>53.8</v>
      </c>
      <c r="D107" s="301">
        <v>79.900000000000006</v>
      </c>
      <c r="E107" s="301">
        <v>59.4</v>
      </c>
      <c r="F107" s="301">
        <v>88.2</v>
      </c>
      <c r="G107" s="301">
        <v>95.3</v>
      </c>
    </row>
    <row r="108" spans="1:7" x14ac:dyDescent="0.25">
      <c r="A108" s="442">
        <v>9</v>
      </c>
      <c r="B108" s="301">
        <v>10.5</v>
      </c>
      <c r="C108" s="301">
        <v>48</v>
      </c>
      <c r="D108" s="301">
        <v>79.599999999999994</v>
      </c>
      <c r="E108" s="301">
        <v>39.6</v>
      </c>
      <c r="F108" s="301">
        <v>84</v>
      </c>
      <c r="G108" s="301">
        <v>108.9</v>
      </c>
    </row>
    <row r="109" spans="1:7" x14ac:dyDescent="0.25">
      <c r="A109" s="442">
        <v>10</v>
      </c>
      <c r="B109" s="301">
        <v>13.3</v>
      </c>
      <c r="C109" s="301">
        <v>47</v>
      </c>
      <c r="D109" s="301">
        <v>77.8</v>
      </c>
      <c r="E109" s="301">
        <v>50.4</v>
      </c>
      <c r="F109" s="301">
        <v>81.099999999999994</v>
      </c>
      <c r="G109" s="301">
        <v>98.8</v>
      </c>
    </row>
    <row r="110" spans="1:7" x14ac:dyDescent="0.25">
      <c r="A110" s="442">
        <v>11</v>
      </c>
      <c r="B110" s="301"/>
      <c r="C110" s="301">
        <v>48.8</v>
      </c>
      <c r="D110" s="301">
        <v>84.6</v>
      </c>
      <c r="E110" s="301">
        <v>26.6</v>
      </c>
      <c r="F110" s="301">
        <v>84.9</v>
      </c>
      <c r="G110" s="301">
        <v>107.5</v>
      </c>
    </row>
    <row r="111" spans="1:7" x14ac:dyDescent="0.25">
      <c r="A111" s="442">
        <v>12</v>
      </c>
      <c r="B111" s="301"/>
      <c r="C111" s="301">
        <v>49</v>
      </c>
      <c r="D111" s="301"/>
      <c r="E111" s="301">
        <v>54.9</v>
      </c>
      <c r="F111" s="301">
        <v>84.5</v>
      </c>
      <c r="G111" s="301">
        <v>91.7</v>
      </c>
    </row>
    <row r="112" spans="1:7" x14ac:dyDescent="0.25">
      <c r="A112" s="442">
        <v>13</v>
      </c>
      <c r="B112" s="301"/>
      <c r="C112" s="301">
        <v>48.8</v>
      </c>
      <c r="D112" s="301"/>
      <c r="E112" s="301">
        <v>25.8</v>
      </c>
      <c r="F112" s="301">
        <v>89.4</v>
      </c>
      <c r="G112" s="301">
        <v>102.1</v>
      </c>
    </row>
    <row r="113" spans="1:7" x14ac:dyDescent="0.25">
      <c r="A113" s="442">
        <v>14</v>
      </c>
      <c r="B113" s="301"/>
      <c r="C113" s="301"/>
      <c r="D113" s="301"/>
      <c r="E113" s="301">
        <v>53.9</v>
      </c>
      <c r="F113" s="301">
        <v>89.1</v>
      </c>
      <c r="G113" s="301">
        <v>102.2</v>
      </c>
    </row>
    <row r="114" spans="1:7" x14ac:dyDescent="0.25">
      <c r="A114" s="442">
        <v>15</v>
      </c>
      <c r="B114" s="301"/>
      <c r="C114" s="301"/>
      <c r="D114" s="301"/>
      <c r="E114" s="301"/>
      <c r="F114" s="301">
        <v>82.2</v>
      </c>
      <c r="G114" s="301">
        <v>91.7</v>
      </c>
    </row>
    <row r="115" spans="1:7" x14ac:dyDescent="0.25">
      <c r="A115" s="442">
        <v>16</v>
      </c>
      <c r="B115" s="301"/>
      <c r="C115" s="301"/>
      <c r="D115" s="301"/>
      <c r="E115" s="301"/>
      <c r="F115" s="301">
        <v>83.8</v>
      </c>
      <c r="G115" s="301">
        <v>94.5</v>
      </c>
    </row>
    <row r="116" spans="1:7" x14ac:dyDescent="0.25">
      <c r="A116" s="442">
        <v>17</v>
      </c>
      <c r="B116" s="301"/>
      <c r="C116" s="301"/>
      <c r="D116" s="301"/>
      <c r="E116" s="301"/>
      <c r="F116" s="301">
        <v>89.3</v>
      </c>
      <c r="G116" s="301">
        <v>101.8</v>
      </c>
    </row>
    <row r="117" spans="1:7" x14ac:dyDescent="0.25">
      <c r="A117" s="442">
        <v>18</v>
      </c>
      <c r="B117" s="301"/>
      <c r="C117" s="301"/>
      <c r="D117" s="301"/>
      <c r="E117" s="301"/>
      <c r="F117" s="301">
        <v>84.9</v>
      </c>
      <c r="G117" s="301">
        <v>98.6</v>
      </c>
    </row>
    <row r="118" spans="1:7" x14ac:dyDescent="0.25">
      <c r="A118" s="442">
        <v>19</v>
      </c>
      <c r="B118" s="301"/>
      <c r="C118" s="301"/>
      <c r="D118" s="301"/>
      <c r="E118" s="301"/>
      <c r="F118" s="301">
        <v>87.2</v>
      </c>
      <c r="G118" s="301">
        <v>101</v>
      </c>
    </row>
    <row r="119" spans="1:7" x14ac:dyDescent="0.25">
      <c r="A119" s="442">
        <v>20</v>
      </c>
      <c r="B119" s="301"/>
      <c r="C119" s="301"/>
      <c r="D119" s="301"/>
      <c r="E119" s="301"/>
      <c r="F119" s="301">
        <v>84.8</v>
      </c>
      <c r="G119" s="301">
        <v>104.6</v>
      </c>
    </row>
    <row r="120" spans="1:7" x14ac:dyDescent="0.25">
      <c r="A120" s="442">
        <v>21</v>
      </c>
      <c r="B120" s="301"/>
      <c r="C120" s="301"/>
      <c r="D120" s="301"/>
      <c r="E120" s="301"/>
      <c r="F120" s="301">
        <v>80.599999999999994</v>
      </c>
      <c r="G120" s="301">
        <v>93.5</v>
      </c>
    </row>
    <row r="121" spans="1:7" x14ac:dyDescent="0.25">
      <c r="A121" s="442">
        <v>22</v>
      </c>
      <c r="B121" s="301"/>
      <c r="C121" s="301"/>
      <c r="D121" s="301"/>
      <c r="E121" s="301"/>
      <c r="F121" s="301">
        <v>89.5</v>
      </c>
      <c r="G121" s="301">
        <v>93.4</v>
      </c>
    </row>
    <row r="122" spans="1:7" ht="17.399999999999999" x14ac:dyDescent="0.3">
      <c r="A122" s="636" t="s">
        <v>366</v>
      </c>
      <c r="B122" s="636"/>
      <c r="C122" s="636"/>
      <c r="D122" s="637"/>
      <c r="E122" s="636"/>
      <c r="F122" s="636"/>
      <c r="G122" s="636"/>
    </row>
    <row r="123" spans="1:7" x14ac:dyDescent="0.25">
      <c r="A123" s="297"/>
      <c r="B123" s="638" t="s">
        <v>319</v>
      </c>
      <c r="C123" s="638"/>
      <c r="D123" s="638"/>
      <c r="E123" s="638" t="s">
        <v>320</v>
      </c>
      <c r="F123" s="638"/>
      <c r="G123" s="638"/>
    </row>
    <row r="124" spans="1:7" x14ac:dyDescent="0.25">
      <c r="A124" s="442" t="s">
        <v>321</v>
      </c>
      <c r="B124" s="442" t="s">
        <v>322</v>
      </c>
      <c r="C124" s="442" t="s">
        <v>323</v>
      </c>
      <c r="D124" s="442" t="s">
        <v>324</v>
      </c>
      <c r="E124" s="442" t="s">
        <v>325</v>
      </c>
      <c r="F124" s="442" t="s">
        <v>326</v>
      </c>
      <c r="G124" s="442" t="s">
        <v>327</v>
      </c>
    </row>
    <row r="125" spans="1:7" x14ac:dyDescent="0.25">
      <c r="A125" s="442">
        <v>1</v>
      </c>
      <c r="B125" s="301">
        <v>15.4</v>
      </c>
      <c r="C125" s="301">
        <v>45.7</v>
      </c>
      <c r="D125" s="301">
        <v>83.2</v>
      </c>
      <c r="E125" s="301">
        <v>57.2</v>
      </c>
      <c r="F125" s="301">
        <v>83.9</v>
      </c>
      <c r="G125" s="301">
        <v>90.1</v>
      </c>
    </row>
    <row r="126" spans="1:7" x14ac:dyDescent="0.25">
      <c r="A126" s="442">
        <v>2</v>
      </c>
      <c r="B126" s="301">
        <v>18.399999999999999</v>
      </c>
      <c r="C126" s="301">
        <v>52.6</v>
      </c>
      <c r="D126" s="301">
        <v>82</v>
      </c>
      <c r="E126" s="301">
        <v>37.700000000000003</v>
      </c>
      <c r="F126" s="301">
        <v>81.3</v>
      </c>
      <c r="G126" s="301">
        <v>105.7</v>
      </c>
    </row>
    <row r="127" spans="1:7" x14ac:dyDescent="0.25">
      <c r="A127" s="442">
        <v>3</v>
      </c>
      <c r="B127" s="301">
        <v>26.7</v>
      </c>
      <c r="C127" s="301">
        <v>49.8</v>
      </c>
      <c r="D127" s="301">
        <v>75.2</v>
      </c>
      <c r="E127" s="301">
        <v>55.5</v>
      </c>
      <c r="F127" s="301">
        <v>87.4</v>
      </c>
      <c r="G127" s="301">
        <v>98.7</v>
      </c>
    </row>
    <row r="128" spans="1:7" x14ac:dyDescent="0.25">
      <c r="A128" s="442">
        <v>4</v>
      </c>
      <c r="B128" s="301">
        <v>14.4</v>
      </c>
      <c r="C128" s="301">
        <v>47</v>
      </c>
      <c r="D128" s="301">
        <v>83.5</v>
      </c>
      <c r="E128" s="301">
        <v>28.1</v>
      </c>
      <c r="F128" s="301">
        <v>88.2</v>
      </c>
      <c r="G128" s="301">
        <v>100.6</v>
      </c>
    </row>
    <row r="129" spans="1:7" x14ac:dyDescent="0.25">
      <c r="A129" s="442">
        <v>5</v>
      </c>
      <c r="B129" s="301">
        <v>12.5</v>
      </c>
      <c r="C129" s="301">
        <v>50.3</v>
      </c>
      <c r="D129" s="301">
        <v>79.5</v>
      </c>
      <c r="E129" s="301">
        <v>28.5</v>
      </c>
      <c r="F129" s="301">
        <v>86</v>
      </c>
      <c r="G129" s="301">
        <v>90.6</v>
      </c>
    </row>
    <row r="130" spans="1:7" x14ac:dyDescent="0.25">
      <c r="A130" s="442">
        <v>6</v>
      </c>
      <c r="B130" s="301">
        <v>14.8</v>
      </c>
      <c r="C130" s="301">
        <v>54.3</v>
      </c>
      <c r="D130" s="301">
        <v>84.5</v>
      </c>
      <c r="E130" s="301">
        <v>31.1</v>
      </c>
      <c r="F130" s="301">
        <v>82.6</v>
      </c>
      <c r="G130" s="301">
        <v>93.9</v>
      </c>
    </row>
    <row r="131" spans="1:7" x14ac:dyDescent="0.25">
      <c r="A131" s="442">
        <v>7</v>
      </c>
      <c r="B131" s="301">
        <v>25.5</v>
      </c>
      <c r="C131" s="301">
        <v>48.2</v>
      </c>
      <c r="D131" s="301">
        <v>82.6</v>
      </c>
      <c r="E131" s="301">
        <v>37.4</v>
      </c>
      <c r="F131" s="301">
        <v>81.599999999999994</v>
      </c>
      <c r="G131" s="301">
        <v>106.5</v>
      </c>
    </row>
    <row r="132" spans="1:7" x14ac:dyDescent="0.25">
      <c r="A132" s="442">
        <v>8</v>
      </c>
      <c r="B132" s="301">
        <v>11.9</v>
      </c>
      <c r="C132" s="301">
        <v>53.8</v>
      </c>
      <c r="D132" s="301">
        <v>82.4</v>
      </c>
      <c r="E132" s="301">
        <v>33.4</v>
      </c>
      <c r="F132" s="301">
        <v>90</v>
      </c>
      <c r="G132" s="301">
        <v>104.3</v>
      </c>
    </row>
    <row r="133" spans="1:7" x14ac:dyDescent="0.25">
      <c r="A133" s="442">
        <v>9</v>
      </c>
      <c r="B133" s="301">
        <v>15</v>
      </c>
      <c r="C133" s="301">
        <v>46.7</v>
      </c>
      <c r="D133" s="301">
        <v>84.6</v>
      </c>
      <c r="E133" s="301">
        <v>38.1</v>
      </c>
      <c r="F133" s="301">
        <v>83.2</v>
      </c>
      <c r="G133" s="301">
        <v>104.2</v>
      </c>
    </row>
    <row r="134" spans="1:7" x14ac:dyDescent="0.25">
      <c r="A134" s="442">
        <v>10</v>
      </c>
      <c r="B134" s="301">
        <v>25.6</v>
      </c>
      <c r="C134" s="301">
        <v>49.8</v>
      </c>
      <c r="D134" s="301">
        <v>75.5</v>
      </c>
      <c r="E134" s="301">
        <v>41.8</v>
      </c>
      <c r="F134" s="301">
        <v>85.3</v>
      </c>
      <c r="G134" s="301">
        <v>95.4</v>
      </c>
    </row>
    <row r="135" spans="1:7" x14ac:dyDescent="0.25">
      <c r="A135" s="442">
        <v>11</v>
      </c>
      <c r="B135" s="301"/>
      <c r="C135" s="301">
        <v>45.7</v>
      </c>
      <c r="D135" s="301">
        <v>82.7</v>
      </c>
      <c r="E135" s="301">
        <v>37.200000000000003</v>
      </c>
      <c r="F135" s="301">
        <v>89.7</v>
      </c>
      <c r="G135" s="301">
        <v>106.3</v>
      </c>
    </row>
    <row r="136" spans="1:7" x14ac:dyDescent="0.25">
      <c r="A136" s="442">
        <v>12</v>
      </c>
      <c r="B136" s="301"/>
      <c r="C136" s="301">
        <v>53.5</v>
      </c>
      <c r="D136" s="301">
        <v>75.7</v>
      </c>
      <c r="E136" s="301">
        <v>48.4</v>
      </c>
      <c r="F136" s="301">
        <v>87.7</v>
      </c>
      <c r="G136" s="301">
        <v>108.2</v>
      </c>
    </row>
    <row r="137" spans="1:7" x14ac:dyDescent="0.25">
      <c r="A137" s="442">
        <v>13</v>
      </c>
      <c r="B137" s="301"/>
      <c r="C137" s="301"/>
      <c r="D137" s="301"/>
      <c r="E137" s="301">
        <v>50.9</v>
      </c>
      <c r="F137" s="301">
        <v>81.599999999999994</v>
      </c>
      <c r="G137" s="301">
        <v>93.2</v>
      </c>
    </row>
    <row r="138" spans="1:7" x14ac:dyDescent="0.25">
      <c r="A138" s="442">
        <v>14</v>
      </c>
      <c r="B138" s="301"/>
      <c r="C138" s="301"/>
      <c r="D138" s="301"/>
      <c r="E138" s="301">
        <v>43.3</v>
      </c>
      <c r="F138" s="301">
        <v>80.400000000000006</v>
      </c>
      <c r="G138" s="301">
        <v>105.7</v>
      </c>
    </row>
    <row r="139" spans="1:7" x14ac:dyDescent="0.25">
      <c r="A139" s="442">
        <v>15</v>
      </c>
      <c r="B139" s="301"/>
      <c r="C139" s="301"/>
      <c r="D139" s="301"/>
      <c r="E139" s="301"/>
      <c r="F139" s="301">
        <v>81.900000000000006</v>
      </c>
      <c r="G139" s="301">
        <v>105.8</v>
      </c>
    </row>
    <row r="140" spans="1:7" x14ac:dyDescent="0.25">
      <c r="A140" s="442">
        <v>16</v>
      </c>
      <c r="B140" s="301"/>
      <c r="C140" s="301"/>
      <c r="D140" s="301"/>
      <c r="E140" s="301"/>
      <c r="F140" s="301">
        <v>90</v>
      </c>
      <c r="G140" s="301">
        <v>93</v>
      </c>
    </row>
    <row r="141" spans="1:7" x14ac:dyDescent="0.25">
      <c r="A141" s="442">
        <v>17</v>
      </c>
      <c r="B141" s="301"/>
      <c r="C141" s="301"/>
      <c r="D141" s="301"/>
      <c r="E141" s="301"/>
      <c r="F141" s="301">
        <v>84.4</v>
      </c>
      <c r="G141" s="301">
        <v>90.5</v>
      </c>
    </row>
    <row r="142" spans="1:7" x14ac:dyDescent="0.25">
      <c r="A142" s="442">
        <v>18</v>
      </c>
      <c r="B142" s="301"/>
      <c r="C142" s="301"/>
      <c r="D142" s="301"/>
      <c r="E142" s="301"/>
      <c r="F142" s="301">
        <v>85.2</v>
      </c>
      <c r="G142" s="301">
        <v>106.7</v>
      </c>
    </row>
    <row r="143" spans="1:7" x14ac:dyDescent="0.25">
      <c r="A143" s="442">
        <v>19</v>
      </c>
      <c r="B143" s="301"/>
      <c r="C143" s="301"/>
      <c r="D143" s="301"/>
      <c r="E143" s="301"/>
      <c r="F143" s="301">
        <v>85.3</v>
      </c>
      <c r="G143" s="301">
        <v>100.3</v>
      </c>
    </row>
    <row r="144" spans="1:7" x14ac:dyDescent="0.25">
      <c r="A144" s="442">
        <v>20</v>
      </c>
      <c r="B144" s="301"/>
      <c r="C144" s="301"/>
      <c r="D144" s="301"/>
      <c r="E144" s="301"/>
      <c r="F144" s="301"/>
      <c r="G144" s="301">
        <v>96.5</v>
      </c>
    </row>
    <row r="145" spans="1:7" x14ac:dyDescent="0.25">
      <c r="A145" s="442">
        <v>21</v>
      </c>
      <c r="B145" s="301"/>
      <c r="C145" s="301"/>
      <c r="D145" s="301"/>
      <c r="E145" s="301"/>
      <c r="F145" s="301"/>
      <c r="G145" s="301">
        <v>105.8</v>
      </c>
    </row>
    <row r="146" spans="1:7" x14ac:dyDescent="0.25">
      <c r="A146" s="442">
        <v>22</v>
      </c>
      <c r="B146" s="301"/>
      <c r="C146" s="301"/>
      <c r="D146" s="301"/>
      <c r="E146" s="301"/>
      <c r="F146" s="301"/>
      <c r="G146" s="301">
        <v>106.3</v>
      </c>
    </row>
    <row r="147" spans="1:7" x14ac:dyDescent="0.25">
      <c r="A147" s="442">
        <v>23</v>
      </c>
      <c r="B147" s="301"/>
      <c r="C147" s="301"/>
      <c r="D147" s="301"/>
      <c r="E147" s="301"/>
      <c r="F147" s="301"/>
      <c r="G147" s="301">
        <v>97.1</v>
      </c>
    </row>
    <row r="148" spans="1:7" x14ac:dyDescent="0.25">
      <c r="A148" s="300"/>
      <c r="B148" s="355"/>
      <c r="C148" s="355"/>
      <c r="D148" s="355"/>
      <c r="E148" s="300"/>
      <c r="F148" s="300"/>
      <c r="G148" s="300"/>
    </row>
    <row r="149" spans="1:7" ht="15.6" x14ac:dyDescent="0.25">
      <c r="A149" s="639" t="s">
        <v>154</v>
      </c>
      <c r="B149" s="641" t="s">
        <v>155</v>
      </c>
      <c r="C149" s="642"/>
      <c r="D149" s="641" t="s">
        <v>367</v>
      </c>
      <c r="E149" s="642"/>
      <c r="F149" s="641" t="s">
        <v>368</v>
      </c>
      <c r="G149" s="642"/>
    </row>
    <row r="150" spans="1:7" x14ac:dyDescent="0.25">
      <c r="A150" s="640"/>
      <c r="B150" s="353" t="s">
        <v>156</v>
      </c>
      <c r="C150" s="353" t="s">
        <v>157</v>
      </c>
      <c r="D150" s="353" t="s">
        <v>156</v>
      </c>
      <c r="E150" s="353" t="s">
        <v>157</v>
      </c>
      <c r="F150" s="353" t="s">
        <v>156</v>
      </c>
      <c r="G150" s="353" t="s">
        <v>157</v>
      </c>
    </row>
    <row r="151" spans="1:7" x14ac:dyDescent="0.25">
      <c r="A151" s="298" t="s">
        <v>369</v>
      </c>
      <c r="B151" s="301">
        <f>ROUNDDOWN(AVERAGE(B6:D19),1)</f>
        <v>50.5</v>
      </c>
      <c r="C151" s="301">
        <f>ROUNDDOWN(AVERAGE(E6:G34),1)</f>
        <v>82.7</v>
      </c>
      <c r="D151" s="353">
        <v>28044</v>
      </c>
      <c r="E151" s="362">
        <v>46763</v>
      </c>
      <c r="F151" s="353">
        <f>B151*D151</f>
        <v>1416222</v>
      </c>
      <c r="G151" s="353">
        <f>C151*E151</f>
        <v>3867300.1</v>
      </c>
    </row>
    <row r="152" spans="1:7" x14ac:dyDescent="0.25">
      <c r="A152" s="298" t="s">
        <v>370</v>
      </c>
      <c r="B152" s="301">
        <f>ROUNDDOWN(AVERAGE(B39:D44),1)</f>
        <v>50.4</v>
      </c>
      <c r="C152" s="301">
        <f>ROUNDDOWN(AVERAGE(E39:G48),1)</f>
        <v>79.5</v>
      </c>
      <c r="D152" s="353">
        <v>10608</v>
      </c>
      <c r="E152" s="362">
        <v>17213</v>
      </c>
      <c r="F152" s="353">
        <f t="shared" ref="F152:G159" si="0">B152*D152</f>
        <v>534643.19999999995</v>
      </c>
      <c r="G152" s="353">
        <f t="shared" si="0"/>
        <v>1368433.5</v>
      </c>
    </row>
    <row r="153" spans="1:7" x14ac:dyDescent="0.25">
      <c r="A153" s="298" t="s">
        <v>371</v>
      </c>
      <c r="B153" s="301">
        <f>ROUNDDOWN(AVERAGE(B53:D58),1)</f>
        <v>53.3</v>
      </c>
      <c r="C153" s="301">
        <f>ROUNDDOWN(AVERAGE(E53:G61),1)</f>
        <v>83</v>
      </c>
      <c r="D153" s="353">
        <v>8465</v>
      </c>
      <c r="E153" s="362">
        <v>14805</v>
      </c>
      <c r="F153" s="353">
        <f t="shared" si="0"/>
        <v>451184.5</v>
      </c>
      <c r="G153" s="353">
        <f t="shared" si="0"/>
        <v>1228815</v>
      </c>
    </row>
    <row r="154" spans="1:7" x14ac:dyDescent="0.25">
      <c r="A154" s="298" t="s">
        <v>372</v>
      </c>
      <c r="B154" s="301">
        <f>ROUNDDOWN(AVERAGE(B66:D69),1)</f>
        <v>54.7</v>
      </c>
      <c r="C154" s="301">
        <f>ROUNDDOWN(AVERAGE(E66:G72),1)</f>
        <v>84.9</v>
      </c>
      <c r="D154" s="353">
        <v>6339</v>
      </c>
      <c r="E154" s="362">
        <v>10468</v>
      </c>
      <c r="F154" s="353">
        <f t="shared" si="0"/>
        <v>346743.30000000005</v>
      </c>
      <c r="G154" s="353">
        <f t="shared" si="0"/>
        <v>888733.20000000007</v>
      </c>
    </row>
    <row r="155" spans="1:7" x14ac:dyDescent="0.25">
      <c r="A155" s="298" t="s">
        <v>373</v>
      </c>
      <c r="B155" s="301">
        <f>ROUNDDOWN(AVERAGE(B76:D77),1)</f>
        <v>49.1</v>
      </c>
      <c r="C155" s="301">
        <f>ROUNDDOWN(AVERAGE(E76:G79),1)</f>
        <v>78.7</v>
      </c>
      <c r="D155" s="353">
        <v>3699</v>
      </c>
      <c r="E155" s="362">
        <v>6530</v>
      </c>
      <c r="F155" s="353">
        <f t="shared" si="0"/>
        <v>181620.9</v>
      </c>
      <c r="G155" s="353">
        <f t="shared" si="0"/>
        <v>513911</v>
      </c>
    </row>
    <row r="156" spans="1:7" x14ac:dyDescent="0.25">
      <c r="A156" s="298" t="s">
        <v>374</v>
      </c>
      <c r="B156" s="301">
        <f>ROUNDDOWN(AVERAGE(B83:D85),1)</f>
        <v>49.1</v>
      </c>
      <c r="C156" s="301">
        <f>ROUNDDOWN(AVERAGE(E83:G88),1)</f>
        <v>81.7</v>
      </c>
      <c r="D156" s="353">
        <v>5340</v>
      </c>
      <c r="E156" s="362">
        <v>9377</v>
      </c>
      <c r="F156" s="353">
        <f t="shared" si="0"/>
        <v>262194</v>
      </c>
      <c r="G156" s="353">
        <f t="shared" si="0"/>
        <v>766100.9</v>
      </c>
    </row>
    <row r="157" spans="1:7" x14ac:dyDescent="0.25">
      <c r="A157" s="298" t="s">
        <v>375</v>
      </c>
      <c r="B157" s="301">
        <f>ROUNDDOWN(AVERAGE(B93:D94),1)</f>
        <v>49.6</v>
      </c>
      <c r="C157" s="301">
        <f>ROUNDDOWN(AVERAGE(E93:G96),1)</f>
        <v>80.400000000000006</v>
      </c>
      <c r="D157" s="353">
        <v>3613</v>
      </c>
      <c r="E157" s="362">
        <v>5821</v>
      </c>
      <c r="F157" s="353">
        <f t="shared" si="0"/>
        <v>179204.80000000002</v>
      </c>
      <c r="G157" s="353">
        <f t="shared" si="0"/>
        <v>468008.4</v>
      </c>
    </row>
    <row r="158" spans="1:7" x14ac:dyDescent="0.25">
      <c r="A158" s="298" t="s">
        <v>365</v>
      </c>
      <c r="B158" s="301">
        <f>ROUNDDOWN(AVERAGE(B100:D112),1)</f>
        <v>49.2</v>
      </c>
      <c r="C158" s="301">
        <f>ROUNDDOWN(AVERAGE(E100:G121),1)</f>
        <v>80.400000000000006</v>
      </c>
      <c r="D158" s="353">
        <v>23194</v>
      </c>
      <c r="E158" s="362">
        <v>40057</v>
      </c>
      <c r="F158" s="353">
        <f t="shared" si="0"/>
        <v>1141144.8</v>
      </c>
      <c r="G158" s="353">
        <f t="shared" si="0"/>
        <v>3220582.8000000003</v>
      </c>
    </row>
    <row r="159" spans="1:7" x14ac:dyDescent="0.25">
      <c r="A159" s="298" t="s">
        <v>366</v>
      </c>
      <c r="B159" s="301">
        <f>ROUNDDOWN(AVERAGE(B125:D136),1)</f>
        <v>51.4</v>
      </c>
      <c r="C159" s="301">
        <f>ROUNDDOWN(AVERAGE(E125:G147),1)</f>
        <v>80.099999999999994</v>
      </c>
      <c r="D159" s="353">
        <v>22794</v>
      </c>
      <c r="E159" s="362">
        <v>40512</v>
      </c>
      <c r="F159" s="353">
        <f t="shared" si="0"/>
        <v>1171611.5999999999</v>
      </c>
      <c r="G159" s="353">
        <f t="shared" si="0"/>
        <v>3245011.1999999997</v>
      </c>
    </row>
    <row r="160" spans="1:7" x14ac:dyDescent="0.25">
      <c r="A160" s="298" t="s">
        <v>158</v>
      </c>
      <c r="B160" s="353"/>
      <c r="C160" s="353"/>
      <c r="D160" s="353">
        <f>SUM(D151:D159)</f>
        <v>112096</v>
      </c>
      <c r="E160" s="353">
        <f>SUM(E151:E159)</f>
        <v>191546</v>
      </c>
      <c r="F160" s="353">
        <f>SUM(F151:F159)</f>
        <v>5684569.0999999996</v>
      </c>
      <c r="G160" s="353">
        <f>SUM(G151:G159)</f>
        <v>15566896.1</v>
      </c>
    </row>
    <row r="161" spans="1:7" x14ac:dyDescent="0.25">
      <c r="A161" s="299"/>
      <c r="B161" s="300"/>
      <c r="C161" s="300"/>
      <c r="D161" s="300"/>
      <c r="E161" s="300"/>
      <c r="F161" s="300"/>
      <c r="G161" s="300"/>
    </row>
    <row r="163" spans="1:7" x14ac:dyDescent="0.25">
      <c r="C163" s="641" t="s">
        <v>159</v>
      </c>
      <c r="D163" s="642"/>
    </row>
    <row r="164" spans="1:7" x14ac:dyDescent="0.25">
      <c r="C164" s="353" t="s">
        <v>156</v>
      </c>
      <c r="D164" s="353" t="s">
        <v>157</v>
      </c>
    </row>
    <row r="165" spans="1:7" x14ac:dyDescent="0.25">
      <c r="C165" s="279">
        <f>ROUNDDOWN(F160/D160,1)</f>
        <v>50.7</v>
      </c>
      <c r="D165" s="280">
        <f>ROUNDDOWN(G160/E160,1)</f>
        <v>81.2</v>
      </c>
    </row>
  </sheetData>
  <mergeCells count="34">
    <mergeCell ref="C163:D163"/>
    <mergeCell ref="A36:G36"/>
    <mergeCell ref="B37:D37"/>
    <mergeCell ref="E37:G37"/>
    <mergeCell ref="A80:G80"/>
    <mergeCell ref="B81:D81"/>
    <mergeCell ref="E81:G81"/>
    <mergeCell ref="A73:G73"/>
    <mergeCell ref="B74:D74"/>
    <mergeCell ref="E74:G74"/>
    <mergeCell ref="A50:G50"/>
    <mergeCell ref="B51:D51"/>
    <mergeCell ref="E51:G51"/>
    <mergeCell ref="A63:G63"/>
    <mergeCell ref="B64:D64"/>
    <mergeCell ref="E64:G64"/>
    <mergeCell ref="A1:G1"/>
    <mergeCell ref="A2:G2"/>
    <mergeCell ref="A3:G3"/>
    <mergeCell ref="B4:D4"/>
    <mergeCell ref="E4:G4"/>
    <mergeCell ref="A90:G90"/>
    <mergeCell ref="B91:D91"/>
    <mergeCell ref="E91:G91"/>
    <mergeCell ref="A97:G97"/>
    <mergeCell ref="B98:D98"/>
    <mergeCell ref="E98:G98"/>
    <mergeCell ref="A122:G122"/>
    <mergeCell ref="B123:D123"/>
    <mergeCell ref="E123:G123"/>
    <mergeCell ref="A149:A150"/>
    <mergeCell ref="B149:C149"/>
    <mergeCell ref="D149:E149"/>
    <mergeCell ref="F149:G149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Cover page</vt:lpstr>
      <vt:lpstr>SDG Outcomes</vt:lpstr>
      <vt:lpstr>Baseline emission</vt:lpstr>
      <vt:lpstr>Project emission</vt:lpstr>
      <vt:lpstr>Leakage</vt:lpstr>
      <vt:lpstr>Emission Reduction</vt:lpstr>
      <vt:lpstr>monitoring results</vt:lpstr>
      <vt:lpstr>Reliability Check</vt:lpstr>
      <vt:lpstr>2021.1</vt:lpstr>
      <vt:lpstr>2021.2</vt:lpstr>
      <vt:lpstr>2021.3</vt:lpstr>
      <vt:lpstr>2021.4</vt:lpstr>
      <vt:lpstr>2021.5</vt:lpstr>
      <vt:lpstr>2021.6</vt:lpstr>
      <vt:lpstr>2021.7</vt:lpstr>
      <vt:lpstr>2021.8</vt:lpstr>
      <vt:lpstr>2021.9</vt:lpstr>
      <vt:lpstr>2021.10</vt:lpstr>
      <vt:lpstr>2021.11</vt:lpstr>
      <vt:lpstr>2021.12</vt:lpstr>
      <vt:lpstr>2022.1</vt:lpstr>
      <vt:lpstr>2022.5</vt:lpstr>
      <vt:lpstr>2022.2</vt:lpstr>
      <vt:lpstr>2022.3</vt:lpstr>
      <vt:lpstr>2022.4</vt:lpstr>
      <vt:lpstr>2022.6</vt:lpstr>
    </vt:vector>
  </TitlesOfParts>
  <Manager>ywert.visser@carbonvietnam.com</Manager>
  <Company>INTRACO Co., Ltd Carbon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林一</cp:lastModifiedBy>
  <cp:lastPrinted>2011-01-07T02:59:39Z</cp:lastPrinted>
  <dcterms:created xsi:type="dcterms:W3CDTF">2006-12-11T01:48:55Z</dcterms:created>
  <dcterms:modified xsi:type="dcterms:W3CDTF">2022-10-09T02:15:06Z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Ywert Visser</vt:lpwstr>
  </property>
</Properties>
</file>