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codeName="ThisWorkbook"/>
  <mc:AlternateContent xmlns:mc="http://schemas.openxmlformats.org/markup-compatibility/2006">
    <mc:Choice Requires="x15">
      <x15ac:absPath xmlns:x15ac="http://schemas.microsoft.com/office/spreadsheetml/2010/11/ac" url="D:\1 碳交易\项目开展\正邦 湖北\需要弄得 GS11333-Zhengbang Hubei\GS11333-Zhengbang Hubei\准备文件\2nd findings to 正邦湖北养猪场粪便沼气发电项目Combine-Fancy\"/>
    </mc:Choice>
  </mc:AlternateContent>
  <xr:revisionPtr revIDLastSave="0" documentId="13_ncr:1_{3E2D248A-A02D-4E3B-AA47-42F57875C474}" xr6:coauthVersionLast="47" xr6:coauthVersionMax="47" xr10:uidLastSave="{00000000-0000-0000-0000-000000000000}"/>
  <bookViews>
    <workbookView xWindow="-28920" yWindow="-90" windowWidth="29040" windowHeight="15840" tabRatio="767" xr2:uid="{00000000-000D-0000-FFFF-FFFF00000000}"/>
  </bookViews>
  <sheets>
    <sheet name="Cover Page" sheetId="6" r:id="rId1"/>
    <sheet name="Result of each SDGs" sheetId="7" r:id="rId2"/>
    <sheet name="Baseline Emission" sheetId="1" r:id="rId3"/>
    <sheet name="Project Emission" sheetId="2" r:id="rId4"/>
    <sheet name="Leakage" sheetId="3" r:id="rId5"/>
    <sheet name="Emission Reduction" sheetId="4" r:id="rId6"/>
  </sheets>
  <definedNames>
    <definedName name="_Toc147547213" localSheetId="3">'Project Emission'!#REF!</definedName>
    <definedName name="_xlnm.Print_Area" localSheetId="5">'Emission Reduction'!$B$3:$F$11</definedName>
    <definedName name="Z_2C071143_29D6_4036_A926_BF7E54293313_.wvu.Rows" localSheetId="4" hidden="1">Leakage!#REF!,Leakage!#REF!,Leakage!#REF!,Leakage!#REF!,Leakage!#REF!,Leakage!#REF!,Leakage!#REF!</definedName>
    <definedName name="Z_2C071143_29D6_4036_A926_BF7E54293313_.wvu.Rows" localSheetId="3" hidden="1">'Project Emission'!#REF!,'Project Emission'!#REF!</definedName>
  </definedNames>
  <calcPr calcId="181029"/>
  <customWorkbookViews>
    <customWorkbookView name="HIEU - Personal View" guid="{2C071143-29D6-4036-A926-BF7E54293313}" mergeInterval="0" personalView="1" maximized="1" windowWidth="1020" windowHeight="573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08" i="3" l="1"/>
  <c r="B115" i="3"/>
  <c r="B116" i="3"/>
  <c r="C108" i="2"/>
  <c r="B103" i="2"/>
  <c r="B92" i="2"/>
  <c r="B78" i="2"/>
  <c r="C78" i="2" s="1"/>
  <c r="C103" i="2" s="1"/>
  <c r="B73" i="2"/>
  <c r="C73" i="2" s="1"/>
  <c r="C92" i="2" s="1"/>
  <c r="B49" i="2"/>
  <c r="C49" i="2" s="1"/>
  <c r="B28" i="2"/>
  <c r="B50" i="2"/>
  <c r="B15" i="2" l="1"/>
  <c r="B17" i="2" s="1"/>
  <c r="C7" i="7"/>
  <c r="C16" i="7" s="1"/>
  <c r="C24" i="7" s="1"/>
  <c r="C50" i="2"/>
  <c r="E92" i="2"/>
  <c r="E103" i="2" s="1"/>
  <c r="C52" i="2"/>
  <c r="B52" i="2"/>
  <c r="E104" i="2"/>
  <c r="E91" i="2"/>
  <c r="E102" i="2" s="1"/>
  <c r="D77" i="2"/>
  <c r="D91" i="2" s="1"/>
  <c r="D76" i="2"/>
  <c r="D90" i="2" s="1"/>
  <c r="E25" i="1"/>
  <c r="E23" i="1"/>
  <c r="C4" i="7"/>
  <c r="C13" i="7" s="1"/>
  <c r="C5" i="7"/>
  <c r="C14" i="7" s="1"/>
  <c r="C6" i="7"/>
  <c r="C23" i="7" s="1"/>
  <c r="C8" i="7"/>
  <c r="C25" i="7" s="1"/>
  <c r="D14" i="7"/>
  <c r="D15" i="7" s="1"/>
  <c r="C72" i="2"/>
  <c r="C77" i="2" s="1"/>
  <c r="C46" i="1"/>
  <c r="B47" i="1"/>
  <c r="B18" i="1"/>
  <c r="C67" i="1"/>
  <c r="B67" i="1"/>
  <c r="C61" i="3"/>
  <c r="C99" i="2"/>
  <c r="C88" i="2"/>
  <c r="E47" i="1"/>
  <c r="C22" i="1"/>
  <c r="C24" i="1"/>
  <c r="C53" i="2" s="1"/>
  <c r="B22" i="1"/>
  <c r="B24" i="1" s="1"/>
  <c r="B53" i="2" s="1"/>
  <c r="B91" i="3"/>
  <c r="B105" i="3" s="1"/>
  <c r="C91" i="3"/>
  <c r="C105" i="3" s="1"/>
  <c r="B92" i="3"/>
  <c r="C92" i="3"/>
  <c r="C98" i="3"/>
  <c r="B106" i="3"/>
  <c r="C106" i="3"/>
  <c r="B141" i="3"/>
  <c r="B23" i="3" s="1"/>
  <c r="C141" i="3"/>
  <c r="C23" i="3" s="1"/>
  <c r="B87" i="2"/>
  <c r="B58" i="3" s="1"/>
  <c r="B90" i="3" s="1"/>
  <c r="B104" i="3" s="1"/>
  <c r="C87" i="2"/>
  <c r="C58" i="3" s="1"/>
  <c r="C90" i="3" s="1"/>
  <c r="C104" i="3" s="1"/>
  <c r="B26" i="2"/>
  <c r="C16" i="1"/>
  <c r="C18" i="1" s="1"/>
  <c r="B43" i="1"/>
  <c r="B60" i="1"/>
  <c r="C43" i="1"/>
  <c r="C60" i="1" s="1"/>
  <c r="B45" i="1"/>
  <c r="B46" i="1" s="1"/>
  <c r="B53" i="1" s="1"/>
  <c r="D51" i="1"/>
  <c r="D64" i="1" s="1"/>
  <c r="B52" i="1"/>
  <c r="B65" i="1"/>
  <c r="C52" i="1"/>
  <c r="C65" i="1" s="1"/>
  <c r="D52" i="1"/>
  <c r="D65" i="1" s="1"/>
  <c r="E51" i="1"/>
  <c r="E64" i="1" s="1"/>
  <c r="B143" i="3"/>
  <c r="B147" i="3" s="1"/>
  <c r="C59" i="3"/>
  <c r="C95" i="3"/>
  <c r="C24" i="3"/>
  <c r="C109" i="3"/>
  <c r="B59" i="3"/>
  <c r="B24" i="3"/>
  <c r="B72" i="2"/>
  <c r="B77" i="2" s="1"/>
  <c r="B91" i="2"/>
  <c r="B102" i="2" s="1"/>
  <c r="B109" i="3"/>
  <c r="B51" i="1"/>
  <c r="B64" i="1"/>
  <c r="B95" i="3"/>
  <c r="C91" i="2"/>
  <c r="C102" i="2" s="1"/>
  <c r="C64" i="1"/>
  <c r="C143" i="3"/>
  <c r="C147" i="3" s="1"/>
  <c r="C51" i="1"/>
  <c r="C53" i="1"/>
  <c r="C47" i="1"/>
  <c r="C50" i="1" s="1"/>
  <c r="C63" i="1" s="1"/>
  <c r="D5" i="7"/>
  <c r="D6" i="7" s="1"/>
  <c r="D16" i="7" l="1"/>
  <c r="D17" i="7"/>
  <c r="B50" i="1"/>
  <c r="C68" i="1"/>
  <c r="B63" i="1"/>
  <c r="B68" i="1" s="1"/>
  <c r="B69" i="1" s="1"/>
  <c r="E71" i="1" s="1"/>
  <c r="B71" i="2"/>
  <c r="B90" i="2" s="1"/>
  <c r="B25" i="3" s="1"/>
  <c r="B60" i="3" s="1"/>
  <c r="B148" i="3"/>
  <c r="C94" i="3"/>
  <c r="C108" i="3" s="1"/>
  <c r="C115" i="3" s="1"/>
  <c r="C71" i="2"/>
  <c r="C76" i="2" s="1"/>
  <c r="C79" i="2" s="1"/>
  <c r="C17" i="7"/>
  <c r="C15" i="7"/>
  <c r="C22" i="7"/>
  <c r="C21" i="7"/>
  <c r="B32" i="2"/>
  <c r="B55" i="2"/>
  <c r="C55" i="2"/>
  <c r="C27" i="1"/>
  <c r="B94" i="3"/>
  <c r="B27" i="1"/>
  <c r="D7" i="7"/>
  <c r="D9" i="7" s="1"/>
  <c r="D10" i="7" s="1"/>
  <c r="B101" i="2" l="1"/>
  <c r="B105" i="2" s="1"/>
  <c r="B94" i="2"/>
  <c r="B74" i="2"/>
  <c r="B76" i="2"/>
  <c r="B79" i="2" s="1"/>
  <c r="B72" i="3"/>
  <c r="B68" i="3"/>
  <c r="B70" i="3"/>
  <c r="B99" i="3"/>
  <c r="C99" i="3"/>
  <c r="B28" i="1"/>
  <c r="C74" i="2"/>
  <c r="C90" i="2"/>
  <c r="B37" i="3"/>
  <c r="B33" i="3"/>
  <c r="B35" i="3"/>
  <c r="B56" i="2"/>
  <c r="B120" i="3"/>
  <c r="B80" i="2" l="1"/>
  <c r="E74" i="1"/>
  <c r="B100" i="3"/>
  <c r="B119" i="3" s="1"/>
  <c r="C101" i="2"/>
  <c r="C105" i="2" s="1"/>
  <c r="B106" i="2" s="1"/>
  <c r="C94" i="2"/>
  <c r="B95" i="2" s="1"/>
  <c r="C25" i="3"/>
  <c r="C10" i="4" l="1"/>
  <c r="C9" i="4"/>
  <c r="C7" i="4"/>
  <c r="C8" i="4"/>
  <c r="C6" i="4"/>
  <c r="C60" i="3"/>
  <c r="C37" i="3"/>
  <c r="B38" i="3" s="1"/>
  <c r="C35" i="3"/>
  <c r="B36" i="3" s="1"/>
  <c r="C33" i="3"/>
  <c r="B34" i="3" s="1"/>
  <c r="C11" i="4" l="1"/>
  <c r="C12" i="4" s="1"/>
  <c r="C70" i="3"/>
  <c r="B71" i="3" s="1"/>
  <c r="C68" i="3"/>
  <c r="B69" i="3" s="1"/>
  <c r="C72" i="3"/>
  <c r="B73" i="3" s="1"/>
  <c r="B39" i="3"/>
  <c r="B121" i="3" s="1"/>
  <c r="B74" i="3" l="1"/>
  <c r="B122" i="3" s="1"/>
  <c r="B124" i="3" s="1"/>
  <c r="E10" i="4" s="1"/>
  <c r="E9" i="4" l="1"/>
  <c r="E6" i="4"/>
  <c r="E7" i="4"/>
  <c r="E8" i="4"/>
  <c r="E11" i="4" l="1"/>
  <c r="E12" i="4" s="1"/>
  <c r="B29" i="2" l="1"/>
  <c r="B33" i="2" s="1"/>
  <c r="B113" i="2" l="1"/>
  <c r="D10" i="4" l="1"/>
  <c r="F10" i="4" s="1"/>
  <c r="D25" i="7" s="1"/>
  <c r="D7" i="4"/>
  <c r="F7" i="4" s="1"/>
  <c r="D22" i="7" s="1"/>
  <c r="D6" i="4"/>
  <c r="D9" i="4"/>
  <c r="F9" i="4" s="1"/>
  <c r="D24" i="7" s="1"/>
  <c r="D8" i="4"/>
  <c r="F8" i="4" s="1"/>
  <c r="D23" i="7" s="1"/>
  <c r="D11" i="4" l="1"/>
  <c r="D12" i="4" s="1"/>
  <c r="F6" i="4"/>
  <c r="D21" i="7" l="1"/>
  <c r="D26" i="7" s="1"/>
  <c r="D27" i="7" s="1"/>
  <c r="F11" i="4"/>
  <c r="F12" i="4" s="1"/>
</calcChain>
</file>

<file path=xl/sharedStrings.xml><?xml version="1.0" encoding="utf-8"?>
<sst xmlns="http://schemas.openxmlformats.org/spreadsheetml/2006/main" count="551" uniqueCount="270">
  <si>
    <t>%</t>
  </si>
  <si>
    <t>Unit</t>
  </si>
  <si>
    <t>Parameter</t>
  </si>
  <si>
    <t>Source</t>
  </si>
  <si>
    <t>Livestock of a defined population</t>
  </si>
  <si>
    <t>kg</t>
  </si>
  <si>
    <t xml:space="preserve">2006 IPCC guideline, volume 4, chapter 10 </t>
  </si>
  <si>
    <t>Direct N2O Emissions</t>
  </si>
  <si>
    <t xml:space="preserve">                               Value</t>
  </si>
  <si>
    <t xml:space="preserve">                              Value </t>
  </si>
  <si>
    <t>2006 IPCC Guidelines, volume 4, chapter 10</t>
  </si>
  <si>
    <t>kg/animal/day</t>
  </si>
  <si>
    <t>numbers</t>
  </si>
  <si>
    <t>m3 CH4/kg-VS</t>
  </si>
  <si>
    <t xml:space="preserve">                                      Value </t>
  </si>
  <si>
    <t xml:space="preserve">A) Phase I: Anaerobic digester </t>
  </si>
  <si>
    <t xml:space="preserve">Total CH4 emissions </t>
  </si>
  <si>
    <t>B) PHASE II: Aerobic treatment</t>
  </si>
  <si>
    <t>kg N2O-N/kg N</t>
  </si>
  <si>
    <t>LEAKEAGE</t>
  </si>
  <si>
    <t>MCFd</t>
  </si>
  <si>
    <t>Rvs,n</t>
  </si>
  <si>
    <t>from Land Application(tCO2e)</t>
  </si>
  <si>
    <t>at the project site</t>
  </si>
  <si>
    <t>Aproved Global Warming Potential of CH4</t>
  </si>
  <si>
    <t>Max methane producing potential of VS generated, by animal type LT</t>
  </si>
  <si>
    <t>Fraction of manure handled in system j</t>
  </si>
  <si>
    <t>calculated</t>
  </si>
  <si>
    <t xml:space="preserve">calculated </t>
  </si>
  <si>
    <t>Annex 1, ACM0010</t>
  </si>
  <si>
    <t>table 11.3, chapter 11, volume 4, 2006 IPCC</t>
  </si>
  <si>
    <t>Market Swine</t>
  </si>
  <si>
    <t>Breeding Swine</t>
  </si>
  <si>
    <t xml:space="preserve">BASELINE EMISSIONS </t>
  </si>
  <si>
    <t>i) CH4 emissions</t>
  </si>
  <si>
    <t>2006 IPCC default value, vol. 4, ch. 10, tbl. 10.21</t>
  </si>
  <si>
    <t>2006 IPCC default value, vol. 4, ch. 10, tbl. 11.3</t>
  </si>
  <si>
    <t>BASELINE EMISSIONS       BEy =</t>
  </si>
  <si>
    <t>Conservative Factor</t>
  </si>
  <si>
    <t xml:space="preserve">i) Methane emissions from AWMS where gas is captured (PEAD, y): </t>
  </si>
  <si>
    <t>iii) N2O emissions from manure management</t>
  </si>
  <si>
    <t xml:space="preserve">PROJECT EMISSION </t>
  </si>
  <si>
    <t>ii)Methane emissions from disposal of treated manure</t>
  </si>
  <si>
    <t>table 11.1, chapter 11, volume 4, 2006 IPCC</t>
  </si>
  <si>
    <t>Volatile solid for type LT entering AWMS</t>
  </si>
  <si>
    <t>2006 IPCC default value, vol. 4, ch. 10, tbl. 10A-7,8</t>
  </si>
  <si>
    <t>kg/animal-yr</t>
  </si>
  <si>
    <t>Estimation of</t>
  </si>
  <si>
    <t>Project activity emissions</t>
  </si>
  <si>
    <t>baseline emissions</t>
  </si>
  <si>
    <t>leakage</t>
  </si>
  <si>
    <t>overall emission reductions</t>
  </si>
  <si>
    <t>Calulated</t>
  </si>
  <si>
    <t>kg N/1000kg animal mass/day</t>
  </si>
  <si>
    <t>2006 IPCC guideline, volume 4, chapter 10, tbl. 10A-7</t>
  </si>
  <si>
    <t xml:space="preserve">Average market swine mass </t>
  </si>
  <si>
    <t>Annual volatile solid for livestock LT entering all AWMS [on a dry matter weight basis (kg-dm/animal/year)</t>
  </si>
  <si>
    <t>A conservativeness factor should be applied by multiplying MCF values (estimated as per  above bullet) with a value of 0.94, to account for the 20% uncertainty in the MCF values as reported by IPCC 2006</t>
  </si>
  <si>
    <t>Calculated</t>
  </si>
  <si>
    <t>kgN/animal/day</t>
  </si>
  <si>
    <t>days</t>
  </si>
  <si>
    <t>Days per year farm is operational</t>
  </si>
  <si>
    <t>MCF with cons. Factor</t>
  </si>
  <si>
    <t xml:space="preserve">Calculated  </t>
  </si>
  <si>
    <t>2006 IPCC Guidelines, volume 4, chapter 11, table 11.3</t>
  </si>
  <si>
    <t>2006 IPCC default value, vol. 4, ch. 10, tbl.10.22 (According to Chapter 8.2 in US-EPA (2001), "a covered lagoon will not lose NH3-N to the atmosphere")</t>
  </si>
  <si>
    <t>Mass of the animals</t>
    <phoneticPr fontId="0" type="noConversion"/>
  </si>
  <si>
    <t>Unit</t>
    <phoneticPr fontId="0" type="noConversion"/>
  </si>
  <si>
    <t>Source</t>
    <phoneticPr fontId="0" type="noConversion"/>
  </si>
  <si>
    <t xml:space="preserve">Value </t>
    <phoneticPr fontId="0" type="noConversion"/>
  </si>
  <si>
    <t>MWh/yr</t>
    <phoneticPr fontId="0" type="noConversion"/>
  </si>
  <si>
    <t>Parameter</t>
    <phoneticPr fontId="0" type="noConversion"/>
  </si>
  <si>
    <t>Baseline, project and/or leakage emissions from electricity consumption and monitoring of electricity generation</t>
    <phoneticPr fontId="0" type="noConversion"/>
  </si>
  <si>
    <t>t CH4</t>
  </si>
  <si>
    <t>2006 IPCC default value, vol. 4, ch. 10, tbl. 10.21 Anaerobic digester</t>
    <phoneticPr fontId="0" type="noConversion"/>
  </si>
  <si>
    <t xml:space="preserve">2006 IPCC default value, vol. 4, ch. 11, tbl.11.3 </t>
    <phoneticPr fontId="0" type="noConversion"/>
  </si>
  <si>
    <t>TAM</t>
  </si>
  <si>
    <t>2006 IPCC default value, vol. 4, ch. 10, tbl. 10.19</t>
    <phoneticPr fontId="0" type="noConversion"/>
  </si>
  <si>
    <t xml:space="preserve">2006 IPCC default value, vol. 4, ch. 10, tbl.10.22 </t>
    <phoneticPr fontId="0" type="noConversion"/>
  </si>
  <si>
    <t>kg N/animal/year</t>
    <phoneticPr fontId="0" type="noConversion"/>
  </si>
  <si>
    <t>No of heads</t>
    <phoneticPr fontId="0" type="noConversion"/>
  </si>
  <si>
    <t>Project emissions from fossil fuel consumption associated with the anaerobic digester will not be taken into account</t>
    <phoneticPr fontId="0" type="noConversion"/>
  </si>
  <si>
    <t>Density CH4 (20 oC, 1 atm)</t>
    <phoneticPr fontId="0" type="noConversion"/>
  </si>
  <si>
    <r>
      <t>(tCO</t>
    </r>
    <r>
      <rPr>
        <b/>
        <vertAlign val="subscript"/>
        <sz val="11"/>
        <color indexed="8"/>
        <rFont val="Arial"/>
        <family val="2"/>
      </rPr>
      <t>2</t>
    </r>
    <r>
      <rPr>
        <b/>
        <sz val="11"/>
        <color indexed="8"/>
        <rFont val="Arial"/>
        <family val="2"/>
      </rPr>
      <t>e)</t>
    </r>
  </si>
  <si>
    <r>
      <t>(tCO</t>
    </r>
    <r>
      <rPr>
        <b/>
        <vertAlign val="subscript"/>
        <sz val="11"/>
        <color indexed="8"/>
        <rFont val="Arial"/>
        <family val="2"/>
      </rPr>
      <t>2</t>
    </r>
    <r>
      <rPr>
        <b/>
        <sz val="11"/>
        <color indexed="8"/>
        <rFont val="Arial"/>
        <family val="2"/>
      </rPr>
      <t>e)</t>
    </r>
    <phoneticPr fontId="4" type="noConversion"/>
  </si>
  <si>
    <r>
      <t>Total(tCO</t>
    </r>
    <r>
      <rPr>
        <b/>
        <vertAlign val="subscript"/>
        <sz val="11"/>
        <color indexed="8"/>
        <rFont val="Arial"/>
        <family val="2"/>
      </rPr>
      <t>2</t>
    </r>
    <r>
      <rPr>
        <b/>
        <sz val="11"/>
        <color indexed="8"/>
        <rFont val="Arial"/>
        <family val="2"/>
      </rPr>
      <t>e)</t>
    </r>
  </si>
  <si>
    <t>Published by DNA</t>
    <phoneticPr fontId="0" type="noConversion"/>
  </si>
  <si>
    <t>Title of the project activity</t>
  </si>
  <si>
    <t>GS ID of the project activity</t>
    <phoneticPr fontId="14" type="noConversion"/>
  </si>
  <si>
    <t>Version number of this calculation sheet</t>
    <phoneticPr fontId="14" type="noConversion"/>
  </si>
  <si>
    <t>Date</t>
    <phoneticPr fontId="14" type="noConversion"/>
  </si>
  <si>
    <t>Duration of crediting period</t>
    <phoneticPr fontId="14" type="noConversion"/>
  </si>
  <si>
    <t>SDG7</t>
    <phoneticPr fontId="14" type="noConversion"/>
  </si>
  <si>
    <t>Time</t>
    <phoneticPr fontId="14" type="noConversion"/>
  </si>
  <si>
    <t>Total</t>
    <phoneticPr fontId="14" type="noConversion"/>
  </si>
  <si>
    <t>Average</t>
    <phoneticPr fontId="14" type="noConversion"/>
  </si>
  <si>
    <t>SDG8</t>
    <phoneticPr fontId="14" type="noConversion"/>
  </si>
  <si>
    <t>SDG13</t>
    <phoneticPr fontId="14" type="noConversion"/>
  </si>
  <si>
    <t>Time Interval</t>
    <phoneticPr fontId="14" type="noConversion"/>
  </si>
  <si>
    <t>ACM0010 Version 08.0, page 30</t>
    <phoneticPr fontId="14" type="noConversion"/>
  </si>
  <si>
    <t xml:space="preserve">2006 IPCC guideline, volume 4, chapter 10, tbl. 10.17 </t>
    <phoneticPr fontId="14" type="noConversion"/>
  </si>
  <si>
    <t>ACM0010 Version 08.0, page 31</t>
    <phoneticPr fontId="14" type="noConversion"/>
  </si>
  <si>
    <t xml:space="preserve">Calculated  </t>
    <phoneticPr fontId="14" type="noConversion"/>
  </si>
  <si>
    <r>
      <t>m</t>
    </r>
    <r>
      <rPr>
        <vertAlign val="superscript"/>
        <sz val="9"/>
        <color indexed="8"/>
        <rFont val="Verdana"/>
        <family val="2"/>
      </rPr>
      <t>3</t>
    </r>
    <r>
      <rPr>
        <sz val="9"/>
        <color indexed="8"/>
        <rFont val="Verdana"/>
        <family val="2"/>
      </rPr>
      <t xml:space="preserve"> CH</t>
    </r>
    <r>
      <rPr>
        <vertAlign val="subscript"/>
        <sz val="9"/>
        <color indexed="8"/>
        <rFont val="Verdana"/>
        <family val="2"/>
      </rPr>
      <t>4</t>
    </r>
    <r>
      <rPr>
        <sz val="9"/>
        <color indexed="8"/>
        <rFont val="Verdana"/>
        <family val="2"/>
      </rPr>
      <t xml:space="preserve"> /kg VS</t>
    </r>
    <phoneticPr fontId="14" type="noConversion"/>
  </si>
  <si>
    <t>kg/hd/day</t>
    <phoneticPr fontId="14" type="noConversion"/>
  </si>
  <si>
    <t>Methane Conversion Factor for the baseline AWMSj / T=19.8 degrees celcius</t>
    <phoneticPr fontId="0" type="noConversion"/>
  </si>
  <si>
    <t>kg N/animal/year</t>
  </si>
  <si>
    <t>ACM0010 Version 08.0, page 14</t>
    <phoneticPr fontId="14" type="noConversion"/>
  </si>
  <si>
    <t>Page 12 of tool 14: Project and leakage emissions from anaerobic digesters(Version 02.0)</t>
    <phoneticPr fontId="14" type="noConversion"/>
  </si>
  <si>
    <t>Calculated</t>
    <phoneticPr fontId="0" type="noConversion"/>
  </si>
  <si>
    <t>No of heads</t>
  </si>
  <si>
    <r>
      <t>tCO</t>
    </r>
    <r>
      <rPr>
        <vertAlign val="subscript"/>
        <sz val="9"/>
        <rFont val="Verdana"/>
        <family val="2"/>
      </rPr>
      <t>2</t>
    </r>
    <r>
      <rPr>
        <sz val="9"/>
        <rFont val="Verdana"/>
        <family val="2"/>
      </rPr>
      <t>/MWh</t>
    </r>
    <phoneticPr fontId="0" type="noConversion"/>
  </si>
  <si>
    <r>
      <t>tCO</t>
    </r>
    <r>
      <rPr>
        <vertAlign val="subscript"/>
        <sz val="9"/>
        <rFont val="Verdana"/>
        <family val="2"/>
      </rPr>
      <t>2</t>
    </r>
    <r>
      <rPr>
        <sz val="9"/>
        <rFont val="Verdana"/>
        <family val="2"/>
      </rPr>
      <t>e</t>
    </r>
    <phoneticPr fontId="0" type="noConversion"/>
  </si>
  <si>
    <r>
      <t>GWP</t>
    </r>
    <r>
      <rPr>
        <i/>
        <vertAlign val="subscript"/>
        <sz val="9"/>
        <color indexed="8"/>
        <rFont val="Verdana"/>
        <family val="2"/>
      </rPr>
      <t>CH4</t>
    </r>
    <phoneticPr fontId="0" type="noConversion"/>
  </si>
  <si>
    <r>
      <t>EF</t>
    </r>
    <r>
      <rPr>
        <i/>
        <vertAlign val="subscript"/>
        <sz val="9"/>
        <color indexed="8"/>
        <rFont val="Verdana"/>
        <family val="2"/>
      </rPr>
      <t>CH4,default</t>
    </r>
    <phoneticPr fontId="0" type="noConversion"/>
  </si>
  <si>
    <r>
      <t>Q</t>
    </r>
    <r>
      <rPr>
        <vertAlign val="subscript"/>
        <sz val="9"/>
        <rFont val="Verdana"/>
        <family val="2"/>
      </rPr>
      <t>CH4,y</t>
    </r>
    <phoneticPr fontId="0" type="noConversion"/>
  </si>
  <si>
    <r>
      <t>PE</t>
    </r>
    <r>
      <rPr>
        <b/>
        <vertAlign val="subscript"/>
        <sz val="9"/>
        <rFont val="Verdana"/>
        <family val="2"/>
      </rPr>
      <t>CH4,y</t>
    </r>
    <phoneticPr fontId="0" type="noConversion"/>
  </si>
  <si>
    <r>
      <t>PE</t>
    </r>
    <r>
      <rPr>
        <b/>
        <vertAlign val="subscript"/>
        <sz val="9"/>
        <rFont val="Verdana"/>
        <family val="2"/>
      </rPr>
      <t>flare,y</t>
    </r>
    <phoneticPr fontId="0" type="noConversion"/>
  </si>
  <si>
    <r>
      <t>GWP</t>
    </r>
    <r>
      <rPr>
        <i/>
        <vertAlign val="subscript"/>
        <sz val="9"/>
        <color indexed="8"/>
        <rFont val="Verdana"/>
        <family val="2"/>
      </rPr>
      <t>CH4</t>
    </r>
  </si>
  <si>
    <r>
      <t>D</t>
    </r>
    <r>
      <rPr>
        <i/>
        <vertAlign val="subscript"/>
        <sz val="9"/>
        <color indexed="8"/>
        <rFont val="Verdana"/>
        <family val="2"/>
      </rPr>
      <t>CH4</t>
    </r>
  </si>
  <si>
    <r>
      <t>PE</t>
    </r>
    <r>
      <rPr>
        <b/>
        <vertAlign val="subscript"/>
        <sz val="9"/>
        <color indexed="9"/>
        <rFont val="Verdana"/>
        <family val="2"/>
      </rPr>
      <t>N2O,Y</t>
    </r>
    <r>
      <rPr>
        <b/>
        <sz val="9"/>
        <color indexed="9"/>
        <rFont val="Verdana"/>
        <family val="2"/>
      </rPr>
      <t>=310*(44/28)*1/1000*EF</t>
    </r>
    <r>
      <rPr>
        <b/>
        <vertAlign val="subscript"/>
        <sz val="9"/>
        <color indexed="9"/>
        <rFont val="Verdana"/>
        <family val="2"/>
      </rPr>
      <t>N2O</t>
    </r>
    <r>
      <rPr>
        <b/>
        <sz val="9"/>
        <color indexed="9"/>
        <rFont val="Verdana"/>
        <family val="2"/>
      </rPr>
      <t>*NEX*N</t>
    </r>
  </si>
  <si>
    <r>
      <t>kg N</t>
    </r>
    <r>
      <rPr>
        <vertAlign val="subscript"/>
        <sz val="9"/>
        <rFont val="Verdana"/>
        <family val="2"/>
      </rPr>
      <t>2</t>
    </r>
    <r>
      <rPr>
        <sz val="9"/>
        <rFont val="Verdana"/>
        <family val="2"/>
      </rPr>
      <t>O-N/kg N</t>
    </r>
    <phoneticPr fontId="14" type="noConversion"/>
  </si>
  <si>
    <r>
      <t>MS%</t>
    </r>
    <r>
      <rPr>
        <vertAlign val="subscript"/>
        <sz val="9"/>
        <rFont val="Verdana"/>
        <family val="2"/>
      </rPr>
      <t>j</t>
    </r>
    <phoneticPr fontId="0" type="noConversion"/>
  </si>
  <si>
    <r>
      <t>EF</t>
    </r>
    <r>
      <rPr>
        <vertAlign val="subscript"/>
        <sz val="9"/>
        <rFont val="Verdana"/>
        <family val="2"/>
      </rPr>
      <t xml:space="preserve">N2O,D,j </t>
    </r>
    <phoneticPr fontId="0" type="noConversion"/>
  </si>
  <si>
    <r>
      <t>NEX</t>
    </r>
    <r>
      <rPr>
        <vertAlign val="subscript"/>
        <sz val="9"/>
        <rFont val="Verdana"/>
        <family val="2"/>
      </rPr>
      <t>LT,y</t>
    </r>
    <phoneticPr fontId="0" type="noConversion"/>
  </si>
  <si>
    <r>
      <t>N</t>
    </r>
    <r>
      <rPr>
        <vertAlign val="subscript"/>
        <sz val="9"/>
        <rFont val="Verdana"/>
        <family val="2"/>
      </rPr>
      <t>LT</t>
    </r>
    <phoneticPr fontId="0" type="noConversion"/>
  </si>
  <si>
    <t>2006 IPCC default value, vol. 4, ch. 10, tbl. 10.21,</t>
    <phoneticPr fontId="14" type="noConversion"/>
  </si>
  <si>
    <r>
      <t>F</t>
    </r>
    <r>
      <rPr>
        <vertAlign val="subscript"/>
        <sz val="9"/>
        <rFont val="Verdana"/>
        <family val="2"/>
      </rPr>
      <t>gasm</t>
    </r>
    <phoneticPr fontId="0" type="noConversion"/>
  </si>
  <si>
    <r>
      <t>GWP</t>
    </r>
    <r>
      <rPr>
        <vertAlign val="subscript"/>
        <sz val="9"/>
        <rFont val="Verdana"/>
        <family val="2"/>
      </rPr>
      <t>N2O</t>
    </r>
    <phoneticPr fontId="0" type="noConversion"/>
  </si>
  <si>
    <r>
      <t>EF</t>
    </r>
    <r>
      <rPr>
        <vertAlign val="subscript"/>
        <sz val="9"/>
        <rFont val="Verdana"/>
        <family val="2"/>
      </rPr>
      <t>N2O,iD,j</t>
    </r>
    <r>
      <rPr>
        <sz val="9"/>
        <rFont val="Verdana"/>
        <family val="2"/>
      </rPr>
      <t xml:space="preserve"> </t>
    </r>
    <phoneticPr fontId="0" type="noConversion"/>
  </si>
  <si>
    <r>
      <t>E</t>
    </r>
    <r>
      <rPr>
        <b/>
        <vertAlign val="subscript"/>
        <sz val="9"/>
        <rFont val="Verdana"/>
        <family val="2"/>
      </rPr>
      <t>N2O,D,y</t>
    </r>
    <phoneticPr fontId="0" type="noConversion"/>
  </si>
  <si>
    <t>IPCC AR5</t>
  </si>
  <si>
    <t>IPCC AR5</t>
    <phoneticPr fontId="0" type="noConversion"/>
  </si>
  <si>
    <t>kg N2O/kg N</t>
  </si>
  <si>
    <r>
      <t>Global Warming Potential tCO</t>
    </r>
    <r>
      <rPr>
        <vertAlign val="subscript"/>
        <sz val="9"/>
        <rFont val="Verdana"/>
        <family val="2"/>
      </rPr>
      <t>2</t>
    </r>
    <r>
      <rPr>
        <sz val="9"/>
        <rFont val="Verdana"/>
        <family val="2"/>
      </rPr>
      <t>/tN</t>
    </r>
    <r>
      <rPr>
        <vertAlign val="subscript"/>
        <sz val="9"/>
        <rFont val="Verdana"/>
        <family val="2"/>
      </rPr>
      <t>2</t>
    </r>
    <r>
      <rPr>
        <sz val="9"/>
        <rFont val="Verdana"/>
        <family val="2"/>
      </rPr>
      <t>O</t>
    </r>
    <phoneticPr fontId="0" type="noConversion"/>
  </si>
  <si>
    <r>
      <t>tCO</t>
    </r>
    <r>
      <rPr>
        <vertAlign val="subscript"/>
        <sz val="9"/>
        <rFont val="Verdana"/>
        <family val="2"/>
      </rPr>
      <t>2</t>
    </r>
    <r>
      <rPr>
        <sz val="9"/>
        <rFont val="Verdana"/>
        <family val="2"/>
      </rPr>
      <t>/tN2O</t>
    </r>
    <phoneticPr fontId="0" type="noConversion"/>
  </si>
  <si>
    <r>
      <t>tCO</t>
    </r>
    <r>
      <rPr>
        <vertAlign val="subscript"/>
        <sz val="9"/>
        <rFont val="Verdana"/>
        <family val="2"/>
      </rPr>
      <t>2</t>
    </r>
    <r>
      <rPr>
        <sz val="9"/>
        <rFont val="Verdana"/>
        <family val="2"/>
      </rPr>
      <t>/tCH</t>
    </r>
    <r>
      <rPr>
        <vertAlign val="subscript"/>
        <sz val="9"/>
        <rFont val="Verdana"/>
        <family val="2"/>
      </rPr>
      <t>4</t>
    </r>
    <phoneticPr fontId="0" type="noConversion"/>
  </si>
  <si>
    <r>
      <t>EF</t>
    </r>
    <r>
      <rPr>
        <vertAlign val="subscript"/>
        <sz val="9"/>
        <rFont val="Verdana"/>
        <family val="2"/>
      </rPr>
      <t>1</t>
    </r>
    <phoneticPr fontId="0" type="noConversion"/>
  </si>
  <si>
    <r>
      <t>kg N</t>
    </r>
    <r>
      <rPr>
        <vertAlign val="subscript"/>
        <sz val="9"/>
        <rFont val="Verdana"/>
        <family val="2"/>
      </rPr>
      <t>2</t>
    </r>
    <r>
      <rPr>
        <sz val="9"/>
        <rFont val="Verdana"/>
        <family val="2"/>
      </rPr>
      <t>O-N/kg N</t>
    </r>
    <phoneticPr fontId="0" type="noConversion"/>
  </si>
  <si>
    <r>
      <t>EF</t>
    </r>
    <r>
      <rPr>
        <vertAlign val="subscript"/>
        <sz val="9"/>
        <rFont val="Verdana"/>
        <family val="2"/>
      </rPr>
      <t>5</t>
    </r>
    <phoneticPr fontId="0" type="noConversion"/>
  </si>
  <si>
    <r>
      <t>EF</t>
    </r>
    <r>
      <rPr>
        <vertAlign val="subscript"/>
        <sz val="9"/>
        <rFont val="Verdana"/>
        <family val="2"/>
      </rPr>
      <t>4</t>
    </r>
    <phoneticPr fontId="0" type="noConversion"/>
  </si>
  <si>
    <r>
      <t>F</t>
    </r>
    <r>
      <rPr>
        <vertAlign val="subscript"/>
        <sz val="9"/>
        <rFont val="Verdana"/>
        <family val="2"/>
      </rPr>
      <t>leach</t>
    </r>
    <phoneticPr fontId="0" type="noConversion"/>
  </si>
  <si>
    <r>
      <t>kg NH</t>
    </r>
    <r>
      <rPr>
        <vertAlign val="subscript"/>
        <sz val="9"/>
        <rFont val="Verdana"/>
        <family val="2"/>
      </rPr>
      <t>3</t>
    </r>
    <r>
      <rPr>
        <sz val="9"/>
        <rFont val="Verdana"/>
        <family val="2"/>
      </rPr>
      <t>-N,NOx-N/kg N</t>
    </r>
    <phoneticPr fontId="0" type="noConversion"/>
  </si>
  <si>
    <r>
      <t>tCO</t>
    </r>
    <r>
      <rPr>
        <vertAlign val="subscript"/>
        <sz val="9"/>
        <rFont val="Verdana"/>
        <family val="2"/>
      </rPr>
      <t>2</t>
    </r>
    <r>
      <rPr>
        <sz val="9"/>
        <rFont val="Verdana"/>
        <family val="2"/>
      </rPr>
      <t>/tN</t>
    </r>
    <r>
      <rPr>
        <vertAlign val="subscript"/>
        <sz val="9"/>
        <rFont val="Verdana"/>
        <family val="2"/>
      </rPr>
      <t>2</t>
    </r>
    <r>
      <rPr>
        <sz val="9"/>
        <rFont val="Verdana"/>
        <family val="2"/>
      </rPr>
      <t>O</t>
    </r>
    <phoneticPr fontId="0" type="noConversion"/>
  </si>
  <si>
    <r>
      <t>B</t>
    </r>
    <r>
      <rPr>
        <vertAlign val="subscript"/>
        <sz val="9"/>
        <rFont val="Verdana"/>
        <family val="2"/>
      </rPr>
      <t>0</t>
    </r>
    <r>
      <rPr>
        <sz val="10"/>
        <rFont val="Arial"/>
        <family val="2"/>
      </rPr>
      <t/>
    </r>
  </si>
  <si>
    <r>
      <t>a. LE</t>
    </r>
    <r>
      <rPr>
        <i/>
        <sz val="9"/>
        <color indexed="9"/>
        <rFont val="Verdana"/>
        <family val="2"/>
      </rPr>
      <t xml:space="preserve">B,CH4 </t>
    </r>
    <r>
      <rPr>
        <b/>
        <sz val="9"/>
        <color indexed="9"/>
        <rFont val="Verdana"/>
        <family val="2"/>
      </rPr>
      <t>CH4- land application</t>
    </r>
  </si>
  <si>
    <r>
      <t>VS</t>
    </r>
    <r>
      <rPr>
        <i/>
        <sz val="9"/>
        <color indexed="9"/>
        <rFont val="Verdana"/>
        <family val="2"/>
      </rPr>
      <t>LT,M</t>
    </r>
  </si>
  <si>
    <r>
      <t>N</t>
    </r>
    <r>
      <rPr>
        <i/>
        <vertAlign val="subscript"/>
        <sz val="9"/>
        <color indexed="9"/>
        <rFont val="Verdana"/>
        <family val="2"/>
      </rPr>
      <t>population(head, animal population)</t>
    </r>
  </si>
  <si>
    <r>
      <t>B</t>
    </r>
    <r>
      <rPr>
        <i/>
        <sz val="9"/>
        <color indexed="9"/>
        <rFont val="Verdana"/>
        <family val="2"/>
      </rPr>
      <t>0,LT</t>
    </r>
  </si>
  <si>
    <r>
      <t>LE</t>
    </r>
    <r>
      <rPr>
        <i/>
        <vertAlign val="subscript"/>
        <sz val="9"/>
        <rFont val="Verdana"/>
        <family val="2"/>
      </rPr>
      <t>N2O,vol</t>
    </r>
    <phoneticPr fontId="0" type="noConversion"/>
  </si>
  <si>
    <r>
      <t>GWP</t>
    </r>
    <r>
      <rPr>
        <vertAlign val="subscript"/>
        <sz val="9"/>
        <rFont val="Verdana"/>
        <family val="2"/>
      </rPr>
      <t>CH4</t>
    </r>
    <phoneticPr fontId="0" type="noConversion"/>
  </si>
  <si>
    <r>
      <t>D</t>
    </r>
    <r>
      <rPr>
        <vertAlign val="subscript"/>
        <sz val="9"/>
        <rFont val="Verdana"/>
        <family val="2"/>
      </rPr>
      <t>CH4</t>
    </r>
    <phoneticPr fontId="0" type="noConversion"/>
  </si>
  <si>
    <r>
      <t>MCF</t>
    </r>
    <r>
      <rPr>
        <vertAlign val="subscript"/>
        <sz val="9"/>
        <rFont val="Verdana"/>
        <family val="2"/>
      </rPr>
      <t>d</t>
    </r>
    <phoneticPr fontId="0" type="noConversion"/>
  </si>
  <si>
    <r>
      <t>VS</t>
    </r>
    <r>
      <rPr>
        <vertAlign val="subscript"/>
        <sz val="9"/>
        <rFont val="Verdana"/>
        <family val="2"/>
      </rPr>
      <t>LT,y</t>
    </r>
    <phoneticPr fontId="0" type="noConversion"/>
  </si>
  <si>
    <r>
      <t>R</t>
    </r>
    <r>
      <rPr>
        <vertAlign val="subscript"/>
        <sz val="9"/>
        <rFont val="Verdana"/>
        <family val="2"/>
      </rPr>
      <t xml:space="preserve">VS </t>
    </r>
    <phoneticPr fontId="0" type="noConversion"/>
  </si>
  <si>
    <r>
      <t>NEX</t>
    </r>
    <r>
      <rPr>
        <vertAlign val="subscript"/>
        <sz val="9"/>
        <rFont val="Verdana"/>
        <family val="2"/>
      </rPr>
      <t>LT</t>
    </r>
    <phoneticPr fontId="0" type="noConversion"/>
  </si>
  <si>
    <r>
      <t>t/m</t>
    </r>
    <r>
      <rPr>
        <vertAlign val="superscript"/>
        <sz val="9"/>
        <rFont val="Verdana"/>
        <family val="2"/>
      </rPr>
      <t>3</t>
    </r>
    <phoneticPr fontId="0" type="noConversion"/>
  </si>
  <si>
    <r>
      <t>m</t>
    </r>
    <r>
      <rPr>
        <vertAlign val="superscript"/>
        <sz val="9"/>
        <rFont val="Verdana"/>
        <family val="2"/>
      </rPr>
      <t>3</t>
    </r>
    <r>
      <rPr>
        <sz val="9"/>
        <rFont val="Verdana"/>
        <family val="2"/>
      </rPr>
      <t xml:space="preserve"> CH</t>
    </r>
    <r>
      <rPr>
        <vertAlign val="subscript"/>
        <sz val="9"/>
        <rFont val="Verdana"/>
        <family val="2"/>
      </rPr>
      <t>4</t>
    </r>
    <r>
      <rPr>
        <sz val="9"/>
        <rFont val="Verdana"/>
        <family val="2"/>
      </rPr>
      <t>/kg-VS</t>
    </r>
    <phoneticPr fontId="0" type="noConversion"/>
  </si>
  <si>
    <r>
      <t>R</t>
    </r>
    <r>
      <rPr>
        <vertAlign val="subscript"/>
        <sz val="9"/>
        <rFont val="Verdana"/>
        <family val="2"/>
      </rPr>
      <t>VS</t>
    </r>
    <phoneticPr fontId="0" type="noConversion"/>
  </si>
  <si>
    <t>LEAKAGE LEy =</t>
    <phoneticPr fontId="0" type="noConversion"/>
  </si>
  <si>
    <t>Time</t>
    <phoneticPr fontId="4" type="noConversion"/>
  </si>
  <si>
    <r>
      <t>Average(tCO</t>
    </r>
    <r>
      <rPr>
        <b/>
        <vertAlign val="subscript"/>
        <sz val="9"/>
        <color indexed="8"/>
        <rFont val="Verdana"/>
        <family val="2"/>
      </rPr>
      <t>2</t>
    </r>
    <r>
      <rPr>
        <b/>
        <sz val="9"/>
        <color indexed="8"/>
        <rFont val="Verdana"/>
        <family val="2"/>
      </rPr>
      <t>e)</t>
    </r>
    <phoneticPr fontId="14" type="noConversion"/>
  </si>
  <si>
    <r>
      <t>E</t>
    </r>
    <r>
      <rPr>
        <b/>
        <vertAlign val="subscript"/>
        <sz val="9"/>
        <rFont val="Verdana"/>
        <family val="2"/>
      </rPr>
      <t>N2O,ID,j</t>
    </r>
    <phoneticPr fontId="0" type="noConversion"/>
  </si>
  <si>
    <r>
      <t>t/m</t>
    </r>
    <r>
      <rPr>
        <vertAlign val="superscript"/>
        <sz val="9"/>
        <color indexed="8"/>
        <rFont val="Verdana"/>
        <family val="2"/>
      </rPr>
      <t>3</t>
    </r>
    <phoneticPr fontId="0" type="noConversion"/>
  </si>
  <si>
    <r>
      <t>MCF</t>
    </r>
    <r>
      <rPr>
        <vertAlign val="subscript"/>
        <sz val="9"/>
        <color indexed="8"/>
        <rFont val="Verdana"/>
        <family val="2"/>
      </rPr>
      <t>j</t>
    </r>
    <phoneticPr fontId="0" type="noConversion"/>
  </si>
  <si>
    <r>
      <t>W</t>
    </r>
    <r>
      <rPr>
        <vertAlign val="subscript"/>
        <sz val="9"/>
        <color indexed="8"/>
        <rFont val="Verdana"/>
        <family val="2"/>
      </rPr>
      <t>site</t>
    </r>
    <phoneticPr fontId="0" type="noConversion"/>
  </si>
  <si>
    <r>
      <t>W</t>
    </r>
    <r>
      <rPr>
        <vertAlign val="subscript"/>
        <sz val="9"/>
        <color indexed="8"/>
        <rFont val="Verdana"/>
        <family val="2"/>
      </rPr>
      <t>default</t>
    </r>
    <phoneticPr fontId="0" type="noConversion"/>
  </si>
  <si>
    <r>
      <t>ii) N</t>
    </r>
    <r>
      <rPr>
        <b/>
        <vertAlign val="subscript"/>
        <sz val="9"/>
        <rFont val="Verdana"/>
        <family val="2"/>
      </rPr>
      <t>2</t>
    </r>
    <r>
      <rPr>
        <b/>
        <sz val="9"/>
        <rFont val="Verdana"/>
        <family val="2"/>
      </rPr>
      <t>O emissions</t>
    </r>
    <phoneticPr fontId="0" type="noConversion"/>
  </si>
  <si>
    <r>
      <t>EF</t>
    </r>
    <r>
      <rPr>
        <i/>
        <vertAlign val="subscript"/>
        <sz val="9"/>
        <rFont val="Verdana"/>
        <family val="2"/>
      </rPr>
      <t>N2O,D,j</t>
    </r>
  </si>
  <si>
    <r>
      <t>NEX</t>
    </r>
    <r>
      <rPr>
        <i/>
        <vertAlign val="subscript"/>
        <sz val="9"/>
        <rFont val="Verdana"/>
        <family val="2"/>
      </rPr>
      <t>LT,y</t>
    </r>
    <phoneticPr fontId="0" type="noConversion"/>
  </si>
  <si>
    <r>
      <t>kg N</t>
    </r>
    <r>
      <rPr>
        <vertAlign val="subscript"/>
        <sz val="9"/>
        <rFont val="Verdana"/>
        <family val="2"/>
      </rPr>
      <t>2</t>
    </r>
    <r>
      <rPr>
        <sz val="9"/>
        <rFont val="Verdana"/>
        <family val="2"/>
      </rPr>
      <t>O/kg N</t>
    </r>
    <phoneticPr fontId="0" type="noConversion"/>
  </si>
  <si>
    <r>
      <t>Conversion Factor N</t>
    </r>
    <r>
      <rPr>
        <vertAlign val="subscript"/>
        <sz val="9"/>
        <rFont val="Verdana"/>
        <family val="2"/>
      </rPr>
      <t>2</t>
    </r>
    <r>
      <rPr>
        <sz val="9"/>
        <rFont val="Verdana"/>
        <family val="2"/>
      </rPr>
      <t>O-N to N</t>
    </r>
    <r>
      <rPr>
        <vertAlign val="subscript"/>
        <sz val="9"/>
        <rFont val="Verdana"/>
        <family val="2"/>
      </rPr>
      <t>2</t>
    </r>
    <r>
      <rPr>
        <sz val="9"/>
        <rFont val="Verdana"/>
        <family val="2"/>
      </rPr>
      <t>O</t>
    </r>
    <phoneticPr fontId="0" type="noConversion"/>
  </si>
  <si>
    <r>
      <t>NEX</t>
    </r>
    <r>
      <rPr>
        <i/>
        <vertAlign val="subscript"/>
        <sz val="9"/>
        <rFont val="Verdana"/>
        <family val="2"/>
      </rPr>
      <t>IPCCdefault</t>
    </r>
    <phoneticPr fontId="0" type="noConversion"/>
  </si>
  <si>
    <r>
      <t>W</t>
    </r>
    <r>
      <rPr>
        <i/>
        <vertAlign val="subscript"/>
        <sz val="9"/>
        <rFont val="Verdana"/>
        <family val="2"/>
      </rPr>
      <t>site</t>
    </r>
    <phoneticPr fontId="0" type="noConversion"/>
  </si>
  <si>
    <r>
      <t>W</t>
    </r>
    <r>
      <rPr>
        <i/>
        <vertAlign val="subscript"/>
        <sz val="9"/>
        <rFont val="Verdana"/>
        <family val="2"/>
      </rPr>
      <t>default</t>
    </r>
    <phoneticPr fontId="0" type="noConversion"/>
  </si>
  <si>
    <r>
      <t>N</t>
    </r>
    <r>
      <rPr>
        <i/>
        <vertAlign val="subscript"/>
        <sz val="9"/>
        <rFont val="Verdana"/>
        <family val="2"/>
      </rPr>
      <t>LT</t>
    </r>
    <phoneticPr fontId="0" type="noConversion"/>
  </si>
  <si>
    <r>
      <t>i) Estimation of N</t>
    </r>
    <r>
      <rPr>
        <vertAlign val="subscript"/>
        <sz val="9"/>
        <rFont val="Verdana"/>
        <family val="2"/>
      </rPr>
      <t>2</t>
    </r>
    <r>
      <rPr>
        <sz val="9"/>
        <rFont val="Verdana"/>
        <family val="2"/>
      </rPr>
      <t xml:space="preserve">O emissions: </t>
    </r>
    <phoneticPr fontId="0" type="noConversion"/>
  </si>
  <si>
    <r>
      <t>LE</t>
    </r>
    <r>
      <rPr>
        <b/>
        <vertAlign val="subscript"/>
        <sz val="9"/>
        <rFont val="Verdana"/>
        <family val="2"/>
      </rPr>
      <t>PJ</t>
    </r>
    <r>
      <rPr>
        <i/>
        <vertAlign val="subscript"/>
        <sz val="9"/>
        <rFont val="Verdana"/>
        <family val="2"/>
      </rPr>
      <t>,N2O</t>
    </r>
    <phoneticPr fontId="0" type="noConversion"/>
  </si>
  <si>
    <r>
      <t>B</t>
    </r>
    <r>
      <rPr>
        <vertAlign val="subscript"/>
        <sz val="9"/>
        <rFont val="Verdana"/>
        <family val="2"/>
      </rPr>
      <t>o,LT</t>
    </r>
    <phoneticPr fontId="0" type="noConversion"/>
  </si>
  <si>
    <r>
      <t>LE</t>
    </r>
    <r>
      <rPr>
        <vertAlign val="subscript"/>
        <sz val="9"/>
        <rFont val="Verdana"/>
        <family val="2"/>
      </rPr>
      <t>N2O,land,y</t>
    </r>
    <phoneticPr fontId="0" type="noConversion"/>
  </si>
  <si>
    <r>
      <t>LE</t>
    </r>
    <r>
      <rPr>
        <vertAlign val="subscript"/>
        <sz val="9"/>
        <rFont val="Verdana"/>
        <family val="2"/>
      </rPr>
      <t>N2O,runoff,y</t>
    </r>
    <phoneticPr fontId="0" type="noConversion"/>
  </si>
  <si>
    <r>
      <t>LE</t>
    </r>
    <r>
      <rPr>
        <vertAlign val="subscript"/>
        <sz val="9"/>
        <rFont val="Verdana"/>
        <family val="2"/>
      </rPr>
      <t>N2O,vol,y</t>
    </r>
    <phoneticPr fontId="0" type="noConversion"/>
  </si>
  <si>
    <r>
      <t>R</t>
    </r>
    <r>
      <rPr>
        <i/>
        <vertAlign val="subscript"/>
        <sz val="9"/>
        <rFont val="Verdana"/>
        <family val="2"/>
      </rPr>
      <t>N,n</t>
    </r>
    <phoneticPr fontId="0" type="noConversion"/>
  </si>
  <si>
    <r>
      <t>LE</t>
    </r>
    <r>
      <rPr>
        <i/>
        <vertAlign val="subscript"/>
        <sz val="9"/>
        <rFont val="Verdana"/>
        <family val="2"/>
      </rPr>
      <t>N2O,land</t>
    </r>
    <r>
      <rPr>
        <vertAlign val="subscript"/>
        <sz val="9"/>
        <rFont val="Verdana"/>
        <family val="2"/>
      </rPr>
      <t>,y</t>
    </r>
    <phoneticPr fontId="0" type="noConversion"/>
  </si>
  <si>
    <r>
      <t>LE</t>
    </r>
    <r>
      <rPr>
        <i/>
        <vertAlign val="subscript"/>
        <sz val="9"/>
        <rFont val="Verdana"/>
        <family val="2"/>
      </rPr>
      <t>N2O,runoff</t>
    </r>
    <r>
      <rPr>
        <vertAlign val="subscript"/>
        <sz val="9"/>
        <rFont val="Verdana"/>
        <family val="2"/>
      </rPr>
      <t>,y</t>
    </r>
    <phoneticPr fontId="0" type="noConversion"/>
  </si>
  <si>
    <r>
      <t>LE</t>
    </r>
    <r>
      <rPr>
        <b/>
        <vertAlign val="subscript"/>
        <sz val="9"/>
        <rFont val="Verdana"/>
        <family val="2"/>
      </rPr>
      <t>BL,CH4,y</t>
    </r>
    <phoneticPr fontId="0" type="noConversion"/>
  </si>
  <si>
    <r>
      <t>LE</t>
    </r>
    <r>
      <rPr>
        <b/>
        <vertAlign val="subscript"/>
        <sz val="9"/>
        <rFont val="Verdana"/>
        <family val="2"/>
      </rPr>
      <t xml:space="preserve"> PJ</t>
    </r>
    <r>
      <rPr>
        <b/>
        <i/>
        <vertAlign val="subscript"/>
        <sz val="9"/>
        <rFont val="Verdana"/>
        <family val="2"/>
      </rPr>
      <t>,CH4</t>
    </r>
    <r>
      <rPr>
        <b/>
        <vertAlign val="subscript"/>
        <sz val="9"/>
        <rFont val="Verdana"/>
        <family val="2"/>
      </rPr>
      <t xml:space="preserve"> ,y</t>
    </r>
    <phoneticPr fontId="0" type="noConversion"/>
  </si>
  <si>
    <r>
      <t>E</t>
    </r>
    <r>
      <rPr>
        <b/>
        <vertAlign val="subscript"/>
        <sz val="9"/>
        <rFont val="Verdana"/>
        <family val="2"/>
      </rPr>
      <t>N2O,ID,y</t>
    </r>
    <phoneticPr fontId="0" type="noConversion"/>
  </si>
  <si>
    <r>
      <t>LE</t>
    </r>
    <r>
      <rPr>
        <b/>
        <vertAlign val="subscript"/>
        <sz val="9"/>
        <rFont val="Verdana"/>
        <family val="2"/>
      </rPr>
      <t>BL,N2O,y</t>
    </r>
    <phoneticPr fontId="0" type="noConversion"/>
  </si>
  <si>
    <t>Clarification</t>
    <phoneticPr fontId="0" type="noConversion"/>
  </si>
  <si>
    <r>
      <t>B</t>
    </r>
    <r>
      <rPr>
        <i/>
        <vertAlign val="subscript"/>
        <sz val="9"/>
        <color indexed="8"/>
        <rFont val="Verdana"/>
        <family val="2"/>
      </rPr>
      <t>o,LT</t>
    </r>
    <phoneticPr fontId="0" type="noConversion"/>
  </si>
  <si>
    <t>kg-dm/animal/yr</t>
    <phoneticPr fontId="14" type="noConversion"/>
  </si>
  <si>
    <r>
      <t>VS</t>
    </r>
    <r>
      <rPr>
        <vertAlign val="subscript"/>
        <sz val="9"/>
        <color indexed="8"/>
        <rFont val="Verdana"/>
        <family val="2"/>
      </rPr>
      <t>default</t>
    </r>
    <phoneticPr fontId="0" type="noConversion"/>
  </si>
  <si>
    <r>
      <t>VS</t>
    </r>
    <r>
      <rPr>
        <vertAlign val="subscript"/>
        <sz val="9"/>
        <color indexed="8"/>
        <rFont val="Verdana"/>
        <family val="2"/>
      </rPr>
      <t>LT,y</t>
    </r>
    <phoneticPr fontId="0" type="noConversion"/>
  </si>
  <si>
    <r>
      <t>N</t>
    </r>
    <r>
      <rPr>
        <i/>
        <vertAlign val="subscript"/>
        <sz val="9"/>
        <rFont val="Verdana"/>
        <family val="2"/>
      </rPr>
      <t>rate(T)</t>
    </r>
    <phoneticPr fontId="0" type="noConversion"/>
  </si>
  <si>
    <r>
      <t>n</t>
    </r>
    <r>
      <rPr>
        <vertAlign val="subscript"/>
        <sz val="9"/>
        <color indexed="8"/>
        <rFont val="Verdana"/>
        <family val="2"/>
      </rPr>
      <t>dy</t>
    </r>
    <phoneticPr fontId="0" type="noConversion"/>
  </si>
  <si>
    <t>2006 IPCC guideline, volume 4, chapter 10, tbl. 10A-7</t>
    <phoneticPr fontId="0" type="noConversion"/>
  </si>
  <si>
    <r>
      <t>Indirect N</t>
    </r>
    <r>
      <rPr>
        <b/>
        <vertAlign val="subscript"/>
        <sz val="9"/>
        <rFont val="Verdana"/>
        <family val="2"/>
      </rPr>
      <t>2</t>
    </r>
    <r>
      <rPr>
        <b/>
        <sz val="9"/>
        <rFont val="Verdana"/>
        <family val="2"/>
      </rPr>
      <t>O Emissions</t>
    </r>
    <phoneticPr fontId="0" type="noConversion"/>
  </si>
  <si>
    <r>
      <t>EF</t>
    </r>
    <r>
      <rPr>
        <i/>
        <vertAlign val="subscript"/>
        <sz val="9"/>
        <rFont val="Verdana"/>
        <family val="2"/>
      </rPr>
      <t>N2O,ID</t>
    </r>
    <phoneticPr fontId="0" type="noConversion"/>
  </si>
  <si>
    <r>
      <t>F</t>
    </r>
    <r>
      <rPr>
        <i/>
        <vertAlign val="subscript"/>
        <sz val="9"/>
        <rFont val="Verdana"/>
        <family val="2"/>
      </rPr>
      <t>gasMS,j,LT</t>
    </r>
    <phoneticPr fontId="0" type="noConversion"/>
  </si>
  <si>
    <r>
      <t>CF</t>
    </r>
    <r>
      <rPr>
        <vertAlign val="subscript"/>
        <sz val="9"/>
        <rFont val="Verdana"/>
        <family val="2"/>
      </rPr>
      <t>N20-N,N</t>
    </r>
    <phoneticPr fontId="0" type="noConversion"/>
  </si>
  <si>
    <r>
      <t>E</t>
    </r>
    <r>
      <rPr>
        <vertAlign val="subscript"/>
        <sz val="9"/>
        <rFont val="Verdana"/>
        <family val="2"/>
      </rPr>
      <t>N2O,ID,y</t>
    </r>
    <phoneticPr fontId="0" type="noConversion"/>
  </si>
  <si>
    <r>
      <t>E</t>
    </r>
    <r>
      <rPr>
        <vertAlign val="subscript"/>
        <sz val="9"/>
        <rFont val="Verdana"/>
        <family val="2"/>
      </rPr>
      <t>N2O,D,y</t>
    </r>
    <phoneticPr fontId="0" type="noConversion"/>
  </si>
  <si>
    <r>
      <t>kg N</t>
    </r>
    <r>
      <rPr>
        <vertAlign val="subscript"/>
        <sz val="9"/>
        <rFont val="Verdana"/>
        <family val="2"/>
      </rPr>
      <t>2</t>
    </r>
    <r>
      <rPr>
        <sz val="9"/>
        <rFont val="Verdana"/>
        <family val="2"/>
      </rPr>
      <t>O-N/year</t>
    </r>
    <phoneticPr fontId="14" type="noConversion"/>
  </si>
  <si>
    <r>
      <t>kg N</t>
    </r>
    <r>
      <rPr>
        <vertAlign val="subscript"/>
        <sz val="9"/>
        <rFont val="Verdana"/>
        <family val="2"/>
      </rPr>
      <t>2</t>
    </r>
    <r>
      <rPr>
        <sz val="9"/>
        <rFont val="Verdana"/>
        <family val="2"/>
      </rPr>
      <t>O-N/year</t>
    </r>
    <phoneticPr fontId="0" type="noConversion"/>
  </si>
  <si>
    <t>/</t>
    <phoneticPr fontId="0" type="noConversion"/>
  </si>
  <si>
    <r>
      <t>kg N</t>
    </r>
    <r>
      <rPr>
        <vertAlign val="subscript"/>
        <sz val="9"/>
        <color indexed="8"/>
        <rFont val="Verdana"/>
        <family val="2"/>
      </rPr>
      <t>2</t>
    </r>
    <r>
      <rPr>
        <sz val="9"/>
        <color indexed="8"/>
        <rFont val="Verdana"/>
        <family val="2"/>
      </rPr>
      <t>O-N/year</t>
    </r>
    <phoneticPr fontId="0" type="noConversion"/>
  </si>
  <si>
    <r>
      <t>BE</t>
    </r>
    <r>
      <rPr>
        <i/>
        <vertAlign val="subscript"/>
        <sz val="9"/>
        <rFont val="Verdana"/>
        <family val="2"/>
      </rPr>
      <t>N2O,y</t>
    </r>
    <r>
      <rPr>
        <i/>
        <sz val="9"/>
        <rFont val="Verdana"/>
        <family val="2"/>
      </rPr>
      <t xml:space="preserve"> </t>
    </r>
    <r>
      <rPr>
        <b/>
        <sz val="9"/>
        <rFont val="Verdana"/>
        <family val="2"/>
      </rPr>
      <t>= GWP</t>
    </r>
    <r>
      <rPr>
        <b/>
        <vertAlign val="subscript"/>
        <sz val="9"/>
        <rFont val="Verdana"/>
        <family val="2"/>
      </rPr>
      <t>N2O</t>
    </r>
    <r>
      <rPr>
        <b/>
        <sz val="9"/>
        <rFont val="Verdana"/>
        <family val="2"/>
      </rPr>
      <t>*CF</t>
    </r>
    <r>
      <rPr>
        <b/>
        <vertAlign val="subscript"/>
        <sz val="9"/>
        <rFont val="Verdana"/>
        <family val="2"/>
      </rPr>
      <t>N2O-N,N</t>
    </r>
    <r>
      <rPr>
        <b/>
        <sz val="9"/>
        <rFont val="Verdana"/>
        <family val="2"/>
      </rPr>
      <t>* 1/1000*(E</t>
    </r>
    <r>
      <rPr>
        <b/>
        <vertAlign val="subscript"/>
        <sz val="9"/>
        <rFont val="Verdana"/>
        <family val="2"/>
      </rPr>
      <t>N2O,D,y</t>
    </r>
    <r>
      <rPr>
        <b/>
        <sz val="9"/>
        <rFont val="Verdana"/>
        <family val="2"/>
      </rPr>
      <t xml:space="preserve"> + E</t>
    </r>
    <r>
      <rPr>
        <b/>
        <vertAlign val="subscript"/>
        <sz val="9"/>
        <rFont val="Verdana"/>
        <family val="2"/>
      </rPr>
      <t>N2O,ID,y</t>
    </r>
    <r>
      <rPr>
        <b/>
        <sz val="9"/>
        <rFont val="Verdana"/>
        <family val="2"/>
      </rPr>
      <t>) =</t>
    </r>
    <phoneticPr fontId="0" type="noConversion"/>
  </si>
  <si>
    <r>
      <t xml:space="preserve"> BE</t>
    </r>
    <r>
      <rPr>
        <b/>
        <vertAlign val="subscript"/>
        <sz val="9"/>
        <rFont val="Verdana"/>
        <family val="2"/>
      </rPr>
      <t xml:space="preserve">CH4,y </t>
    </r>
    <r>
      <rPr>
        <b/>
        <sz val="9"/>
        <rFont val="Verdana"/>
        <family val="2"/>
      </rPr>
      <t>+ BE</t>
    </r>
    <r>
      <rPr>
        <b/>
        <vertAlign val="subscript"/>
        <sz val="9"/>
        <rFont val="Verdana"/>
        <family val="2"/>
      </rPr>
      <t>N2O,y</t>
    </r>
    <r>
      <rPr>
        <b/>
        <sz val="9"/>
        <rFont val="Verdana"/>
        <family val="2"/>
      </rPr>
      <t xml:space="preserve"> =</t>
    </r>
    <phoneticPr fontId="0" type="noConversion"/>
  </si>
  <si>
    <t xml:space="preserve"> </t>
    <phoneticPr fontId="0" type="noConversion"/>
  </si>
  <si>
    <t>Subtotal</t>
    <phoneticPr fontId="0" type="noConversion"/>
  </si>
  <si>
    <r>
      <t>tCO</t>
    </r>
    <r>
      <rPr>
        <vertAlign val="subscript"/>
        <sz val="9"/>
        <color indexed="8"/>
        <rFont val="Verdana"/>
        <family val="2"/>
      </rPr>
      <t>2</t>
    </r>
    <r>
      <rPr>
        <sz val="9"/>
        <color indexed="8"/>
        <rFont val="Verdana"/>
        <family val="2"/>
      </rPr>
      <t>e</t>
    </r>
    <phoneticPr fontId="0" type="noConversion"/>
  </si>
  <si>
    <t>tCO2/tN2O</t>
    <phoneticPr fontId="0" type="noConversion"/>
  </si>
  <si>
    <t>calculated</t>
    <phoneticPr fontId="0" type="noConversion"/>
  </si>
  <si>
    <r>
      <t>PE</t>
    </r>
    <r>
      <rPr>
        <b/>
        <vertAlign val="subscript"/>
        <sz val="9"/>
        <rFont val="Verdana"/>
        <family val="2"/>
      </rPr>
      <t>AD,y</t>
    </r>
    <phoneticPr fontId="0" type="noConversion"/>
  </si>
  <si>
    <r>
      <t>η</t>
    </r>
    <r>
      <rPr>
        <vertAlign val="subscript"/>
        <sz val="9"/>
        <rFont val="Verdana"/>
        <family val="2"/>
      </rPr>
      <t>flare,m</t>
    </r>
    <phoneticPr fontId="0" type="noConversion"/>
  </si>
  <si>
    <t>Tool 06:Project emissions from flaring</t>
    <phoneticPr fontId="0" type="noConversion"/>
  </si>
  <si>
    <t>tCH4</t>
    <phoneticPr fontId="0" type="noConversion"/>
  </si>
  <si>
    <r>
      <t>ii) Methane emissions from aerobic AWMS treatment (PE</t>
    </r>
    <r>
      <rPr>
        <vertAlign val="subscript"/>
        <sz val="9"/>
        <rFont val="Verdana"/>
        <family val="2"/>
      </rPr>
      <t>Aer, y</t>
    </r>
    <r>
      <rPr>
        <sz val="9"/>
        <rFont val="Verdana"/>
        <family val="2"/>
      </rPr>
      <t>):</t>
    </r>
    <phoneticPr fontId="0" type="noConversion"/>
  </si>
  <si>
    <t>ACM0010 Version 08.0, page 30</t>
  </si>
  <si>
    <r>
      <t>F</t>
    </r>
    <r>
      <rPr>
        <vertAlign val="subscript"/>
        <sz val="9"/>
        <rFont val="Verdana"/>
        <family val="2"/>
      </rPr>
      <t>Aer</t>
    </r>
    <phoneticPr fontId="0" type="noConversion"/>
  </si>
  <si>
    <r>
      <t>1-R</t>
    </r>
    <r>
      <rPr>
        <vertAlign val="subscript"/>
        <sz val="9"/>
        <rFont val="Verdana"/>
        <family val="2"/>
      </rPr>
      <t>vs,n</t>
    </r>
    <phoneticPr fontId="0" type="noConversion"/>
  </si>
  <si>
    <r>
      <t>N</t>
    </r>
    <r>
      <rPr>
        <vertAlign val="subscript"/>
        <sz val="9"/>
        <color indexed="8"/>
        <rFont val="Verdana"/>
        <family val="2"/>
      </rPr>
      <t>LT</t>
    </r>
    <phoneticPr fontId="0" type="noConversion"/>
  </si>
  <si>
    <t>ACM0010 Version 08.0, page 17</t>
    <phoneticPr fontId="0" type="noConversion"/>
  </si>
  <si>
    <t xml:space="preserve">Calculated  </t>
    <phoneticPr fontId="0" type="noConversion"/>
  </si>
  <si>
    <r>
      <t>m</t>
    </r>
    <r>
      <rPr>
        <vertAlign val="superscript"/>
        <sz val="9"/>
        <rFont val="Verdana"/>
        <family val="2"/>
      </rPr>
      <t>3</t>
    </r>
    <r>
      <rPr>
        <sz val="9"/>
        <rFont val="Verdana"/>
        <family val="2"/>
      </rPr>
      <t xml:space="preserve"> CH</t>
    </r>
    <r>
      <rPr>
        <vertAlign val="subscript"/>
        <sz val="9"/>
        <rFont val="Verdana"/>
        <family val="2"/>
      </rPr>
      <t>4</t>
    </r>
    <r>
      <rPr>
        <sz val="9"/>
        <rFont val="Verdana"/>
        <family val="2"/>
      </rPr>
      <t xml:space="preserve"> /kg VS</t>
    </r>
    <phoneticPr fontId="0" type="noConversion"/>
  </si>
  <si>
    <t>/</t>
    <phoneticPr fontId="14" type="noConversion"/>
  </si>
  <si>
    <r>
      <t>EF</t>
    </r>
    <r>
      <rPr>
        <vertAlign val="subscript"/>
        <sz val="9"/>
        <rFont val="Verdana"/>
        <family val="2"/>
      </rPr>
      <t>N2O,ID</t>
    </r>
    <phoneticPr fontId="0" type="noConversion"/>
  </si>
  <si>
    <r>
      <t>F</t>
    </r>
    <r>
      <rPr>
        <vertAlign val="subscript"/>
        <sz val="9"/>
        <rFont val="Verdana"/>
        <family val="2"/>
      </rPr>
      <t>gasMS,j,LT</t>
    </r>
    <phoneticPr fontId="0" type="noConversion"/>
  </si>
  <si>
    <r>
      <t>kg N</t>
    </r>
    <r>
      <rPr>
        <vertAlign val="subscript"/>
        <sz val="9"/>
        <rFont val="Verdana"/>
        <family val="2"/>
      </rPr>
      <t>2</t>
    </r>
    <r>
      <rPr>
        <sz val="9"/>
        <rFont val="Verdana"/>
        <family val="2"/>
      </rPr>
      <t>O/kg N</t>
    </r>
    <phoneticPr fontId="14" type="noConversion"/>
  </si>
  <si>
    <t xml:space="preserve">Estimated from Table provided in Annex 1 (uncovered anaerobic lagoon as "one cell lagoon")  of ACM0010 </t>
    <phoneticPr fontId="0" type="noConversion"/>
  </si>
  <si>
    <t xml:space="preserve">Estimated from Table provided in Annex 1 (anaerobic digester as "covered first cell of 2 cell lagoon") of ACM0010 </t>
    <phoneticPr fontId="0" type="noConversion"/>
  </si>
  <si>
    <t>2006 IPCC default value, vol. 4, ch. 11, tbl.11.3</t>
    <phoneticPr fontId="0" type="noConversion"/>
  </si>
  <si>
    <t>ACM0010 Version 08.0, page 30</t>
    <phoneticPr fontId="0" type="noConversion"/>
  </si>
  <si>
    <t>Estimated from Table provided in Annex 1 (uncovered anaerobic lagoon as "one cell lagoon") of ACM0010</t>
    <phoneticPr fontId="0" type="noConversion"/>
  </si>
  <si>
    <t>ACM0010 Version 08.0, page 25</t>
  </si>
  <si>
    <t>ACM0010 Version 08.0, page 25</t>
    <phoneticPr fontId="0" type="noConversion"/>
  </si>
  <si>
    <r>
      <t>LE</t>
    </r>
    <r>
      <rPr>
        <b/>
        <vertAlign val="subscript"/>
        <sz val="9"/>
        <rFont val="Verdana"/>
        <family val="2"/>
      </rPr>
      <t>PJ,CH4,y</t>
    </r>
    <phoneticPr fontId="0" type="noConversion"/>
  </si>
  <si>
    <r>
      <t>LE</t>
    </r>
    <r>
      <rPr>
        <b/>
        <vertAlign val="subscript"/>
        <sz val="9"/>
        <rFont val="Verdana"/>
        <family val="2"/>
      </rPr>
      <t>PJ,N2O</t>
    </r>
    <phoneticPr fontId="0" type="noConversion"/>
  </si>
  <si>
    <r>
      <t>EC</t>
    </r>
    <r>
      <rPr>
        <vertAlign val="subscript"/>
        <sz val="9"/>
        <color indexed="8"/>
        <rFont val="Verdana"/>
        <family val="2"/>
      </rPr>
      <t>PJ,j,y</t>
    </r>
    <phoneticPr fontId="0" type="noConversion"/>
  </si>
  <si>
    <r>
      <t>EF</t>
    </r>
    <r>
      <rPr>
        <vertAlign val="subscript"/>
        <sz val="9"/>
        <color indexed="8"/>
        <rFont val="Verdana"/>
        <family val="2"/>
      </rPr>
      <t>EF,j,y</t>
    </r>
    <phoneticPr fontId="0" type="noConversion"/>
  </si>
  <si>
    <r>
      <t>TDL</t>
    </r>
    <r>
      <rPr>
        <vertAlign val="subscript"/>
        <sz val="9"/>
        <color indexed="8"/>
        <rFont val="Verdana"/>
        <family val="2"/>
      </rPr>
      <t>j,y</t>
    </r>
    <phoneticPr fontId="0" type="noConversion"/>
  </si>
  <si>
    <r>
      <t>PE</t>
    </r>
    <r>
      <rPr>
        <b/>
        <vertAlign val="subscript"/>
        <sz val="9"/>
        <color indexed="8"/>
        <rFont val="Verdana"/>
        <family val="2"/>
      </rPr>
      <t>EC,y</t>
    </r>
    <phoneticPr fontId="0" type="noConversion"/>
  </si>
  <si>
    <r>
      <t>PE</t>
    </r>
    <r>
      <rPr>
        <b/>
        <vertAlign val="subscript"/>
        <sz val="9"/>
        <color indexed="8"/>
        <rFont val="Verdana"/>
        <family val="2"/>
      </rPr>
      <t>FC,y</t>
    </r>
    <phoneticPr fontId="0" type="noConversion"/>
  </si>
  <si>
    <r>
      <t>MS%</t>
    </r>
    <r>
      <rPr>
        <vertAlign val="subscript"/>
        <sz val="9"/>
        <color indexed="8"/>
        <rFont val="Verdana"/>
        <family val="2"/>
      </rPr>
      <t>Bl,j</t>
    </r>
    <phoneticPr fontId="0" type="noConversion"/>
  </si>
  <si>
    <r>
      <t>BE</t>
    </r>
    <r>
      <rPr>
        <b/>
        <vertAlign val="subscript"/>
        <sz val="9"/>
        <color indexed="8"/>
        <rFont val="Verdana"/>
        <family val="2"/>
      </rPr>
      <t xml:space="preserve">CH4,y </t>
    </r>
    <phoneticPr fontId="0" type="noConversion"/>
  </si>
  <si>
    <r>
      <t>MS%</t>
    </r>
    <r>
      <rPr>
        <vertAlign val="subscript"/>
        <sz val="9"/>
        <rFont val="Verdana"/>
        <family val="2"/>
      </rPr>
      <t>Bl,j</t>
    </r>
    <phoneticPr fontId="0" type="noConversion"/>
  </si>
  <si>
    <r>
      <t>B</t>
    </r>
    <r>
      <rPr>
        <vertAlign val="subscript"/>
        <sz val="9"/>
        <rFont val="Verdana"/>
        <family val="2"/>
      </rPr>
      <t>O,LT</t>
    </r>
    <phoneticPr fontId="0" type="noConversion"/>
  </si>
  <si>
    <t>kg-dm/animal/yr</t>
    <phoneticPr fontId="0" type="noConversion"/>
  </si>
  <si>
    <r>
      <t>PE</t>
    </r>
    <r>
      <rPr>
        <b/>
        <vertAlign val="subscript"/>
        <sz val="9"/>
        <rFont val="Verdana"/>
        <family val="2"/>
      </rPr>
      <t>N2O,y</t>
    </r>
    <r>
      <rPr>
        <b/>
        <sz val="9"/>
        <rFont val="Verdana"/>
        <family val="2"/>
      </rPr>
      <t>=265*(44/28)*1/1000*(E</t>
    </r>
    <r>
      <rPr>
        <b/>
        <vertAlign val="subscript"/>
        <sz val="9"/>
        <rFont val="Verdana"/>
        <family val="2"/>
      </rPr>
      <t>N2O,D,y+</t>
    </r>
    <r>
      <rPr>
        <b/>
        <sz val="9"/>
        <rFont val="Verdana"/>
        <family val="2"/>
      </rPr>
      <t>E</t>
    </r>
    <r>
      <rPr>
        <b/>
        <vertAlign val="subscript"/>
        <sz val="9"/>
        <rFont val="Verdana"/>
        <family val="2"/>
      </rPr>
      <t>N2O,ID,y</t>
    </r>
    <r>
      <rPr>
        <b/>
        <sz val="9"/>
        <rFont val="Verdana"/>
        <family val="2"/>
      </rPr>
      <t>) =</t>
    </r>
    <phoneticPr fontId="0" type="noConversion"/>
  </si>
  <si>
    <t>Total number of jobs</t>
    <phoneticPr fontId="14" type="noConversion"/>
  </si>
  <si>
    <t>tCO2/tCH4</t>
    <phoneticPr fontId="0" type="noConversion"/>
  </si>
  <si>
    <t>01/01/2024-31/12/2024</t>
  </si>
  <si>
    <r>
      <t>Amount of GHGs emission avoided or sequestered(tCO</t>
    </r>
    <r>
      <rPr>
        <b/>
        <vertAlign val="subscript"/>
        <sz val="11"/>
        <rFont val="Calibri"/>
        <family val="2"/>
      </rPr>
      <t>2</t>
    </r>
    <r>
      <rPr>
        <b/>
        <sz val="11"/>
        <rFont val="Calibri"/>
        <family val="2"/>
      </rPr>
      <t>e)</t>
    </r>
    <phoneticPr fontId="14" type="noConversion"/>
  </si>
  <si>
    <r>
      <t>PE</t>
    </r>
    <r>
      <rPr>
        <vertAlign val="subscript"/>
        <sz val="9"/>
        <rFont val="Verdana"/>
        <family val="2"/>
      </rPr>
      <t>Aer,y</t>
    </r>
    <phoneticPr fontId="0" type="noConversion"/>
  </si>
  <si>
    <t xml:space="preserve">PROJECT EMISSIONS </t>
    <phoneticPr fontId="0" type="noConversion"/>
  </si>
  <si>
    <t xml:space="preserve">Swine Farm Animal Manure Management System GHG Mitigation Project in Hubei Province </t>
  </si>
  <si>
    <t>GS 11333</t>
    <phoneticPr fontId="14" type="noConversion"/>
  </si>
  <si>
    <t>01/01/2021 - 31/12/2025 (both days included)</t>
    <phoneticPr fontId="14" type="noConversion"/>
  </si>
  <si>
    <t>01/01/2021-31/12/2021</t>
    <phoneticPr fontId="4" type="noConversion"/>
  </si>
  <si>
    <t>01/01/2022-31/12/2022</t>
    <phoneticPr fontId="4" type="noConversion"/>
  </si>
  <si>
    <t>01/01/2023-31/12/2023</t>
    <phoneticPr fontId="4" type="noConversion"/>
  </si>
  <si>
    <t>01/01/2025-31/12/2025</t>
    <phoneticPr fontId="4" type="noConversion"/>
  </si>
  <si>
    <t>18 full time jobs created,including 9 females and 9 males</t>
    <phoneticPr fontId="14" type="noConversion"/>
  </si>
  <si>
    <t xml:space="preserve"> Feasibility Study Report</t>
  </si>
  <si>
    <t>Feasibility Study Report</t>
  </si>
  <si>
    <t>Total electricity produced (MWh)</t>
    <phoneticPr fontId="14" type="noConversion"/>
  </si>
  <si>
    <t>03</t>
    <phoneticPr fontId="14" type="noConversion"/>
  </si>
  <si>
    <t>Feasibility Study Report</t>
    <phoneticPr fontId="0" type="noConversion"/>
  </si>
  <si>
    <t>09/10/2022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</si>
</sst>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44" formatCode="_ &quot;¥&quot;* #,##0.00_ ;_ &quot;¥&quot;* \-#,##0.00_ ;_ &quot;¥&quot;* &quot;-&quot;??_ ;_ @_ "/>
    <numFmt numFmtId="176" formatCode="_(* #,##0.00_);_(* \(#,##0.00\);_(* &quot;-&quot;??_);_(@_)"/>
    <numFmt numFmtId="177" formatCode="_(* #,##0_);_(* \(#,##0\);_(* &quot;-&quot;??_);_(@_)"/>
    <numFmt numFmtId="178" formatCode="0_ "/>
    <numFmt numFmtId="179" formatCode="0.0_ "/>
    <numFmt numFmtId="180" formatCode="_ * #,##0_ ;_ * \-#,##0_ ;_ * &quot;-&quot;??_ ;_ @_ "/>
    <numFmt numFmtId="181" formatCode="_-* #,##0.00\ [$€]_-;\-* #,##0.00\ [$€]_-;_-* &quot;-&quot;??\ [$€]_-;_-@_-"/>
    <numFmt numFmtId="182" formatCode="#,##0.00_ "/>
    <numFmt numFmtId="183" formatCode="#,##0.000"/>
    <numFmt numFmtId="184" formatCode="0.0000"/>
    <numFmt numFmtId="185" formatCode="0.00_);[Red]\(0.00\)"/>
    <numFmt numFmtId="186" formatCode="#,##0_ "/>
    <numFmt numFmtId="187" formatCode="#,##0_);[Red]\(#,##0\)"/>
    <numFmt numFmtId="188" formatCode="0.000000"/>
    <numFmt numFmtId="189" formatCode="0.00000000000_ "/>
    <numFmt numFmtId="190" formatCode="#,##0.0000_ "/>
  </numFmts>
  <fonts count="51" x14ac:knownFonts="1">
    <font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2"/>
      <name val="宋体"/>
      <family val="3"/>
      <charset val="134"/>
    </font>
    <font>
      <sz val="12"/>
      <color indexed="8"/>
      <name val="宋体"/>
      <family val="3"/>
      <charset val="134"/>
    </font>
    <font>
      <b/>
      <sz val="11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color indexed="8"/>
      <name val="Arial"/>
      <family val="2"/>
    </font>
    <font>
      <b/>
      <vertAlign val="subscript"/>
      <sz val="11"/>
      <color indexed="8"/>
      <name val="Arial"/>
      <family val="2"/>
    </font>
    <font>
      <sz val="11"/>
      <color indexed="8"/>
      <name val="Arial"/>
      <family val="2"/>
    </font>
    <font>
      <sz val="9"/>
      <name val="Verdana"/>
      <family val="2"/>
    </font>
    <font>
      <sz val="9"/>
      <name val="宋体"/>
      <family val="3"/>
      <charset val="134"/>
    </font>
    <font>
      <b/>
      <sz val="11"/>
      <name val="Calibri"/>
      <family val="2"/>
    </font>
    <font>
      <sz val="11"/>
      <name val="Calibri"/>
      <family val="2"/>
    </font>
    <font>
      <b/>
      <sz val="9"/>
      <color indexed="8"/>
      <name val="Verdana"/>
      <family val="2"/>
    </font>
    <font>
      <sz val="9"/>
      <color indexed="8"/>
      <name val="Verdana"/>
      <family val="2"/>
    </font>
    <font>
      <vertAlign val="superscript"/>
      <sz val="9"/>
      <color indexed="8"/>
      <name val="Verdana"/>
      <family val="2"/>
    </font>
    <font>
      <vertAlign val="subscript"/>
      <sz val="9"/>
      <color indexed="8"/>
      <name val="Verdana"/>
      <family val="2"/>
    </font>
    <font>
      <sz val="8"/>
      <name val="Verdana"/>
      <family val="2"/>
    </font>
    <font>
      <b/>
      <sz val="9"/>
      <name val="Verdana"/>
      <family val="2"/>
    </font>
    <font>
      <sz val="9"/>
      <color indexed="46"/>
      <name val="Verdana"/>
      <family val="2"/>
    </font>
    <font>
      <b/>
      <sz val="9"/>
      <color indexed="9"/>
      <name val="Verdana"/>
      <family val="2"/>
    </font>
    <font>
      <vertAlign val="subscript"/>
      <sz val="9"/>
      <name val="Verdana"/>
      <family val="2"/>
    </font>
    <font>
      <i/>
      <vertAlign val="subscript"/>
      <sz val="9"/>
      <color indexed="8"/>
      <name val="Verdana"/>
      <family val="2"/>
    </font>
    <font>
      <b/>
      <vertAlign val="subscript"/>
      <sz val="9"/>
      <name val="Verdana"/>
      <family val="2"/>
    </font>
    <font>
      <b/>
      <vertAlign val="subscript"/>
      <sz val="9"/>
      <color indexed="9"/>
      <name val="Verdana"/>
      <family val="2"/>
    </font>
    <font>
      <sz val="9"/>
      <color indexed="9"/>
      <name val="Verdana"/>
      <family val="2"/>
    </font>
    <font>
      <sz val="9"/>
      <color indexed="10"/>
      <name val="Verdana"/>
      <family val="2"/>
    </font>
    <font>
      <i/>
      <sz val="9"/>
      <color indexed="9"/>
      <name val="Verdana"/>
      <family val="2"/>
    </font>
    <font>
      <i/>
      <sz val="9"/>
      <name val="Verdana"/>
      <family val="2"/>
    </font>
    <font>
      <b/>
      <sz val="9"/>
      <color indexed="12"/>
      <name val="Verdana"/>
      <family val="2"/>
    </font>
    <font>
      <b/>
      <i/>
      <sz val="9"/>
      <name val="Verdana"/>
      <family val="2"/>
    </font>
    <font>
      <b/>
      <sz val="9"/>
      <color indexed="46"/>
      <name val="Verdana"/>
      <family val="2"/>
    </font>
    <font>
      <i/>
      <vertAlign val="subscript"/>
      <sz val="9"/>
      <color indexed="9"/>
      <name val="Verdana"/>
      <family val="2"/>
    </font>
    <font>
      <i/>
      <vertAlign val="subscript"/>
      <sz val="9"/>
      <name val="Verdana"/>
      <family val="2"/>
    </font>
    <font>
      <vertAlign val="superscript"/>
      <sz val="9"/>
      <name val="Verdana"/>
      <family val="2"/>
    </font>
    <font>
      <b/>
      <vertAlign val="subscript"/>
      <sz val="9"/>
      <color indexed="8"/>
      <name val="Verdana"/>
      <family val="2"/>
    </font>
    <font>
      <u/>
      <sz val="9"/>
      <color indexed="10"/>
      <name val="Verdana"/>
      <family val="2"/>
    </font>
    <font>
      <b/>
      <sz val="9"/>
      <color indexed="10"/>
      <name val="Verdana"/>
      <family val="2"/>
    </font>
    <font>
      <b/>
      <i/>
      <vertAlign val="subscript"/>
      <sz val="9"/>
      <name val="Verdana"/>
      <family val="2"/>
    </font>
    <font>
      <b/>
      <vertAlign val="subscript"/>
      <sz val="11"/>
      <name val="Calibri"/>
      <family val="2"/>
    </font>
    <font>
      <sz val="11"/>
      <color theme="1"/>
      <name val="宋体"/>
      <family val="3"/>
      <charset val="134"/>
      <scheme val="minor"/>
    </font>
    <font>
      <sz val="9"/>
      <color theme="1"/>
      <name val="Verdana"/>
      <family val="2"/>
    </font>
    <font>
      <sz val="9"/>
      <color rgb="FFFF0000"/>
      <name val="Verdana"/>
      <family val="2"/>
    </font>
    <font>
      <b/>
      <sz val="9"/>
      <color theme="1"/>
      <name val="Verdana"/>
      <family val="2"/>
    </font>
    <font>
      <sz val="10"/>
      <color rgb="FFFF0000"/>
      <name val="Arial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0E0E0"/>
        <bgColor indexed="64"/>
      </patternFill>
    </fill>
    <fill>
      <patternFill patternType="solid">
        <fgColor theme="6" tint="0.399975585192419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181" fontId="8" fillId="0" borderId="0" applyFont="0" applyFill="0" applyBorder="0" applyAlignment="0" applyProtection="0"/>
    <xf numFmtId="0" fontId="44" fillId="0" borderId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/>
    <xf numFmtId="0" fontId="5" fillId="0" borderId="0">
      <alignment vertical="center"/>
    </xf>
    <xf numFmtId="0" fontId="2" fillId="0" borderId="0" applyNumberFormat="0" applyFill="0" applyBorder="0" applyAlignment="0" applyProtection="0">
      <alignment vertical="top"/>
      <protection locked="0"/>
    </xf>
    <xf numFmtId="176" fontId="1" fillId="0" borderId="0" applyFont="0" applyFill="0" applyBorder="0" applyAlignment="0" applyProtection="0"/>
  </cellStyleXfs>
  <cellXfs count="345">
    <xf numFmtId="0" fontId="0" fillId="0" borderId="0" xfId="0"/>
    <xf numFmtId="177" fontId="0" fillId="0" borderId="0" xfId="0" applyNumberFormat="1"/>
    <xf numFmtId="3" fontId="0" fillId="0" borderId="0" xfId="0" applyNumberFormat="1"/>
    <xf numFmtId="177" fontId="0" fillId="0" borderId="0" xfId="11" applyNumberFormat="1" applyFont="1"/>
    <xf numFmtId="1" fontId="0" fillId="0" borderId="0" xfId="0" applyNumberFormat="1"/>
    <xf numFmtId="176" fontId="0" fillId="0" borderId="0" xfId="11" applyNumberFormat="1" applyFont="1"/>
    <xf numFmtId="185" fontId="0" fillId="0" borderId="0" xfId="0" applyNumberFormat="1"/>
    <xf numFmtId="0" fontId="0" fillId="0" borderId="0" xfId="0" applyFont="1"/>
    <xf numFmtId="0" fontId="10" fillId="0" borderId="1" xfId="0" applyFont="1" applyBorder="1" applyAlignment="1">
      <alignment horizontal="center" wrapText="1"/>
    </xf>
    <xf numFmtId="0" fontId="10" fillId="0" borderId="1" xfId="0" applyFont="1" applyBorder="1" applyAlignment="1">
      <alignment horizontal="center"/>
    </xf>
    <xf numFmtId="3" fontId="12" fillId="0" borderId="1" xfId="0" applyNumberFormat="1" applyFont="1" applyBorder="1" applyAlignment="1">
      <alignment horizontal="center" wrapText="1"/>
    </xf>
    <xf numFmtId="3" fontId="9" fillId="0" borderId="1" xfId="0" applyNumberFormat="1" applyFont="1" applyBorder="1" applyAlignment="1">
      <alignment horizontal="center" wrapText="1"/>
    </xf>
    <xf numFmtId="3" fontId="7" fillId="0" borderId="1" xfId="0" applyNumberFormat="1" applyFont="1" applyBorder="1" applyAlignment="1">
      <alignment horizontal="center" wrapText="1"/>
    </xf>
    <xf numFmtId="0" fontId="15" fillId="6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6" fillId="2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187" fontId="15" fillId="6" borderId="1" xfId="0" applyNumberFormat="1" applyFont="1" applyFill="1" applyBorder="1" applyAlignment="1">
      <alignment horizontal="center" vertical="center" wrapText="1"/>
    </xf>
    <xf numFmtId="187" fontId="15" fillId="6" borderId="1" xfId="0" applyNumberFormat="1" applyFont="1" applyFill="1" applyBorder="1" applyAlignment="1">
      <alignment horizontal="center" vertical="center"/>
    </xf>
    <xf numFmtId="187" fontId="16" fillId="2" borderId="1" xfId="0" applyNumberFormat="1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2" fillId="0" borderId="0" xfId="0" applyFont="1"/>
    <xf numFmtId="0" fontId="13" fillId="0" borderId="0" xfId="0" applyFont="1"/>
    <xf numFmtId="0" fontId="23" fillId="0" borderId="0" xfId="0" applyFont="1" applyAlignment="1">
      <alignment horizontal="left"/>
    </xf>
    <xf numFmtId="0" fontId="24" fillId="0" borderId="0" xfId="0" applyFont="1" applyFill="1"/>
    <xf numFmtId="0" fontId="13" fillId="3" borderId="0" xfId="0" applyFont="1" applyFill="1"/>
    <xf numFmtId="0" fontId="22" fillId="0" borderId="0" xfId="4" applyFont="1" applyFill="1" applyAlignment="1"/>
    <xf numFmtId="0" fontId="13" fillId="0" borderId="0" xfId="4" applyFont="1">
      <alignment vertical="center"/>
    </xf>
    <xf numFmtId="0" fontId="23" fillId="0" borderId="0" xfId="9" applyFont="1" applyFill="1" applyAlignment="1">
      <alignment horizontal="left" vertical="center"/>
    </xf>
    <xf numFmtId="0" fontId="13" fillId="0" borderId="0" xfId="9" applyFont="1" applyFill="1">
      <alignment vertical="center"/>
    </xf>
    <xf numFmtId="0" fontId="22" fillId="0" borderId="2" xfId="4" applyFont="1" applyFill="1" applyBorder="1" applyAlignment="1"/>
    <xf numFmtId="0" fontId="22" fillId="0" borderId="3" xfId="0" applyFont="1" applyBorder="1" applyAlignment="1">
      <alignment horizontal="center"/>
    </xf>
    <xf numFmtId="0" fontId="13" fillId="0" borderId="3" xfId="0" applyFont="1" applyBorder="1"/>
    <xf numFmtId="0" fontId="13" fillId="0" borderId="4" xfId="0" applyFont="1" applyBorder="1"/>
    <xf numFmtId="0" fontId="13" fillId="0" borderId="1" xfId="9" applyFont="1" applyFill="1" applyBorder="1">
      <alignment vertical="center"/>
    </xf>
    <xf numFmtId="0" fontId="13" fillId="0" borderId="1" xfId="0" applyFont="1" applyBorder="1"/>
    <xf numFmtId="0" fontId="13" fillId="0" borderId="5" xfId="9" applyFont="1" applyFill="1" applyBorder="1">
      <alignment vertical="center"/>
    </xf>
    <xf numFmtId="0" fontId="22" fillId="0" borderId="0" xfId="4" applyFont="1" applyFill="1" applyBorder="1" applyAlignment="1"/>
    <xf numFmtId="0" fontId="13" fillId="0" borderId="0" xfId="4" applyFont="1" applyBorder="1">
      <alignment vertical="center"/>
    </xf>
    <xf numFmtId="0" fontId="13" fillId="0" borderId="0" xfId="9" applyFont="1" applyFill="1" applyBorder="1">
      <alignment vertical="center"/>
    </xf>
    <xf numFmtId="0" fontId="22" fillId="0" borderId="1" xfId="0" applyFont="1" applyBorder="1" applyAlignment="1">
      <alignment horizontal="center"/>
    </xf>
    <xf numFmtId="0" fontId="18" fillId="0" borderId="1" xfId="0" applyFont="1" applyBorder="1"/>
    <xf numFmtId="0" fontId="13" fillId="0" borderId="0" xfId="0" applyFont="1" applyBorder="1"/>
    <xf numFmtId="0" fontId="13" fillId="0" borderId="1" xfId="0" applyFont="1" applyBorder="1" applyAlignment="1">
      <alignment horizontal="center"/>
    </xf>
    <xf numFmtId="0" fontId="22" fillId="0" borderId="1" xfId="0" applyFont="1" applyFill="1" applyBorder="1"/>
    <xf numFmtId="0" fontId="22" fillId="0" borderId="0" xfId="0" applyFont="1" applyFill="1" applyBorder="1"/>
    <xf numFmtId="177" fontId="22" fillId="0" borderId="0" xfId="0" applyNumberFormat="1" applyFont="1" applyFill="1" applyBorder="1"/>
    <xf numFmtId="184" fontId="22" fillId="0" borderId="0" xfId="0" applyNumberFormat="1" applyFont="1" applyFill="1" applyBorder="1"/>
    <xf numFmtId="0" fontId="22" fillId="0" borderId="6" xfId="0" applyFont="1" applyFill="1" applyBorder="1"/>
    <xf numFmtId="0" fontId="13" fillId="3" borderId="6" xfId="4" applyFont="1" applyFill="1" applyBorder="1">
      <alignment vertical="center"/>
    </xf>
    <xf numFmtId="0" fontId="13" fillId="0" borderId="0" xfId="4" applyFont="1" applyFill="1" applyBorder="1">
      <alignment vertical="center"/>
    </xf>
    <xf numFmtId="0" fontId="23" fillId="0" borderId="0" xfId="0" applyFont="1"/>
    <xf numFmtId="0" fontId="13" fillId="3" borderId="0" xfId="4" applyFont="1" applyFill="1" applyBorder="1">
      <alignment vertical="center"/>
    </xf>
    <xf numFmtId="0" fontId="22" fillId="0" borderId="0" xfId="0" applyFont="1" applyFill="1"/>
    <xf numFmtId="0" fontId="24" fillId="0" borderId="0" xfId="4" applyFont="1" applyFill="1" applyAlignment="1"/>
    <xf numFmtId="0" fontId="29" fillId="0" borderId="0" xfId="0" applyFont="1"/>
    <xf numFmtId="0" fontId="30" fillId="0" borderId="0" xfId="0" applyFont="1"/>
    <xf numFmtId="0" fontId="29" fillId="0" borderId="0" xfId="0" applyFont="1" applyFill="1"/>
    <xf numFmtId="0" fontId="29" fillId="0" borderId="1" xfId="0" applyFont="1" applyBorder="1"/>
    <xf numFmtId="0" fontId="22" fillId="0" borderId="0" xfId="4" applyFont="1" applyFill="1" applyBorder="1">
      <alignment vertical="center"/>
    </xf>
    <xf numFmtId="3" fontId="22" fillId="0" borderId="0" xfId="0" applyNumberFormat="1" applyFont="1" applyBorder="1" applyAlignment="1">
      <alignment horizontal="right"/>
    </xf>
    <xf numFmtId="0" fontId="29" fillId="0" borderId="0" xfId="0" applyFont="1" applyBorder="1"/>
    <xf numFmtId="3" fontId="22" fillId="4" borderId="0" xfId="0" applyNumberFormat="1" applyFont="1" applyFill="1" applyBorder="1" applyAlignment="1">
      <alignment horizontal="center"/>
    </xf>
    <xf numFmtId="0" fontId="24" fillId="0" borderId="0" xfId="0" applyFont="1" applyBorder="1" applyAlignment="1">
      <alignment horizontal="center"/>
    </xf>
    <xf numFmtId="9" fontId="13" fillId="0" borderId="0" xfId="9" applyNumberFormat="1" applyFont="1" applyFill="1" applyBorder="1" applyAlignment="1">
      <alignment horizontal="center" vertical="center"/>
    </xf>
    <xf numFmtId="0" fontId="13" fillId="0" borderId="0" xfId="0" applyFont="1" applyBorder="1" applyAlignment="1">
      <alignment horizontal="left"/>
    </xf>
    <xf numFmtId="0" fontId="13" fillId="0" borderId="0" xfId="0" applyFont="1" applyBorder="1" applyAlignment="1">
      <alignment horizontal="center"/>
    </xf>
    <xf numFmtId="0" fontId="13" fillId="0" borderId="0" xfId="0" applyFont="1" applyFill="1" applyBorder="1" applyAlignment="1">
      <alignment horizontal="left"/>
    </xf>
    <xf numFmtId="0" fontId="22" fillId="0" borderId="0" xfId="0" applyFont="1" applyBorder="1"/>
    <xf numFmtId="0" fontId="22" fillId="0" borderId="0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22" fillId="4" borderId="0" xfId="0" applyFont="1" applyFill="1" applyBorder="1"/>
    <xf numFmtId="177" fontId="22" fillId="4" borderId="0" xfId="11" applyNumberFormat="1" applyFont="1" applyFill="1" applyBorder="1"/>
    <xf numFmtId="0" fontId="13" fillId="0" borderId="0" xfId="0" applyFont="1" applyAlignment="1"/>
    <xf numFmtId="177" fontId="13" fillId="0" borderId="0" xfId="0" applyNumberFormat="1" applyFont="1" applyAlignment="1">
      <alignment horizontal="left"/>
    </xf>
    <xf numFmtId="0" fontId="13" fillId="0" borderId="1" xfId="0" applyFont="1" applyFill="1" applyBorder="1" applyAlignment="1">
      <alignment horizontal="center"/>
    </xf>
    <xf numFmtId="0" fontId="13" fillId="0" borderId="7" xfId="5" applyFont="1" applyFill="1" applyBorder="1">
      <alignment vertical="center"/>
    </xf>
    <xf numFmtId="0" fontId="13" fillId="0" borderId="0" xfId="0" applyFont="1" applyFill="1"/>
    <xf numFmtId="0" fontId="13" fillId="0" borderId="0" xfId="5" applyFont="1" applyFill="1" applyBorder="1">
      <alignment vertical="center"/>
    </xf>
    <xf numFmtId="177" fontId="33" fillId="0" borderId="0" xfId="5" applyNumberFormat="1" applyFont="1" applyFill="1" applyBorder="1" applyAlignment="1">
      <alignment vertical="center"/>
    </xf>
    <xf numFmtId="0" fontId="13" fillId="0" borderId="0" xfId="0" applyFont="1" applyFill="1" applyBorder="1"/>
    <xf numFmtId="0" fontId="23" fillId="0" borderId="0" xfId="0" applyFont="1" applyFill="1" applyBorder="1" applyAlignment="1">
      <alignment horizontal="left"/>
    </xf>
    <xf numFmtId="3" fontId="22" fillId="0" borderId="1" xfId="0" applyNumberFormat="1" applyFont="1" applyFill="1" applyBorder="1"/>
    <xf numFmtId="180" fontId="13" fillId="0" borderId="0" xfId="0" applyNumberFormat="1" applyFont="1"/>
    <xf numFmtId="178" fontId="13" fillId="0" borderId="0" xfId="0" applyNumberFormat="1" applyFont="1"/>
    <xf numFmtId="0" fontId="22" fillId="4" borderId="0" xfId="0" applyFont="1" applyFill="1"/>
    <xf numFmtId="177" fontId="22" fillId="0" borderId="0" xfId="0" applyNumberFormat="1" applyFont="1" applyFill="1"/>
    <xf numFmtId="0" fontId="35" fillId="0" borderId="0" xfId="0" applyNumberFormat="1" applyFont="1" applyFill="1" applyAlignment="1">
      <alignment horizontal="left"/>
    </xf>
    <xf numFmtId="3" fontId="13" fillId="0" borderId="0" xfId="0" applyNumberFormat="1" applyFont="1"/>
    <xf numFmtId="4" fontId="22" fillId="0" borderId="1" xfId="0" applyNumberFormat="1" applyFont="1" applyFill="1" applyBorder="1"/>
    <xf numFmtId="44" fontId="13" fillId="0" borderId="0" xfId="0" applyNumberFormat="1" applyFont="1"/>
    <xf numFmtId="177" fontId="13" fillId="0" borderId="0" xfId="0" applyNumberFormat="1" applyFont="1"/>
    <xf numFmtId="0" fontId="24" fillId="0" borderId="0" xfId="0" applyFont="1" applyBorder="1"/>
    <xf numFmtId="0" fontId="29" fillId="0" borderId="0" xfId="4" applyFont="1" applyFill="1" applyBorder="1">
      <alignment vertical="center"/>
    </xf>
    <xf numFmtId="0" fontId="29" fillId="0" borderId="0" xfId="8" applyFont="1" applyFill="1" applyBorder="1" applyAlignment="1">
      <alignment horizontal="center"/>
    </xf>
    <xf numFmtId="0" fontId="29" fillId="0" borderId="0" xfId="4" applyFont="1" applyFill="1" applyBorder="1" applyAlignment="1">
      <alignment horizontal="center" vertical="center"/>
    </xf>
    <xf numFmtId="0" fontId="29" fillId="0" borderId="0" xfId="0" applyFont="1" applyBorder="1" applyAlignment="1">
      <alignment horizontal="center"/>
    </xf>
    <xf numFmtId="0" fontId="29" fillId="0" borderId="0" xfId="0" applyFont="1" applyBorder="1" applyAlignment="1">
      <alignment horizontal="left"/>
    </xf>
    <xf numFmtId="177" fontId="29" fillId="0" borderId="0" xfId="11" applyNumberFormat="1" applyFont="1" applyBorder="1" applyAlignment="1">
      <alignment horizontal="center" vertical="center"/>
    </xf>
    <xf numFmtId="0" fontId="29" fillId="0" borderId="0" xfId="9" applyFont="1" applyFill="1" applyBorder="1">
      <alignment vertical="center"/>
    </xf>
    <xf numFmtId="177" fontId="29" fillId="0" borderId="0" xfId="11" applyNumberFormat="1" applyFont="1" applyFill="1" applyBorder="1" applyAlignment="1">
      <alignment horizontal="left" vertical="center"/>
    </xf>
    <xf numFmtId="177" fontId="29" fillId="0" borderId="0" xfId="11" applyNumberFormat="1" applyFont="1" applyFill="1" applyBorder="1" applyAlignment="1">
      <alignment horizontal="center" vertical="center"/>
    </xf>
    <xf numFmtId="0" fontId="29" fillId="0" borderId="0" xfId="9" applyFont="1" applyFill="1" applyBorder="1" applyAlignment="1">
      <alignment horizontal="center" vertical="center"/>
    </xf>
    <xf numFmtId="0" fontId="29" fillId="0" borderId="0" xfId="4" applyFont="1" applyBorder="1" applyAlignment="1">
      <alignment horizontal="center" vertical="center"/>
    </xf>
    <xf numFmtId="9" fontId="29" fillId="0" borderId="0" xfId="9" applyNumberFormat="1" applyFont="1" applyFill="1" applyBorder="1" applyAlignment="1">
      <alignment horizontal="center" vertical="center"/>
    </xf>
    <xf numFmtId="0" fontId="24" fillId="0" borderId="0" xfId="4" applyFont="1" applyFill="1" applyBorder="1">
      <alignment vertical="center"/>
    </xf>
    <xf numFmtId="176" fontId="24" fillId="0" borderId="0" xfId="4" applyNumberFormat="1" applyFont="1" applyFill="1" applyBorder="1" applyAlignment="1">
      <alignment horizontal="center" vertical="center"/>
    </xf>
    <xf numFmtId="0" fontId="24" fillId="0" borderId="0" xfId="0" applyFont="1" applyFill="1" applyBorder="1"/>
    <xf numFmtId="177" fontId="24" fillId="0" borderId="0" xfId="0" applyNumberFormat="1" applyFont="1" applyFill="1" applyBorder="1"/>
    <xf numFmtId="0" fontId="13" fillId="0" borderId="1" xfId="5" applyFont="1" applyBorder="1" applyAlignment="1">
      <alignment horizontal="center" vertical="center"/>
    </xf>
    <xf numFmtId="0" fontId="22" fillId="3" borderId="0" xfId="0" applyFont="1" applyFill="1"/>
    <xf numFmtId="0" fontId="23" fillId="0" borderId="0" xfId="0" applyFont="1" applyAlignment="1">
      <alignment horizontal="center"/>
    </xf>
    <xf numFmtId="0" fontId="17" fillId="0" borderId="2" xfId="0" applyFont="1" applyBorder="1" applyAlignment="1">
      <alignment horizontal="center"/>
    </xf>
    <xf numFmtId="0" fontId="17" fillId="0" borderId="3" xfId="0" applyFont="1" applyBorder="1" applyAlignment="1">
      <alignment horizontal="center"/>
    </xf>
    <xf numFmtId="0" fontId="17" fillId="0" borderId="8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 wrapText="1"/>
    </xf>
    <xf numFmtId="0" fontId="18" fillId="0" borderId="9" xfId="0" applyFont="1" applyBorder="1" applyAlignment="1">
      <alignment wrapText="1"/>
    </xf>
    <xf numFmtId="0" fontId="18" fillId="0" borderId="8" xfId="0" applyFont="1" applyBorder="1"/>
    <xf numFmtId="0" fontId="18" fillId="0" borderId="1" xfId="0" applyFont="1" applyBorder="1" applyAlignment="1">
      <alignment wrapText="1"/>
    </xf>
    <xf numFmtId="0" fontId="18" fillId="0" borderId="1" xfId="0" applyFont="1" applyBorder="1" applyAlignment="1">
      <alignment horizontal="center"/>
    </xf>
    <xf numFmtId="0" fontId="40" fillId="0" borderId="0" xfId="10" applyFont="1" applyAlignment="1" applyProtection="1"/>
    <xf numFmtId="0" fontId="18" fillId="0" borderId="8" xfId="0" applyFont="1" applyBorder="1" applyAlignment="1">
      <alignment wrapText="1"/>
    </xf>
    <xf numFmtId="0" fontId="18" fillId="0" borderId="8" xfId="0" applyFont="1" applyFill="1" applyBorder="1"/>
    <xf numFmtId="0" fontId="18" fillId="0" borderId="9" xfId="0" applyFont="1" applyFill="1" applyBorder="1" applyAlignment="1">
      <alignment horizontal="left" wrapText="1"/>
    </xf>
    <xf numFmtId="0" fontId="18" fillId="0" borderId="9" xfId="0" applyFont="1" applyBorder="1"/>
    <xf numFmtId="0" fontId="17" fillId="0" borderId="10" xfId="0" applyFont="1" applyFill="1" applyBorder="1"/>
    <xf numFmtId="3" fontId="33" fillId="5" borderId="5" xfId="0" applyNumberFormat="1" applyFont="1" applyFill="1" applyBorder="1" applyAlignment="1"/>
    <xf numFmtId="0" fontId="18" fillId="0" borderId="11" xfId="0" applyFont="1" applyBorder="1"/>
    <xf numFmtId="179" fontId="13" fillId="0" borderId="0" xfId="0" applyNumberFormat="1" applyFont="1"/>
    <xf numFmtId="0" fontId="22" fillId="0" borderId="0" xfId="0" applyFont="1" applyAlignment="1">
      <alignment wrapText="1"/>
    </xf>
    <xf numFmtId="0" fontId="34" fillId="0" borderId="0" xfId="0" applyFont="1" applyAlignment="1"/>
    <xf numFmtId="0" fontId="13" fillId="0" borderId="0" xfId="0" applyFont="1" applyAlignment="1">
      <alignment horizontal="right"/>
    </xf>
    <xf numFmtId="0" fontId="22" fillId="0" borderId="4" xfId="0" applyFont="1" applyBorder="1" applyAlignment="1">
      <alignment horizontal="center"/>
    </xf>
    <xf numFmtId="0" fontId="13" fillId="0" borderId="9" xfId="0" applyFont="1" applyBorder="1"/>
    <xf numFmtId="0" fontId="34" fillId="0" borderId="0" xfId="0" applyFont="1"/>
    <xf numFmtId="3" fontId="41" fillId="5" borderId="0" xfId="0" applyNumberFormat="1" applyFont="1" applyFill="1" applyAlignment="1">
      <alignment horizontal="left" wrapText="1"/>
    </xf>
    <xf numFmtId="177" fontId="13" fillId="0" borderId="0" xfId="9" applyNumberFormat="1" applyFont="1" applyFill="1" applyBorder="1">
      <alignment vertical="center"/>
    </xf>
    <xf numFmtId="178" fontId="13" fillId="0" borderId="0" xfId="9" applyNumberFormat="1" applyFont="1" applyFill="1" applyBorder="1" applyAlignment="1">
      <alignment horizontal="center" vertical="center"/>
    </xf>
    <xf numFmtId="0" fontId="22" fillId="5" borderId="0" xfId="0" applyFont="1" applyFill="1" applyBorder="1"/>
    <xf numFmtId="3" fontId="22" fillId="5" borderId="0" xfId="0" applyNumberFormat="1" applyFont="1" applyFill="1" applyBorder="1" applyAlignment="1">
      <alignment horizontal="left"/>
    </xf>
    <xf numFmtId="176" fontId="13" fillId="0" borderId="0" xfId="0" applyNumberFormat="1" applyFont="1" applyBorder="1"/>
    <xf numFmtId="177" fontId="13" fillId="0" borderId="0" xfId="0" applyNumberFormat="1" applyFont="1" applyAlignment="1">
      <alignment horizontal="center"/>
    </xf>
    <xf numFmtId="0" fontId="17" fillId="0" borderId="4" xfId="0" applyFont="1" applyBorder="1" applyAlignment="1">
      <alignment horizontal="center"/>
    </xf>
    <xf numFmtId="0" fontId="22" fillId="0" borderId="2" xfId="0" applyFont="1" applyBorder="1" applyAlignment="1">
      <alignment horizontal="center"/>
    </xf>
    <xf numFmtId="0" fontId="22" fillId="0" borderId="8" xfId="0" applyFont="1" applyBorder="1" applyAlignment="1">
      <alignment horizontal="center"/>
    </xf>
    <xf numFmtId="0" fontId="22" fillId="0" borderId="9" xfId="0" applyFont="1" applyBorder="1" applyAlignment="1">
      <alignment horizontal="center"/>
    </xf>
    <xf numFmtId="0" fontId="32" fillId="0" borderId="8" xfId="0" applyFont="1" applyBorder="1"/>
    <xf numFmtId="0" fontId="13" fillId="0" borderId="8" xfId="0" applyFont="1" applyBorder="1"/>
    <xf numFmtId="0" fontId="22" fillId="0" borderId="10" xfId="0" applyFont="1" applyFill="1" applyBorder="1"/>
    <xf numFmtId="0" fontId="22" fillId="0" borderId="5" xfId="0" applyFont="1" applyFill="1" applyBorder="1" applyAlignment="1">
      <alignment horizontal="center"/>
    </xf>
    <xf numFmtId="0" fontId="13" fillId="0" borderId="11" xfId="0" applyFont="1" applyBorder="1"/>
    <xf numFmtId="177" fontId="22" fillId="0" borderId="1" xfId="11" applyNumberFormat="1" applyFont="1" applyFill="1" applyBorder="1" applyAlignment="1">
      <alignment horizontal="right"/>
    </xf>
    <xf numFmtId="0" fontId="13" fillId="0" borderId="9" xfId="0" applyFont="1" applyBorder="1" applyAlignment="1">
      <alignment vertical="center"/>
    </xf>
    <xf numFmtId="0" fontId="18" fillId="0" borderId="9" xfId="0" applyFont="1" applyBorder="1" applyAlignment="1">
      <alignment horizontal="left" vertical="center" wrapText="1"/>
    </xf>
    <xf numFmtId="0" fontId="18" fillId="0" borderId="9" xfId="0" applyFont="1" applyBorder="1" applyAlignment="1">
      <alignment horizontal="left" vertical="center"/>
    </xf>
    <xf numFmtId="0" fontId="13" fillId="0" borderId="9" xfId="0" applyFont="1" applyFill="1" applyBorder="1"/>
    <xf numFmtId="0" fontId="13" fillId="0" borderId="5" xfId="0" applyFont="1" applyFill="1" applyBorder="1"/>
    <xf numFmtId="0" fontId="13" fillId="0" borderId="11" xfId="0" applyFont="1" applyFill="1" applyBorder="1"/>
    <xf numFmtId="0" fontId="18" fillId="0" borderId="1" xfId="0" applyFont="1" applyFill="1" applyBorder="1" applyAlignment="1">
      <alignment horizontal="center"/>
    </xf>
    <xf numFmtId="0" fontId="18" fillId="0" borderId="5" xfId="0" applyFont="1" applyFill="1" applyBorder="1" applyAlignment="1">
      <alignment horizontal="center"/>
    </xf>
    <xf numFmtId="0" fontId="13" fillId="7" borderId="0" xfId="0" applyFont="1" applyFill="1"/>
    <xf numFmtId="0" fontId="45" fillId="0" borderId="1" xfId="5" applyFont="1" applyBorder="1" applyAlignment="1">
      <alignment horizontal="center" vertical="center"/>
    </xf>
    <xf numFmtId="0" fontId="45" fillId="7" borderId="5" xfId="0" applyFont="1" applyFill="1" applyBorder="1" applyAlignment="1">
      <alignment horizontal="center"/>
    </xf>
    <xf numFmtId="0" fontId="13" fillId="7" borderId="1" xfId="0" applyFont="1" applyFill="1" applyBorder="1" applyAlignment="1">
      <alignment horizontal="center"/>
    </xf>
    <xf numFmtId="2" fontId="13" fillId="0" borderId="1" xfId="0" applyNumberFormat="1" applyFont="1" applyFill="1" applyBorder="1" applyAlignment="1">
      <alignment horizontal="center"/>
    </xf>
    <xf numFmtId="9" fontId="13" fillId="0" borderId="1" xfId="0" applyNumberFormat="1" applyFont="1" applyBorder="1" applyAlignment="1">
      <alignment horizontal="center"/>
    </xf>
    <xf numFmtId="9" fontId="13" fillId="0" borderId="1" xfId="0" applyNumberFormat="1" applyFont="1" applyFill="1" applyBorder="1" applyAlignment="1">
      <alignment horizontal="center"/>
    </xf>
    <xf numFmtId="2" fontId="13" fillId="0" borderId="1" xfId="11" applyNumberFormat="1" applyFont="1" applyBorder="1" applyAlignment="1">
      <alignment horizontal="center"/>
    </xf>
    <xf numFmtId="3" fontId="13" fillId="0" borderId="1" xfId="11" applyNumberFormat="1" applyFont="1" applyFill="1" applyBorder="1" applyAlignment="1">
      <alignment horizontal="center" vertical="center"/>
    </xf>
    <xf numFmtId="2" fontId="13" fillId="0" borderId="1" xfId="11" applyNumberFormat="1" applyFont="1" applyFill="1" applyBorder="1" applyAlignment="1">
      <alignment horizontal="center"/>
    </xf>
    <xf numFmtId="1" fontId="13" fillId="0" borderId="1" xfId="0" applyNumberFormat="1" applyFont="1" applyFill="1" applyBorder="1" applyAlignment="1">
      <alignment horizontal="center"/>
    </xf>
    <xf numFmtId="2" fontId="13" fillId="7" borderId="1" xfId="0" applyNumberFormat="1" applyFont="1" applyFill="1" applyBorder="1" applyAlignment="1">
      <alignment horizontal="center"/>
    </xf>
    <xf numFmtId="4" fontId="13" fillId="7" borderId="1" xfId="0" applyNumberFormat="1" applyFont="1" applyFill="1" applyBorder="1" applyAlignment="1">
      <alignment horizontal="center"/>
    </xf>
    <xf numFmtId="4" fontId="13" fillId="7" borderId="1" xfId="11" applyNumberFormat="1" applyFont="1" applyFill="1" applyBorder="1" applyAlignment="1">
      <alignment horizontal="center" vertical="center"/>
    </xf>
    <xf numFmtId="1" fontId="13" fillId="7" borderId="1" xfId="0" applyNumberFormat="1" applyFont="1" applyFill="1" applyBorder="1" applyAlignment="1">
      <alignment horizontal="center"/>
    </xf>
    <xf numFmtId="4" fontId="13" fillId="0" borderId="1" xfId="0" applyNumberFormat="1" applyFont="1" applyBorder="1" applyAlignment="1">
      <alignment horizontal="center"/>
    </xf>
    <xf numFmtId="3" fontId="13" fillId="7" borderId="1" xfId="11" applyNumberFormat="1" applyFont="1" applyFill="1" applyBorder="1" applyAlignment="1">
      <alignment horizontal="center" vertical="center"/>
    </xf>
    <xf numFmtId="177" fontId="33" fillId="0" borderId="1" xfId="0" applyNumberFormat="1" applyFont="1" applyFill="1" applyBorder="1" applyAlignment="1">
      <alignment horizontal="center"/>
    </xf>
    <xf numFmtId="177" fontId="33" fillId="0" borderId="1" xfId="0" applyNumberFormat="1" applyFont="1" applyFill="1" applyBorder="1" applyAlignment="1">
      <alignment horizontal="center" vertical="center"/>
    </xf>
    <xf numFmtId="9" fontId="13" fillId="0" borderId="1" xfId="4" applyNumberFormat="1" applyFont="1" applyBorder="1" applyAlignment="1">
      <alignment horizontal="center" vertical="center"/>
    </xf>
    <xf numFmtId="1" fontId="22" fillId="0" borderId="1" xfId="4" applyNumberFormat="1" applyFont="1" applyBorder="1" applyAlignment="1">
      <alignment horizontal="center" vertical="center"/>
    </xf>
    <xf numFmtId="0" fontId="13" fillId="0" borderId="1" xfId="4" applyFont="1" applyBorder="1" applyAlignment="1">
      <alignment horizontal="center" vertical="center"/>
    </xf>
    <xf numFmtId="0" fontId="22" fillId="0" borderId="5" xfId="4" applyFont="1" applyBorder="1" applyAlignment="1">
      <alignment horizontal="center" vertical="center"/>
    </xf>
    <xf numFmtId="0" fontId="46" fillId="0" borderId="0" xfId="0" applyFont="1" applyBorder="1"/>
    <xf numFmtId="0" fontId="13" fillId="0" borderId="0" xfId="0" applyFont="1" applyBorder="1" applyAlignment="1">
      <alignment vertical="center"/>
    </xf>
    <xf numFmtId="0" fontId="13" fillId="0" borderId="9" xfId="0" applyFont="1" applyBorder="1" applyAlignment="1">
      <alignment horizontal="center"/>
    </xf>
    <xf numFmtId="0" fontId="22" fillId="0" borderId="8" xfId="4" applyFont="1" applyFill="1" applyBorder="1">
      <alignment vertical="center"/>
    </xf>
    <xf numFmtId="0" fontId="13" fillId="0" borderId="11" xfId="0" applyFont="1" applyBorder="1" applyAlignment="1">
      <alignment horizontal="center"/>
    </xf>
    <xf numFmtId="9" fontId="13" fillId="0" borderId="1" xfId="4" applyNumberFormat="1" applyFont="1" applyFill="1" applyBorder="1" applyAlignment="1">
      <alignment horizontal="center" vertical="center"/>
    </xf>
    <xf numFmtId="3" fontId="22" fillId="0" borderId="1" xfId="4" applyNumberFormat="1" applyFont="1" applyFill="1" applyBorder="1" applyAlignment="1">
      <alignment horizontal="center" vertical="center"/>
    </xf>
    <xf numFmtId="3" fontId="22" fillId="0" borderId="5" xfId="9" applyNumberFormat="1" applyFont="1" applyFill="1" applyBorder="1" applyAlignment="1">
      <alignment horizontal="center" vertical="center"/>
    </xf>
    <xf numFmtId="3" fontId="13" fillId="0" borderId="1" xfId="4" applyNumberFormat="1" applyFont="1" applyFill="1" applyBorder="1" applyAlignment="1">
      <alignment horizontal="center" vertical="center"/>
    </xf>
    <xf numFmtId="3" fontId="13" fillId="0" borderId="5" xfId="9" applyNumberFormat="1" applyFont="1" applyFill="1" applyBorder="1" applyAlignment="1">
      <alignment horizontal="center" vertical="center"/>
    </xf>
    <xf numFmtId="0" fontId="13" fillId="0" borderId="9" xfId="0" applyFont="1" applyBorder="1" applyAlignment="1">
      <alignment vertical="center" wrapText="1"/>
    </xf>
    <xf numFmtId="0" fontId="13" fillId="0" borderId="9" xfId="0" applyFont="1" applyBorder="1" applyAlignment="1">
      <alignment horizontal="center" wrapText="1"/>
    </xf>
    <xf numFmtId="0" fontId="13" fillId="0" borderId="11" xfId="0" applyFont="1" applyBorder="1" applyAlignment="1">
      <alignment horizontal="center" wrapText="1"/>
    </xf>
    <xf numFmtId="0" fontId="13" fillId="0" borderId="9" xfId="0" applyFont="1" applyBorder="1" applyAlignment="1">
      <alignment horizontal="center" vertical="center" wrapText="1"/>
    </xf>
    <xf numFmtId="185" fontId="13" fillId="7" borderId="1" xfId="4" applyNumberFormat="1" applyFont="1" applyFill="1" applyBorder="1" applyAlignment="1">
      <alignment horizontal="center" vertical="center"/>
    </xf>
    <xf numFmtId="0" fontId="13" fillId="0" borderId="8" xfId="4" applyFont="1" applyFill="1" applyBorder="1">
      <alignment vertical="center"/>
    </xf>
    <xf numFmtId="0" fontId="13" fillId="0" borderId="10" xfId="4" applyFont="1" applyFill="1" applyBorder="1">
      <alignment vertical="center"/>
    </xf>
    <xf numFmtId="3" fontId="13" fillId="0" borderId="1" xfId="0" applyNumberFormat="1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3" fillId="0" borderId="9" xfId="0" applyFont="1" applyBorder="1" applyAlignment="1">
      <alignment horizontal="left"/>
    </xf>
    <xf numFmtId="9" fontId="13" fillId="0" borderId="1" xfId="7" applyFont="1" applyBorder="1" applyAlignment="1">
      <alignment horizontal="center"/>
    </xf>
    <xf numFmtId="185" fontId="13" fillId="0" borderId="1" xfId="0" applyNumberFormat="1" applyFont="1" applyBorder="1" applyAlignment="1">
      <alignment horizontal="center"/>
    </xf>
    <xf numFmtId="1" fontId="13" fillId="0" borderId="5" xfId="0" applyNumberFormat="1" applyFont="1" applyBorder="1" applyAlignment="1">
      <alignment horizontal="center"/>
    </xf>
    <xf numFmtId="0" fontId="18" fillId="0" borderId="0" xfId="0" applyFont="1" applyBorder="1"/>
    <xf numFmtId="0" fontId="13" fillId="0" borderId="9" xfId="0" applyFont="1" applyBorder="1" applyAlignment="1">
      <alignment wrapText="1"/>
    </xf>
    <xf numFmtId="0" fontId="22" fillId="0" borderId="10" xfId="4" applyFont="1" applyFill="1" applyBorder="1">
      <alignment vertical="center"/>
    </xf>
    <xf numFmtId="0" fontId="13" fillId="7" borderId="1" xfId="4" applyFont="1" applyFill="1" applyBorder="1" applyAlignment="1">
      <alignment horizontal="center"/>
    </xf>
    <xf numFmtId="2" fontId="13" fillId="7" borderId="1" xfId="4" applyNumberFormat="1" applyFont="1" applyFill="1" applyBorder="1" applyAlignment="1">
      <alignment horizontal="center"/>
    </xf>
    <xf numFmtId="9" fontId="13" fillId="7" borderId="1" xfId="0" applyNumberFormat="1" applyFont="1" applyFill="1" applyBorder="1" applyAlignment="1">
      <alignment horizontal="center"/>
    </xf>
    <xf numFmtId="4" fontId="22" fillId="0" borderId="1" xfId="9" applyNumberFormat="1" applyFont="1" applyFill="1" applyBorder="1" applyAlignment="1">
      <alignment horizontal="center" vertical="center"/>
    </xf>
    <xf numFmtId="183" fontId="13" fillId="0" borderId="1" xfId="9" applyNumberFormat="1" applyFont="1" applyFill="1" applyBorder="1" applyAlignment="1">
      <alignment horizontal="center" vertical="center"/>
    </xf>
    <xf numFmtId="4" fontId="13" fillId="0" borderId="1" xfId="9" applyNumberFormat="1" applyFont="1" applyFill="1" applyBorder="1" applyAlignment="1">
      <alignment horizontal="center" vertical="center"/>
    </xf>
    <xf numFmtId="9" fontId="13" fillId="0" borderId="1" xfId="7" applyFont="1" applyFill="1" applyBorder="1" applyAlignment="1">
      <alignment horizontal="center" vertical="center"/>
    </xf>
    <xf numFmtId="3" fontId="13" fillId="0" borderId="1" xfId="9" applyNumberFormat="1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/>
    </xf>
    <xf numFmtId="0" fontId="22" fillId="7" borderId="8" xfId="0" applyFont="1" applyFill="1" applyBorder="1" applyAlignment="1">
      <alignment horizontal="center"/>
    </xf>
    <xf numFmtId="0" fontId="13" fillId="0" borderId="1" xfId="4" applyFont="1" applyFill="1" applyBorder="1" applyAlignment="1">
      <alignment horizontal="center"/>
    </xf>
    <xf numFmtId="0" fontId="13" fillId="0" borderId="1" xfId="4" applyNumberFormat="1" applyFont="1" applyFill="1" applyBorder="1" applyAlignment="1">
      <alignment horizontal="center" vertical="center"/>
    </xf>
    <xf numFmtId="4" fontId="13" fillId="0" borderId="1" xfId="4" applyNumberFormat="1" applyFont="1" applyFill="1" applyBorder="1" applyAlignment="1">
      <alignment horizontal="center"/>
    </xf>
    <xf numFmtId="0" fontId="13" fillId="7" borderId="9" xfId="0" applyFont="1" applyFill="1" applyBorder="1"/>
    <xf numFmtId="0" fontId="13" fillId="7" borderId="0" xfId="0" applyFont="1" applyFill="1" applyBorder="1"/>
    <xf numFmtId="0" fontId="13" fillId="7" borderId="0" xfId="0" applyFont="1" applyFill="1" applyBorder="1" applyAlignment="1">
      <alignment vertical="center"/>
    </xf>
    <xf numFmtId="0" fontId="22" fillId="0" borderId="9" xfId="0" applyFont="1" applyBorder="1" applyAlignment="1">
      <alignment horizontal="center" wrapText="1"/>
    </xf>
    <xf numFmtId="0" fontId="13" fillId="7" borderId="9" xfId="0" applyFont="1" applyFill="1" applyBorder="1" applyAlignment="1">
      <alignment wrapText="1"/>
    </xf>
    <xf numFmtId="0" fontId="29" fillId="0" borderId="8" xfId="0" applyFont="1" applyBorder="1"/>
    <xf numFmtId="0" fontId="13" fillId="7" borderId="11" xfId="0" applyFont="1" applyFill="1" applyBorder="1" applyAlignment="1">
      <alignment wrapText="1"/>
    </xf>
    <xf numFmtId="0" fontId="22" fillId="7" borderId="2" xfId="0" applyFont="1" applyFill="1" applyBorder="1" applyAlignment="1">
      <alignment horizontal="center"/>
    </xf>
    <xf numFmtId="4" fontId="13" fillId="7" borderId="1" xfId="5" applyNumberFormat="1" applyFont="1" applyFill="1" applyBorder="1" applyAlignment="1">
      <alignment horizontal="center" vertical="center"/>
    </xf>
    <xf numFmtId="9" fontId="13" fillId="7" borderId="1" xfId="9" applyNumberFormat="1" applyFont="1" applyFill="1" applyBorder="1" applyAlignment="1">
      <alignment horizontal="center" vertical="center"/>
    </xf>
    <xf numFmtId="0" fontId="13" fillId="7" borderId="1" xfId="5" applyFont="1" applyFill="1" applyBorder="1" applyAlignment="1">
      <alignment horizontal="center" vertical="center"/>
    </xf>
    <xf numFmtId="176" fontId="13" fillId="0" borderId="1" xfId="5" applyNumberFormat="1" applyFont="1" applyFill="1" applyBorder="1" applyAlignment="1">
      <alignment horizontal="center" vertical="center"/>
    </xf>
    <xf numFmtId="2" fontId="13" fillId="0" borderId="1" xfId="5" applyNumberFormat="1" applyFont="1" applyFill="1" applyBorder="1" applyAlignment="1">
      <alignment horizontal="center" vertical="center"/>
    </xf>
    <xf numFmtId="0" fontId="13" fillId="0" borderId="8" xfId="5" applyFont="1" applyFill="1" applyBorder="1">
      <alignment vertical="center"/>
    </xf>
    <xf numFmtId="0" fontId="13" fillId="0" borderId="9" xfId="0" applyFont="1" applyFill="1" applyBorder="1" applyAlignment="1">
      <alignment horizontal="left" wrapText="1"/>
    </xf>
    <xf numFmtId="0" fontId="13" fillId="7" borderId="8" xfId="5" applyFont="1" applyFill="1" applyBorder="1">
      <alignment vertical="center"/>
    </xf>
    <xf numFmtId="0" fontId="13" fillId="0" borderId="9" xfId="0" applyFont="1" applyFill="1" applyBorder="1" applyAlignment="1">
      <alignment wrapText="1"/>
    </xf>
    <xf numFmtId="0" fontId="13" fillId="7" borderId="8" xfId="4" applyFont="1" applyFill="1" applyBorder="1">
      <alignment vertical="center"/>
    </xf>
    <xf numFmtId="0" fontId="22" fillId="0" borderId="8" xfId="5" applyFont="1" applyFill="1" applyBorder="1">
      <alignment vertical="center"/>
    </xf>
    <xf numFmtId="0" fontId="13" fillId="7" borderId="10" xfId="5" applyFont="1" applyFill="1" applyBorder="1">
      <alignment vertical="center"/>
    </xf>
    <xf numFmtId="176" fontId="33" fillId="7" borderId="5" xfId="5" applyNumberFormat="1" applyFont="1" applyFill="1" applyBorder="1" applyAlignment="1">
      <alignment vertical="center"/>
    </xf>
    <xf numFmtId="0" fontId="13" fillId="7" borderId="5" xfId="0" applyFont="1" applyFill="1" applyBorder="1"/>
    <xf numFmtId="0" fontId="13" fillId="7" borderId="11" xfId="0" applyFont="1" applyFill="1" applyBorder="1"/>
    <xf numFmtId="4" fontId="13" fillId="0" borderId="1" xfId="5" applyNumberFormat="1" applyFont="1" applyFill="1" applyBorder="1" applyAlignment="1">
      <alignment horizontal="center" vertical="center"/>
    </xf>
    <xf numFmtId="9" fontId="13" fillId="0" borderId="1" xfId="9" applyNumberFormat="1" applyFont="1" applyFill="1" applyBorder="1" applyAlignment="1">
      <alignment horizontal="center" vertical="center"/>
    </xf>
    <xf numFmtId="0" fontId="13" fillId="0" borderId="1" xfId="5" applyFont="1" applyFill="1" applyBorder="1" applyAlignment="1">
      <alignment horizontal="center" vertical="center"/>
    </xf>
    <xf numFmtId="0" fontId="13" fillId="0" borderId="8" xfId="0" applyFont="1" applyBorder="1" applyAlignment="1">
      <alignment horizontal="left"/>
    </xf>
    <xf numFmtId="0" fontId="13" fillId="0" borderId="8" xfId="9" applyFont="1" applyFill="1" applyBorder="1">
      <alignment vertical="center"/>
    </xf>
    <xf numFmtId="0" fontId="13" fillId="0" borderId="9" xfId="5" applyFont="1" applyFill="1" applyBorder="1">
      <alignment vertical="center"/>
    </xf>
    <xf numFmtId="0" fontId="13" fillId="0" borderId="9" xfId="5" applyFont="1" applyBorder="1">
      <alignment vertical="center"/>
    </xf>
    <xf numFmtId="0" fontId="13" fillId="7" borderId="8" xfId="9" applyFont="1" applyFill="1" applyBorder="1">
      <alignment vertical="center"/>
    </xf>
    <xf numFmtId="0" fontId="22" fillId="7" borderId="10" xfId="5" applyFont="1" applyFill="1" applyBorder="1">
      <alignment vertical="center"/>
    </xf>
    <xf numFmtId="0" fontId="13" fillId="0" borderId="9" xfId="0" applyFont="1" applyBorder="1" applyAlignment="1">
      <alignment horizontal="left" wrapText="1"/>
    </xf>
    <xf numFmtId="0" fontId="13" fillId="0" borderId="9" xfId="5" applyFont="1" applyFill="1" applyBorder="1" applyAlignment="1">
      <alignment vertical="center" wrapText="1"/>
    </xf>
    <xf numFmtId="0" fontId="13" fillId="0" borderId="9" xfId="5" applyFont="1" applyBorder="1" applyAlignment="1">
      <alignment vertical="center" wrapText="1"/>
    </xf>
    <xf numFmtId="4" fontId="13" fillId="0" borderId="1" xfId="8" applyNumberFormat="1" applyFont="1" applyFill="1" applyBorder="1" applyAlignment="1">
      <alignment horizontal="center"/>
    </xf>
    <xf numFmtId="0" fontId="13" fillId="0" borderId="1" xfId="9" applyFont="1" applyFill="1" applyBorder="1" applyAlignment="1">
      <alignment horizontal="center" vertical="center"/>
    </xf>
    <xf numFmtId="9" fontId="13" fillId="7" borderId="1" xfId="5" applyNumberFormat="1" applyFont="1" applyFill="1" applyBorder="1" applyAlignment="1">
      <alignment horizontal="center" vertical="center"/>
    </xf>
    <xf numFmtId="0" fontId="22" fillId="0" borderId="2" xfId="0" applyFont="1" applyBorder="1"/>
    <xf numFmtId="0" fontId="22" fillId="7" borderId="8" xfId="0" applyFont="1" applyFill="1" applyBorder="1"/>
    <xf numFmtId="176" fontId="22" fillId="7" borderId="1" xfId="11" applyFont="1" applyFill="1" applyBorder="1" applyAlignment="1">
      <alignment horizontal="center" vertical="center"/>
    </xf>
    <xf numFmtId="0" fontId="22" fillId="7" borderId="8" xfId="5" applyFont="1" applyFill="1" applyBorder="1">
      <alignment vertical="center"/>
    </xf>
    <xf numFmtId="176" fontId="13" fillId="7" borderId="1" xfId="5" applyNumberFormat="1" applyFont="1" applyFill="1" applyBorder="1" applyAlignment="1">
      <alignment horizontal="center" vertical="center"/>
    </xf>
    <xf numFmtId="9" fontId="13" fillId="0" borderId="1" xfId="5" applyNumberFormat="1" applyFont="1" applyFill="1" applyBorder="1" applyAlignment="1">
      <alignment horizontal="center" vertical="center"/>
    </xf>
    <xf numFmtId="0" fontId="13" fillId="7" borderId="5" xfId="0" applyFont="1" applyFill="1" applyBorder="1" applyAlignment="1">
      <alignment horizontal="center"/>
    </xf>
    <xf numFmtId="0" fontId="18" fillId="7" borderId="8" xfId="0" applyFont="1" applyFill="1" applyBorder="1"/>
    <xf numFmtId="0" fontId="18" fillId="7" borderId="8" xfId="0" applyFont="1" applyFill="1" applyBorder="1" applyAlignment="1">
      <alignment horizontal="left"/>
    </xf>
    <xf numFmtId="0" fontId="17" fillId="7" borderId="8" xfId="0" applyFont="1" applyFill="1" applyBorder="1"/>
    <xf numFmtId="0" fontId="32" fillId="7" borderId="8" xfId="0" applyFont="1" applyFill="1" applyBorder="1"/>
    <xf numFmtId="0" fontId="13" fillId="7" borderId="8" xfId="0" applyFont="1" applyFill="1" applyBorder="1"/>
    <xf numFmtId="0" fontId="22" fillId="7" borderId="0" xfId="11" applyNumberFormat="1" applyFont="1" applyFill="1" applyBorder="1"/>
    <xf numFmtId="0" fontId="13" fillId="7" borderId="0" xfId="11" applyNumberFormat="1" applyFont="1" applyFill="1" applyBorder="1"/>
    <xf numFmtId="0" fontId="22" fillId="7" borderId="8" xfId="4" applyFont="1" applyFill="1" applyBorder="1">
      <alignment vertical="center"/>
    </xf>
    <xf numFmtId="0" fontId="22" fillId="7" borderId="10" xfId="4" applyFont="1" applyFill="1" applyBorder="1">
      <alignment vertical="center"/>
    </xf>
    <xf numFmtId="0" fontId="45" fillId="0" borderId="8" xfId="4" applyFont="1" applyFill="1" applyBorder="1" applyAlignment="1"/>
    <xf numFmtId="0" fontId="13" fillId="0" borderId="9" xfId="9" applyFont="1" applyFill="1" applyBorder="1" applyAlignment="1">
      <alignment vertical="center" wrapText="1"/>
    </xf>
    <xf numFmtId="0" fontId="47" fillId="0" borderId="8" xfId="4" applyFont="1" applyFill="1" applyBorder="1" applyAlignment="1"/>
    <xf numFmtId="0" fontId="47" fillId="0" borderId="10" xfId="4" applyFont="1" applyFill="1" applyBorder="1" applyAlignment="1"/>
    <xf numFmtId="0" fontId="13" fillId="0" borderId="11" xfId="9" applyFont="1" applyFill="1" applyBorder="1" applyAlignment="1">
      <alignment vertical="center" wrapText="1"/>
    </xf>
    <xf numFmtId="176" fontId="13" fillId="0" borderId="1" xfId="5" applyNumberFormat="1" applyFont="1" applyFill="1" applyBorder="1" applyAlignment="1">
      <alignment vertical="center"/>
    </xf>
    <xf numFmtId="177" fontId="13" fillId="0" borderId="1" xfId="5" applyNumberFormat="1" applyFont="1" applyFill="1" applyBorder="1" applyAlignment="1">
      <alignment vertical="center"/>
    </xf>
    <xf numFmtId="1" fontId="13" fillId="0" borderId="1" xfId="0" applyNumberFormat="1" applyFont="1" applyBorder="1" applyAlignment="1">
      <alignment horizontal="center"/>
    </xf>
    <xf numFmtId="0" fontId="16" fillId="0" borderId="1" xfId="0" applyFont="1" applyFill="1" applyBorder="1" applyAlignment="1">
      <alignment horizontal="center" vertical="center"/>
    </xf>
    <xf numFmtId="176" fontId="22" fillId="7" borderId="1" xfId="11" applyNumberFormat="1" applyFont="1" applyFill="1" applyBorder="1" applyAlignment="1">
      <alignment horizontal="center" vertical="center"/>
    </xf>
    <xf numFmtId="0" fontId="10" fillId="0" borderId="3" xfId="0" applyFont="1" applyBorder="1" applyAlignment="1">
      <alignment horizontal="center" wrapText="1"/>
    </xf>
    <xf numFmtId="0" fontId="10" fillId="0" borderId="4" xfId="0" applyFont="1" applyBorder="1" applyAlignment="1">
      <alignment horizontal="center" wrapText="1"/>
    </xf>
    <xf numFmtId="0" fontId="10" fillId="0" borderId="9" xfId="0" applyFont="1" applyBorder="1" applyAlignment="1">
      <alignment horizontal="center" wrapText="1"/>
    </xf>
    <xf numFmtId="3" fontId="9" fillId="0" borderId="9" xfId="0" applyNumberFormat="1" applyFont="1" applyBorder="1" applyAlignment="1">
      <alignment horizontal="center" wrapText="1"/>
    </xf>
    <xf numFmtId="0" fontId="10" fillId="0" borderId="8" xfId="0" applyFont="1" applyBorder="1" applyAlignment="1">
      <alignment horizontal="center" wrapText="1"/>
    </xf>
    <xf numFmtId="3" fontId="7" fillId="0" borderId="9" xfId="0" applyNumberFormat="1" applyFont="1" applyBorder="1" applyAlignment="1">
      <alignment horizontal="center" wrapText="1"/>
    </xf>
    <xf numFmtId="0" fontId="17" fillId="0" borderId="10" xfId="0" applyFont="1" applyBorder="1" applyAlignment="1">
      <alignment horizontal="center" wrapText="1"/>
    </xf>
    <xf numFmtId="3" fontId="7" fillId="0" borderId="5" xfId="0" applyNumberFormat="1" applyFont="1" applyBorder="1" applyAlignment="1">
      <alignment horizontal="center" wrapText="1"/>
    </xf>
    <xf numFmtId="3" fontId="7" fillId="0" borderId="11" xfId="0" applyNumberFormat="1" applyFont="1" applyBorder="1" applyAlignment="1">
      <alignment horizontal="center" wrapText="1"/>
    </xf>
    <xf numFmtId="0" fontId="48" fillId="0" borderId="0" xfId="0" applyFont="1"/>
    <xf numFmtId="0" fontId="29" fillId="0" borderId="9" xfId="0" applyFont="1" applyBorder="1" applyAlignment="1">
      <alignment wrapText="1"/>
    </xf>
    <xf numFmtId="177" fontId="22" fillId="4" borderId="0" xfId="0" applyNumberFormat="1" applyFont="1" applyFill="1"/>
    <xf numFmtId="3" fontId="12" fillId="0" borderId="8" xfId="0" applyNumberFormat="1" applyFont="1" applyBorder="1" applyAlignment="1">
      <alignment horizontal="center" wrapText="1"/>
    </xf>
    <xf numFmtId="14" fontId="0" fillId="0" borderId="0" xfId="0" applyNumberFormat="1"/>
    <xf numFmtId="182" fontId="0" fillId="0" borderId="0" xfId="0" applyNumberFormat="1"/>
    <xf numFmtId="184" fontId="0" fillId="0" borderId="0" xfId="0" applyNumberFormat="1"/>
    <xf numFmtId="188" fontId="0" fillId="0" borderId="0" xfId="0" applyNumberFormat="1"/>
    <xf numFmtId="189" fontId="0" fillId="0" borderId="0" xfId="0" applyNumberFormat="1"/>
    <xf numFmtId="3" fontId="7" fillId="0" borderId="0" xfId="0" applyNumberFormat="1" applyFont="1" applyFill="1" applyBorder="1" applyAlignment="1">
      <alignment horizontal="center" wrapText="1"/>
    </xf>
    <xf numFmtId="0" fontId="13" fillId="8" borderId="2" xfId="0" applyFont="1" applyFill="1" applyBorder="1" applyAlignment="1">
      <alignment horizontal="justify" vertical="center" wrapText="1"/>
    </xf>
    <xf numFmtId="0" fontId="13" fillId="0" borderId="4" xfId="0" applyFont="1" applyBorder="1" applyAlignment="1">
      <alignment horizontal="left" vertical="center" wrapText="1"/>
    </xf>
    <xf numFmtId="0" fontId="13" fillId="8" borderId="8" xfId="0" applyFont="1" applyFill="1" applyBorder="1" applyAlignment="1">
      <alignment horizontal="justify" vertical="center" wrapText="1"/>
    </xf>
    <xf numFmtId="0" fontId="13" fillId="0" borderId="9" xfId="0" applyFont="1" applyBorder="1" applyAlignment="1">
      <alignment horizontal="left" vertical="center"/>
    </xf>
    <xf numFmtId="0" fontId="13" fillId="8" borderId="10" xfId="0" applyFont="1" applyFill="1" applyBorder="1" applyAlignment="1">
      <alignment horizontal="justify" vertical="center" wrapText="1"/>
    </xf>
    <xf numFmtId="0" fontId="13" fillId="0" borderId="11" xfId="0" applyFont="1" applyBorder="1" applyAlignment="1">
      <alignment horizontal="left" vertical="center" wrapText="1"/>
    </xf>
    <xf numFmtId="186" fontId="49" fillId="0" borderId="1" xfId="0" applyNumberFormat="1" applyFont="1" applyFill="1" applyBorder="1" applyAlignment="1">
      <alignment horizontal="center" vertical="center"/>
    </xf>
    <xf numFmtId="186" fontId="50" fillId="2" borderId="1" xfId="0" applyNumberFormat="1" applyFont="1" applyFill="1" applyBorder="1" applyAlignment="1">
      <alignment horizontal="center" vertical="center"/>
    </xf>
    <xf numFmtId="187" fontId="15" fillId="2" borderId="1" xfId="0" applyNumberFormat="1" applyFont="1" applyFill="1" applyBorder="1" applyAlignment="1">
      <alignment horizontal="center" vertical="center"/>
    </xf>
    <xf numFmtId="10" fontId="13" fillId="0" borderId="0" xfId="7" applyNumberFormat="1" applyFont="1"/>
    <xf numFmtId="190" fontId="0" fillId="0" borderId="0" xfId="0" applyNumberFormat="1"/>
    <xf numFmtId="3" fontId="23" fillId="0" borderId="0" xfId="0" applyNumberFormat="1" applyFont="1" applyAlignment="1">
      <alignment horizontal="left"/>
    </xf>
    <xf numFmtId="9" fontId="13" fillId="9" borderId="1" xfId="9" applyNumberFormat="1" applyFont="1" applyFill="1" applyBorder="1" applyAlignment="1">
      <alignment horizontal="center" vertical="center"/>
    </xf>
    <xf numFmtId="4" fontId="13" fillId="0" borderId="1" xfId="11" applyNumberFormat="1" applyFont="1" applyFill="1" applyBorder="1" applyAlignment="1">
      <alignment horizontal="center" vertical="center"/>
    </xf>
    <xf numFmtId="183" fontId="13" fillId="0" borderId="1" xfId="11" applyNumberFormat="1" applyFont="1" applyFill="1" applyBorder="1" applyAlignment="1">
      <alignment horizontal="center" vertical="center"/>
    </xf>
    <xf numFmtId="0" fontId="13" fillId="0" borderId="9" xfId="0" quotePrefix="1" applyFont="1" applyBorder="1" applyAlignment="1">
      <alignment horizontal="left" vertical="center"/>
    </xf>
    <xf numFmtId="0" fontId="15" fillId="6" borderId="1" xfId="0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/>
    <xf numFmtId="0" fontId="22" fillId="0" borderId="0" xfId="0" applyFont="1" applyAlignment="1">
      <alignment wrapText="1"/>
    </xf>
    <xf numFmtId="0" fontId="13" fillId="0" borderId="0" xfId="0" applyFont="1" applyAlignment="1"/>
    <xf numFmtId="3" fontId="22" fillId="0" borderId="5" xfId="0" applyNumberFormat="1" applyFont="1" applyFill="1" applyBorder="1" applyAlignment="1">
      <alignment horizontal="right" wrapText="1"/>
    </xf>
    <xf numFmtId="0" fontId="22" fillId="0" borderId="3" xfId="0" applyFont="1" applyBorder="1" applyAlignment="1">
      <alignment horizontal="center"/>
    </xf>
    <xf numFmtId="4" fontId="22" fillId="0" borderId="12" xfId="9" applyNumberFormat="1" applyFont="1" applyFill="1" applyBorder="1" applyAlignment="1">
      <alignment horizontal="center" vertical="center"/>
    </xf>
    <xf numFmtId="4" fontId="22" fillId="0" borderId="13" xfId="9" applyNumberFormat="1" applyFont="1" applyFill="1" applyBorder="1" applyAlignment="1">
      <alignment horizontal="center" vertical="center"/>
    </xf>
    <xf numFmtId="3" fontId="22" fillId="0" borderId="5" xfId="0" applyNumberFormat="1" applyFont="1" applyBorder="1" applyAlignment="1">
      <alignment horizontal="center"/>
    </xf>
    <xf numFmtId="3" fontId="22" fillId="0" borderId="1" xfId="0" applyNumberFormat="1" applyFont="1" applyBorder="1" applyAlignment="1">
      <alignment horizontal="center"/>
    </xf>
    <xf numFmtId="3" fontId="22" fillId="7" borderId="14" xfId="5" applyNumberFormat="1" applyFont="1" applyFill="1" applyBorder="1" applyAlignment="1">
      <alignment horizontal="center" vertical="center"/>
    </xf>
    <xf numFmtId="3" fontId="22" fillId="7" borderId="15" xfId="5" applyNumberFormat="1" applyFont="1" applyFill="1" applyBorder="1" applyAlignment="1">
      <alignment horizontal="center" vertical="center"/>
    </xf>
    <xf numFmtId="3" fontId="22" fillId="7" borderId="12" xfId="11" applyNumberFormat="1" applyFont="1" applyFill="1" applyBorder="1" applyAlignment="1">
      <alignment horizontal="center" vertical="center"/>
    </xf>
    <xf numFmtId="3" fontId="22" fillId="7" borderId="13" xfId="11" applyNumberFormat="1" applyFont="1" applyFill="1" applyBorder="1" applyAlignment="1">
      <alignment horizontal="center" vertical="center"/>
    </xf>
    <xf numFmtId="2" fontId="22" fillId="0" borderId="1" xfId="5" applyNumberFormat="1" applyFont="1" applyFill="1" applyBorder="1" applyAlignment="1">
      <alignment horizontal="center" vertical="center"/>
    </xf>
    <xf numFmtId="177" fontId="22" fillId="0" borderId="1" xfId="5" applyNumberFormat="1" applyFont="1" applyFill="1" applyBorder="1" applyAlignment="1">
      <alignment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3" fontId="23" fillId="0" borderId="0" xfId="0" applyNumberFormat="1" applyFont="1"/>
  </cellXfs>
  <cellStyles count="12">
    <cellStyle name="Euro" xfId="1" xr:uid="{00000000-0005-0000-0000-000000000000}"/>
    <cellStyle name="Normal 2" xfId="2" xr:uid="{00000000-0005-0000-0000-000001000000}"/>
    <cellStyle name="Normal_AMIGO AGRO (HOGS INVTY 06)" xfId="3" xr:uid="{00000000-0005-0000-0000-000002000000}"/>
    <cellStyle name="Normal_Sheet2" xfId="4" xr:uid="{00000000-0005-0000-0000-000003000000}"/>
    <cellStyle name="Normal_Sheet3" xfId="5" xr:uid="{00000000-0005-0000-0000-000004000000}"/>
    <cellStyle name="Percent 2" xfId="6" xr:uid="{00000000-0005-0000-0000-000005000000}"/>
    <cellStyle name="百分比" xfId="7" builtinId="5"/>
    <cellStyle name="常规" xfId="0" builtinId="0"/>
    <cellStyle name="常规_Sheet2" xfId="8" xr:uid="{00000000-0005-0000-0000-000008000000}"/>
    <cellStyle name="常规_范霍夫数－计算结果" xfId="9" xr:uid="{00000000-0005-0000-0000-000009000000}"/>
    <cellStyle name="超链接" xfId="10" builtinId="8"/>
    <cellStyle name="千位分隔" xfId="1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6.png"/><Relationship Id="rId3" Type="http://schemas.openxmlformats.org/officeDocument/2006/relationships/image" Target="../media/image11.png"/><Relationship Id="rId7" Type="http://schemas.openxmlformats.org/officeDocument/2006/relationships/image" Target="../media/image15.png"/><Relationship Id="rId2" Type="http://schemas.openxmlformats.org/officeDocument/2006/relationships/image" Target="../media/image10.png"/><Relationship Id="rId1" Type="http://schemas.openxmlformats.org/officeDocument/2006/relationships/image" Target="../media/image9.png"/><Relationship Id="rId6" Type="http://schemas.openxmlformats.org/officeDocument/2006/relationships/image" Target="../media/image14.png"/><Relationship Id="rId5" Type="http://schemas.openxmlformats.org/officeDocument/2006/relationships/image" Target="../media/image13.png"/><Relationship Id="rId4" Type="http://schemas.openxmlformats.org/officeDocument/2006/relationships/image" Target="../media/image1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9.png"/><Relationship Id="rId2" Type="http://schemas.openxmlformats.org/officeDocument/2006/relationships/image" Target="../media/image18.png"/><Relationship Id="rId1" Type="http://schemas.openxmlformats.org/officeDocument/2006/relationships/image" Target="../media/image17.png"/><Relationship Id="rId4" Type="http://schemas.openxmlformats.org/officeDocument/2006/relationships/image" Target="../media/image2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260350</xdr:colOff>
      <xdr:row>37</xdr:row>
      <xdr:rowOff>57150</xdr:rowOff>
    </xdr:from>
    <xdr:to>
      <xdr:col>3</xdr:col>
      <xdr:colOff>0</xdr:colOff>
      <xdr:row>40</xdr:row>
      <xdr:rowOff>15875</xdr:rowOff>
    </xdr:to>
    <xdr:pic>
      <xdr:nvPicPr>
        <xdr:cNvPr id="37032" name="Picture 5">
          <a:extLst>
            <a:ext uri="{FF2B5EF4-FFF2-40B4-BE49-F238E27FC236}">
              <a16:creationId xmlns:a16="http://schemas.microsoft.com/office/drawing/2014/main" id="{668211D8-D415-4DAE-A828-BFE984B1F0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0350" y="6946900"/>
          <a:ext cx="3009900" cy="425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120650</xdr:colOff>
      <xdr:row>37</xdr:row>
      <xdr:rowOff>82550</xdr:rowOff>
    </xdr:from>
    <xdr:to>
      <xdr:col>4</xdr:col>
      <xdr:colOff>0</xdr:colOff>
      <xdr:row>40</xdr:row>
      <xdr:rowOff>15875</xdr:rowOff>
    </xdr:to>
    <xdr:pic>
      <xdr:nvPicPr>
        <xdr:cNvPr id="37033" name="Picture 6">
          <a:extLst>
            <a:ext uri="{FF2B5EF4-FFF2-40B4-BE49-F238E27FC236}">
              <a16:creationId xmlns:a16="http://schemas.microsoft.com/office/drawing/2014/main" id="{6A969A00-E8A1-2748-68F4-523D2A165A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90900" y="6972300"/>
          <a:ext cx="2076450" cy="400050"/>
        </a:xfrm>
        <a:prstGeom prst="rect">
          <a:avLst/>
        </a:prstGeom>
        <a:solidFill>
          <a:srgbClr val="FF0000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5</xdr:row>
      <xdr:rowOff>38100</xdr:rowOff>
    </xdr:from>
    <xdr:to>
      <xdr:col>2</xdr:col>
      <xdr:colOff>130175</xdr:colOff>
      <xdr:row>9</xdr:row>
      <xdr:rowOff>53975</xdr:rowOff>
    </xdr:to>
    <xdr:pic>
      <xdr:nvPicPr>
        <xdr:cNvPr id="37034" name="图片 1">
          <a:extLst>
            <a:ext uri="{FF2B5EF4-FFF2-40B4-BE49-F238E27FC236}">
              <a16:creationId xmlns:a16="http://schemas.microsoft.com/office/drawing/2014/main" id="{B05ED96A-91A3-C473-9416-8039ADA60E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768350"/>
          <a:ext cx="227330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647700</xdr:colOff>
      <xdr:row>5</xdr:row>
      <xdr:rowOff>19050</xdr:rowOff>
    </xdr:from>
    <xdr:to>
      <xdr:col>4</xdr:col>
      <xdr:colOff>520065</xdr:colOff>
      <xdr:row>9</xdr:row>
      <xdr:rowOff>0</xdr:rowOff>
    </xdr:to>
    <xdr:pic>
      <xdr:nvPicPr>
        <xdr:cNvPr id="37035" name="图片 2">
          <a:extLst>
            <a:ext uri="{FF2B5EF4-FFF2-40B4-BE49-F238E27FC236}">
              <a16:creationId xmlns:a16="http://schemas.microsoft.com/office/drawing/2014/main" id="{B698ADF1-2229-BD1D-EB2E-F202B11479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0" y="749300"/>
          <a:ext cx="3136900" cy="565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31750</xdr:colOff>
      <xdr:row>30</xdr:row>
      <xdr:rowOff>12700</xdr:rowOff>
    </xdr:from>
    <xdr:to>
      <xdr:col>4</xdr:col>
      <xdr:colOff>0</xdr:colOff>
      <xdr:row>33</xdr:row>
      <xdr:rowOff>0</xdr:rowOff>
    </xdr:to>
    <xdr:pic>
      <xdr:nvPicPr>
        <xdr:cNvPr id="37036" name="图片 3">
          <a:extLst>
            <a:ext uri="{FF2B5EF4-FFF2-40B4-BE49-F238E27FC236}">
              <a16:creationId xmlns:a16="http://schemas.microsoft.com/office/drawing/2014/main" id="{0A3510FD-3197-345E-45AC-DFAD153B9D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" y="5854700"/>
          <a:ext cx="5435600" cy="425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349250</xdr:colOff>
      <xdr:row>34</xdr:row>
      <xdr:rowOff>31750</xdr:rowOff>
    </xdr:from>
    <xdr:to>
      <xdr:col>4</xdr:col>
      <xdr:colOff>0</xdr:colOff>
      <xdr:row>37</xdr:row>
      <xdr:rowOff>19050</xdr:rowOff>
    </xdr:to>
    <xdr:pic>
      <xdr:nvPicPr>
        <xdr:cNvPr id="37037" name="图片 4">
          <a:extLst>
            <a:ext uri="{FF2B5EF4-FFF2-40B4-BE49-F238E27FC236}">
              <a16:creationId xmlns:a16="http://schemas.microsoft.com/office/drawing/2014/main" id="{7F8B6808-1373-317F-C789-0D511E40EB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8600" y="6457950"/>
          <a:ext cx="3968750" cy="450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419100</xdr:colOff>
      <xdr:row>54</xdr:row>
      <xdr:rowOff>44450</xdr:rowOff>
    </xdr:from>
    <xdr:to>
      <xdr:col>4</xdr:col>
      <xdr:colOff>0</xdr:colOff>
      <xdr:row>57</xdr:row>
      <xdr:rowOff>1</xdr:rowOff>
    </xdr:to>
    <xdr:pic>
      <xdr:nvPicPr>
        <xdr:cNvPr id="37038" name="图片 5">
          <a:extLst>
            <a:ext uri="{FF2B5EF4-FFF2-40B4-BE49-F238E27FC236}">
              <a16:creationId xmlns:a16="http://schemas.microsoft.com/office/drawing/2014/main" id="{9CF90C5D-402A-D40C-E71F-6891AFA551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8450" y="9582150"/>
          <a:ext cx="3898900" cy="40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234950</xdr:colOff>
      <xdr:row>1</xdr:row>
      <xdr:rowOff>12700</xdr:rowOff>
    </xdr:from>
    <xdr:to>
      <xdr:col>2</xdr:col>
      <xdr:colOff>320675</xdr:colOff>
      <xdr:row>4</xdr:row>
      <xdr:rowOff>0</xdr:rowOff>
    </xdr:to>
    <xdr:pic>
      <xdr:nvPicPr>
        <xdr:cNvPr id="37039" name="图片 10">
          <a:extLst>
            <a:ext uri="{FF2B5EF4-FFF2-40B4-BE49-F238E27FC236}">
              <a16:creationId xmlns:a16="http://schemas.microsoft.com/office/drawing/2014/main" id="{69751248-996C-B5C4-05DB-07EDE00EB9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4300" y="158750"/>
          <a:ext cx="1136650" cy="425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59</xdr:row>
      <xdr:rowOff>6350</xdr:rowOff>
    </xdr:from>
    <xdr:to>
      <xdr:col>2</xdr:col>
      <xdr:colOff>172085</xdr:colOff>
      <xdr:row>62</xdr:row>
      <xdr:rowOff>15240</xdr:rowOff>
    </xdr:to>
    <xdr:pic>
      <xdr:nvPicPr>
        <xdr:cNvPr id="38056" name="Picture 5">
          <a:extLst>
            <a:ext uri="{FF2B5EF4-FFF2-40B4-BE49-F238E27FC236}">
              <a16:creationId xmlns:a16="http://schemas.microsoft.com/office/drawing/2014/main" id="{583A0C06-3BF7-2E9F-7324-6FB99E0462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350500"/>
          <a:ext cx="4070350" cy="450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63</xdr:row>
      <xdr:rowOff>19050</xdr:rowOff>
    </xdr:from>
    <xdr:to>
      <xdr:col>1</xdr:col>
      <xdr:colOff>326390</xdr:colOff>
      <xdr:row>66</xdr:row>
      <xdr:rowOff>0</xdr:rowOff>
    </xdr:to>
    <xdr:pic>
      <xdr:nvPicPr>
        <xdr:cNvPr id="38057" name="Picture 6">
          <a:extLst>
            <a:ext uri="{FF2B5EF4-FFF2-40B4-BE49-F238E27FC236}">
              <a16:creationId xmlns:a16="http://schemas.microsoft.com/office/drawing/2014/main" id="{CC26D6C8-2388-BF8F-882D-14502894C6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947400"/>
          <a:ext cx="2794000" cy="431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362585</xdr:colOff>
      <xdr:row>4</xdr:row>
      <xdr:rowOff>21590</xdr:rowOff>
    </xdr:to>
    <xdr:pic>
      <xdr:nvPicPr>
        <xdr:cNvPr id="38058" name="图片 3">
          <a:extLst>
            <a:ext uri="{FF2B5EF4-FFF2-40B4-BE49-F238E27FC236}">
              <a16:creationId xmlns:a16="http://schemas.microsoft.com/office/drawing/2014/main" id="{FF7AF811-6781-8246-00D5-E2835F8936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6050"/>
          <a:ext cx="2806700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44450</xdr:colOff>
      <xdr:row>6</xdr:row>
      <xdr:rowOff>31750</xdr:rowOff>
    </xdr:from>
    <xdr:to>
      <xdr:col>2</xdr:col>
      <xdr:colOff>359410</xdr:colOff>
      <xdr:row>9</xdr:row>
      <xdr:rowOff>21590</xdr:rowOff>
    </xdr:to>
    <xdr:pic>
      <xdr:nvPicPr>
        <xdr:cNvPr id="38059" name="图片 4">
          <a:extLst>
            <a:ext uri="{FF2B5EF4-FFF2-40B4-BE49-F238E27FC236}">
              <a16:creationId xmlns:a16="http://schemas.microsoft.com/office/drawing/2014/main" id="{E4BB2B7F-D0DB-BF89-60A4-DAE2774DAD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908050"/>
          <a:ext cx="4222750" cy="431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88900</xdr:colOff>
      <xdr:row>20</xdr:row>
      <xdr:rowOff>57150</xdr:rowOff>
    </xdr:from>
    <xdr:to>
      <xdr:col>2</xdr:col>
      <xdr:colOff>97790</xdr:colOff>
      <xdr:row>23</xdr:row>
      <xdr:rowOff>16510</xdr:rowOff>
    </xdr:to>
    <xdr:pic>
      <xdr:nvPicPr>
        <xdr:cNvPr id="38060" name="图片 5">
          <a:extLst>
            <a:ext uri="{FF2B5EF4-FFF2-40B4-BE49-F238E27FC236}">
              <a16:creationId xmlns:a16="http://schemas.microsoft.com/office/drawing/2014/main" id="{8553CA4C-7F48-59FE-72D5-F1CD48486F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900" y="3949700"/>
          <a:ext cx="3924300" cy="527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158750</xdr:colOff>
      <xdr:row>8</xdr:row>
      <xdr:rowOff>63500</xdr:rowOff>
    </xdr:from>
    <xdr:to>
      <xdr:col>1</xdr:col>
      <xdr:colOff>243840</xdr:colOff>
      <xdr:row>11</xdr:row>
      <xdr:rowOff>38100</xdr:rowOff>
    </xdr:to>
    <xdr:pic>
      <xdr:nvPicPr>
        <xdr:cNvPr id="38061" name="图片 8">
          <a:extLst>
            <a:ext uri="{FF2B5EF4-FFF2-40B4-BE49-F238E27FC236}">
              <a16:creationId xmlns:a16="http://schemas.microsoft.com/office/drawing/2014/main" id="{7D412070-588F-730E-1EC1-551E9674AC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1231900"/>
          <a:ext cx="2546350" cy="412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38</xdr:row>
      <xdr:rowOff>12700</xdr:rowOff>
    </xdr:from>
    <xdr:to>
      <xdr:col>3</xdr:col>
      <xdr:colOff>440690</xdr:colOff>
      <xdr:row>41</xdr:row>
      <xdr:rowOff>15240</xdr:rowOff>
    </xdr:to>
    <xdr:pic>
      <xdr:nvPicPr>
        <xdr:cNvPr id="38062" name="图片 1">
          <a:extLst>
            <a:ext uri="{FF2B5EF4-FFF2-40B4-BE49-F238E27FC236}">
              <a16:creationId xmlns:a16="http://schemas.microsoft.com/office/drawing/2014/main" id="{92B364A5-AEB6-C2DB-9A77-815E7EBB7A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131050"/>
          <a:ext cx="5607050" cy="444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12700</xdr:colOff>
      <xdr:row>81</xdr:row>
      <xdr:rowOff>6350</xdr:rowOff>
    </xdr:from>
    <xdr:to>
      <xdr:col>2</xdr:col>
      <xdr:colOff>91440</xdr:colOff>
      <xdr:row>84</xdr:row>
      <xdr:rowOff>57785</xdr:rowOff>
    </xdr:to>
    <xdr:pic>
      <xdr:nvPicPr>
        <xdr:cNvPr id="38063" name="图片 3">
          <a:extLst>
            <a:ext uri="{FF2B5EF4-FFF2-40B4-BE49-F238E27FC236}">
              <a16:creationId xmlns:a16="http://schemas.microsoft.com/office/drawing/2014/main" id="{4D733BD4-0A25-BA7B-D7E6-22217ACB13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0" y="13900150"/>
          <a:ext cx="39941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1</xdr:row>
      <xdr:rowOff>6350</xdr:rowOff>
    </xdr:from>
    <xdr:to>
      <xdr:col>1</xdr:col>
      <xdr:colOff>206375</xdr:colOff>
      <xdr:row>3</xdr:row>
      <xdr:rowOff>0</xdr:rowOff>
    </xdr:to>
    <xdr:pic>
      <xdr:nvPicPr>
        <xdr:cNvPr id="38996" name="图片 1">
          <a:extLst>
            <a:ext uri="{FF2B5EF4-FFF2-40B4-BE49-F238E27FC236}">
              <a16:creationId xmlns:a16="http://schemas.microsoft.com/office/drawing/2014/main" id="{5DA5B1A1-DA4B-C437-59BA-AFA2EADBD8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152400"/>
          <a:ext cx="31623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177800</xdr:colOff>
      <xdr:row>4</xdr:row>
      <xdr:rowOff>50800</xdr:rowOff>
    </xdr:from>
    <xdr:to>
      <xdr:col>1</xdr:col>
      <xdr:colOff>130175</xdr:colOff>
      <xdr:row>20</xdr:row>
      <xdr:rowOff>0</xdr:rowOff>
    </xdr:to>
    <xdr:pic>
      <xdr:nvPicPr>
        <xdr:cNvPr id="38997" name="图片 2">
          <a:extLst>
            <a:ext uri="{FF2B5EF4-FFF2-40B4-BE49-F238E27FC236}">
              <a16:creationId xmlns:a16="http://schemas.microsoft.com/office/drawing/2014/main" id="{1C40C9EB-F8B9-7F87-A1AB-8CFC604C64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800" y="647700"/>
          <a:ext cx="2927350" cy="228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69850</xdr:colOff>
      <xdr:row>40</xdr:row>
      <xdr:rowOff>38100</xdr:rowOff>
    </xdr:from>
    <xdr:to>
      <xdr:col>1</xdr:col>
      <xdr:colOff>168275</xdr:colOff>
      <xdr:row>55</xdr:row>
      <xdr:rowOff>57150</xdr:rowOff>
    </xdr:to>
    <xdr:pic>
      <xdr:nvPicPr>
        <xdr:cNvPr id="38998" name="图片 3">
          <a:extLst>
            <a:ext uri="{FF2B5EF4-FFF2-40B4-BE49-F238E27FC236}">
              <a16:creationId xmlns:a16="http://schemas.microsoft.com/office/drawing/2014/main" id="{89AF04FF-07FB-D5F1-0360-9868159F1F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850" y="6388100"/>
          <a:ext cx="3073400" cy="2209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446827</xdr:colOff>
      <xdr:row>75</xdr:row>
      <xdr:rowOff>52706</xdr:rowOff>
    </xdr:from>
    <xdr:to>
      <xdr:col>4</xdr:col>
      <xdr:colOff>174202</xdr:colOff>
      <xdr:row>87</xdr:row>
      <xdr:rowOff>96097</xdr:rowOff>
    </xdr:to>
    <xdr:pic>
      <xdr:nvPicPr>
        <xdr:cNvPr id="38999" name="图片 2">
          <a:extLst>
            <a:ext uri="{FF2B5EF4-FFF2-40B4-BE49-F238E27FC236}">
              <a16:creationId xmlns:a16="http://schemas.microsoft.com/office/drawing/2014/main" id="{4B2B8996-1804-6CFD-AEC7-4EE01D2E94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78410" y="12593956"/>
          <a:ext cx="3636435" cy="18175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2:D7"/>
  <sheetViews>
    <sheetView tabSelected="1" zoomScale="110" zoomScaleNormal="110" workbookViewId="0">
      <selection activeCell="G13" sqref="G13"/>
    </sheetView>
  </sheetViews>
  <sheetFormatPr defaultRowHeight="13.2" x14ac:dyDescent="0.25"/>
  <cols>
    <col min="3" max="3" width="43.77734375" customWidth="1"/>
    <col min="4" max="4" width="46.77734375" customWidth="1"/>
  </cols>
  <sheetData>
    <row r="2" spans="3:4" ht="13.8" thickBot="1" x14ac:dyDescent="0.3"/>
    <row r="3" spans="3:4" ht="22.8" x14ac:dyDescent="0.25">
      <c r="C3" s="309" t="s">
        <v>87</v>
      </c>
      <c r="D3" s="310" t="s">
        <v>256</v>
      </c>
    </row>
    <row r="4" spans="3:4" x14ac:dyDescent="0.25">
      <c r="C4" s="311" t="s">
        <v>88</v>
      </c>
      <c r="D4" s="312" t="s">
        <v>257</v>
      </c>
    </row>
    <row r="5" spans="3:4" x14ac:dyDescent="0.25">
      <c r="C5" s="311" t="s">
        <v>89</v>
      </c>
      <c r="D5" s="324" t="s">
        <v>267</v>
      </c>
    </row>
    <row r="6" spans="3:4" x14ac:dyDescent="0.25">
      <c r="C6" s="311" t="s">
        <v>90</v>
      </c>
      <c r="D6" s="312" t="s">
        <v>269</v>
      </c>
    </row>
    <row r="7" spans="3:4" ht="13.8" thickBot="1" x14ac:dyDescent="0.3">
      <c r="C7" s="313" t="s">
        <v>91</v>
      </c>
      <c r="D7" s="314" t="s">
        <v>258</v>
      </c>
    </row>
  </sheetData>
  <phoneticPr fontId="14" type="noConversion"/>
  <pageMargins left="0.7" right="0.7" top="0.75" bottom="0.75" header="0.3" footer="0.3"/>
  <pageSetup paperSize="9" orientation="portrait" r:id="rId1"/>
  <ignoredErrors>
    <ignoredError sqref="D5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F27"/>
  <sheetViews>
    <sheetView zoomScale="70" zoomScaleNormal="70" workbookViewId="0">
      <selection activeCell="F25" sqref="F25"/>
    </sheetView>
  </sheetViews>
  <sheetFormatPr defaultRowHeight="13.2" x14ac:dyDescent="0.25"/>
  <cols>
    <col min="3" max="3" width="31.33203125" customWidth="1"/>
    <col min="4" max="4" width="76.21875" customWidth="1"/>
    <col min="5" max="5" width="12.21875" customWidth="1"/>
    <col min="6" max="6" width="10.77734375" bestFit="1" customWidth="1"/>
  </cols>
  <sheetData>
    <row r="3" spans="2:4" ht="14.4" x14ac:dyDescent="0.25">
      <c r="B3" s="325" t="s">
        <v>92</v>
      </c>
      <c r="C3" s="13" t="s">
        <v>93</v>
      </c>
      <c r="D3" s="13" t="s">
        <v>266</v>
      </c>
    </row>
    <row r="4" spans="2:4" ht="14.4" x14ac:dyDescent="0.25">
      <c r="B4" s="325"/>
      <c r="C4" s="15" t="str">
        <f>'Emission Reduction'!B6</f>
        <v>01/01/2021-31/12/2021</v>
      </c>
      <c r="D4" s="315">
        <v>40134</v>
      </c>
    </row>
    <row r="5" spans="2:4" ht="14.4" x14ac:dyDescent="0.25">
      <c r="B5" s="325"/>
      <c r="C5" s="15" t="str">
        <f>'Emission Reduction'!B7</f>
        <v>01/01/2022-31/12/2022</v>
      </c>
      <c r="D5" s="315">
        <f>D4</f>
        <v>40134</v>
      </c>
    </row>
    <row r="6" spans="2:4" ht="14.4" x14ac:dyDescent="0.25">
      <c r="B6" s="326"/>
      <c r="C6" s="15" t="str">
        <f>'Emission Reduction'!B8</f>
        <v>01/01/2023-31/12/2023</v>
      </c>
      <c r="D6" s="315">
        <f>D5</f>
        <v>40134</v>
      </c>
    </row>
    <row r="7" spans="2:4" ht="14.4" x14ac:dyDescent="0.25">
      <c r="B7" s="326"/>
      <c r="C7" s="15" t="str">
        <f>'Emission Reduction'!B9</f>
        <v>01/01/2024-31/12/2024</v>
      </c>
      <c r="D7" s="315">
        <f>D6</f>
        <v>40134</v>
      </c>
    </row>
    <row r="8" spans="2:4" ht="14.4" x14ac:dyDescent="0.25">
      <c r="B8" s="326"/>
      <c r="C8" s="15" t="str">
        <f>'Emission Reduction'!B10</f>
        <v>01/01/2025-31/12/2025</v>
      </c>
      <c r="D8" s="315">
        <v>40134</v>
      </c>
    </row>
    <row r="9" spans="2:4" ht="14.4" x14ac:dyDescent="0.25">
      <c r="B9" s="326"/>
      <c r="C9" s="16" t="s">
        <v>94</v>
      </c>
      <c r="D9" s="316">
        <f>SUM(D4:D8)</f>
        <v>200670</v>
      </c>
    </row>
    <row r="10" spans="2:4" ht="14.4" x14ac:dyDescent="0.25">
      <c r="B10" s="326"/>
      <c r="C10" s="16" t="s">
        <v>95</v>
      </c>
      <c r="D10" s="316">
        <f>D9/5</f>
        <v>40134</v>
      </c>
    </row>
    <row r="11" spans="2:4" x14ac:dyDescent="0.25">
      <c r="B11" s="14"/>
      <c r="C11" s="14"/>
      <c r="D11" s="14"/>
    </row>
    <row r="12" spans="2:4" ht="14.4" x14ac:dyDescent="0.25">
      <c r="B12" s="325" t="s">
        <v>96</v>
      </c>
      <c r="C12" s="13" t="s">
        <v>93</v>
      </c>
      <c r="D12" s="13" t="s">
        <v>250</v>
      </c>
    </row>
    <row r="13" spans="2:4" ht="14.4" x14ac:dyDescent="0.25">
      <c r="B13" s="325"/>
      <c r="C13" s="15" t="str">
        <f t="shared" ref="C13:C17" si="0">C4</f>
        <v>01/01/2021-31/12/2021</v>
      </c>
      <c r="D13" s="288" t="s">
        <v>263</v>
      </c>
    </row>
    <row r="14" spans="2:4" ht="14.4" x14ac:dyDescent="0.25">
      <c r="B14" s="325"/>
      <c r="C14" s="15" t="str">
        <f t="shared" si="0"/>
        <v>01/01/2022-31/12/2022</v>
      </c>
      <c r="D14" s="288" t="str">
        <f>D13</f>
        <v>18 full time jobs created,including 9 females and 9 males</v>
      </c>
    </row>
    <row r="15" spans="2:4" ht="14.4" x14ac:dyDescent="0.25">
      <c r="B15" s="327"/>
      <c r="C15" s="15" t="str">
        <f t="shared" si="0"/>
        <v>01/01/2023-31/12/2023</v>
      </c>
      <c r="D15" s="288" t="str">
        <f>D14</f>
        <v>18 full time jobs created,including 9 females and 9 males</v>
      </c>
    </row>
    <row r="16" spans="2:4" ht="14.4" x14ac:dyDescent="0.25">
      <c r="B16" s="327"/>
      <c r="C16" s="15" t="str">
        <f t="shared" si="0"/>
        <v>01/01/2024-31/12/2024</v>
      </c>
      <c r="D16" s="288" t="str">
        <f>D15</f>
        <v>18 full time jobs created,including 9 females and 9 males</v>
      </c>
    </row>
    <row r="17" spans="2:6" ht="14.4" x14ac:dyDescent="0.25">
      <c r="B17" s="327"/>
      <c r="C17" s="15" t="str">
        <f t="shared" si="0"/>
        <v>01/01/2025-31/12/2025</v>
      </c>
      <c r="D17" s="288" t="str">
        <f>D15</f>
        <v>18 full time jobs created,including 9 females and 9 males</v>
      </c>
    </row>
    <row r="20" spans="2:6" ht="15.6" x14ac:dyDescent="0.25">
      <c r="B20" s="325" t="s">
        <v>97</v>
      </c>
      <c r="C20" s="17" t="s">
        <v>98</v>
      </c>
      <c r="D20" s="18" t="s">
        <v>253</v>
      </c>
      <c r="F20" s="304"/>
    </row>
    <row r="21" spans="2:6" ht="14.4" x14ac:dyDescent="0.25">
      <c r="B21" s="325"/>
      <c r="C21" s="15" t="str">
        <f>C4</f>
        <v>01/01/2021-31/12/2021</v>
      </c>
      <c r="D21" s="19">
        <f>'Emission Reduction'!F6</f>
        <v>282734</v>
      </c>
    </row>
    <row r="22" spans="2:6" ht="14.4" x14ac:dyDescent="0.25">
      <c r="B22" s="325"/>
      <c r="C22" s="15" t="str">
        <f>C5</f>
        <v>01/01/2022-31/12/2022</v>
      </c>
      <c r="D22" s="19">
        <f>'Emission Reduction'!F7</f>
        <v>282734</v>
      </c>
    </row>
    <row r="23" spans="2:6" ht="14.4" x14ac:dyDescent="0.25">
      <c r="B23" s="327"/>
      <c r="C23" s="15" t="str">
        <f>C6</f>
        <v>01/01/2023-31/12/2023</v>
      </c>
      <c r="D23" s="19">
        <f>'Emission Reduction'!F8</f>
        <v>282734</v>
      </c>
    </row>
    <row r="24" spans="2:6" ht="14.4" x14ac:dyDescent="0.25">
      <c r="B24" s="327"/>
      <c r="C24" s="15" t="str">
        <f>C16</f>
        <v>01/01/2024-31/12/2024</v>
      </c>
      <c r="D24" s="19">
        <f>'Emission Reduction'!F9</f>
        <v>282734</v>
      </c>
    </row>
    <row r="25" spans="2:6" ht="14.4" x14ac:dyDescent="0.25">
      <c r="B25" s="327"/>
      <c r="C25" s="15" t="str">
        <f>C8</f>
        <v>01/01/2025-31/12/2025</v>
      </c>
      <c r="D25" s="19">
        <f>'Emission Reduction'!F10</f>
        <v>282734</v>
      </c>
    </row>
    <row r="26" spans="2:6" ht="14.4" x14ac:dyDescent="0.25">
      <c r="B26" s="327"/>
      <c r="C26" s="16" t="s">
        <v>94</v>
      </c>
      <c r="D26" s="317">
        <f>SUM(D21:D25)</f>
        <v>1413670</v>
      </c>
    </row>
    <row r="27" spans="2:6" ht="14.4" x14ac:dyDescent="0.25">
      <c r="B27" s="327"/>
      <c r="C27" s="16" t="s">
        <v>95</v>
      </c>
      <c r="D27" s="317">
        <f>D26/5</f>
        <v>282734</v>
      </c>
    </row>
  </sheetData>
  <mergeCells count="3">
    <mergeCell ref="B3:B10"/>
    <mergeCell ref="B12:B17"/>
    <mergeCell ref="B20:B27"/>
  </mergeCells>
  <phoneticPr fontId="14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/>
  <dimension ref="A1:G77"/>
  <sheetViews>
    <sheetView zoomScale="80" zoomScaleNormal="80" workbookViewId="0">
      <selection activeCell="B18" sqref="B18"/>
    </sheetView>
  </sheetViews>
  <sheetFormatPr defaultColWidth="8.77734375" defaultRowHeight="11.4" x14ac:dyDescent="0.2"/>
  <cols>
    <col min="1" max="1" width="16.44140625" style="25" customWidth="1"/>
    <col min="2" max="3" width="15.21875" style="25" customWidth="1"/>
    <col min="4" max="4" width="31.44140625" style="25" customWidth="1"/>
    <col min="5" max="5" width="47.77734375" style="25" customWidth="1"/>
    <col min="6" max="6" width="58" style="25" customWidth="1"/>
    <col min="7" max="7" width="8.77734375" style="25"/>
    <col min="8" max="8" width="23.6640625" style="25" customWidth="1"/>
    <col min="9" max="16384" width="8.77734375" style="25"/>
  </cols>
  <sheetData>
    <row r="1" spans="1:7" x14ac:dyDescent="0.2">
      <c r="A1" s="24" t="s">
        <v>33</v>
      </c>
      <c r="B1" s="24"/>
      <c r="C1" s="24"/>
    </row>
    <row r="2" spans="1:7" x14ac:dyDescent="0.2">
      <c r="A2" s="24"/>
      <c r="B2" s="24"/>
      <c r="C2" s="24"/>
    </row>
    <row r="3" spans="1:7" x14ac:dyDescent="0.2">
      <c r="A3" s="24"/>
      <c r="B3" s="24"/>
      <c r="C3" s="24"/>
      <c r="D3" s="54"/>
    </row>
    <row r="4" spans="1:7" x14ac:dyDescent="0.2">
      <c r="A4" s="24"/>
      <c r="B4" s="24"/>
      <c r="C4" s="24"/>
    </row>
    <row r="5" spans="1:7" x14ac:dyDescent="0.2">
      <c r="A5" s="113" t="s">
        <v>34</v>
      </c>
      <c r="B5" s="24"/>
      <c r="C5" s="24"/>
    </row>
    <row r="6" spans="1:7" x14ac:dyDescent="0.2">
      <c r="A6" s="71"/>
      <c r="B6" s="71"/>
      <c r="C6" s="45"/>
      <c r="D6" s="45"/>
      <c r="E6" s="114"/>
      <c r="F6" s="26"/>
    </row>
    <row r="7" spans="1:7" x14ac:dyDescent="0.2">
      <c r="A7" s="71"/>
      <c r="B7" s="71"/>
      <c r="C7" s="45"/>
      <c r="D7" s="45"/>
      <c r="E7" s="114"/>
      <c r="F7" s="26"/>
    </row>
    <row r="8" spans="1:7" x14ac:dyDescent="0.2">
      <c r="A8" s="71"/>
      <c r="B8" s="71"/>
      <c r="C8" s="45"/>
      <c r="D8" s="45"/>
      <c r="E8" s="114"/>
      <c r="F8" s="26"/>
    </row>
    <row r="9" spans="1:7" x14ac:dyDescent="0.2">
      <c r="A9" s="71"/>
      <c r="B9" s="71"/>
      <c r="C9" s="45"/>
      <c r="D9" s="45"/>
      <c r="E9" s="114"/>
      <c r="F9" s="26"/>
    </row>
    <row r="10" spans="1:7" ht="12" thickBot="1" x14ac:dyDescent="0.25"/>
    <row r="11" spans="1:7" x14ac:dyDescent="0.2">
      <c r="A11" s="115" t="s">
        <v>2</v>
      </c>
      <c r="B11" s="116" t="s">
        <v>9</v>
      </c>
      <c r="C11" s="116"/>
      <c r="D11" s="116" t="s">
        <v>1</v>
      </c>
      <c r="E11" s="116" t="s">
        <v>3</v>
      </c>
      <c r="F11" s="146" t="s">
        <v>189</v>
      </c>
      <c r="G11" s="59"/>
    </row>
    <row r="12" spans="1:7" x14ac:dyDescent="0.2">
      <c r="A12" s="117"/>
      <c r="B12" s="118" t="s">
        <v>31</v>
      </c>
      <c r="C12" s="118" t="s">
        <v>32</v>
      </c>
      <c r="D12" s="118"/>
      <c r="E12" s="119"/>
      <c r="F12" s="120"/>
      <c r="G12" s="59"/>
    </row>
    <row r="13" spans="1:7" x14ac:dyDescent="0.2">
      <c r="A13" s="121"/>
      <c r="B13" s="123"/>
      <c r="C13" s="123"/>
      <c r="D13" s="44"/>
      <c r="E13" s="122"/>
      <c r="F13" s="120"/>
      <c r="G13" s="59"/>
    </row>
    <row r="14" spans="1:7" ht="13.8" x14ac:dyDescent="0.3">
      <c r="A14" s="121" t="s">
        <v>118</v>
      </c>
      <c r="B14" s="78">
        <v>28</v>
      </c>
      <c r="C14" s="78">
        <v>28</v>
      </c>
      <c r="D14" s="46" t="s">
        <v>136</v>
      </c>
      <c r="E14" s="20" t="s">
        <v>131</v>
      </c>
      <c r="F14" s="120" t="s">
        <v>24</v>
      </c>
      <c r="G14" s="59"/>
    </row>
    <row r="15" spans="1:7" ht="13.8" x14ac:dyDescent="0.3">
      <c r="A15" s="121" t="s">
        <v>119</v>
      </c>
      <c r="B15" s="78">
        <v>6.7000000000000002E-4</v>
      </c>
      <c r="C15" s="78">
        <v>6.7000000000000002E-4</v>
      </c>
      <c r="D15" s="123" t="s">
        <v>163</v>
      </c>
      <c r="E15" s="20" t="s">
        <v>99</v>
      </c>
      <c r="F15" s="120" t="s">
        <v>82</v>
      </c>
      <c r="G15" s="59"/>
    </row>
    <row r="16" spans="1:7" ht="24" x14ac:dyDescent="0.3">
      <c r="A16" s="121" t="s">
        <v>164</v>
      </c>
      <c r="B16" s="169">
        <v>0.75</v>
      </c>
      <c r="C16" s="170">
        <f>B16</f>
        <v>0.75</v>
      </c>
      <c r="D16" s="123" t="s">
        <v>0</v>
      </c>
      <c r="E16" s="20" t="s">
        <v>100</v>
      </c>
      <c r="F16" s="120" t="s">
        <v>105</v>
      </c>
      <c r="G16" s="124"/>
    </row>
    <row r="17" spans="1:7" ht="45.6" x14ac:dyDescent="0.2">
      <c r="A17" s="125" t="s">
        <v>38</v>
      </c>
      <c r="B17" s="78">
        <v>0.94</v>
      </c>
      <c r="C17" s="78">
        <v>0.94</v>
      </c>
      <c r="D17" s="123" t="s">
        <v>205</v>
      </c>
      <c r="E17" s="20" t="s">
        <v>101</v>
      </c>
      <c r="F17" s="120" t="s">
        <v>57</v>
      </c>
      <c r="G17" s="124"/>
    </row>
    <row r="18" spans="1:7" ht="45.6" x14ac:dyDescent="0.2">
      <c r="A18" s="125" t="s">
        <v>62</v>
      </c>
      <c r="B18" s="78">
        <f>B16*B17</f>
        <v>0.70499999999999996</v>
      </c>
      <c r="C18" s="78">
        <f>C16*C17</f>
        <v>0.70499999999999996</v>
      </c>
      <c r="D18" s="123" t="s">
        <v>205</v>
      </c>
      <c r="E18" s="20" t="s">
        <v>63</v>
      </c>
      <c r="F18" s="120" t="s">
        <v>57</v>
      </c>
      <c r="G18" s="124"/>
    </row>
    <row r="19" spans="1:7" ht="26.4" customHeight="1" x14ac:dyDescent="0.3">
      <c r="A19" s="121" t="s">
        <v>190</v>
      </c>
      <c r="B19" s="78">
        <v>0.28999999999999998</v>
      </c>
      <c r="C19" s="78">
        <v>0.28999999999999998</v>
      </c>
      <c r="D19" s="21" t="s">
        <v>103</v>
      </c>
      <c r="E19" s="20" t="s">
        <v>54</v>
      </c>
      <c r="F19" s="120" t="s">
        <v>25</v>
      </c>
      <c r="G19" s="59"/>
    </row>
    <row r="20" spans="1:7" ht="21.6" customHeight="1" x14ac:dyDescent="0.3">
      <c r="A20" s="121" t="s">
        <v>222</v>
      </c>
      <c r="B20" s="180">
        <v>130976</v>
      </c>
      <c r="C20" s="180">
        <v>226952</v>
      </c>
      <c r="D20" s="123" t="s">
        <v>80</v>
      </c>
      <c r="E20" s="20" t="s">
        <v>265</v>
      </c>
      <c r="F20" s="120" t="s">
        <v>4</v>
      </c>
      <c r="G20" s="59"/>
    </row>
    <row r="21" spans="1:7" ht="27" customHeight="1" x14ac:dyDescent="0.3">
      <c r="A21" s="126" t="s">
        <v>165</v>
      </c>
      <c r="B21" s="322">
        <v>68.400000000000006</v>
      </c>
      <c r="C21" s="323">
        <v>90</v>
      </c>
      <c r="D21" s="123" t="s">
        <v>5</v>
      </c>
      <c r="E21" s="20" t="s">
        <v>265</v>
      </c>
      <c r="F21" s="120" t="s">
        <v>66</v>
      </c>
      <c r="G21" s="59"/>
    </row>
    <row r="22" spans="1:7" ht="30" customHeight="1" x14ac:dyDescent="0.3">
      <c r="A22" s="271" t="s">
        <v>166</v>
      </c>
      <c r="B22" s="172">
        <f>B49</f>
        <v>28</v>
      </c>
      <c r="C22" s="172">
        <f>C49</f>
        <v>28</v>
      </c>
      <c r="D22" s="123" t="s">
        <v>5</v>
      </c>
      <c r="E22" s="20" t="s">
        <v>196</v>
      </c>
      <c r="F22" s="120" t="s">
        <v>55</v>
      </c>
      <c r="G22" s="59"/>
    </row>
    <row r="23" spans="1:7" ht="31.2" customHeight="1" x14ac:dyDescent="0.3">
      <c r="A23" s="272" t="s">
        <v>192</v>
      </c>
      <c r="B23" s="46">
        <v>0.3</v>
      </c>
      <c r="C23" s="46">
        <v>0.3</v>
      </c>
      <c r="D23" s="21" t="s">
        <v>104</v>
      </c>
      <c r="E23" s="20" t="str">
        <f>E19</f>
        <v>2006 IPCC guideline, volume 4, chapter 10, tbl. 10A-7</v>
      </c>
      <c r="F23" s="127" t="s">
        <v>44</v>
      </c>
      <c r="G23" s="59"/>
    </row>
    <row r="24" spans="1:7" ht="39" customHeight="1" x14ac:dyDescent="0.3">
      <c r="A24" s="272" t="s">
        <v>193</v>
      </c>
      <c r="B24" s="179">
        <f>(B21/B22)*B23*B26</f>
        <v>267.49285714285713</v>
      </c>
      <c r="C24" s="179">
        <f>(C21/C22)*C23*C26</f>
        <v>351.96428571428572</v>
      </c>
      <c r="D24" s="21" t="s">
        <v>191</v>
      </c>
      <c r="E24" s="20" t="s">
        <v>102</v>
      </c>
      <c r="F24" s="127" t="s">
        <v>56</v>
      </c>
      <c r="G24" s="59"/>
    </row>
    <row r="25" spans="1:7" ht="13.8" x14ac:dyDescent="0.3">
      <c r="A25" s="271" t="s">
        <v>244</v>
      </c>
      <c r="B25" s="170">
        <v>1</v>
      </c>
      <c r="C25" s="170">
        <v>1</v>
      </c>
      <c r="D25" s="21" t="s">
        <v>0</v>
      </c>
      <c r="E25" s="20" t="str">
        <f>E20</f>
        <v>Feasibility Study Report</v>
      </c>
      <c r="F25" s="120" t="s">
        <v>26</v>
      </c>
      <c r="G25" s="59"/>
    </row>
    <row r="26" spans="1:7" ht="13.8" x14ac:dyDescent="0.3">
      <c r="A26" s="271" t="s">
        <v>195</v>
      </c>
      <c r="B26" s="46">
        <v>365</v>
      </c>
      <c r="C26" s="46">
        <v>365</v>
      </c>
      <c r="D26" s="123" t="s">
        <v>60</v>
      </c>
      <c r="E26" s="20" t="s">
        <v>61</v>
      </c>
      <c r="F26" s="120"/>
      <c r="G26" s="59"/>
    </row>
    <row r="27" spans="1:7" ht="13.8" x14ac:dyDescent="0.3">
      <c r="A27" s="273" t="s">
        <v>210</v>
      </c>
      <c r="B27" s="181">
        <f>B14*B15*B18*B19*B20*B24*B25</f>
        <v>134376.66593277117</v>
      </c>
      <c r="C27" s="182">
        <f>C14*C15*C18*C19*C20*C24*C25</f>
        <v>306374.46119873994</v>
      </c>
      <c r="D27" s="162" t="s">
        <v>211</v>
      </c>
      <c r="E27" s="162" t="s">
        <v>63</v>
      </c>
      <c r="F27" s="128"/>
      <c r="G27" s="59"/>
    </row>
    <row r="28" spans="1:7" ht="14.4" thickBot="1" x14ac:dyDescent="0.35">
      <c r="A28" s="129" t="s">
        <v>245</v>
      </c>
      <c r="B28" s="130">
        <f>INT((B27+C27))</f>
        <v>440751</v>
      </c>
      <c r="C28" s="130"/>
      <c r="D28" s="163" t="s">
        <v>211</v>
      </c>
      <c r="E28" s="163" t="s">
        <v>63</v>
      </c>
      <c r="F28" s="131"/>
      <c r="G28" s="59"/>
    </row>
    <row r="29" spans="1:7" x14ac:dyDescent="0.2">
      <c r="D29" s="132"/>
    </row>
    <row r="30" spans="1:7" ht="13.8" x14ac:dyDescent="0.3">
      <c r="A30" s="113" t="s">
        <v>167</v>
      </c>
      <c r="B30" s="24"/>
    </row>
    <row r="31" spans="1:7" x14ac:dyDescent="0.2">
      <c r="A31" s="328"/>
      <c r="B31" s="329"/>
      <c r="C31" s="329"/>
      <c r="D31" s="329"/>
      <c r="E31" s="26"/>
    </row>
    <row r="32" spans="1:7" x14ac:dyDescent="0.2">
      <c r="A32" s="133"/>
      <c r="B32" s="76"/>
      <c r="C32" s="76"/>
      <c r="D32" s="76"/>
      <c r="E32" s="320"/>
    </row>
    <row r="33" spans="1:6" x14ac:dyDescent="0.2">
      <c r="A33" s="133"/>
      <c r="B33" s="76"/>
      <c r="C33" s="76"/>
      <c r="D33" s="76"/>
      <c r="E33" s="26"/>
      <c r="F33" s="94"/>
    </row>
    <row r="34" spans="1:6" x14ac:dyDescent="0.2">
      <c r="A34" s="133"/>
      <c r="B34" s="76"/>
      <c r="C34" s="76"/>
      <c r="D34" s="76"/>
    </row>
    <row r="35" spans="1:6" x14ac:dyDescent="0.2">
      <c r="A35" s="24" t="s">
        <v>7</v>
      </c>
      <c r="B35" s="24"/>
    </row>
    <row r="36" spans="1:6" ht="12.75" customHeight="1" x14ac:dyDescent="0.2">
      <c r="A36" s="133"/>
      <c r="B36" s="134"/>
      <c r="C36" s="134"/>
      <c r="D36" s="134"/>
      <c r="E36" s="26"/>
    </row>
    <row r="37" spans="1:6" ht="12.75" customHeight="1" x14ac:dyDescent="0.2">
      <c r="A37" s="133"/>
      <c r="B37" s="134"/>
      <c r="C37" s="134"/>
      <c r="D37" s="134"/>
      <c r="E37" s="26"/>
    </row>
    <row r="38" spans="1:6" ht="12.75" customHeight="1" x14ac:dyDescent="0.2">
      <c r="A38" s="133"/>
      <c r="B38" s="134"/>
      <c r="C38" s="134"/>
      <c r="D38" s="134"/>
      <c r="E38" s="135"/>
      <c r="F38" s="59"/>
    </row>
    <row r="39" spans="1:6" ht="12.75" customHeight="1" x14ac:dyDescent="0.2">
      <c r="A39" s="133"/>
      <c r="B39" s="134"/>
      <c r="C39" s="134"/>
      <c r="D39" s="134"/>
      <c r="E39" s="26"/>
    </row>
    <row r="40" spans="1:6" ht="12.75" customHeight="1" x14ac:dyDescent="0.2">
      <c r="A40" s="133"/>
      <c r="B40" s="134"/>
      <c r="C40" s="134"/>
      <c r="D40" s="134"/>
      <c r="E40" s="26"/>
    </row>
    <row r="41" spans="1:6" ht="12" thickBot="1" x14ac:dyDescent="0.25"/>
    <row r="42" spans="1:6" x14ac:dyDescent="0.2">
      <c r="A42" s="147" t="s">
        <v>2</v>
      </c>
      <c r="B42" s="34" t="s">
        <v>8</v>
      </c>
      <c r="C42" s="34"/>
      <c r="D42" s="34" t="s">
        <v>1</v>
      </c>
      <c r="E42" s="136" t="s">
        <v>3</v>
      </c>
    </row>
    <row r="43" spans="1:6" x14ac:dyDescent="0.2">
      <c r="A43" s="148"/>
      <c r="B43" s="43" t="str">
        <f>B12</f>
        <v>Market Swine</v>
      </c>
      <c r="C43" s="43" t="str">
        <f>C12</f>
        <v>Breeding Swine</v>
      </c>
      <c r="D43" s="43"/>
      <c r="E43" s="149"/>
    </row>
    <row r="44" spans="1:6" ht="13.8" x14ac:dyDescent="0.3">
      <c r="A44" s="150" t="s">
        <v>168</v>
      </c>
      <c r="B44" s="46">
        <v>0</v>
      </c>
      <c r="C44" s="174">
        <v>0</v>
      </c>
      <c r="D44" s="46" t="s">
        <v>138</v>
      </c>
      <c r="E44" s="137" t="s">
        <v>35</v>
      </c>
    </row>
    <row r="45" spans="1:6" ht="13.8" x14ac:dyDescent="0.3">
      <c r="A45" s="274" t="s">
        <v>194</v>
      </c>
      <c r="B45" s="167">
        <f>0.42</f>
        <v>0.42</v>
      </c>
      <c r="C45" s="175">
        <v>0.24</v>
      </c>
      <c r="D45" s="46" t="s">
        <v>53</v>
      </c>
      <c r="E45" s="137" t="s">
        <v>77</v>
      </c>
    </row>
    <row r="46" spans="1:6" ht="13.8" x14ac:dyDescent="0.3">
      <c r="A46" s="150" t="s">
        <v>172</v>
      </c>
      <c r="B46" s="176">
        <f>B45*B48/1000*365</f>
        <v>4.2923999999999998</v>
      </c>
      <c r="C46" s="176">
        <f>C45*C48/1000*365</f>
        <v>2.4527999999999999</v>
      </c>
      <c r="D46" s="22" t="s">
        <v>106</v>
      </c>
      <c r="E46" s="137" t="s">
        <v>52</v>
      </c>
    </row>
    <row r="47" spans="1:6" ht="13.8" x14ac:dyDescent="0.3">
      <c r="A47" s="150" t="s">
        <v>173</v>
      </c>
      <c r="B47" s="177">
        <f>B21</f>
        <v>68.400000000000006</v>
      </c>
      <c r="C47" s="177">
        <f>C21</f>
        <v>90</v>
      </c>
      <c r="D47" s="46" t="s">
        <v>5</v>
      </c>
      <c r="E47" s="137" t="str">
        <f>E21</f>
        <v>Feasibility Study Report</v>
      </c>
    </row>
    <row r="48" spans="1:6" x14ac:dyDescent="0.2">
      <c r="A48" s="150" t="s">
        <v>76</v>
      </c>
      <c r="B48" s="177">
        <v>28</v>
      </c>
      <c r="C48" s="177">
        <v>28</v>
      </c>
      <c r="D48" s="46" t="s">
        <v>5</v>
      </c>
      <c r="E48" s="137" t="s">
        <v>54</v>
      </c>
    </row>
    <row r="49" spans="1:6" ht="13.8" x14ac:dyDescent="0.3">
      <c r="A49" s="150" t="s">
        <v>174</v>
      </c>
      <c r="B49" s="167">
        <v>28</v>
      </c>
      <c r="C49" s="178">
        <v>28</v>
      </c>
      <c r="D49" s="46" t="s">
        <v>5</v>
      </c>
      <c r="E49" s="128" t="s">
        <v>45</v>
      </c>
    </row>
    <row r="50" spans="1:6" ht="13.8" x14ac:dyDescent="0.3">
      <c r="A50" s="274" t="s">
        <v>169</v>
      </c>
      <c r="B50" s="179">
        <f>(B47/B49)*B46</f>
        <v>10.485720000000001</v>
      </c>
      <c r="C50" s="179">
        <f>(C47/C49)*C46</f>
        <v>7.8839999999999995</v>
      </c>
      <c r="D50" s="46" t="s">
        <v>79</v>
      </c>
      <c r="E50" s="137" t="s">
        <v>58</v>
      </c>
      <c r="F50" s="70"/>
    </row>
    <row r="51" spans="1:6" ht="13.8" x14ac:dyDescent="0.3">
      <c r="A51" s="275" t="s">
        <v>175</v>
      </c>
      <c r="B51" s="172">
        <f>B20</f>
        <v>130976</v>
      </c>
      <c r="C51" s="172">
        <f>C20</f>
        <v>226952</v>
      </c>
      <c r="D51" s="46" t="str">
        <f>D20</f>
        <v>No of heads</v>
      </c>
      <c r="E51" s="137" t="str">
        <f>E20</f>
        <v>Feasibility Study Report</v>
      </c>
    </row>
    <row r="52" spans="1:6" ht="13.8" x14ac:dyDescent="0.3">
      <c r="A52" s="275" t="s">
        <v>246</v>
      </c>
      <c r="B52" s="169">
        <f>B25</f>
        <v>1</v>
      </c>
      <c r="C52" s="169">
        <f>C25</f>
        <v>1</v>
      </c>
      <c r="D52" s="46" t="str">
        <f>D25</f>
        <v>%</v>
      </c>
      <c r="E52" s="128" t="s">
        <v>26</v>
      </c>
    </row>
    <row r="53" spans="1:6" ht="14.4" thickBot="1" x14ac:dyDescent="0.35">
      <c r="A53" s="152" t="s">
        <v>202</v>
      </c>
      <c r="B53" s="153">
        <f>B44*B46*B51*B52</f>
        <v>0</v>
      </c>
      <c r="C53" s="153">
        <f>C44*C46*C51*C52</f>
        <v>0</v>
      </c>
      <c r="D53" s="166" t="s">
        <v>206</v>
      </c>
      <c r="E53" s="154" t="s">
        <v>109</v>
      </c>
    </row>
    <row r="55" spans="1:6" ht="13.8" x14ac:dyDescent="0.3">
      <c r="A55" s="24" t="s">
        <v>197</v>
      </c>
    </row>
    <row r="56" spans="1:6" x14ac:dyDescent="0.2">
      <c r="A56" s="24"/>
    </row>
    <row r="57" spans="1:6" x14ac:dyDescent="0.2">
      <c r="B57" s="138"/>
      <c r="C57" s="24"/>
      <c r="D57" s="24"/>
      <c r="E57" s="54"/>
      <c r="F57" s="26"/>
    </row>
    <row r="58" spans="1:6" ht="12" thickBot="1" x14ac:dyDescent="0.25">
      <c r="B58" s="24"/>
      <c r="C58" s="24"/>
    </row>
    <row r="59" spans="1:6" x14ac:dyDescent="0.2">
      <c r="A59" s="147" t="s">
        <v>2</v>
      </c>
      <c r="B59" s="34" t="s">
        <v>8</v>
      </c>
      <c r="C59" s="34"/>
      <c r="D59" s="34" t="s">
        <v>1</v>
      </c>
      <c r="E59" s="136" t="s">
        <v>3</v>
      </c>
    </row>
    <row r="60" spans="1:6" x14ac:dyDescent="0.2">
      <c r="A60" s="148"/>
      <c r="B60" s="43" t="str">
        <f>B43</f>
        <v>Market Swine</v>
      </c>
      <c r="C60" s="43" t="str">
        <f>C43</f>
        <v>Breeding Swine</v>
      </c>
      <c r="D60" s="43"/>
      <c r="E60" s="149"/>
    </row>
    <row r="61" spans="1:6" ht="13.8" x14ac:dyDescent="0.3">
      <c r="A61" s="150" t="s">
        <v>198</v>
      </c>
      <c r="B61" s="46">
        <v>0.01</v>
      </c>
      <c r="C61" s="168">
        <v>0.01</v>
      </c>
      <c r="D61" s="46" t="s">
        <v>170</v>
      </c>
      <c r="E61" s="137" t="s">
        <v>36</v>
      </c>
    </row>
    <row r="62" spans="1:6" ht="13.8" x14ac:dyDescent="0.3">
      <c r="A62" s="150" t="s">
        <v>199</v>
      </c>
      <c r="B62" s="169">
        <v>0.4</v>
      </c>
      <c r="C62" s="170">
        <v>0.4</v>
      </c>
      <c r="D62" s="46" t="s">
        <v>0</v>
      </c>
      <c r="E62" s="156" t="s">
        <v>78</v>
      </c>
    </row>
    <row r="63" spans="1:6" ht="13.8" x14ac:dyDescent="0.3">
      <c r="A63" s="151" t="s">
        <v>155</v>
      </c>
      <c r="B63" s="171">
        <f>B50</f>
        <v>10.485720000000001</v>
      </c>
      <c r="C63" s="171">
        <f>C50</f>
        <v>7.8839999999999995</v>
      </c>
      <c r="D63" s="46" t="s">
        <v>59</v>
      </c>
      <c r="E63" s="137" t="s">
        <v>58</v>
      </c>
    </row>
    <row r="64" spans="1:6" ht="13.8" x14ac:dyDescent="0.3">
      <c r="A64" s="151" t="s">
        <v>175</v>
      </c>
      <c r="B64" s="172">
        <f>B20</f>
        <v>130976</v>
      </c>
      <c r="C64" s="172">
        <f>C20</f>
        <v>226952</v>
      </c>
      <c r="D64" s="46" t="str">
        <f>D51</f>
        <v>No of heads</v>
      </c>
      <c r="E64" s="137" t="str">
        <f>E51</f>
        <v>Feasibility Study Report</v>
      </c>
    </row>
    <row r="65" spans="1:6" ht="13.8" x14ac:dyDescent="0.3">
      <c r="A65" s="275" t="s">
        <v>246</v>
      </c>
      <c r="B65" s="169">
        <f>B52</f>
        <v>1</v>
      </c>
      <c r="C65" s="169">
        <f>C52</f>
        <v>1</v>
      </c>
      <c r="D65" s="46" t="str">
        <f>D52</f>
        <v>%</v>
      </c>
      <c r="E65" s="128" t="s">
        <v>26</v>
      </c>
    </row>
    <row r="66" spans="1:6" ht="13.8" x14ac:dyDescent="0.3">
      <c r="A66" s="275" t="s">
        <v>128</v>
      </c>
      <c r="B66" s="173">
        <v>265</v>
      </c>
      <c r="C66" s="173">
        <v>265</v>
      </c>
      <c r="D66" s="46" t="s">
        <v>143</v>
      </c>
      <c r="E66" s="157" t="s">
        <v>131</v>
      </c>
    </row>
    <row r="67" spans="1:6" ht="13.8" x14ac:dyDescent="0.3">
      <c r="A67" s="275" t="s">
        <v>200</v>
      </c>
      <c r="B67" s="171">
        <f>44/28</f>
        <v>1.5714285714285714</v>
      </c>
      <c r="C67" s="171">
        <f>44/28</f>
        <v>1.5714285714285714</v>
      </c>
      <c r="D67" s="38" t="s">
        <v>171</v>
      </c>
      <c r="E67" s="158" t="s">
        <v>107</v>
      </c>
    </row>
    <row r="68" spans="1:6" ht="13.8" x14ac:dyDescent="0.3">
      <c r="A68" s="265" t="s">
        <v>201</v>
      </c>
      <c r="B68" s="155">
        <f>B61*B62*B63*B64*B65</f>
        <v>5493.51065088</v>
      </c>
      <c r="C68" s="155">
        <f>C61*C62*C63*C64*C65</f>
        <v>7157.1582720000006</v>
      </c>
      <c r="D68" s="167" t="s">
        <v>212</v>
      </c>
      <c r="E68" s="159" t="s">
        <v>109</v>
      </c>
    </row>
    <row r="69" spans="1:6" ht="12" thickBot="1" x14ac:dyDescent="0.25">
      <c r="A69" s="152"/>
      <c r="B69" s="330">
        <f>B68+C68</f>
        <v>12650.668922880001</v>
      </c>
      <c r="C69" s="330"/>
      <c r="D69" s="160"/>
      <c r="E69" s="161"/>
    </row>
    <row r="70" spans="1:6" x14ac:dyDescent="0.2">
      <c r="A70" s="48"/>
      <c r="B70" s="49"/>
      <c r="C70" s="49"/>
      <c r="D70" s="83"/>
      <c r="E70" s="83"/>
    </row>
    <row r="71" spans="1:6" ht="13.8" x14ac:dyDescent="0.3">
      <c r="A71" s="328" t="s">
        <v>207</v>
      </c>
      <c r="B71" s="329"/>
      <c r="C71" s="329"/>
      <c r="D71" s="329"/>
      <c r="E71" s="139">
        <f>ROUNDDOWN(B66*B67/1000*(B69+B53),0)</f>
        <v>5268</v>
      </c>
      <c r="F71" s="25" t="s">
        <v>112</v>
      </c>
    </row>
    <row r="72" spans="1:6" x14ac:dyDescent="0.2">
      <c r="A72" s="25" t="s">
        <v>209</v>
      </c>
      <c r="B72" s="76"/>
      <c r="C72" s="76"/>
      <c r="D72" s="76"/>
      <c r="E72" s="83"/>
    </row>
    <row r="73" spans="1:6" x14ac:dyDescent="0.2">
      <c r="A73" s="42"/>
      <c r="B73" s="140"/>
      <c r="C73" s="141"/>
      <c r="D73" s="69"/>
      <c r="E73" s="45"/>
    </row>
    <row r="74" spans="1:6" ht="13.8" x14ac:dyDescent="0.3">
      <c r="A74" s="142" t="s">
        <v>37</v>
      </c>
      <c r="B74" s="164"/>
      <c r="C74" s="276" t="s">
        <v>208</v>
      </c>
      <c r="D74" s="277"/>
      <c r="E74" s="143">
        <f>ROUNDDOWN(B28+E71,0)</f>
        <v>446019</v>
      </c>
      <c r="F74" s="25" t="s">
        <v>112</v>
      </c>
    </row>
    <row r="75" spans="1:6" x14ac:dyDescent="0.2">
      <c r="A75" s="45"/>
      <c r="B75" s="144"/>
      <c r="C75" s="227"/>
      <c r="D75" s="45"/>
      <c r="E75" s="45"/>
    </row>
    <row r="76" spans="1:6" x14ac:dyDescent="0.2">
      <c r="B76" s="73"/>
      <c r="C76" s="73"/>
      <c r="D76" s="73"/>
    </row>
    <row r="77" spans="1:6" x14ac:dyDescent="0.2">
      <c r="A77" s="94"/>
      <c r="B77" s="145"/>
      <c r="C77" s="145"/>
      <c r="D77" s="145"/>
    </row>
  </sheetData>
  <sheetProtection selectLockedCells="1" selectUnlockedCells="1"/>
  <customSheetViews>
    <customSheetView guid="{2C071143-29D6-4036-A926-BF7E54293313}" showRuler="0">
      <selection activeCell="E28" sqref="E28"/>
      <pageMargins left="0.75" right="0.75" top="1" bottom="1" header="0.5" footer="0.5"/>
      <pageSetup orientation="portrait" r:id="rId1"/>
      <headerFooter alignWithMargins="0"/>
    </customSheetView>
  </customSheetViews>
  <mergeCells count="3">
    <mergeCell ref="A31:D31"/>
    <mergeCell ref="A71:D71"/>
    <mergeCell ref="B69:C69"/>
  </mergeCells>
  <phoneticPr fontId="0" type="noConversion"/>
  <pageMargins left="0.75" right="0.75" top="1" bottom="1" header="0.5" footer="0.5"/>
  <pageSetup orientation="portrait" r:id="rId2"/>
  <headerFooter alignWithMargins="0"/>
  <ignoredErrors>
    <ignoredError sqref="B64:C64" formula="1"/>
  </ignoredErrors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"/>
  <dimension ref="A1:J129"/>
  <sheetViews>
    <sheetView zoomScale="110" zoomScaleNormal="110" workbookViewId="0">
      <selection activeCell="D61" sqref="D61"/>
    </sheetView>
  </sheetViews>
  <sheetFormatPr defaultColWidth="8.77734375" defaultRowHeight="11.4" x14ac:dyDescent="0.2"/>
  <cols>
    <col min="1" max="1" width="35.21875" style="25" customWidth="1"/>
    <col min="2" max="2" width="20.77734375" style="25" customWidth="1"/>
    <col min="3" max="3" width="17.77734375" style="25" customWidth="1"/>
    <col min="4" max="4" width="41.77734375" style="25" customWidth="1"/>
    <col min="5" max="5" width="47" style="25" customWidth="1"/>
    <col min="6" max="6" width="15.21875" style="25" customWidth="1"/>
    <col min="7" max="7" width="9.21875" style="25" bestFit="1" customWidth="1"/>
    <col min="8" max="10" width="8.77734375" style="25" bestFit="1" customWidth="1"/>
    <col min="11" max="16384" width="8.77734375" style="25"/>
  </cols>
  <sheetData>
    <row r="1" spans="1:6" x14ac:dyDescent="0.2">
      <c r="A1" s="24" t="s">
        <v>41</v>
      </c>
    </row>
    <row r="3" spans="1:6" x14ac:dyDescent="0.2">
      <c r="E3" s="26"/>
    </row>
    <row r="4" spans="1:6" x14ac:dyDescent="0.2">
      <c r="A4" s="27" t="s">
        <v>15</v>
      </c>
    </row>
    <row r="5" spans="1:6" x14ac:dyDescent="0.2">
      <c r="A5" s="27"/>
    </row>
    <row r="6" spans="1:6" x14ac:dyDescent="0.2">
      <c r="A6" s="28" t="s">
        <v>39</v>
      </c>
      <c r="B6" s="28"/>
    </row>
    <row r="7" spans="1:6" x14ac:dyDescent="0.2">
      <c r="A7" s="24"/>
    </row>
    <row r="8" spans="1:6" x14ac:dyDescent="0.2">
      <c r="A8" s="29"/>
      <c r="B8" s="30"/>
      <c r="D8" s="31"/>
      <c r="E8" s="26"/>
    </row>
    <row r="9" spans="1:6" x14ac:dyDescent="0.2">
      <c r="A9" s="29"/>
      <c r="B9" s="30"/>
      <c r="C9" s="32"/>
      <c r="D9" s="32"/>
      <c r="E9" s="26"/>
    </row>
    <row r="10" spans="1:6" x14ac:dyDescent="0.2">
      <c r="A10" s="29"/>
      <c r="B10" s="30"/>
      <c r="C10" s="32"/>
      <c r="D10" s="32"/>
      <c r="E10" s="26"/>
    </row>
    <row r="11" spans="1:6" x14ac:dyDescent="0.2">
      <c r="B11" s="30"/>
      <c r="C11" s="32"/>
      <c r="D11" s="32"/>
      <c r="E11" s="26"/>
    </row>
    <row r="12" spans="1:6" ht="12" thickBot="1" x14ac:dyDescent="0.25">
      <c r="A12" s="29"/>
      <c r="B12" s="30"/>
      <c r="C12" s="32"/>
      <c r="D12" s="32"/>
    </row>
    <row r="13" spans="1:6" x14ac:dyDescent="0.2">
      <c r="A13" s="33" t="s">
        <v>71</v>
      </c>
      <c r="B13" s="34" t="s">
        <v>69</v>
      </c>
      <c r="C13" s="34" t="s">
        <v>67</v>
      </c>
      <c r="D13" s="136" t="s">
        <v>68</v>
      </c>
      <c r="E13" s="45"/>
      <c r="F13" s="45"/>
    </row>
    <row r="14" spans="1:6" ht="28.05" customHeight="1" x14ac:dyDescent="0.3">
      <c r="A14" s="280" t="s">
        <v>239</v>
      </c>
      <c r="B14" s="78">
        <v>0</v>
      </c>
      <c r="C14" s="37" t="s">
        <v>70</v>
      </c>
      <c r="D14" s="211" t="s">
        <v>268</v>
      </c>
      <c r="E14" s="45"/>
      <c r="F14" s="187"/>
    </row>
    <row r="15" spans="1:6" ht="15" customHeight="1" x14ac:dyDescent="0.3">
      <c r="A15" s="280" t="s">
        <v>240</v>
      </c>
      <c r="B15" s="46">
        <f>(0.8587*0.5+0.2854*0.5)</f>
        <v>0.57204999999999995</v>
      </c>
      <c r="C15" s="37" t="s">
        <v>111</v>
      </c>
      <c r="D15" s="281" t="s">
        <v>86</v>
      </c>
      <c r="E15" s="45"/>
      <c r="F15" s="187"/>
    </row>
    <row r="16" spans="1:6" ht="32.549999999999997" customHeight="1" x14ac:dyDescent="0.3">
      <c r="A16" s="280" t="s">
        <v>241</v>
      </c>
      <c r="B16" s="183">
        <v>0.2</v>
      </c>
      <c r="C16" s="37" t="s">
        <v>205</v>
      </c>
      <c r="D16" s="281" t="s">
        <v>72</v>
      </c>
      <c r="E16" s="45"/>
      <c r="F16" s="187"/>
    </row>
    <row r="17" spans="1:7" ht="15" customHeight="1" x14ac:dyDescent="0.3">
      <c r="A17" s="282" t="s">
        <v>242</v>
      </c>
      <c r="B17" s="184">
        <f>B14*B15*(1+B16)</f>
        <v>0</v>
      </c>
      <c r="C17" s="37" t="s">
        <v>112</v>
      </c>
      <c r="D17" s="281" t="s">
        <v>213</v>
      </c>
      <c r="E17" s="45"/>
      <c r="F17" s="187"/>
    </row>
    <row r="18" spans="1:7" ht="15" customHeight="1" x14ac:dyDescent="0.2">
      <c r="A18" s="282"/>
      <c r="B18" s="185"/>
      <c r="C18" s="37"/>
      <c r="D18" s="281"/>
      <c r="E18" s="45"/>
      <c r="F18" s="187"/>
    </row>
    <row r="19" spans="1:7" ht="36" customHeight="1" thickBot="1" x14ac:dyDescent="0.35">
      <c r="A19" s="283" t="s">
        <v>243</v>
      </c>
      <c r="B19" s="186">
        <v>0</v>
      </c>
      <c r="C19" s="39" t="s">
        <v>112</v>
      </c>
      <c r="D19" s="284" t="s">
        <v>81</v>
      </c>
      <c r="E19" s="45"/>
      <c r="F19" s="187"/>
    </row>
    <row r="20" spans="1:7" ht="15" customHeight="1" x14ac:dyDescent="0.2">
      <c r="A20" s="40"/>
      <c r="B20" s="41"/>
      <c r="C20" s="42"/>
      <c r="D20" s="42"/>
    </row>
    <row r="21" spans="1:7" ht="15" customHeight="1" x14ac:dyDescent="0.2">
      <c r="A21" s="40"/>
      <c r="B21" s="41"/>
      <c r="C21" s="42"/>
      <c r="D21" s="42"/>
    </row>
    <row r="22" spans="1:7" ht="15" customHeight="1" x14ac:dyDescent="0.2">
      <c r="A22" s="40"/>
      <c r="B22" s="41"/>
      <c r="C22" s="42"/>
      <c r="D22" s="42"/>
      <c r="E22" s="26"/>
    </row>
    <row r="23" spans="1:7" ht="15" customHeight="1" x14ac:dyDescent="0.2">
      <c r="A23" s="40"/>
      <c r="B23" s="41"/>
      <c r="C23" s="42"/>
      <c r="D23" s="42"/>
    </row>
    <row r="24" spans="1:7" ht="12" thickBot="1" x14ac:dyDescent="0.25">
      <c r="A24" s="29"/>
      <c r="B24" s="30"/>
      <c r="C24" s="32"/>
      <c r="D24" s="32"/>
    </row>
    <row r="25" spans="1:7" x14ac:dyDescent="0.2">
      <c r="A25" s="147" t="s">
        <v>71</v>
      </c>
      <c r="B25" s="34" t="s">
        <v>69</v>
      </c>
      <c r="C25" s="34" t="s">
        <v>67</v>
      </c>
      <c r="D25" s="136" t="s">
        <v>3</v>
      </c>
      <c r="E25" s="72"/>
      <c r="F25" s="72"/>
    </row>
    <row r="26" spans="1:7" ht="13.8" x14ac:dyDescent="0.3">
      <c r="A26" s="121" t="s">
        <v>113</v>
      </c>
      <c r="B26" s="46">
        <f>'Baseline Emission'!B14</f>
        <v>28</v>
      </c>
      <c r="C26" s="46" t="s">
        <v>251</v>
      </c>
      <c r="D26" s="200" t="s">
        <v>132</v>
      </c>
      <c r="E26" s="188"/>
      <c r="F26" s="188"/>
    </row>
    <row r="27" spans="1:7" ht="34.200000000000003" x14ac:dyDescent="0.3">
      <c r="A27" s="271" t="s">
        <v>114</v>
      </c>
      <c r="B27" s="78">
        <v>0.05</v>
      </c>
      <c r="C27" s="46" t="s">
        <v>205</v>
      </c>
      <c r="D27" s="200" t="s">
        <v>108</v>
      </c>
      <c r="E27" s="188"/>
      <c r="F27" s="188"/>
      <c r="G27" s="45"/>
    </row>
    <row r="28" spans="1:7" ht="13.8" x14ac:dyDescent="0.2">
      <c r="A28" s="243" t="s">
        <v>115</v>
      </c>
      <c r="B28" s="201">
        <f>31354493*60%*0.00067</f>
        <v>12604.506186000001</v>
      </c>
      <c r="C28" s="192" t="s">
        <v>217</v>
      </c>
      <c r="D28" s="198" t="s">
        <v>264</v>
      </c>
      <c r="E28" s="48"/>
      <c r="F28" s="45"/>
    </row>
    <row r="29" spans="1:7" ht="15" customHeight="1" x14ac:dyDescent="0.2">
      <c r="A29" s="278" t="s">
        <v>116</v>
      </c>
      <c r="B29" s="193">
        <f>ROUNDUP(B26*B27*B28,0)</f>
        <v>17647</v>
      </c>
      <c r="C29" s="195" t="s">
        <v>112</v>
      </c>
      <c r="D29" s="198" t="s">
        <v>58</v>
      </c>
      <c r="E29" s="48"/>
      <c r="F29" s="45"/>
    </row>
    <row r="30" spans="1:7" ht="15" customHeight="1" x14ac:dyDescent="0.2">
      <c r="A30" s="278" t="s">
        <v>115</v>
      </c>
      <c r="B30" s="201">
        <v>0</v>
      </c>
      <c r="C30" s="195" t="s">
        <v>73</v>
      </c>
      <c r="D30" s="198"/>
      <c r="F30" s="45"/>
    </row>
    <row r="31" spans="1:7" ht="15" customHeight="1" x14ac:dyDescent="0.2">
      <c r="A31" s="278" t="s">
        <v>215</v>
      </c>
      <c r="B31" s="195">
        <v>0</v>
      </c>
      <c r="C31" s="195" t="s">
        <v>205</v>
      </c>
      <c r="D31" s="198" t="s">
        <v>216</v>
      </c>
      <c r="E31" s="48"/>
      <c r="F31" s="45"/>
    </row>
    <row r="32" spans="1:7" ht="19.95" customHeight="1" x14ac:dyDescent="0.2">
      <c r="A32" s="278" t="s">
        <v>117</v>
      </c>
      <c r="B32" s="193">
        <f>ROUNDUP(B30*B26*(1-B31),0)</f>
        <v>0</v>
      </c>
      <c r="C32" s="195" t="s">
        <v>112</v>
      </c>
      <c r="D32" s="198" t="s">
        <v>264</v>
      </c>
      <c r="E32" s="48"/>
      <c r="F32" s="45"/>
    </row>
    <row r="33" spans="1:7" ht="14.25" customHeight="1" thickBot="1" x14ac:dyDescent="0.25">
      <c r="A33" s="279" t="s">
        <v>214</v>
      </c>
      <c r="B33" s="194">
        <f>ROUND(B17+B29+B32,0)</f>
        <v>17647</v>
      </c>
      <c r="C33" s="196" t="s">
        <v>112</v>
      </c>
      <c r="D33" s="199" t="s">
        <v>109</v>
      </c>
      <c r="E33" s="48"/>
      <c r="F33" s="48"/>
      <c r="G33" s="91"/>
    </row>
    <row r="34" spans="1:7" x14ac:dyDescent="0.2">
      <c r="A34" s="48"/>
      <c r="B34" s="49"/>
      <c r="C34" s="48"/>
      <c r="D34" s="50"/>
      <c r="E34" s="48"/>
      <c r="G34" s="91"/>
    </row>
    <row r="35" spans="1:7" x14ac:dyDescent="0.2">
      <c r="A35" s="48"/>
      <c r="B35" s="49"/>
      <c r="C35" s="48"/>
      <c r="D35" s="48"/>
      <c r="E35" s="48"/>
      <c r="G35" s="91"/>
    </row>
    <row r="36" spans="1:7" x14ac:dyDescent="0.2">
      <c r="A36" s="51"/>
      <c r="B36" s="49"/>
      <c r="C36" s="48"/>
      <c r="D36" s="48"/>
      <c r="E36" s="48"/>
    </row>
    <row r="37" spans="1:7" ht="13.8" x14ac:dyDescent="0.2">
      <c r="A37" s="52" t="s">
        <v>218</v>
      </c>
      <c r="B37" s="28"/>
    </row>
    <row r="38" spans="1:7" x14ac:dyDescent="0.2">
      <c r="A38" s="53"/>
    </row>
    <row r="39" spans="1:7" x14ac:dyDescent="0.2">
      <c r="A39" s="53"/>
      <c r="E39" s="54"/>
      <c r="F39" s="26"/>
    </row>
    <row r="40" spans="1:7" x14ac:dyDescent="0.2">
      <c r="A40" s="53"/>
    </row>
    <row r="41" spans="1:7" x14ac:dyDescent="0.2">
      <c r="A41" s="53"/>
    </row>
    <row r="42" spans="1:7" x14ac:dyDescent="0.2">
      <c r="A42" s="53"/>
    </row>
    <row r="43" spans="1:7" ht="12" thickBot="1" x14ac:dyDescent="0.25">
      <c r="A43" s="53"/>
    </row>
    <row r="44" spans="1:7" x14ac:dyDescent="0.2">
      <c r="A44" s="147" t="s">
        <v>71</v>
      </c>
      <c r="B44" s="331" t="s">
        <v>69</v>
      </c>
      <c r="C44" s="331"/>
      <c r="D44" s="34" t="s">
        <v>67</v>
      </c>
      <c r="E44" s="136" t="s">
        <v>3</v>
      </c>
    </row>
    <row r="45" spans="1:7" x14ac:dyDescent="0.2">
      <c r="A45" s="148"/>
      <c r="B45" s="43" t="s">
        <v>31</v>
      </c>
      <c r="C45" s="38" t="s">
        <v>32</v>
      </c>
      <c r="D45" s="43"/>
      <c r="E45" s="149"/>
    </row>
    <row r="46" spans="1:7" ht="13.8" x14ac:dyDescent="0.2">
      <c r="A46" s="202" t="s">
        <v>150</v>
      </c>
      <c r="B46" s="46">
        <v>28</v>
      </c>
      <c r="C46" s="46">
        <v>28</v>
      </c>
      <c r="D46" s="46" t="s">
        <v>251</v>
      </c>
      <c r="E46" s="189" t="s">
        <v>132</v>
      </c>
    </row>
    <row r="47" spans="1:7" ht="13.8" x14ac:dyDescent="0.2">
      <c r="A47" s="202" t="s">
        <v>151</v>
      </c>
      <c r="B47" s="46">
        <v>6.7000000000000002E-4</v>
      </c>
      <c r="C47" s="46">
        <v>6.7000000000000002E-4</v>
      </c>
      <c r="D47" s="46" t="s">
        <v>156</v>
      </c>
      <c r="E47" s="189" t="s">
        <v>219</v>
      </c>
    </row>
    <row r="48" spans="1:7" x14ac:dyDescent="0.2">
      <c r="A48" s="202"/>
      <c r="B48" s="46">
        <v>1E-3</v>
      </c>
      <c r="C48" s="46">
        <v>1E-3</v>
      </c>
      <c r="D48" s="46" t="s">
        <v>205</v>
      </c>
      <c r="E48" s="189" t="s">
        <v>223</v>
      </c>
    </row>
    <row r="49" spans="1:5" ht="13.8" x14ac:dyDescent="0.2">
      <c r="A49" s="202" t="s">
        <v>220</v>
      </c>
      <c r="B49" s="207">
        <f>3.5/6.5</f>
        <v>0.53846153846153844</v>
      </c>
      <c r="C49" s="207">
        <f>B49</f>
        <v>0.53846153846153844</v>
      </c>
      <c r="D49" s="46" t="s">
        <v>205</v>
      </c>
      <c r="E49" s="189" t="s">
        <v>265</v>
      </c>
    </row>
    <row r="50" spans="1:5" ht="13.8" x14ac:dyDescent="0.2">
      <c r="A50" s="202" t="s">
        <v>221</v>
      </c>
      <c r="B50" s="169">
        <f>(1-2%)*(1-45%)</f>
        <v>0.53900000000000003</v>
      </c>
      <c r="C50" s="169">
        <f>B50</f>
        <v>0.53900000000000003</v>
      </c>
      <c r="D50" s="46" t="s">
        <v>205</v>
      </c>
      <c r="E50" s="189" t="s">
        <v>265</v>
      </c>
    </row>
    <row r="51" spans="1:5" ht="13.8" x14ac:dyDescent="0.3">
      <c r="A51" s="202" t="s">
        <v>247</v>
      </c>
      <c r="B51" s="208">
        <v>0.28999999999999998</v>
      </c>
      <c r="C51" s="208">
        <v>0.28999999999999998</v>
      </c>
      <c r="D51" s="46" t="s">
        <v>225</v>
      </c>
      <c r="E51" s="189" t="s">
        <v>54</v>
      </c>
    </row>
    <row r="52" spans="1:5" ht="13.8" x14ac:dyDescent="0.2">
      <c r="A52" s="202" t="s">
        <v>125</v>
      </c>
      <c r="B52" s="204">
        <f>'Baseline Emission'!B20</f>
        <v>130976</v>
      </c>
      <c r="C52" s="204">
        <f>'Baseline Emission'!C20</f>
        <v>226952</v>
      </c>
      <c r="D52" s="46" t="s">
        <v>110</v>
      </c>
      <c r="E52" s="189" t="s">
        <v>265</v>
      </c>
    </row>
    <row r="53" spans="1:5" ht="13.8" x14ac:dyDescent="0.2">
      <c r="A53" s="202" t="s">
        <v>153</v>
      </c>
      <c r="B53" s="179">
        <f>'Baseline Emission'!B24</f>
        <v>267.49285714285713</v>
      </c>
      <c r="C53" s="179">
        <f>'Baseline Emission'!C24</f>
        <v>351.96428571428572</v>
      </c>
      <c r="D53" s="46" t="s">
        <v>248</v>
      </c>
      <c r="E53" s="189" t="s">
        <v>224</v>
      </c>
    </row>
    <row r="54" spans="1:5" ht="13.8" x14ac:dyDescent="0.2">
      <c r="A54" s="202" t="s">
        <v>122</v>
      </c>
      <c r="B54" s="169">
        <v>1</v>
      </c>
      <c r="C54" s="169">
        <v>1</v>
      </c>
      <c r="D54" s="46" t="s">
        <v>205</v>
      </c>
      <c r="E54" s="189" t="s">
        <v>265</v>
      </c>
    </row>
    <row r="55" spans="1:5" ht="13.8" x14ac:dyDescent="0.3">
      <c r="A55" s="202" t="s">
        <v>210</v>
      </c>
      <c r="B55" s="287">
        <f>ROUNDUP(B46*B47*B48*B49*B50*B51*B52*B53*B54,0)</f>
        <v>56</v>
      </c>
      <c r="C55" s="287">
        <f>ROUNDUP(C46*C47*C48*C49*C50*C51*C52*C53*C54,0)</f>
        <v>127</v>
      </c>
      <c r="D55" s="46" t="s">
        <v>112</v>
      </c>
      <c r="E55" s="189" t="s">
        <v>63</v>
      </c>
    </row>
    <row r="56" spans="1:5" ht="14.4" thickBot="1" x14ac:dyDescent="0.35">
      <c r="A56" s="203" t="s">
        <v>254</v>
      </c>
      <c r="B56" s="209">
        <f>B55+C55</f>
        <v>183</v>
      </c>
      <c r="C56" s="205"/>
      <c r="D56" s="205" t="s">
        <v>112</v>
      </c>
      <c r="E56" s="191" t="s">
        <v>63</v>
      </c>
    </row>
    <row r="57" spans="1:5" x14ac:dyDescent="0.2">
      <c r="A57" s="53"/>
    </row>
    <row r="58" spans="1:5" x14ac:dyDescent="0.2">
      <c r="A58" s="53"/>
    </row>
    <row r="59" spans="1:5" x14ac:dyDescent="0.2">
      <c r="A59" s="55" t="s">
        <v>40</v>
      </c>
    </row>
    <row r="60" spans="1:5" x14ac:dyDescent="0.2">
      <c r="A60" s="53"/>
    </row>
    <row r="61" spans="1:5" x14ac:dyDescent="0.2">
      <c r="A61" s="53"/>
      <c r="D61" s="344"/>
    </row>
    <row r="62" spans="1:5" x14ac:dyDescent="0.2">
      <c r="A62" s="56"/>
      <c r="D62" s="54"/>
    </row>
    <row r="63" spans="1:5" x14ac:dyDescent="0.2">
      <c r="A63" s="56"/>
      <c r="D63" s="54"/>
    </row>
    <row r="64" spans="1:5" x14ac:dyDescent="0.2">
      <c r="A64" s="56"/>
      <c r="D64" s="54"/>
    </row>
    <row r="65" spans="1:10" x14ac:dyDescent="0.2">
      <c r="A65" s="56"/>
      <c r="D65" s="54"/>
    </row>
    <row r="66" spans="1:10" ht="13.8" x14ac:dyDescent="0.3">
      <c r="A66" s="57" t="s">
        <v>120</v>
      </c>
      <c r="B66" s="58"/>
    </row>
    <row r="67" spans="1:10" ht="12" thickBot="1" x14ac:dyDescent="0.25">
      <c r="A67" s="29"/>
    </row>
    <row r="68" spans="1:10" x14ac:dyDescent="0.2">
      <c r="A68" s="147" t="s">
        <v>2</v>
      </c>
      <c r="B68" s="34" t="s">
        <v>14</v>
      </c>
      <c r="C68" s="34"/>
      <c r="D68" s="34" t="s">
        <v>1</v>
      </c>
      <c r="E68" s="136" t="s">
        <v>3</v>
      </c>
      <c r="F68" s="72"/>
    </row>
    <row r="69" spans="1:10" s="59" customFormat="1" x14ac:dyDescent="0.2">
      <c r="A69" s="148"/>
      <c r="B69" s="43" t="s">
        <v>31</v>
      </c>
      <c r="C69" s="43" t="s">
        <v>32</v>
      </c>
      <c r="D69" s="43"/>
      <c r="E69" s="149"/>
      <c r="F69" s="72"/>
      <c r="G69" s="25"/>
      <c r="H69" s="25"/>
      <c r="I69" s="25"/>
      <c r="J69" s="25"/>
    </row>
    <row r="70" spans="1:10" ht="25.5" customHeight="1" x14ac:dyDescent="0.2">
      <c r="A70" s="202" t="s">
        <v>123</v>
      </c>
      <c r="B70" s="213">
        <v>0</v>
      </c>
      <c r="C70" s="213">
        <v>0</v>
      </c>
      <c r="D70" s="22" t="s">
        <v>121</v>
      </c>
      <c r="E70" s="211" t="s">
        <v>74</v>
      </c>
      <c r="F70" s="68"/>
    </row>
    <row r="71" spans="1:10" ht="13.8" x14ac:dyDescent="0.2">
      <c r="A71" s="202" t="s">
        <v>124</v>
      </c>
      <c r="B71" s="214">
        <f>'Baseline Emission'!B50</f>
        <v>10.485720000000001</v>
      </c>
      <c r="C71" s="214">
        <f>'Baseline Emission'!C50</f>
        <v>7.8839999999999995</v>
      </c>
      <c r="D71" s="22" t="s">
        <v>106</v>
      </c>
      <c r="E71" s="137" t="s">
        <v>10</v>
      </c>
      <c r="F71" s="210"/>
    </row>
    <row r="72" spans="1:10" ht="13.8" x14ac:dyDescent="0.2">
      <c r="A72" s="243" t="s">
        <v>125</v>
      </c>
      <c r="B72" s="180">
        <f>'Baseline Emission'!B20</f>
        <v>130976</v>
      </c>
      <c r="C72" s="180">
        <f>'Baseline Emission'!C20</f>
        <v>226952</v>
      </c>
      <c r="D72" s="22" t="s">
        <v>110</v>
      </c>
      <c r="E72" s="137" t="s">
        <v>265</v>
      </c>
      <c r="F72" s="45"/>
      <c r="G72" s="59"/>
      <c r="H72" s="59"/>
      <c r="I72" s="59"/>
      <c r="J72" s="59"/>
    </row>
    <row r="73" spans="1:10" ht="13.8" x14ac:dyDescent="0.2">
      <c r="A73" s="243" t="s">
        <v>122</v>
      </c>
      <c r="B73" s="215">
        <f>3/6.5</f>
        <v>0.46153846153846156</v>
      </c>
      <c r="C73" s="215">
        <f>B73</f>
        <v>0.46153846153846156</v>
      </c>
      <c r="D73" s="22" t="s">
        <v>226</v>
      </c>
      <c r="E73" s="128" t="s">
        <v>265</v>
      </c>
      <c r="F73" s="45"/>
    </row>
    <row r="74" spans="1:10" ht="13.8" x14ac:dyDescent="0.3">
      <c r="A74" s="278" t="s">
        <v>210</v>
      </c>
      <c r="B74" s="216">
        <f>B70*B71*B72*B73</f>
        <v>0</v>
      </c>
      <c r="C74" s="216">
        <f>C70*C71*C72*C73</f>
        <v>0</v>
      </c>
      <c r="D74" s="78" t="s">
        <v>204</v>
      </c>
      <c r="E74" s="159" t="s">
        <v>213</v>
      </c>
      <c r="F74" s="48"/>
    </row>
    <row r="75" spans="1:10" ht="13.8" x14ac:dyDescent="0.2">
      <c r="A75" s="243" t="s">
        <v>123</v>
      </c>
      <c r="B75" s="217">
        <v>6.0000000000000001E-3</v>
      </c>
      <c r="C75" s="217">
        <v>6.0000000000000001E-3</v>
      </c>
      <c r="D75" s="22" t="s">
        <v>18</v>
      </c>
      <c r="E75" s="156" t="s">
        <v>126</v>
      </c>
      <c r="F75" s="48"/>
    </row>
    <row r="76" spans="1:10" ht="13.8" x14ac:dyDescent="0.2">
      <c r="A76" s="243" t="s">
        <v>124</v>
      </c>
      <c r="B76" s="218">
        <f t="shared" ref="B76:D77" si="0">B71</f>
        <v>10.485720000000001</v>
      </c>
      <c r="C76" s="218">
        <f t="shared" si="0"/>
        <v>7.8839999999999995</v>
      </c>
      <c r="D76" s="22" t="str">
        <f t="shared" si="0"/>
        <v>kg N/animal/year</v>
      </c>
      <c r="E76" s="156" t="s">
        <v>10</v>
      </c>
      <c r="F76" s="48"/>
    </row>
    <row r="77" spans="1:10" ht="13.8" x14ac:dyDescent="0.2">
      <c r="A77" s="243" t="s">
        <v>125</v>
      </c>
      <c r="B77" s="220">
        <f t="shared" si="0"/>
        <v>130976</v>
      </c>
      <c r="C77" s="220">
        <f t="shared" si="0"/>
        <v>226952</v>
      </c>
      <c r="D77" s="22" t="str">
        <f t="shared" si="0"/>
        <v>No of heads</v>
      </c>
      <c r="E77" s="156" t="s">
        <v>265</v>
      </c>
      <c r="F77" s="48"/>
    </row>
    <row r="78" spans="1:10" ht="13.8" x14ac:dyDescent="0.2">
      <c r="A78" s="243" t="s">
        <v>122</v>
      </c>
      <c r="B78" s="219">
        <f>3.5/6.5</f>
        <v>0.53846153846153844</v>
      </c>
      <c r="C78" s="219">
        <f>B78</f>
        <v>0.53846153846153844</v>
      </c>
      <c r="D78" s="78" t="s">
        <v>205</v>
      </c>
      <c r="E78" s="159" t="s">
        <v>265</v>
      </c>
      <c r="F78" s="48"/>
    </row>
    <row r="79" spans="1:10" ht="13.8" x14ac:dyDescent="0.3">
      <c r="A79" s="278"/>
      <c r="B79" s="216">
        <f>B75*B76*B77*B78</f>
        <v>4437.0662949415391</v>
      </c>
      <c r="C79" s="216">
        <f>C75*C76*C77*C78</f>
        <v>5780.7816812307683</v>
      </c>
      <c r="D79" s="78" t="s">
        <v>204</v>
      </c>
      <c r="E79" s="159" t="s">
        <v>213</v>
      </c>
      <c r="F79" s="48"/>
    </row>
    <row r="80" spans="1:10" ht="13.5" customHeight="1" thickBot="1" x14ac:dyDescent="0.35">
      <c r="A80" s="212" t="s">
        <v>130</v>
      </c>
      <c r="B80" s="332">
        <f>B79+C79+B74+C74</f>
        <v>10217.847976172307</v>
      </c>
      <c r="C80" s="333"/>
      <c r="D80" s="221" t="s">
        <v>204</v>
      </c>
      <c r="E80" s="161" t="s">
        <v>27</v>
      </c>
      <c r="F80" s="48"/>
    </row>
    <row r="84" spans="1:10" x14ac:dyDescent="0.2">
      <c r="A84" s="27" t="s">
        <v>17</v>
      </c>
      <c r="B84" s="60"/>
      <c r="C84" s="58"/>
      <c r="D84" s="54"/>
      <c r="E84" s="58"/>
    </row>
    <row r="85" spans="1:10" ht="12" thickBot="1" x14ac:dyDescent="0.25">
      <c r="A85" s="27"/>
      <c r="B85" s="60"/>
      <c r="C85" s="58"/>
      <c r="D85" s="54"/>
      <c r="E85" s="58"/>
    </row>
    <row r="86" spans="1:10" x14ac:dyDescent="0.2">
      <c r="A86" s="233" t="s">
        <v>2</v>
      </c>
      <c r="B86" s="34" t="s">
        <v>14</v>
      </c>
      <c r="C86" s="34"/>
      <c r="D86" s="34" t="s">
        <v>1</v>
      </c>
      <c r="E86" s="136" t="s">
        <v>3</v>
      </c>
      <c r="F86" s="72"/>
    </row>
    <row r="87" spans="1:10" x14ac:dyDescent="0.2">
      <c r="A87" s="148"/>
      <c r="B87" s="43" t="str">
        <f>B69</f>
        <v>Market Swine</v>
      </c>
      <c r="C87" s="43" t="str">
        <f>C69</f>
        <v>Breeding Swine</v>
      </c>
      <c r="D87" s="43"/>
      <c r="E87" s="229"/>
      <c r="F87" s="45"/>
    </row>
    <row r="88" spans="1:10" s="59" customFormat="1" ht="29.55" customHeight="1" x14ac:dyDescent="0.2">
      <c r="A88" s="202" t="s">
        <v>227</v>
      </c>
      <c r="B88" s="223">
        <v>0.01</v>
      </c>
      <c r="C88" s="223">
        <f>B88</f>
        <v>0.01</v>
      </c>
      <c r="D88" s="22" t="s">
        <v>229</v>
      </c>
      <c r="E88" s="197" t="s">
        <v>64</v>
      </c>
      <c r="F88" s="45"/>
      <c r="G88" s="25"/>
      <c r="H88" s="25"/>
      <c r="I88" s="25"/>
      <c r="J88" s="25"/>
    </row>
    <row r="89" spans="1:10" ht="45.6" x14ac:dyDescent="0.2">
      <c r="A89" s="243" t="s">
        <v>228</v>
      </c>
      <c r="B89" s="224">
        <v>0.4</v>
      </c>
      <c r="C89" s="224">
        <v>0.4</v>
      </c>
      <c r="D89" s="23" t="s">
        <v>226</v>
      </c>
      <c r="E89" s="211" t="s">
        <v>65</v>
      </c>
      <c r="F89" s="45"/>
    </row>
    <row r="90" spans="1:10" ht="13.8" x14ac:dyDescent="0.2">
      <c r="A90" s="243" t="s">
        <v>124</v>
      </c>
      <c r="B90" s="225">
        <f>B71</f>
        <v>10.485720000000001</v>
      </c>
      <c r="C90" s="225">
        <f>C71</f>
        <v>7.8839999999999995</v>
      </c>
      <c r="D90" s="22" t="str">
        <f>D76</f>
        <v>kg N/animal/year</v>
      </c>
      <c r="E90" s="211" t="s">
        <v>10</v>
      </c>
      <c r="F90" s="45"/>
    </row>
    <row r="91" spans="1:10" ht="13.8" x14ac:dyDescent="0.2">
      <c r="A91" s="243" t="s">
        <v>125</v>
      </c>
      <c r="B91" s="172">
        <f>'Baseline Emission'!B20</f>
        <v>130976</v>
      </c>
      <c r="C91" s="172">
        <f>'Baseline Emission'!C20</f>
        <v>226952</v>
      </c>
      <c r="D91" s="22" t="str">
        <f>D77</f>
        <v>No of heads</v>
      </c>
      <c r="E91" s="230" t="str">
        <f>'Baseline Emission'!E20</f>
        <v>Feasibility Study Report</v>
      </c>
      <c r="F91" s="227"/>
      <c r="G91" s="59"/>
      <c r="H91" s="59"/>
      <c r="I91" s="59"/>
      <c r="J91" s="59"/>
    </row>
    <row r="92" spans="1:10" ht="13.8" x14ac:dyDescent="0.2">
      <c r="A92" s="243" t="s">
        <v>122</v>
      </c>
      <c r="B92" s="215">
        <f>B73</f>
        <v>0.46153846153846156</v>
      </c>
      <c r="C92" s="215">
        <f>C73</f>
        <v>0.46153846153846156</v>
      </c>
      <c r="D92" s="22" t="s">
        <v>0</v>
      </c>
      <c r="E92" s="230" t="str">
        <f>'Baseline Emission'!E21</f>
        <v>Feasibility Study Report</v>
      </c>
      <c r="F92" s="227"/>
    </row>
    <row r="93" spans="1:10" ht="13.8" x14ac:dyDescent="0.3">
      <c r="A93" s="243" t="s">
        <v>128</v>
      </c>
      <c r="B93" s="46">
        <v>265</v>
      </c>
      <c r="C93" s="46">
        <v>265</v>
      </c>
      <c r="D93" s="46" t="s">
        <v>143</v>
      </c>
      <c r="E93" s="230" t="s">
        <v>132</v>
      </c>
      <c r="F93" s="228"/>
    </row>
    <row r="94" spans="1:10" ht="13.8" x14ac:dyDescent="0.3">
      <c r="A94" s="151"/>
      <c r="B94" s="216">
        <f>B88*B89*B90*B91*B92</f>
        <v>2535.4664542523078</v>
      </c>
      <c r="C94" s="216">
        <f>C88*C89*C90*C91*C92</f>
        <v>3303.3038178461543</v>
      </c>
      <c r="D94" s="78" t="s">
        <v>204</v>
      </c>
      <c r="E94" s="230" t="s">
        <v>27</v>
      </c>
      <c r="F94" s="227"/>
    </row>
    <row r="95" spans="1:10" ht="14.55" customHeight="1" x14ac:dyDescent="0.3">
      <c r="A95" s="190" t="s">
        <v>162</v>
      </c>
      <c r="B95" s="335">
        <f>B94+C94</f>
        <v>5838.7702720984616</v>
      </c>
      <c r="C95" s="335"/>
      <c r="D95" s="78" t="s">
        <v>204</v>
      </c>
      <c r="E95" s="230" t="s">
        <v>213</v>
      </c>
      <c r="F95" s="45"/>
    </row>
    <row r="96" spans="1:10" x14ac:dyDescent="0.2">
      <c r="A96" s="231"/>
      <c r="B96" s="61"/>
      <c r="C96" s="61"/>
      <c r="D96" s="61"/>
      <c r="E96" s="300"/>
    </row>
    <row r="97" spans="1:6" x14ac:dyDescent="0.2">
      <c r="A97" s="222" t="s">
        <v>2</v>
      </c>
      <c r="B97" s="43" t="s">
        <v>14</v>
      </c>
      <c r="C97" s="43"/>
      <c r="D97" s="43" t="s">
        <v>1</v>
      </c>
      <c r="E97" s="229" t="s">
        <v>3</v>
      </c>
      <c r="F97" s="72"/>
    </row>
    <row r="98" spans="1:6" x14ac:dyDescent="0.2">
      <c r="A98" s="222"/>
      <c r="B98" s="43" t="s">
        <v>31</v>
      </c>
      <c r="C98" s="43" t="s">
        <v>32</v>
      </c>
      <c r="D98" s="43"/>
      <c r="E98" s="229"/>
      <c r="F98" s="45"/>
    </row>
    <row r="99" spans="1:6" ht="37.049999999999997" customHeight="1" x14ac:dyDescent="0.2">
      <c r="A99" s="243" t="s">
        <v>129</v>
      </c>
      <c r="B99" s="223">
        <v>0.01</v>
      </c>
      <c r="C99" s="223">
        <f>B99</f>
        <v>0.01</v>
      </c>
      <c r="D99" s="46" t="s">
        <v>133</v>
      </c>
      <c r="E99" s="197" t="s">
        <v>64</v>
      </c>
      <c r="F99" s="45"/>
    </row>
    <row r="100" spans="1:6" ht="45.6" x14ac:dyDescent="0.2">
      <c r="A100" s="243" t="s">
        <v>228</v>
      </c>
      <c r="B100" s="224">
        <v>0.45</v>
      </c>
      <c r="C100" s="224">
        <v>0.45</v>
      </c>
      <c r="D100" s="46" t="s">
        <v>205</v>
      </c>
      <c r="E100" s="211" t="s">
        <v>65</v>
      </c>
      <c r="F100" s="45"/>
    </row>
    <row r="101" spans="1:6" ht="13.8" x14ac:dyDescent="0.2">
      <c r="A101" s="243" t="s">
        <v>124</v>
      </c>
      <c r="B101" s="225">
        <f>B90</f>
        <v>10.485720000000001</v>
      </c>
      <c r="C101" s="225">
        <f>C90</f>
        <v>7.8839999999999995</v>
      </c>
      <c r="D101" s="46" t="s">
        <v>106</v>
      </c>
      <c r="E101" s="211" t="s">
        <v>10</v>
      </c>
      <c r="F101" s="45"/>
    </row>
    <row r="102" spans="1:6" ht="13.8" x14ac:dyDescent="0.2">
      <c r="A102" s="243" t="s">
        <v>125</v>
      </c>
      <c r="B102" s="172">
        <f>B91</f>
        <v>130976</v>
      </c>
      <c r="C102" s="172">
        <f>C91</f>
        <v>226952</v>
      </c>
      <c r="D102" s="46" t="s">
        <v>110</v>
      </c>
      <c r="E102" s="230" t="str">
        <f>E91</f>
        <v>Feasibility Study Report</v>
      </c>
      <c r="F102" s="227"/>
    </row>
    <row r="103" spans="1:6" ht="13.8" x14ac:dyDescent="0.2">
      <c r="A103" s="243" t="s">
        <v>122</v>
      </c>
      <c r="B103" s="169">
        <f>B78</f>
        <v>0.53846153846153844</v>
      </c>
      <c r="C103" s="169">
        <f>C78</f>
        <v>0.53846153846153844</v>
      </c>
      <c r="D103" s="46" t="s">
        <v>0</v>
      </c>
      <c r="E103" s="230" t="str">
        <f>E92</f>
        <v>Feasibility Study Report</v>
      </c>
      <c r="F103" s="227"/>
    </row>
    <row r="104" spans="1:6" ht="13.8" x14ac:dyDescent="0.3">
      <c r="A104" s="243" t="s">
        <v>128</v>
      </c>
      <c r="B104" s="46">
        <v>265</v>
      </c>
      <c r="C104" s="46">
        <v>265</v>
      </c>
      <c r="D104" s="46" t="s">
        <v>135</v>
      </c>
      <c r="E104" s="230" t="str">
        <f>E93</f>
        <v>IPCC AR5</v>
      </c>
      <c r="F104" s="228"/>
    </row>
    <row r="105" spans="1:6" ht="13.8" x14ac:dyDescent="0.3">
      <c r="A105" s="151"/>
      <c r="B105" s="216">
        <f>B99*B100*B101*B102*B103</f>
        <v>3327.7997212061541</v>
      </c>
      <c r="C105" s="216">
        <f>C99*C100*C101*C102*C103</f>
        <v>4335.5862609230771</v>
      </c>
      <c r="D105" s="78" t="s">
        <v>204</v>
      </c>
      <c r="E105" s="230" t="s">
        <v>27</v>
      </c>
      <c r="F105" s="45"/>
    </row>
    <row r="106" spans="1:6" ht="14.4" thickBot="1" x14ac:dyDescent="0.35">
      <c r="A106" s="212" t="s">
        <v>187</v>
      </c>
      <c r="B106" s="334">
        <f>B105+C105</f>
        <v>7663.3859821292317</v>
      </c>
      <c r="C106" s="334"/>
      <c r="D106" s="221" t="s">
        <v>204</v>
      </c>
      <c r="E106" s="232" t="s">
        <v>27</v>
      </c>
      <c r="F106" s="45"/>
    </row>
    <row r="107" spans="1:6" x14ac:dyDescent="0.2">
      <c r="A107" s="62"/>
      <c r="B107" s="63"/>
      <c r="C107" s="63"/>
      <c r="D107" s="64"/>
      <c r="E107" s="64"/>
      <c r="F107" s="45"/>
    </row>
    <row r="108" spans="1:6" ht="13.8" x14ac:dyDescent="0.3">
      <c r="A108" s="29" t="s">
        <v>249</v>
      </c>
      <c r="C108" s="65">
        <f>ROUNDUP(B93*44/28*1/1000*(B80+B95+B106),0)</f>
        <v>9878</v>
      </c>
      <c r="D108" s="45" t="s">
        <v>112</v>
      </c>
      <c r="E108" s="66"/>
    </row>
    <row r="109" spans="1:6" x14ac:dyDescent="0.2">
      <c r="A109" s="66"/>
      <c r="B109" s="66"/>
      <c r="C109" s="66"/>
      <c r="D109" s="66"/>
      <c r="E109" s="66"/>
    </row>
    <row r="110" spans="1:6" x14ac:dyDescent="0.2">
      <c r="A110" s="42"/>
      <c r="B110" s="67"/>
      <c r="C110" s="67"/>
      <c r="D110" s="68"/>
      <c r="E110" s="69"/>
    </row>
    <row r="113" spans="1:5" ht="13.8" x14ac:dyDescent="0.3">
      <c r="A113" s="74" t="s">
        <v>255</v>
      </c>
      <c r="B113" s="75">
        <f>ROUND(B33+B56+C108,0)</f>
        <v>27708</v>
      </c>
      <c r="C113" s="45" t="s">
        <v>112</v>
      </c>
      <c r="D113" s="45"/>
      <c r="E113" s="45"/>
    </row>
    <row r="115" spans="1:5" x14ac:dyDescent="0.2">
      <c r="A115" s="76"/>
      <c r="B115" s="76"/>
      <c r="C115" s="76"/>
      <c r="D115" s="76"/>
    </row>
    <row r="116" spans="1:5" x14ac:dyDescent="0.2">
      <c r="A116" s="77"/>
      <c r="B116" s="77"/>
      <c r="C116" s="77"/>
      <c r="D116" s="77"/>
    </row>
    <row r="129" spans="4:4" x14ac:dyDescent="0.2">
      <c r="D129" s="318"/>
    </row>
  </sheetData>
  <customSheetViews>
    <customSheetView guid="{2C071143-29D6-4036-A926-BF7E54293313}" hiddenRows="1" showRuler="0" topLeftCell="A61">
      <selection activeCell="B20" sqref="B20:C20"/>
      <pageMargins left="0.75" right="0.75" top="1" bottom="1" header="0.5" footer="0.5"/>
      <pageSetup paperSize="9" orientation="portrait" r:id="rId1"/>
      <headerFooter alignWithMargins="0"/>
    </customSheetView>
  </customSheetViews>
  <mergeCells count="4">
    <mergeCell ref="B44:C44"/>
    <mergeCell ref="B80:C80"/>
    <mergeCell ref="B106:C106"/>
    <mergeCell ref="B95:C95"/>
  </mergeCells>
  <phoneticPr fontId="0" type="noConversion"/>
  <pageMargins left="0.75" right="0.75" top="1" bottom="1" header="0.5" footer="0.5"/>
  <pageSetup paperSize="9" orientation="portrait" r:id="rId2"/>
  <headerFooter alignWithMargins="0"/>
  <ignoredErrors>
    <ignoredError sqref="B29" formula="1"/>
  </ignoredErrors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3"/>
  <dimension ref="A1:F148"/>
  <sheetViews>
    <sheetView zoomScale="90" zoomScaleNormal="90" workbookViewId="0">
      <selection activeCell="F37" sqref="F37"/>
    </sheetView>
  </sheetViews>
  <sheetFormatPr defaultColWidth="8.77734375" defaultRowHeight="11.4" x14ac:dyDescent="0.2"/>
  <cols>
    <col min="1" max="1" width="42.77734375" style="25" customWidth="1"/>
    <col min="2" max="2" width="19.21875" style="25" customWidth="1"/>
    <col min="3" max="3" width="17.5546875" style="25" customWidth="1"/>
    <col min="4" max="4" width="20.44140625" style="25" customWidth="1"/>
    <col min="5" max="5" width="44" style="25" customWidth="1"/>
    <col min="6" max="6" width="38.77734375" style="25" bestFit="1" customWidth="1"/>
    <col min="7" max="16384" width="8.77734375" style="25"/>
  </cols>
  <sheetData>
    <row r="1" spans="1:4" x14ac:dyDescent="0.2">
      <c r="A1" s="24" t="s">
        <v>19</v>
      </c>
    </row>
    <row r="2" spans="1:4" x14ac:dyDescent="0.2">
      <c r="A2" s="24"/>
      <c r="B2" s="54"/>
    </row>
    <row r="3" spans="1:4" x14ac:dyDescent="0.2">
      <c r="A3" s="24"/>
    </row>
    <row r="4" spans="1:4" ht="13.8" x14ac:dyDescent="0.3">
      <c r="A4" s="28" t="s">
        <v>176</v>
      </c>
    </row>
    <row r="5" spans="1:4" x14ac:dyDescent="0.2">
      <c r="A5" s="24"/>
      <c r="D5" s="26"/>
    </row>
    <row r="6" spans="1:4" x14ac:dyDescent="0.2">
      <c r="A6" s="24"/>
      <c r="D6" s="26"/>
    </row>
    <row r="7" spans="1:4" x14ac:dyDescent="0.2">
      <c r="A7" s="24"/>
      <c r="D7" s="26"/>
    </row>
    <row r="8" spans="1:4" x14ac:dyDescent="0.2">
      <c r="A8" s="24"/>
      <c r="D8" s="26"/>
    </row>
    <row r="9" spans="1:4" x14ac:dyDescent="0.2">
      <c r="A9" s="24"/>
      <c r="D9" s="26"/>
    </row>
    <row r="10" spans="1:4" x14ac:dyDescent="0.2">
      <c r="A10" s="24"/>
      <c r="D10" s="26"/>
    </row>
    <row r="11" spans="1:4" x14ac:dyDescent="0.2">
      <c r="A11" s="24"/>
      <c r="D11" s="26"/>
    </row>
    <row r="12" spans="1:4" x14ac:dyDescent="0.2">
      <c r="A12" s="24"/>
      <c r="D12" s="26"/>
    </row>
    <row r="13" spans="1:4" x14ac:dyDescent="0.2">
      <c r="A13" s="24"/>
      <c r="D13" s="26"/>
    </row>
    <row r="14" spans="1:4" x14ac:dyDescent="0.2">
      <c r="A14" s="24"/>
      <c r="D14" s="26"/>
    </row>
    <row r="15" spans="1:4" x14ac:dyDescent="0.2">
      <c r="A15" s="24"/>
      <c r="D15" s="26"/>
    </row>
    <row r="16" spans="1:4" x14ac:dyDescent="0.2">
      <c r="A16" s="24"/>
      <c r="D16" s="26"/>
    </row>
    <row r="17" spans="1:6" x14ac:dyDescent="0.2">
      <c r="A17" s="24"/>
      <c r="D17" s="26"/>
    </row>
    <row r="18" spans="1:6" x14ac:dyDescent="0.2">
      <c r="A18" s="24"/>
    </row>
    <row r="19" spans="1:6" x14ac:dyDescent="0.2">
      <c r="A19" s="24"/>
    </row>
    <row r="21" spans="1:6" ht="12" thickBot="1" x14ac:dyDescent="0.25">
      <c r="A21" s="56"/>
    </row>
    <row r="22" spans="1:6" x14ac:dyDescent="0.2">
      <c r="A22" s="147" t="s">
        <v>2</v>
      </c>
      <c r="B22" s="34" t="s">
        <v>14</v>
      </c>
      <c r="C22" s="34"/>
      <c r="D22" s="34" t="s">
        <v>1</v>
      </c>
      <c r="E22" s="136" t="s">
        <v>3</v>
      </c>
    </row>
    <row r="23" spans="1:6" x14ac:dyDescent="0.2">
      <c r="A23" s="148"/>
      <c r="B23" s="43" t="str">
        <f>B141</f>
        <v>Market Swine</v>
      </c>
      <c r="C23" s="43" t="str">
        <f>C141</f>
        <v>Breeding Swine</v>
      </c>
      <c r="D23" s="43"/>
      <c r="E23" s="229"/>
    </row>
    <row r="24" spans="1:6" s="59" customFormat="1" ht="13.8" x14ac:dyDescent="0.2">
      <c r="A24" s="239" t="s">
        <v>125</v>
      </c>
      <c r="B24" s="172">
        <f>'Baseline Emission'!B20</f>
        <v>130976</v>
      </c>
      <c r="C24" s="172">
        <f>'Baseline Emission'!C20</f>
        <v>226952</v>
      </c>
      <c r="D24" s="46" t="s">
        <v>110</v>
      </c>
      <c r="E24" s="240" t="s">
        <v>265</v>
      </c>
    </row>
    <row r="25" spans="1:6" ht="13.8" x14ac:dyDescent="0.2">
      <c r="A25" s="241" t="s">
        <v>124</v>
      </c>
      <c r="B25" s="234">
        <f>'Project Emission'!B90</f>
        <v>10.485720000000001</v>
      </c>
      <c r="C25" s="234">
        <f>'Project Emission'!C90</f>
        <v>7.8839999999999995</v>
      </c>
      <c r="D25" s="78" t="s">
        <v>46</v>
      </c>
      <c r="E25" s="242" t="s">
        <v>27</v>
      </c>
    </row>
    <row r="26" spans="1:6" s="59" customFormat="1" ht="34.200000000000003" x14ac:dyDescent="0.2">
      <c r="A26" s="241" t="s">
        <v>182</v>
      </c>
      <c r="B26" s="235">
        <v>0.8</v>
      </c>
      <c r="C26" s="235">
        <v>0.8</v>
      </c>
      <c r="D26" s="78" t="s">
        <v>205</v>
      </c>
      <c r="E26" s="242" t="s">
        <v>230</v>
      </c>
      <c r="F26" s="79"/>
    </row>
    <row r="27" spans="1:6" ht="13.8" x14ac:dyDescent="0.3">
      <c r="A27" s="241" t="s">
        <v>137</v>
      </c>
      <c r="B27" s="236">
        <v>0.01</v>
      </c>
      <c r="C27" s="236">
        <v>0.01</v>
      </c>
      <c r="D27" s="78" t="s">
        <v>138</v>
      </c>
      <c r="E27" s="242" t="s">
        <v>43</v>
      </c>
    </row>
    <row r="28" spans="1:6" ht="13.8" x14ac:dyDescent="0.3">
      <c r="A28" s="241" t="s">
        <v>139</v>
      </c>
      <c r="B28" s="236">
        <v>7.4999999999999997E-3</v>
      </c>
      <c r="C28" s="236">
        <v>7.4999999999999997E-3</v>
      </c>
      <c r="D28" s="78" t="s">
        <v>138</v>
      </c>
      <c r="E28" s="242" t="s">
        <v>30</v>
      </c>
    </row>
    <row r="29" spans="1:6" ht="13.8" x14ac:dyDescent="0.3">
      <c r="A29" s="241" t="s">
        <v>140</v>
      </c>
      <c r="B29" s="236">
        <v>0.01</v>
      </c>
      <c r="C29" s="236">
        <v>0.01</v>
      </c>
      <c r="D29" s="78" t="s">
        <v>138</v>
      </c>
      <c r="E29" s="242" t="s">
        <v>30</v>
      </c>
      <c r="F29" s="79"/>
    </row>
    <row r="30" spans="1:6" ht="13.8" x14ac:dyDescent="0.2">
      <c r="A30" s="241" t="s">
        <v>141</v>
      </c>
      <c r="B30" s="236">
        <v>0.3</v>
      </c>
      <c r="C30" s="236">
        <v>0.3</v>
      </c>
      <c r="D30" s="78" t="s">
        <v>205</v>
      </c>
      <c r="E30" s="242" t="s">
        <v>30</v>
      </c>
    </row>
    <row r="31" spans="1:6" ht="13.8" x14ac:dyDescent="0.3">
      <c r="A31" s="241" t="s">
        <v>127</v>
      </c>
      <c r="B31" s="236">
        <v>0.2</v>
      </c>
      <c r="C31" s="236">
        <v>0.2</v>
      </c>
      <c r="D31" s="78" t="s">
        <v>142</v>
      </c>
      <c r="E31" s="211" t="s">
        <v>75</v>
      </c>
    </row>
    <row r="32" spans="1:6" ht="13.8" x14ac:dyDescent="0.3">
      <c r="A32" s="243" t="s">
        <v>128</v>
      </c>
      <c r="B32" s="167">
        <v>265</v>
      </c>
      <c r="C32" s="167">
        <v>265</v>
      </c>
      <c r="D32" s="46" t="s">
        <v>143</v>
      </c>
      <c r="E32" s="197" t="s">
        <v>134</v>
      </c>
    </row>
    <row r="33" spans="1:6" ht="13.8" x14ac:dyDescent="0.3">
      <c r="A33" s="244" t="s">
        <v>179</v>
      </c>
      <c r="B33" s="238">
        <f>B27*(1-B26)*B25*B24</f>
        <v>2746.7553254399995</v>
      </c>
      <c r="C33" s="238">
        <f>C27*(1-C26)*C25*C24</f>
        <v>3578.5791359999994</v>
      </c>
      <c r="D33" s="46" t="s">
        <v>204</v>
      </c>
      <c r="E33" s="242" t="s">
        <v>28</v>
      </c>
    </row>
    <row r="34" spans="1:6" ht="13.8" x14ac:dyDescent="0.3">
      <c r="A34" s="244"/>
      <c r="B34" s="340">
        <f>B33+C33</f>
        <v>6325.3344614399994</v>
      </c>
      <c r="C34" s="340"/>
      <c r="D34" s="46" t="s">
        <v>204</v>
      </c>
      <c r="E34" s="242" t="s">
        <v>28</v>
      </c>
      <c r="F34" s="80"/>
    </row>
    <row r="35" spans="1:6" ht="13.8" x14ac:dyDescent="0.3">
      <c r="A35" s="244" t="s">
        <v>180</v>
      </c>
      <c r="B35" s="238">
        <f>B28*B30*(1-B26)*B25*B24</f>
        <v>618.01994822399979</v>
      </c>
      <c r="C35" s="238">
        <f>C28*C30*(1-C26)*C25*C24</f>
        <v>805.18030559999977</v>
      </c>
      <c r="D35" s="46" t="s">
        <v>204</v>
      </c>
      <c r="E35" s="242" t="s">
        <v>28</v>
      </c>
      <c r="F35" s="80"/>
    </row>
    <row r="36" spans="1:6" ht="13.8" x14ac:dyDescent="0.3">
      <c r="A36" s="244"/>
      <c r="B36" s="340">
        <f>B35+C35</f>
        <v>1423.2002538239994</v>
      </c>
      <c r="C36" s="340"/>
      <c r="D36" s="46" t="s">
        <v>204</v>
      </c>
      <c r="E36" s="242" t="s">
        <v>28</v>
      </c>
      <c r="F36" s="80"/>
    </row>
    <row r="37" spans="1:6" ht="13.8" x14ac:dyDescent="0.3">
      <c r="A37" s="244" t="s">
        <v>181</v>
      </c>
      <c r="B37" s="237">
        <f>B29*(1-B26)*B31*B25*B24</f>
        <v>549.35106508800004</v>
      </c>
      <c r="C37" s="237">
        <f>C29*(1-C26)*C31*C25*C24</f>
        <v>715.71582719999992</v>
      </c>
      <c r="D37" s="46" t="s">
        <v>204</v>
      </c>
      <c r="E37" s="242" t="s">
        <v>28</v>
      </c>
      <c r="F37" s="80"/>
    </row>
    <row r="38" spans="1:6" ht="13.8" x14ac:dyDescent="0.3">
      <c r="A38" s="244"/>
      <c r="B38" s="340">
        <f>B37+C37</f>
        <v>1265.066892288</v>
      </c>
      <c r="C38" s="340"/>
      <c r="D38" s="46" t="s">
        <v>204</v>
      </c>
      <c r="E38" s="242" t="s">
        <v>28</v>
      </c>
    </row>
    <row r="39" spans="1:6" ht="13.8" x14ac:dyDescent="0.3">
      <c r="A39" s="267" t="s">
        <v>188</v>
      </c>
      <c r="B39" s="336">
        <f>ROUNDUP(B32*44/28*1/1000*(B34+B36+B38),0)</f>
        <v>3754</v>
      </c>
      <c r="C39" s="337"/>
      <c r="D39" s="167" t="s">
        <v>112</v>
      </c>
      <c r="E39" s="242" t="s">
        <v>28</v>
      </c>
    </row>
    <row r="40" spans="1:6" s="164" customFormat="1" ht="12" thickBot="1" x14ac:dyDescent="0.25">
      <c r="A40" s="245"/>
      <c r="B40" s="246"/>
      <c r="C40" s="246"/>
      <c r="D40" s="247"/>
      <c r="E40" s="248"/>
    </row>
    <row r="41" spans="1:6" x14ac:dyDescent="0.2">
      <c r="A41" s="81"/>
      <c r="B41" s="82"/>
      <c r="C41" s="82"/>
      <c r="D41" s="83"/>
      <c r="E41" s="83"/>
    </row>
    <row r="42" spans="1:6" x14ac:dyDescent="0.2">
      <c r="A42" s="81"/>
      <c r="B42" s="82"/>
      <c r="C42" s="82"/>
      <c r="D42" s="83"/>
      <c r="E42" s="83"/>
    </row>
    <row r="43" spans="1:6" x14ac:dyDescent="0.2">
      <c r="A43" s="81"/>
      <c r="B43" s="82"/>
      <c r="C43" s="82"/>
      <c r="D43" s="84"/>
      <c r="E43" s="83"/>
    </row>
    <row r="44" spans="1:6" x14ac:dyDescent="0.2">
      <c r="A44" s="81"/>
      <c r="B44" s="82"/>
      <c r="C44" s="82"/>
      <c r="D44" s="84"/>
      <c r="E44" s="83"/>
    </row>
    <row r="45" spans="1:6" x14ac:dyDescent="0.2">
      <c r="A45" s="81"/>
      <c r="B45" s="82"/>
      <c r="C45" s="82"/>
      <c r="D45" s="84"/>
      <c r="E45" s="83"/>
    </row>
    <row r="46" spans="1:6" x14ac:dyDescent="0.2">
      <c r="A46" s="81"/>
      <c r="B46" s="82"/>
      <c r="C46" s="82"/>
      <c r="D46" s="84"/>
      <c r="E46" s="83"/>
    </row>
    <row r="47" spans="1:6" x14ac:dyDescent="0.2">
      <c r="A47" s="81"/>
      <c r="B47" s="82"/>
      <c r="C47" s="82"/>
      <c r="D47" s="84"/>
      <c r="E47" s="83"/>
    </row>
    <row r="48" spans="1:6" x14ac:dyDescent="0.2">
      <c r="A48" s="81"/>
      <c r="B48" s="82"/>
      <c r="C48" s="82"/>
      <c r="D48" s="84"/>
      <c r="E48" s="83"/>
    </row>
    <row r="49" spans="1:5" x14ac:dyDescent="0.2">
      <c r="A49" s="81"/>
      <c r="B49" s="82"/>
      <c r="C49" s="82"/>
      <c r="D49" s="84"/>
      <c r="E49" s="83"/>
    </row>
    <row r="50" spans="1:5" x14ac:dyDescent="0.2">
      <c r="A50" s="81"/>
      <c r="B50" s="82"/>
      <c r="C50" s="82"/>
      <c r="D50" s="84"/>
      <c r="E50" s="83"/>
    </row>
    <row r="51" spans="1:5" x14ac:dyDescent="0.2">
      <c r="A51" s="81"/>
      <c r="B51" s="82"/>
      <c r="C51" s="82"/>
      <c r="D51" s="84"/>
      <c r="E51" s="83"/>
    </row>
    <row r="52" spans="1:5" x14ac:dyDescent="0.2">
      <c r="A52" s="81"/>
      <c r="B52" s="82"/>
      <c r="C52" s="82"/>
      <c r="D52" s="84"/>
      <c r="E52" s="83"/>
    </row>
    <row r="53" spans="1:5" x14ac:dyDescent="0.2">
      <c r="A53" s="81"/>
      <c r="B53" s="82"/>
      <c r="C53" s="82"/>
      <c r="D53" s="84"/>
      <c r="E53" s="83"/>
    </row>
    <row r="54" spans="1:5" x14ac:dyDescent="0.2">
      <c r="A54" s="81"/>
      <c r="B54" s="82"/>
      <c r="C54" s="82"/>
      <c r="D54" s="84"/>
      <c r="E54" s="83"/>
    </row>
    <row r="55" spans="1:5" x14ac:dyDescent="0.2">
      <c r="A55" s="81"/>
      <c r="B55" s="82"/>
      <c r="C55" s="82"/>
      <c r="D55" s="84"/>
      <c r="E55" s="83"/>
    </row>
    <row r="56" spans="1:5" ht="12" thickBot="1" x14ac:dyDescent="0.25">
      <c r="A56" s="81"/>
      <c r="B56" s="82"/>
      <c r="C56" s="82"/>
      <c r="D56" s="83"/>
      <c r="E56" s="83"/>
    </row>
    <row r="57" spans="1:5" x14ac:dyDescent="0.2">
      <c r="A57" s="147" t="s">
        <v>2</v>
      </c>
      <c r="B57" s="34" t="s">
        <v>14</v>
      </c>
      <c r="C57" s="34"/>
      <c r="D57" s="34" t="s">
        <v>1</v>
      </c>
      <c r="E57" s="136" t="s">
        <v>3</v>
      </c>
    </row>
    <row r="58" spans="1:5" x14ac:dyDescent="0.2">
      <c r="A58" s="148"/>
      <c r="B58" s="43" t="str">
        <f>'Project Emission'!B87</f>
        <v>Market Swine</v>
      </c>
      <c r="C58" s="43" t="str">
        <f>'Project Emission'!C87</f>
        <v>Breeding Swine</v>
      </c>
      <c r="D58" s="43"/>
      <c r="E58" s="229"/>
    </row>
    <row r="59" spans="1:5" ht="13.8" x14ac:dyDescent="0.2">
      <c r="A59" s="239" t="s">
        <v>125</v>
      </c>
      <c r="B59" s="172">
        <f>'Baseline Emission'!B20</f>
        <v>130976</v>
      </c>
      <c r="C59" s="172">
        <f>'Baseline Emission'!C20</f>
        <v>226952</v>
      </c>
      <c r="D59" s="46" t="s">
        <v>110</v>
      </c>
      <c r="E59" s="240" t="s">
        <v>265</v>
      </c>
    </row>
    <row r="60" spans="1:5" ht="13.8" x14ac:dyDescent="0.2">
      <c r="A60" s="239" t="s">
        <v>155</v>
      </c>
      <c r="B60" s="249">
        <f>B25</f>
        <v>10.485720000000001</v>
      </c>
      <c r="C60" s="249">
        <f>C25</f>
        <v>7.8839999999999995</v>
      </c>
      <c r="D60" s="46" t="s">
        <v>106</v>
      </c>
      <c r="E60" s="242" t="s">
        <v>27</v>
      </c>
    </row>
    <row r="61" spans="1:5" ht="34.200000000000003" x14ac:dyDescent="0.2">
      <c r="A61" s="241" t="s">
        <v>182</v>
      </c>
      <c r="B61" s="321">
        <v>0.25</v>
      </c>
      <c r="C61" s="321">
        <f>B61</f>
        <v>0.25</v>
      </c>
      <c r="D61" s="78" t="s">
        <v>205</v>
      </c>
      <c r="E61" s="242" t="s">
        <v>231</v>
      </c>
    </row>
    <row r="62" spans="1:5" ht="13.8" x14ac:dyDescent="0.3">
      <c r="A62" s="241" t="s">
        <v>137</v>
      </c>
      <c r="B62" s="251">
        <v>0.01</v>
      </c>
      <c r="C62" s="251">
        <v>0.01</v>
      </c>
      <c r="D62" s="78" t="s">
        <v>138</v>
      </c>
      <c r="E62" s="242" t="s">
        <v>43</v>
      </c>
    </row>
    <row r="63" spans="1:5" ht="13.8" x14ac:dyDescent="0.3">
      <c r="A63" s="241" t="s">
        <v>139</v>
      </c>
      <c r="B63" s="251">
        <v>7.4999999999999997E-3</v>
      </c>
      <c r="C63" s="251">
        <v>7.4999999999999997E-3</v>
      </c>
      <c r="D63" s="78" t="s">
        <v>138</v>
      </c>
      <c r="E63" s="242" t="s">
        <v>30</v>
      </c>
    </row>
    <row r="64" spans="1:5" ht="13.8" x14ac:dyDescent="0.3">
      <c r="A64" s="241" t="s">
        <v>140</v>
      </c>
      <c r="B64" s="251">
        <v>0.01</v>
      </c>
      <c r="C64" s="251">
        <v>0.01</v>
      </c>
      <c r="D64" s="78" t="s">
        <v>138</v>
      </c>
      <c r="E64" s="242" t="s">
        <v>30</v>
      </c>
    </row>
    <row r="65" spans="1:5" ht="13.8" x14ac:dyDescent="0.2">
      <c r="A65" s="241" t="s">
        <v>141</v>
      </c>
      <c r="B65" s="251">
        <v>0.3</v>
      </c>
      <c r="C65" s="251">
        <v>0.3</v>
      </c>
      <c r="D65" s="78" t="s">
        <v>205</v>
      </c>
      <c r="E65" s="242" t="s">
        <v>30</v>
      </c>
    </row>
    <row r="66" spans="1:5" ht="31.05" customHeight="1" x14ac:dyDescent="0.3">
      <c r="A66" s="241" t="s">
        <v>127</v>
      </c>
      <c r="B66" s="251">
        <v>0.2</v>
      </c>
      <c r="C66" s="251">
        <v>0.2</v>
      </c>
      <c r="D66" s="78" t="s">
        <v>142</v>
      </c>
      <c r="E66" s="211" t="s">
        <v>232</v>
      </c>
    </row>
    <row r="67" spans="1:5" x14ac:dyDescent="0.2">
      <c r="A67" s="239"/>
      <c r="B67" s="251"/>
      <c r="C67" s="251"/>
      <c r="D67" s="78"/>
      <c r="E67" s="242"/>
    </row>
    <row r="68" spans="1:5" ht="13.8" x14ac:dyDescent="0.3">
      <c r="A68" s="244" t="s">
        <v>183</v>
      </c>
      <c r="B68" s="286">
        <f>B62*(1-B61)*B60*B59</f>
        <v>10300.332470400001</v>
      </c>
      <c r="C68" s="286">
        <f>C62*(1-C61)*C60*C59</f>
        <v>13419.671759999999</v>
      </c>
      <c r="D68" s="46" t="s">
        <v>203</v>
      </c>
      <c r="E68" s="242" t="s">
        <v>28</v>
      </c>
    </row>
    <row r="69" spans="1:5" ht="13.8" x14ac:dyDescent="0.3">
      <c r="A69" s="244"/>
      <c r="B69" s="341">
        <f>B68+C68</f>
        <v>23720.004230400002</v>
      </c>
      <c r="C69" s="341"/>
      <c r="D69" s="46" t="s">
        <v>204</v>
      </c>
      <c r="E69" s="242" t="s">
        <v>28</v>
      </c>
    </row>
    <row r="70" spans="1:5" ht="13.8" x14ac:dyDescent="0.3">
      <c r="A70" s="244" t="s">
        <v>184</v>
      </c>
      <c r="B70" s="286">
        <f>B63*B65*(1-B61)*B60*B59</f>
        <v>2317.57480584</v>
      </c>
      <c r="C70" s="286">
        <f>C63*C65*(1-C61)*C60*C59</f>
        <v>3019.4261459999993</v>
      </c>
      <c r="D70" s="46" t="s">
        <v>204</v>
      </c>
      <c r="E70" s="242" t="s">
        <v>28</v>
      </c>
    </row>
    <row r="71" spans="1:5" ht="13.8" x14ac:dyDescent="0.3">
      <c r="A71" s="244"/>
      <c r="B71" s="341">
        <f>B70+C70</f>
        <v>5337.0009518399993</v>
      </c>
      <c r="C71" s="341"/>
      <c r="D71" s="46" t="s">
        <v>203</v>
      </c>
      <c r="E71" s="242" t="s">
        <v>28</v>
      </c>
    </row>
    <row r="72" spans="1:5" ht="13.8" x14ac:dyDescent="0.3">
      <c r="A72" s="244" t="s">
        <v>149</v>
      </c>
      <c r="B72" s="285">
        <f>B64*(1-B61)*B66*B60*B59</f>
        <v>2060.0664940800002</v>
      </c>
      <c r="C72" s="285">
        <f>C64*(1-C61)*C66*C60*C59</f>
        <v>2683.9343519999998</v>
      </c>
      <c r="D72" s="46" t="s">
        <v>204</v>
      </c>
      <c r="E72" s="242" t="s">
        <v>28</v>
      </c>
    </row>
    <row r="73" spans="1:5" ht="13.8" x14ac:dyDescent="0.3">
      <c r="A73" s="244"/>
      <c r="B73" s="341">
        <f>B72+C72</f>
        <v>4744.00084608</v>
      </c>
      <c r="C73" s="341"/>
      <c r="D73" s="46" t="s">
        <v>204</v>
      </c>
      <c r="E73" s="242" t="s">
        <v>28</v>
      </c>
    </row>
    <row r="74" spans="1:5" ht="13.8" x14ac:dyDescent="0.2">
      <c r="A74" s="267" t="s">
        <v>177</v>
      </c>
      <c r="B74" s="336">
        <f>ROUNDUP(265*44/28*1/1000*(B69+B71+B73),0)</f>
        <v>14076</v>
      </c>
      <c r="C74" s="337"/>
      <c r="D74" s="268" t="s">
        <v>112</v>
      </c>
      <c r="E74" s="242" t="s">
        <v>28</v>
      </c>
    </row>
    <row r="75" spans="1:5" s="164" customFormat="1" ht="12" thickBot="1" x14ac:dyDescent="0.25">
      <c r="A75" s="245"/>
      <c r="B75" s="246"/>
      <c r="C75" s="246"/>
      <c r="D75" s="247"/>
      <c r="E75" s="232"/>
    </row>
    <row r="76" spans="1:5" x14ac:dyDescent="0.2">
      <c r="A76" s="81"/>
      <c r="B76" s="82"/>
      <c r="C76" s="82"/>
      <c r="D76" s="83"/>
      <c r="E76" s="83"/>
    </row>
    <row r="77" spans="1:5" x14ac:dyDescent="0.2">
      <c r="A77" s="81"/>
      <c r="B77" s="82"/>
      <c r="C77" s="82"/>
      <c r="D77" s="83"/>
      <c r="E77" s="83"/>
    </row>
    <row r="79" spans="1:5" x14ac:dyDescent="0.2">
      <c r="A79" s="28" t="s">
        <v>42</v>
      </c>
    </row>
    <row r="81" spans="1:5" x14ac:dyDescent="0.2">
      <c r="E81" s="26"/>
    </row>
    <row r="82" spans="1:5" x14ac:dyDescent="0.2">
      <c r="E82" s="26"/>
    </row>
    <row r="83" spans="1:5" x14ac:dyDescent="0.2">
      <c r="E83" s="26"/>
    </row>
    <row r="84" spans="1:5" x14ac:dyDescent="0.2">
      <c r="E84" s="26"/>
    </row>
    <row r="85" spans="1:5" x14ac:dyDescent="0.2">
      <c r="E85" s="26"/>
    </row>
    <row r="86" spans="1:5" x14ac:dyDescent="0.2">
      <c r="E86" s="26"/>
    </row>
    <row r="87" spans="1:5" x14ac:dyDescent="0.2">
      <c r="A87" s="24"/>
    </row>
    <row r="88" spans="1:5" ht="12" thickBot="1" x14ac:dyDescent="0.25">
      <c r="A88" s="24"/>
    </row>
    <row r="89" spans="1:5" x14ac:dyDescent="0.2">
      <c r="A89" s="147" t="s">
        <v>2</v>
      </c>
      <c r="B89" s="34" t="s">
        <v>14</v>
      </c>
      <c r="C89" s="34"/>
      <c r="D89" s="34" t="s">
        <v>1</v>
      </c>
      <c r="E89" s="136" t="s">
        <v>3</v>
      </c>
    </row>
    <row r="90" spans="1:5" x14ac:dyDescent="0.2">
      <c r="A90" s="148"/>
      <c r="B90" s="43" t="str">
        <f>B58</f>
        <v>Market Swine</v>
      </c>
      <c r="C90" s="43" t="str">
        <f>C58</f>
        <v>Breeding Swine</v>
      </c>
      <c r="D90" s="43"/>
      <c r="E90" s="229"/>
    </row>
    <row r="91" spans="1:5" ht="13.8" x14ac:dyDescent="0.3">
      <c r="A91" s="252" t="s">
        <v>150</v>
      </c>
      <c r="B91" s="46">
        <f>'Baseline Emission'!B14</f>
        <v>28</v>
      </c>
      <c r="C91" s="46">
        <f>'Baseline Emission'!C14</f>
        <v>28</v>
      </c>
      <c r="D91" s="46" t="s">
        <v>136</v>
      </c>
      <c r="E91" s="258" t="s">
        <v>132</v>
      </c>
    </row>
    <row r="92" spans="1:5" ht="13.8" x14ac:dyDescent="0.3">
      <c r="A92" s="252" t="s">
        <v>151</v>
      </c>
      <c r="B92" s="46">
        <f>'Baseline Emission'!B15</f>
        <v>6.7000000000000002E-4</v>
      </c>
      <c r="C92" s="46">
        <f>'Baseline Emission'!C15</f>
        <v>6.7000000000000002E-4</v>
      </c>
      <c r="D92" s="46" t="s">
        <v>156</v>
      </c>
      <c r="E92" s="258" t="s">
        <v>233</v>
      </c>
    </row>
    <row r="93" spans="1:5" ht="13.8" x14ac:dyDescent="0.2">
      <c r="A93" s="253" t="s">
        <v>152</v>
      </c>
      <c r="B93" s="251">
        <v>1</v>
      </c>
      <c r="C93" s="251">
        <v>1</v>
      </c>
      <c r="D93" s="46" t="s">
        <v>205</v>
      </c>
      <c r="E93" s="258" t="s">
        <v>236</v>
      </c>
    </row>
    <row r="94" spans="1:5" ht="13.8" x14ac:dyDescent="0.2">
      <c r="A94" s="239" t="s">
        <v>153</v>
      </c>
      <c r="B94" s="261">
        <f>'Baseline Emission'!B24</f>
        <v>267.49285714285713</v>
      </c>
      <c r="C94" s="261">
        <f>'Baseline Emission'!C24</f>
        <v>351.96428571428572</v>
      </c>
      <c r="D94" s="46" t="s">
        <v>248</v>
      </c>
      <c r="E94" s="259" t="s">
        <v>213</v>
      </c>
    </row>
    <row r="95" spans="1:5" ht="13.8" x14ac:dyDescent="0.2">
      <c r="A95" s="239" t="s">
        <v>125</v>
      </c>
      <c r="B95" s="172">
        <f>'Baseline Emission'!B20</f>
        <v>130976</v>
      </c>
      <c r="C95" s="172">
        <f>'Baseline Emission'!C20</f>
        <v>226952</v>
      </c>
      <c r="D95" s="46" t="s">
        <v>110</v>
      </c>
      <c r="E95" s="260" t="s">
        <v>265</v>
      </c>
    </row>
    <row r="96" spans="1:5" ht="13.8" x14ac:dyDescent="0.2">
      <c r="A96" s="239" t="s">
        <v>178</v>
      </c>
      <c r="B96" s="262">
        <v>0.28999999999999998</v>
      </c>
      <c r="C96" s="251">
        <v>0.28999999999999998</v>
      </c>
      <c r="D96" s="112" t="s">
        <v>157</v>
      </c>
      <c r="E96" s="258" t="s">
        <v>6</v>
      </c>
    </row>
    <row r="97" spans="1:5" s="59" customFormat="1" ht="34.200000000000003" x14ac:dyDescent="0.2">
      <c r="A97" s="256" t="s">
        <v>154</v>
      </c>
      <c r="B97" s="235">
        <v>0.85</v>
      </c>
      <c r="C97" s="235">
        <v>0.85</v>
      </c>
      <c r="D97" s="165" t="s">
        <v>205</v>
      </c>
      <c r="E97" s="242" t="s">
        <v>234</v>
      </c>
    </row>
    <row r="98" spans="1:5" ht="13.8" x14ac:dyDescent="0.2">
      <c r="A98" s="253" t="s">
        <v>122</v>
      </c>
      <c r="B98" s="263">
        <v>1</v>
      </c>
      <c r="C98" s="263">
        <f>B98</f>
        <v>1</v>
      </c>
      <c r="D98" s="165" t="s">
        <v>205</v>
      </c>
      <c r="E98" s="120" t="s">
        <v>265</v>
      </c>
    </row>
    <row r="99" spans="1:5" ht="13.8" x14ac:dyDescent="0.3">
      <c r="A99" s="265" t="s">
        <v>185</v>
      </c>
      <c r="B99" s="289">
        <f>B91*B92*B93*(1-B97)*(B96*B95*B94*B98)</f>
        <v>28590.779985696001</v>
      </c>
      <c r="C99" s="289">
        <f>C91*C92*C93*(1-C97)*C96*C95*C94*C98</f>
        <v>65186.0555742</v>
      </c>
      <c r="D99" s="167" t="s">
        <v>112</v>
      </c>
      <c r="E99" s="230" t="s">
        <v>27</v>
      </c>
    </row>
    <row r="100" spans="1:5" s="164" customFormat="1" ht="13.5" customHeight="1" thickBot="1" x14ac:dyDescent="0.35">
      <c r="A100" s="257"/>
      <c r="B100" s="338">
        <f>ROUNDUP(B99+C99,0)</f>
        <v>93777</v>
      </c>
      <c r="C100" s="339"/>
      <c r="D100" s="270" t="s">
        <v>112</v>
      </c>
      <c r="E100" s="232" t="s">
        <v>27</v>
      </c>
    </row>
    <row r="101" spans="1:5" ht="12" thickBot="1" x14ac:dyDescent="0.25">
      <c r="A101" s="24"/>
    </row>
    <row r="102" spans="1:5" x14ac:dyDescent="0.2">
      <c r="A102" s="264"/>
      <c r="B102" s="35"/>
      <c r="C102" s="35"/>
      <c r="D102" s="35"/>
      <c r="E102" s="36"/>
    </row>
    <row r="103" spans="1:5" x14ac:dyDescent="0.2">
      <c r="A103" s="148" t="s">
        <v>2</v>
      </c>
      <c r="B103" s="43" t="s">
        <v>14</v>
      </c>
      <c r="C103" s="43"/>
      <c r="D103" s="43" t="s">
        <v>1</v>
      </c>
      <c r="E103" s="149" t="s">
        <v>3</v>
      </c>
    </row>
    <row r="104" spans="1:5" x14ac:dyDescent="0.2">
      <c r="A104" s="148"/>
      <c r="B104" s="43" t="str">
        <f>B90</f>
        <v>Market Swine</v>
      </c>
      <c r="C104" s="43" t="str">
        <f>C90</f>
        <v>Breeding Swine</v>
      </c>
      <c r="D104" s="43"/>
      <c r="E104" s="149"/>
    </row>
    <row r="105" spans="1:5" ht="13.8" x14ac:dyDescent="0.3">
      <c r="A105" s="252" t="s">
        <v>150</v>
      </c>
      <c r="B105" s="46">
        <f>B91</f>
        <v>28</v>
      </c>
      <c r="C105" s="46">
        <f>C91</f>
        <v>28</v>
      </c>
      <c r="D105" s="46" t="s">
        <v>136</v>
      </c>
      <c r="E105" s="206" t="s">
        <v>132</v>
      </c>
    </row>
    <row r="106" spans="1:5" ht="13.8" x14ac:dyDescent="0.3">
      <c r="A106" s="252" t="s">
        <v>151</v>
      </c>
      <c r="B106" s="46">
        <f>'Baseline Emission'!B15</f>
        <v>6.7000000000000002E-4</v>
      </c>
      <c r="C106" s="46">
        <f>'Baseline Emission'!C15</f>
        <v>6.7000000000000002E-4</v>
      </c>
      <c r="D106" s="46" t="s">
        <v>156</v>
      </c>
      <c r="E106" s="206" t="s">
        <v>233</v>
      </c>
    </row>
    <row r="107" spans="1:5" x14ac:dyDescent="0.2">
      <c r="A107" s="253" t="s">
        <v>20</v>
      </c>
      <c r="B107" s="251">
        <v>1</v>
      </c>
      <c r="C107" s="251">
        <v>1</v>
      </c>
      <c r="D107" s="46" t="s">
        <v>205</v>
      </c>
      <c r="E107" s="206" t="s">
        <v>235</v>
      </c>
    </row>
    <row r="108" spans="1:5" ht="13.8" x14ac:dyDescent="0.2">
      <c r="A108" s="239" t="s">
        <v>153</v>
      </c>
      <c r="B108" s="261">
        <f>B94</f>
        <v>267.49285714285713</v>
      </c>
      <c r="C108" s="261">
        <f>C94</f>
        <v>351.96428571428572</v>
      </c>
      <c r="D108" s="46" t="s">
        <v>248</v>
      </c>
      <c r="E108" s="254" t="s">
        <v>213</v>
      </c>
    </row>
    <row r="109" spans="1:5" ht="13.8" x14ac:dyDescent="0.2">
      <c r="A109" s="239" t="s">
        <v>125</v>
      </c>
      <c r="B109" s="172">
        <f>'Baseline Emission'!B20</f>
        <v>130976</v>
      </c>
      <c r="C109" s="172">
        <f>'Baseline Emission'!C20</f>
        <v>226952</v>
      </c>
      <c r="D109" s="46" t="s">
        <v>110</v>
      </c>
      <c r="E109" s="255" t="s">
        <v>23</v>
      </c>
    </row>
    <row r="110" spans="1:5" ht="13.8" x14ac:dyDescent="0.3">
      <c r="A110" s="239" t="s">
        <v>144</v>
      </c>
      <c r="B110" s="262">
        <v>0.28999999999999998</v>
      </c>
      <c r="C110" s="251">
        <v>0.28999999999999998</v>
      </c>
      <c r="D110" s="46" t="s">
        <v>157</v>
      </c>
      <c r="E110" s="206" t="s">
        <v>6</v>
      </c>
    </row>
    <row r="111" spans="1:5" ht="13.8" x14ac:dyDescent="0.2">
      <c r="A111" s="256" t="s">
        <v>158</v>
      </c>
      <c r="B111" s="250">
        <v>0.02</v>
      </c>
      <c r="C111" s="269">
        <v>0.02</v>
      </c>
      <c r="D111" s="46" t="s">
        <v>205</v>
      </c>
      <c r="E111" s="206" t="s">
        <v>265</v>
      </c>
    </row>
    <row r="112" spans="1:5" ht="13.8" x14ac:dyDescent="0.2">
      <c r="A112" s="256" t="s">
        <v>158</v>
      </c>
      <c r="B112" s="250">
        <v>0.45</v>
      </c>
      <c r="C112" s="269">
        <v>0.45</v>
      </c>
      <c r="D112" s="46"/>
      <c r="E112" s="206"/>
    </row>
    <row r="113" spans="1:5" ht="13.8" x14ac:dyDescent="0.2">
      <c r="A113" s="256" t="s">
        <v>158</v>
      </c>
      <c r="B113" s="250">
        <v>0.35</v>
      </c>
      <c r="C113" s="250">
        <v>0.35</v>
      </c>
      <c r="D113" s="112" t="s">
        <v>205</v>
      </c>
      <c r="E113" s="206" t="s">
        <v>265</v>
      </c>
    </row>
    <row r="114" spans="1:5" ht="13.8" x14ac:dyDescent="0.2">
      <c r="A114" s="256" t="s">
        <v>122</v>
      </c>
      <c r="B114" s="250">
        <v>1</v>
      </c>
      <c r="C114" s="250">
        <v>1</v>
      </c>
      <c r="D114" s="112" t="s">
        <v>205</v>
      </c>
      <c r="E114" s="206" t="s">
        <v>265</v>
      </c>
    </row>
    <row r="115" spans="1:5" ht="13.8" x14ac:dyDescent="0.3">
      <c r="A115" s="265" t="s">
        <v>186</v>
      </c>
      <c r="B115" s="266">
        <f>B105*B106*B107*(1-B113)*(1-B111)*(1-B112)*B110*B109*B108*B114</f>
        <v>66778.531786590611</v>
      </c>
      <c r="C115" s="266">
        <f>C105*C106*C107*(1-C113)*(1-C111)*(1-C112)*C110*C109*C108*C114</f>
        <v>152252.8971361398</v>
      </c>
      <c r="D115" s="167" t="s">
        <v>112</v>
      </c>
      <c r="E115" s="226" t="s">
        <v>27</v>
      </c>
    </row>
    <row r="116" spans="1:5" s="164" customFormat="1" ht="13.5" customHeight="1" thickBot="1" x14ac:dyDescent="0.35">
      <c r="A116" s="257"/>
      <c r="B116" s="338">
        <f>ROUNDUP(B115+C115,0)</f>
        <v>219032</v>
      </c>
      <c r="C116" s="339"/>
      <c r="D116" s="270" t="s">
        <v>112</v>
      </c>
      <c r="E116" s="248" t="s">
        <v>27</v>
      </c>
    </row>
    <row r="117" spans="1:5" x14ac:dyDescent="0.2">
      <c r="A117" s="24"/>
    </row>
    <row r="119" spans="1:5" ht="13.8" x14ac:dyDescent="0.3">
      <c r="A119" s="47" t="s">
        <v>185</v>
      </c>
      <c r="B119" s="85">
        <f>B100</f>
        <v>93777</v>
      </c>
      <c r="C119" s="25" t="s">
        <v>112</v>
      </c>
      <c r="D119" s="86"/>
    </row>
    <row r="120" spans="1:5" ht="13.8" x14ac:dyDescent="0.3">
      <c r="A120" s="47" t="s">
        <v>237</v>
      </c>
      <c r="B120" s="85">
        <f>B116</f>
        <v>219032</v>
      </c>
      <c r="C120" s="25" t="s">
        <v>112</v>
      </c>
      <c r="D120" s="86"/>
    </row>
    <row r="121" spans="1:5" ht="13.8" x14ac:dyDescent="0.3">
      <c r="A121" s="47" t="s">
        <v>188</v>
      </c>
      <c r="B121" s="85">
        <f>B39</f>
        <v>3754</v>
      </c>
      <c r="C121" s="25" t="s">
        <v>112</v>
      </c>
      <c r="D121" s="86"/>
      <c r="E121" s="87"/>
    </row>
    <row r="122" spans="1:5" ht="13.8" x14ac:dyDescent="0.3">
      <c r="A122" s="47" t="s">
        <v>238</v>
      </c>
      <c r="B122" s="85">
        <f>B74</f>
        <v>14076</v>
      </c>
      <c r="C122" s="25" t="s">
        <v>112</v>
      </c>
    </row>
    <row r="124" spans="1:5" ht="13.8" x14ac:dyDescent="0.3">
      <c r="A124" s="88" t="s">
        <v>159</v>
      </c>
      <c r="B124" s="301">
        <f>ROUNDUP(B122-B121+B120-B119,0)</f>
        <v>135577</v>
      </c>
      <c r="C124" s="25" t="s">
        <v>112</v>
      </c>
    </row>
    <row r="125" spans="1:5" x14ac:dyDescent="0.2">
      <c r="A125" s="56"/>
      <c r="B125" s="89"/>
    </row>
    <row r="126" spans="1:5" x14ac:dyDescent="0.2">
      <c r="A126" s="56"/>
      <c r="B126" s="89"/>
    </row>
    <row r="127" spans="1:5" x14ac:dyDescent="0.2">
      <c r="A127" s="56"/>
      <c r="B127" s="89"/>
    </row>
    <row r="128" spans="1:5" x14ac:dyDescent="0.2">
      <c r="A128" s="56"/>
      <c r="B128" s="89"/>
    </row>
    <row r="129" spans="1:6" x14ac:dyDescent="0.2">
      <c r="A129" s="56"/>
      <c r="B129" s="89"/>
    </row>
    <row r="130" spans="1:6" x14ac:dyDescent="0.2">
      <c r="A130" s="56"/>
      <c r="B130" s="90"/>
    </row>
    <row r="131" spans="1:6" x14ac:dyDescent="0.2">
      <c r="C131" s="91"/>
    </row>
    <row r="132" spans="1:6" x14ac:dyDescent="0.2">
      <c r="D132" s="92"/>
      <c r="E132" s="93"/>
      <c r="F132" s="93"/>
    </row>
    <row r="134" spans="1:6" x14ac:dyDescent="0.2">
      <c r="C134" s="94"/>
    </row>
    <row r="139" spans="1:6" x14ac:dyDescent="0.2">
      <c r="A139" s="95" t="s">
        <v>145</v>
      </c>
      <c r="B139" s="64"/>
      <c r="C139" s="64"/>
      <c r="D139" s="64"/>
      <c r="E139" s="64"/>
    </row>
    <row r="140" spans="1:6" x14ac:dyDescent="0.2">
      <c r="A140" s="66" t="s">
        <v>2</v>
      </c>
      <c r="B140" s="66" t="s">
        <v>14</v>
      </c>
      <c r="C140" s="66"/>
      <c r="D140" s="66" t="s">
        <v>1</v>
      </c>
      <c r="E140" s="66" t="s">
        <v>3</v>
      </c>
    </row>
    <row r="141" spans="1:6" x14ac:dyDescent="0.2">
      <c r="A141" s="66"/>
      <c r="B141" s="66" t="str">
        <f>'Baseline Emission'!B12</f>
        <v>Market Swine</v>
      </c>
      <c r="C141" s="66" t="str">
        <f>'Baseline Emission'!C12</f>
        <v>Breeding Swine</v>
      </c>
      <c r="D141" s="66"/>
      <c r="E141" s="66"/>
    </row>
    <row r="142" spans="1:6" x14ac:dyDescent="0.2">
      <c r="A142" s="96" t="s">
        <v>146</v>
      </c>
      <c r="B142" s="97">
        <v>0.01</v>
      </c>
      <c r="C142" s="98">
        <v>0.02</v>
      </c>
      <c r="D142" s="99" t="s">
        <v>11</v>
      </c>
      <c r="E142" s="100" t="s">
        <v>6</v>
      </c>
    </row>
    <row r="143" spans="1:6" ht="13.8" x14ac:dyDescent="0.2">
      <c r="A143" s="96" t="s">
        <v>147</v>
      </c>
      <c r="B143" s="101">
        <f>'Baseline Emission'!B20</f>
        <v>130976</v>
      </c>
      <c r="C143" s="101">
        <f>'Baseline Emission'!C20</f>
        <v>226952</v>
      </c>
      <c r="D143" s="99" t="s">
        <v>12</v>
      </c>
      <c r="E143" s="64" t="s">
        <v>23</v>
      </c>
    </row>
    <row r="144" spans="1:6" x14ac:dyDescent="0.2">
      <c r="A144" s="102" t="s">
        <v>20</v>
      </c>
      <c r="B144" s="103">
        <v>1</v>
      </c>
      <c r="C144" s="104">
        <v>1</v>
      </c>
      <c r="D144" s="99"/>
      <c r="E144" s="64" t="s">
        <v>6</v>
      </c>
    </row>
    <row r="145" spans="1:5" x14ac:dyDescent="0.2">
      <c r="A145" s="102" t="s">
        <v>148</v>
      </c>
      <c r="B145" s="105">
        <v>0.36</v>
      </c>
      <c r="C145" s="106">
        <v>0.39</v>
      </c>
      <c r="D145" s="99" t="s">
        <v>13</v>
      </c>
      <c r="E145" s="64" t="s">
        <v>6</v>
      </c>
    </row>
    <row r="146" spans="1:5" x14ac:dyDescent="0.2">
      <c r="A146" s="102" t="s">
        <v>21</v>
      </c>
      <c r="B146" s="107">
        <v>0.7</v>
      </c>
      <c r="C146" s="107">
        <v>0.7</v>
      </c>
      <c r="D146" s="99"/>
      <c r="E146" s="64" t="s">
        <v>29</v>
      </c>
    </row>
    <row r="147" spans="1:5" x14ac:dyDescent="0.2">
      <c r="A147" s="108" t="s">
        <v>16</v>
      </c>
      <c r="B147" s="109">
        <f>21*0.00067*365*B142*B143*B145*(1-B146)</f>
        <v>726.44450054400022</v>
      </c>
      <c r="C147" s="109">
        <f>21*0.00067*365*C142*C143*C145*(1-C146)</f>
        <v>2727.3246240240005</v>
      </c>
      <c r="D147" s="110"/>
      <c r="E147" s="110" t="s">
        <v>27</v>
      </c>
    </row>
    <row r="148" spans="1:5" x14ac:dyDescent="0.2">
      <c r="A148" s="110" t="s">
        <v>22</v>
      </c>
      <c r="B148" s="111">
        <f>ROUND(B147+C147,0)</f>
        <v>3454</v>
      </c>
      <c r="C148" s="110"/>
      <c r="D148" s="110"/>
      <c r="E148" s="110"/>
    </row>
  </sheetData>
  <customSheetViews>
    <customSheetView guid="{2C071143-29D6-4036-A926-BF7E54293313}" hiddenRows="1" showRuler="0" topLeftCell="A123">
      <selection activeCell="B81" sqref="B81"/>
      <pageMargins left="0.75" right="0.75" top="1" bottom="1" header="0.5" footer="0.5"/>
      <pageSetup paperSize="9" orientation="portrait" horizontalDpi="300" verticalDpi="300" r:id="rId1"/>
      <headerFooter alignWithMargins="0"/>
    </customSheetView>
  </customSheetViews>
  <mergeCells count="10">
    <mergeCell ref="B74:C74"/>
    <mergeCell ref="B39:C39"/>
    <mergeCell ref="B116:C116"/>
    <mergeCell ref="B100:C100"/>
    <mergeCell ref="B34:C34"/>
    <mergeCell ref="B36:C36"/>
    <mergeCell ref="B38:C38"/>
    <mergeCell ref="B71:C71"/>
    <mergeCell ref="B73:C73"/>
    <mergeCell ref="B69:C69"/>
  </mergeCells>
  <phoneticPr fontId="0" type="noConversion"/>
  <pageMargins left="0.75" right="0.75" top="1" bottom="1" header="0.5" footer="0.5"/>
  <pageSetup paperSize="9" orientation="portrait" horizontalDpi="300" verticalDpi="300" r:id="rId2"/>
  <headerFooter alignWithMargins="0"/>
  <ignoredErrors>
    <ignoredError sqref="B72" formula="1"/>
  </ignoredErrors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40"/>
  <sheetViews>
    <sheetView zoomScale="130" zoomScaleNormal="130" workbookViewId="0">
      <selection activeCell="F12" sqref="F12"/>
    </sheetView>
  </sheetViews>
  <sheetFormatPr defaultColWidth="11.44140625" defaultRowHeight="13.2" x14ac:dyDescent="0.25"/>
  <cols>
    <col min="2" max="2" width="33.5546875" customWidth="1"/>
    <col min="3" max="3" width="22.77734375" customWidth="1"/>
    <col min="4" max="4" width="23.21875" customWidth="1"/>
    <col min="5" max="5" width="23" customWidth="1"/>
    <col min="6" max="6" width="22.77734375" customWidth="1"/>
    <col min="7" max="7" width="11.77734375" bestFit="1" customWidth="1"/>
    <col min="8" max="8" width="18.5546875" bestFit="1" customWidth="1"/>
  </cols>
  <sheetData>
    <row r="1" spans="1:8" x14ac:dyDescent="0.25">
      <c r="A1" s="7"/>
      <c r="B1" s="7"/>
      <c r="C1" s="7"/>
      <c r="D1" s="7"/>
      <c r="E1" s="7"/>
      <c r="F1" s="7"/>
    </row>
    <row r="2" spans="1:8" ht="13.8" thickBot="1" x14ac:dyDescent="0.3">
      <c r="A2" s="7"/>
      <c r="B2" s="7"/>
      <c r="C2" s="7"/>
      <c r="D2" s="7"/>
      <c r="E2" s="7"/>
      <c r="F2" s="7"/>
    </row>
    <row r="3" spans="1:8" ht="13.8" x14ac:dyDescent="0.25">
      <c r="A3" s="7"/>
      <c r="B3" s="342" t="s">
        <v>160</v>
      </c>
      <c r="C3" s="290" t="s">
        <v>47</v>
      </c>
      <c r="D3" s="290" t="s">
        <v>47</v>
      </c>
      <c r="E3" s="290" t="s">
        <v>47</v>
      </c>
      <c r="F3" s="291" t="s">
        <v>47</v>
      </c>
    </row>
    <row r="4" spans="1:8" ht="27" customHeight="1" x14ac:dyDescent="0.25">
      <c r="A4" s="7"/>
      <c r="B4" s="343"/>
      <c r="C4" s="9" t="s">
        <v>49</v>
      </c>
      <c r="D4" s="8" t="s">
        <v>48</v>
      </c>
      <c r="E4" s="8" t="s">
        <v>50</v>
      </c>
      <c r="F4" s="292" t="s">
        <v>51</v>
      </c>
    </row>
    <row r="5" spans="1:8" ht="16.2" x14ac:dyDescent="0.35">
      <c r="A5" s="7"/>
      <c r="B5" s="343"/>
      <c r="C5" s="8" t="s">
        <v>83</v>
      </c>
      <c r="D5" s="8" t="s">
        <v>83</v>
      </c>
      <c r="E5" s="8" t="s">
        <v>83</v>
      </c>
      <c r="F5" s="292" t="s">
        <v>84</v>
      </c>
    </row>
    <row r="6" spans="1:8" ht="13.8" x14ac:dyDescent="0.25">
      <c r="A6" s="7"/>
      <c r="B6" s="302" t="s">
        <v>259</v>
      </c>
      <c r="C6" s="10">
        <f>'Baseline Emission'!$E$74</f>
        <v>446019</v>
      </c>
      <c r="D6" s="11">
        <f>'Project Emission'!$B$113</f>
        <v>27708</v>
      </c>
      <c r="E6" s="10">
        <f>Leakage!$B$124</f>
        <v>135577</v>
      </c>
      <c r="F6" s="293">
        <f t="shared" ref="F6:F10" si="0">C6-D6-E6</f>
        <v>282734</v>
      </c>
    </row>
    <row r="7" spans="1:8" ht="13.8" x14ac:dyDescent="0.25">
      <c r="A7" s="7"/>
      <c r="B7" s="302" t="s">
        <v>260</v>
      </c>
      <c r="C7" s="10">
        <f>'Baseline Emission'!$E$74</f>
        <v>446019</v>
      </c>
      <c r="D7" s="11">
        <f>'Project Emission'!$B$113</f>
        <v>27708</v>
      </c>
      <c r="E7" s="10">
        <f>Leakage!$B$124</f>
        <v>135577</v>
      </c>
      <c r="F7" s="293">
        <f t="shared" si="0"/>
        <v>282734</v>
      </c>
    </row>
    <row r="8" spans="1:8" ht="13.8" x14ac:dyDescent="0.25">
      <c r="A8" s="7"/>
      <c r="B8" s="302" t="s">
        <v>261</v>
      </c>
      <c r="C8" s="10">
        <f>'Baseline Emission'!$E$74</f>
        <v>446019</v>
      </c>
      <c r="D8" s="11">
        <f>'Project Emission'!$B$113</f>
        <v>27708</v>
      </c>
      <c r="E8" s="10">
        <f>Leakage!$B$124</f>
        <v>135577</v>
      </c>
      <c r="F8" s="293">
        <f t="shared" si="0"/>
        <v>282734</v>
      </c>
    </row>
    <row r="9" spans="1:8" ht="13.8" x14ac:dyDescent="0.25">
      <c r="A9" s="7"/>
      <c r="B9" s="302" t="s">
        <v>252</v>
      </c>
      <c r="C9" s="10">
        <f>'Baseline Emission'!$E$74</f>
        <v>446019</v>
      </c>
      <c r="D9" s="11">
        <f>'Project Emission'!$B$113</f>
        <v>27708</v>
      </c>
      <c r="E9" s="10">
        <f>Leakage!$B$124</f>
        <v>135577</v>
      </c>
      <c r="F9" s="293">
        <f t="shared" si="0"/>
        <v>282734</v>
      </c>
    </row>
    <row r="10" spans="1:8" ht="13.8" x14ac:dyDescent="0.25">
      <c r="A10" s="7"/>
      <c r="B10" s="302" t="s">
        <v>262</v>
      </c>
      <c r="C10" s="10">
        <f>'Baseline Emission'!$E$74</f>
        <v>446019</v>
      </c>
      <c r="D10" s="11">
        <f>'Project Emission'!$B$113</f>
        <v>27708</v>
      </c>
      <c r="E10" s="10">
        <f>Leakage!$B$124</f>
        <v>135577</v>
      </c>
      <c r="F10" s="293">
        <f t="shared" si="0"/>
        <v>282734</v>
      </c>
    </row>
    <row r="11" spans="1:8" ht="16.2" x14ac:dyDescent="0.35">
      <c r="A11" s="7"/>
      <c r="B11" s="294" t="s">
        <v>85</v>
      </c>
      <c r="C11" s="12">
        <f>SUM(C6:C10)</f>
        <v>2230095</v>
      </c>
      <c r="D11" s="12">
        <f>SUM(D6:D10)</f>
        <v>138540</v>
      </c>
      <c r="E11" s="12">
        <f>SUM(E6:E10)</f>
        <v>677885</v>
      </c>
      <c r="F11" s="295">
        <f>SUM(F6:F10)</f>
        <v>1413670</v>
      </c>
    </row>
    <row r="12" spans="1:8" ht="15" thickBot="1" x14ac:dyDescent="0.35">
      <c r="A12" s="7"/>
      <c r="B12" s="296" t="s">
        <v>161</v>
      </c>
      <c r="C12" s="297">
        <f>C11/5</f>
        <v>446019</v>
      </c>
      <c r="D12" s="297">
        <f>D11/5</f>
        <v>27708</v>
      </c>
      <c r="E12" s="297">
        <f>E11/5</f>
        <v>135577</v>
      </c>
      <c r="F12" s="298">
        <f>F11/5</f>
        <v>282734</v>
      </c>
      <c r="H12" s="308"/>
    </row>
    <row r="13" spans="1:8" x14ac:dyDescent="0.25">
      <c r="A13" s="7"/>
      <c r="B13" s="7"/>
      <c r="C13" s="3"/>
      <c r="D13" s="3"/>
      <c r="E13" s="5"/>
      <c r="F13" s="3"/>
    </row>
    <row r="14" spans="1:8" x14ac:dyDescent="0.25">
      <c r="C14" s="304"/>
      <c r="D14" s="304"/>
      <c r="E14" s="304"/>
      <c r="F14" s="319"/>
    </row>
    <row r="15" spans="1:8" x14ac:dyDescent="0.25">
      <c r="C15" s="2"/>
      <c r="D15" s="4"/>
      <c r="E15" s="2"/>
      <c r="F15" s="2"/>
    </row>
    <row r="16" spans="1:8" x14ac:dyDescent="0.25">
      <c r="D16" s="2"/>
      <c r="E16" s="3"/>
      <c r="F16" s="6"/>
    </row>
    <row r="17" spans="3:8" x14ac:dyDescent="0.25">
      <c r="D17" s="3"/>
      <c r="E17" s="3"/>
      <c r="F17" s="1"/>
    </row>
    <row r="21" spans="3:8" x14ac:dyDescent="0.25">
      <c r="D21" s="303"/>
      <c r="E21" s="303"/>
    </row>
    <row r="22" spans="3:8" x14ac:dyDescent="0.25">
      <c r="D22" s="303"/>
      <c r="E22" s="303"/>
    </row>
    <row r="25" spans="3:8" x14ac:dyDescent="0.25">
      <c r="G25" s="306"/>
      <c r="H25" s="305"/>
    </row>
    <row r="27" spans="3:8" x14ac:dyDescent="0.25">
      <c r="C27" s="299"/>
      <c r="D27" s="299"/>
      <c r="E27" s="299"/>
      <c r="F27" s="299"/>
    </row>
    <row r="28" spans="3:8" x14ac:dyDescent="0.25">
      <c r="C28" s="299"/>
      <c r="D28" s="299"/>
      <c r="E28" s="299"/>
      <c r="F28" s="299"/>
      <c r="H28" s="307"/>
    </row>
    <row r="29" spans="3:8" x14ac:dyDescent="0.25">
      <c r="C29" s="299"/>
      <c r="D29" s="299"/>
      <c r="E29" s="299"/>
      <c r="F29" s="299"/>
    </row>
    <row r="30" spans="3:8" x14ac:dyDescent="0.25">
      <c r="C30" s="299"/>
      <c r="D30" s="299"/>
      <c r="E30" s="299"/>
      <c r="F30" s="299"/>
    </row>
    <row r="31" spans="3:8" x14ac:dyDescent="0.25">
      <c r="C31" s="299"/>
      <c r="D31" s="299"/>
      <c r="E31" s="299"/>
      <c r="F31" s="299"/>
    </row>
    <row r="32" spans="3:8" x14ac:dyDescent="0.25">
      <c r="C32" s="299"/>
      <c r="D32" s="299"/>
      <c r="E32" s="299"/>
      <c r="F32" s="299"/>
    </row>
    <row r="33" spans="3:6" x14ac:dyDescent="0.25">
      <c r="C33" s="299"/>
      <c r="D33" s="299"/>
      <c r="E33" s="299"/>
      <c r="F33" s="299"/>
    </row>
    <row r="34" spans="3:6" x14ac:dyDescent="0.25">
      <c r="C34" s="299"/>
      <c r="D34" s="299"/>
      <c r="E34" s="299"/>
      <c r="F34" s="299"/>
    </row>
    <row r="35" spans="3:6" x14ac:dyDescent="0.25">
      <c r="C35" s="299"/>
      <c r="D35" s="299"/>
      <c r="E35" s="299"/>
      <c r="F35" s="299"/>
    </row>
    <row r="36" spans="3:6" x14ac:dyDescent="0.25">
      <c r="C36" s="299"/>
      <c r="D36" s="299"/>
      <c r="E36" s="299"/>
      <c r="F36" s="299"/>
    </row>
    <row r="37" spans="3:6" x14ac:dyDescent="0.25">
      <c r="C37" s="299"/>
      <c r="D37" s="299"/>
      <c r="E37" s="299"/>
      <c r="F37" s="299"/>
    </row>
    <row r="38" spans="3:6" x14ac:dyDescent="0.25">
      <c r="C38" s="299"/>
      <c r="D38" s="299"/>
      <c r="E38" s="299"/>
      <c r="F38" s="299"/>
    </row>
    <row r="39" spans="3:6" x14ac:dyDescent="0.25">
      <c r="C39" s="299"/>
      <c r="D39" s="299"/>
      <c r="E39" s="299"/>
      <c r="F39" s="299"/>
    </row>
    <row r="40" spans="3:6" x14ac:dyDescent="0.25">
      <c r="C40" s="299"/>
      <c r="D40" s="299"/>
      <c r="E40" s="299"/>
      <c r="F40" s="299"/>
    </row>
  </sheetData>
  <customSheetViews>
    <customSheetView guid="{2C071143-29D6-4036-A926-BF7E54293313}" showRuler="0" topLeftCell="A11">
      <selection activeCell="B35" sqref="B35"/>
      <pageMargins left="0.75" right="0.75" top="1" bottom="1" header="0.4921259845" footer="0.4921259845"/>
      <pageSetup paperSize="9" orientation="portrait" horizontalDpi="300" verticalDpi="0" copies="0" r:id="rId1"/>
      <headerFooter alignWithMargins="0"/>
    </customSheetView>
  </customSheetViews>
  <mergeCells count="1">
    <mergeCell ref="B3:B5"/>
  </mergeCells>
  <phoneticPr fontId="4" type="noConversion"/>
  <pageMargins left="0.75" right="0.75" top="1" bottom="1" header="0.4921259845" footer="0.4921259845"/>
  <pageSetup paperSize="9" orientation="portrait" horizontalDpi="300" verticalDpi="300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6</vt:i4>
      </vt:variant>
      <vt:variant>
        <vt:lpstr>命名范围</vt:lpstr>
      </vt:variant>
      <vt:variant>
        <vt:i4>1</vt:i4>
      </vt:variant>
    </vt:vector>
  </HeadingPairs>
  <TitlesOfParts>
    <vt:vector size="7" baseType="lpstr">
      <vt:lpstr>Cover Page</vt:lpstr>
      <vt:lpstr>Result of each SDGs</vt:lpstr>
      <vt:lpstr>Baseline Emission</vt:lpstr>
      <vt:lpstr>Project Emission</vt:lpstr>
      <vt:lpstr>Leakage</vt:lpstr>
      <vt:lpstr>Emission Reduction</vt:lpstr>
      <vt:lpstr>'Emission Reduction'!Print_Area</vt:lpstr>
    </vt:vector>
  </TitlesOfParts>
  <Manager>ywert.visser@carbonvietnam.com</Manager>
  <Company>INTRACO Co., Ltd Carbon Consulting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Joanna</dc:creator>
  <cp:lastModifiedBy>林一</cp:lastModifiedBy>
  <cp:lastPrinted>2011-01-07T02:59:39Z</cp:lastPrinted>
  <dcterms:created xsi:type="dcterms:W3CDTF">2006-12-11T01:48:55Z</dcterms:created>
  <dcterms:modified xsi:type="dcterms:W3CDTF">2022-10-09T02:13:52Z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Ywert Visser</vt:lpwstr>
  </property>
</Properties>
</file>